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05" windowWidth="9630" windowHeight="2595" tabRatio="873" activeTab="4"/>
  </bookViews>
  <sheets>
    <sheet name="instructions" sheetId="1" r:id="rId1"/>
    <sheet name="inputPrYr" sheetId="2" r:id="rId2"/>
    <sheet name="inputOth" sheetId="3" r:id="rId3"/>
    <sheet name="inputBudSum" sheetId="4" r:id="rId4"/>
    <sheet name="cert" sheetId="5" r:id="rId5"/>
    <sheet name="cert2" sheetId="6" r:id="rId6"/>
    <sheet name="computation" sheetId="7" r:id="rId7"/>
    <sheet name="mvalloc" sheetId="8" r:id="rId8"/>
    <sheet name="transfers" sheetId="9" r:id="rId9"/>
    <sheet name="TransfersStatutes" sheetId="10" r:id="rId10"/>
    <sheet name="debt" sheetId="11" r:id="rId11"/>
    <sheet name="lpform" sheetId="12" r:id="rId12"/>
    <sheet name="general" sheetId="13" r:id="rId13"/>
    <sheet name="gen-detail" sheetId="14" r:id="rId14"/>
    <sheet name="DebtService" sheetId="15" r:id="rId15"/>
    <sheet name="road" sheetId="16" r:id="rId16"/>
    <sheet name="RoadDetail" sheetId="17" r:id="rId17"/>
    <sheet name="Health-Fair" sheetId="18" r:id="rId18"/>
    <sheet name="4-H-RecHHW" sheetId="19" r:id="rId19"/>
    <sheet name="AOA-SoilCon" sheetId="20" r:id="rId20"/>
    <sheet name="Hist-Appr" sheetId="21" r:id="rId21"/>
    <sheet name="Nox Weed-Elect" sheetId="22" r:id="rId22"/>
    <sheet name="ExtCoun-SW" sheetId="23" r:id="rId23"/>
    <sheet name="Amb-MenHealth" sheetId="24" r:id="rId24"/>
    <sheet name="Pawnee-EmpBen" sheetId="25" r:id="rId25"/>
    <sheet name="Unemp-Liab" sheetId="26" r:id="rId26"/>
    <sheet name="EmpRet-WorkComp" sheetId="27" r:id="rId27"/>
    <sheet name="Social Sec" sheetId="28" r:id="rId28"/>
    <sheet name="SpecPark-SpecAlch" sheetId="29" r:id="rId29"/>
    <sheet name="AKDOT-AKitch" sheetId="30" r:id="rId30"/>
    <sheet name="HCO-911Local" sheetId="31" r:id="rId31"/>
    <sheet name="911Spec-EMCO" sheetId="32" r:id="rId32"/>
    <sheet name="Title IIIC-Spec Mach" sheetId="33" r:id="rId33"/>
    <sheet name="MotorVeh-ElecRes" sheetId="34" r:id="rId34"/>
    <sheet name="NoxWeedCO-ApprCO" sheetId="35" r:id="rId35"/>
    <sheet name="HealthBldg-Machinery" sheetId="36" r:id="rId36"/>
    <sheet name="nonbudA" sheetId="37" r:id="rId37"/>
    <sheet name="nonbudB" sheetId="38" r:id="rId38"/>
    <sheet name="nonbudC" sheetId="39" r:id="rId39"/>
    <sheet name="nonbudD" sheetId="40" r:id="rId40"/>
    <sheet name="NonBudFunds" sheetId="41" r:id="rId41"/>
    <sheet name="summ" sheetId="42" r:id="rId42"/>
    <sheet name="summ2" sheetId="43" r:id="rId43"/>
    <sheet name="Nhood" sheetId="44" r:id="rId44"/>
    <sheet name="Pub. Notice Option 1" sheetId="45" r:id="rId45"/>
    <sheet name="Pub. Notice Option 2" sheetId="46" r:id="rId46"/>
    <sheet name="Tab A" sheetId="47" r:id="rId47"/>
    <sheet name="Tab B" sheetId="48" r:id="rId48"/>
    <sheet name="Tab C" sheetId="49" r:id="rId49"/>
    <sheet name="Tab D" sheetId="50" r:id="rId50"/>
    <sheet name="Tab E" sheetId="51" r:id="rId51"/>
    <sheet name="Mill Rate Computation" sheetId="52" r:id="rId52"/>
    <sheet name="Helpful Links" sheetId="53" r:id="rId53"/>
    <sheet name="legend" sheetId="54" r:id="rId54"/>
  </sheets>
  <definedNames>
    <definedName name="_xlnm.Print_Area" localSheetId="18">'4-H-RecHHW'!$A$1:$E$86</definedName>
    <definedName name="_xlnm.Print_Area" localSheetId="23">'Amb-MenHealth'!$A$1:$E$86</definedName>
    <definedName name="_xlnm.Print_Area" localSheetId="19">'AOA-SoilCon'!$A$1:$E$86</definedName>
    <definedName name="_xlnm.Print_Area" localSheetId="14">'DebtService'!$B$1:$E$59</definedName>
    <definedName name="_xlnm.Print_Area" localSheetId="26">'EmpRet-WorkComp'!$A$1:$E$86</definedName>
    <definedName name="_xlnm.Print_Area" localSheetId="22">'ExtCoun-SW'!$A$1:$E$86</definedName>
    <definedName name="_xlnm.Print_Area" localSheetId="12">'general'!$A$1:$E$129</definedName>
    <definedName name="_xlnm.Print_Area" localSheetId="17">'Health-Fair'!$A$1:$E$86</definedName>
    <definedName name="_xlnm.Print_Area" localSheetId="20">'Hist-Appr'!$A$1:$E$86</definedName>
    <definedName name="_xlnm.Print_Area" localSheetId="1">'inputPrYr'!$A$1:$F$125</definedName>
    <definedName name="_xlnm.Print_Area" localSheetId="0">'instructions'!$A$1:$A$107</definedName>
    <definedName name="_xlnm.Print_Area" localSheetId="21">'Nox Weed-Elect'!$A$1:$E$86</definedName>
    <definedName name="_xlnm.Print_Area" localSheetId="24">'Pawnee-EmpBen'!$A$1:$E$86</definedName>
    <definedName name="_xlnm.Print_Area" localSheetId="15">'road'!$B$1:$E$120</definedName>
    <definedName name="_xlnm.Print_Area" localSheetId="27">'Social Sec'!$A$1:$E$86</definedName>
    <definedName name="_xlnm.Print_Area" localSheetId="41">'summ'!$A$1:$H$78</definedName>
    <definedName name="_xlnm.Print_Area" localSheetId="25">'Unemp-Liab'!$A$1:$E$86</definedName>
  </definedNames>
  <calcPr fullCalcOnLoad="1"/>
</workbook>
</file>

<file path=xl/sharedStrings.xml><?xml version="1.0" encoding="utf-8"?>
<sst xmlns="http://schemas.openxmlformats.org/spreadsheetml/2006/main" count="2806" uniqueCount="1110">
  <si>
    <t>Outstanding Indebtness, January 1:</t>
  </si>
  <si>
    <t xml:space="preserve">  G.O. Bonds</t>
  </si>
  <si>
    <t xml:space="preserve">  Revenue Bonds</t>
  </si>
  <si>
    <t xml:space="preserve">  Other</t>
  </si>
  <si>
    <t xml:space="preserve">  Lease Purchase Principal</t>
  </si>
  <si>
    <t>We, the undersigned, officers of</t>
  </si>
  <si>
    <t>Attest: ______________________</t>
  </si>
  <si>
    <t>Special City &amp; County Highway</t>
  </si>
  <si>
    <t>County Equalization</t>
  </si>
  <si>
    <t>Expenditures from detail page:</t>
  </si>
  <si>
    <t>Other County</t>
  </si>
  <si>
    <t>Special District Funds</t>
  </si>
  <si>
    <t xml:space="preserve">Other County </t>
  </si>
  <si>
    <t>CERTIFICATE (2)</t>
  </si>
  <si>
    <t>NON-BUDGETED FUNDS (A)</t>
  </si>
  <si>
    <t>Non-Budgeted Funds-A</t>
  </si>
  <si>
    <t>(1) Fund Name:</t>
  </si>
  <si>
    <t>(2) Fund Name:</t>
  </si>
  <si>
    <t>(3) Fund Name:</t>
  </si>
  <si>
    <t>(4) Fund Name:</t>
  </si>
  <si>
    <t>(5) Fund Name:</t>
  </si>
  <si>
    <t xml:space="preserve">Unencumbered </t>
  </si>
  <si>
    <t>Cash Balance Dec 31</t>
  </si>
  <si>
    <t>NON-BUDGETED FUNDS (B)</t>
  </si>
  <si>
    <t>Non-Budgeted Funds-B</t>
  </si>
  <si>
    <t>NON-BUDGETED FUNDS (C)</t>
  </si>
  <si>
    <t>Non-Budgeted Funds-C</t>
  </si>
  <si>
    <t>NON-BUDGETED FUNDS (D)</t>
  </si>
  <si>
    <t>Non-Budgeted Funds-D</t>
  </si>
  <si>
    <t>Other non-tax levy fund names:</t>
  </si>
  <si>
    <t xml:space="preserve">  Subtotal</t>
  </si>
  <si>
    <r>
      <t>Total  Detail Expenditures</t>
    </r>
    <r>
      <rPr>
        <sz val="12"/>
        <color indexed="10"/>
        <rFont val="Times New Roman"/>
        <family val="1"/>
      </rPr>
      <t>**</t>
    </r>
  </si>
  <si>
    <r>
      <t>**</t>
    </r>
    <r>
      <rPr>
        <sz val="12"/>
        <rFont val="Times New Roman"/>
        <family val="1"/>
      </rPr>
      <t xml:space="preserve"> Note: The Total Detail Expenditures amount should agree to the General Subtotal amounts.</t>
    </r>
  </si>
  <si>
    <r>
      <t>**</t>
    </r>
    <r>
      <rPr>
        <sz val="12"/>
        <rFont val="Times New Roman"/>
        <family val="1"/>
      </rPr>
      <t xml:space="preserve"> Note: The Total Detail Expenditures amounts should agree to Road Subtotal amounts.</t>
    </r>
  </si>
  <si>
    <r>
      <t>Total Detail Expenditures</t>
    </r>
    <r>
      <rPr>
        <sz val="12"/>
        <color indexed="10"/>
        <rFont val="Times New Roman"/>
        <family val="1"/>
      </rPr>
      <t>**</t>
    </r>
  </si>
  <si>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</si>
  <si>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</si>
  <si>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</si>
  <si>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</si>
  <si>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All dollar amounts should be rounded to whole dollars (do not record cents).</t>
  </si>
  <si>
    <t>The blue areas indicated where the information comes from to complete the section input.</t>
  </si>
  <si>
    <t xml:space="preserve">3. Hard coded the Bond &amp; Interest, and Road &amp; Bridge on Certificate and Summary pages. </t>
  </si>
  <si>
    <t xml:space="preserve">7. Now have the indebtedness prior year added to the input page and link with the budget summary page. </t>
  </si>
  <si>
    <t>10. Changed the Budget Summary Heading to include Actual/Estimate/Proposed with the budget year.</t>
  </si>
  <si>
    <t>11. Changed the delinquency rate formula for all levy funds.</t>
  </si>
  <si>
    <t>16. Add total section for Schedule of Transfers and linked the total to the Budget Summary page.</t>
  </si>
  <si>
    <t>17. Added column to show when debt retired on the Indebtedness page.</t>
  </si>
  <si>
    <t>18. Certificate (2) added (2) after Certificate at top of page, removed the certification at the top, and added column for Nov 1 valuation.</t>
  </si>
  <si>
    <t>21. On the Budget Summary page (2) added column for July1 valuation and computation to compute mil rates.</t>
  </si>
  <si>
    <t>20. Added 4 non-budgeted pages for 20 non-budgeted funds.</t>
  </si>
  <si>
    <t>Budget Summary</t>
  </si>
  <si>
    <t>xxxxx</t>
  </si>
  <si>
    <t>22. Added Resolution statement on Certificate page.</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</si>
  <si>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</si>
  <si>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</si>
  <si>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13. Added page number on the Resolution page.</t>
  </si>
  <si>
    <t>8. Added Resolution statement on Certificate page.</t>
  </si>
  <si>
    <t>Note:  All amounts are to be entered in as whole numbers only.</t>
  </si>
  <si>
    <t>23. Added computation to Certificate page 2 to comp mil rates.</t>
  </si>
  <si>
    <t>24. Added note on General and Road detail pages to ensure the General and Road subtotals are in agreement.</t>
  </si>
  <si>
    <t>**</t>
  </si>
  <si>
    <t>**Note: These two block figures should agree.</t>
  </si>
  <si>
    <t>25. Added to instructions about non-appropriated balance limited to 5%.</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</si>
  <si>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</si>
  <si>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29. Added Slider to the Vehicle Allocation table and linked to fund pages.</t>
  </si>
  <si>
    <t>xxxxxxxxxxxxxxxxxxxx</t>
  </si>
  <si>
    <t>30. Added to all budgeted fund pages the budget authority for the actual year, budget violation, and cash violation.</t>
  </si>
  <si>
    <t>31. Added instruction on the addition for item 30.</t>
  </si>
  <si>
    <t>Funds</t>
  </si>
  <si>
    <t xml:space="preserve">expenditure amounts should reflect the amended </t>
  </si>
  <si>
    <t>expenditure amounts.</t>
  </si>
  <si>
    <t xml:space="preserve">Tax Levy Rate </t>
  </si>
  <si>
    <t>Miscellaneous</t>
  </si>
  <si>
    <t>Does miscellaneous exceed 10% of Total Receipts</t>
  </si>
  <si>
    <t>Neighborhood Revitalization Rebate</t>
  </si>
  <si>
    <t>Does miscellaneous exceed 10% of Total Expenditure</t>
  </si>
  <si>
    <t xml:space="preserve">The worksheets are named (see the tab) in each budget workbook.  We will identify the worksheet by referencing the tab in parentheses (i.e. General Fund reference would be 'general'). </t>
  </si>
  <si>
    <r>
      <t xml:space="preserve">The General fund has a detail page (gen-detail) which can be used to disclose more insight of the General Fund expenditures by a department.  The detail page department name and total is linked to the General Fund page. You do not have to use the department names that are currently showing, as these can be changed to meet the need of the county. The last detail page contains all the total of the detail pages and this total amount should agree with the subtotal on the General page. If the totals do not agree, then change the figures on the detail page and </t>
    </r>
    <r>
      <rPr>
        <b/>
        <sz val="12"/>
        <rFont val="Times New Roman"/>
        <family val="1"/>
      </rPr>
      <t>not</t>
    </r>
    <r>
      <rPr>
        <sz val="12"/>
        <rFont val="Times New Roman"/>
        <family val="1"/>
      </rPr>
      <t xml:space="preserve"> on the General page.  If the detail page is used, please ensure to print the detail page and attach it to the budget.</t>
    </r>
  </si>
  <si>
    <t>The Road &amp; Bridge fund has a detail page (road-detail) which can be used to disclose more insight of the Road &amp; Bridge department expenditures.  The detail page department and total is linked to the Road fund page. You do not have to use the department names that are currently showing, as these can be changed to meet the need of the county. The detail totals should agree to the Road &amp; Bridge fund page subtotals and if they do not, then make corrections on the detail page only.  If the detail page is used, please remember to print the page.</t>
  </si>
  <si>
    <t>Red areas are for notes or indicate a problem area that will need possible corrective action taken.</t>
  </si>
  <si>
    <t>All of the county's budgets should be submitted to Municipal Services by December 1.</t>
  </si>
  <si>
    <r>
      <t xml:space="preserve">Completed budgets may be submitted to Municipal Services on 3.5 computer disk, CD, or as an attachment to an email.  If submitting by email, please mail to the following address: </t>
    </r>
    <r>
      <rPr>
        <u val="single"/>
        <sz val="12"/>
        <rFont val="Times New Roman"/>
        <family val="1"/>
      </rPr>
      <t>armunis@da.ks.gov</t>
    </r>
    <r>
      <rPr>
        <sz val="12"/>
        <rFont val="Times New Roman"/>
        <family val="1"/>
      </rPr>
      <t xml:space="preserve">. Naming the files should start with 'co' for county, 'ci' for cities, 'to' for townships, and 'sp' for special districts.  </t>
    </r>
  </si>
  <si>
    <t xml:space="preserve">Additional Certificate (cert2) and Budget Summary (summ2) pages are available for adding Special Districts. If Special Districts are submitted with the county's budget, please ensure to include the Special Districts' Computation to Determine Levy Limit computation page, and fund pages. </t>
  </si>
  <si>
    <t>Cash Balance Jan 1</t>
  </si>
  <si>
    <t>Budget Summary2</t>
  </si>
  <si>
    <t>35. Added 'excluding oil, gas, and mobile homes' to lines 7 and 9 on Clerks budget info on tab inputoth.</t>
  </si>
  <si>
    <t>***If you are merely leasing/renting with no intent to purchase, do not list--such transactions are not lease-purchases.</t>
  </si>
  <si>
    <t>34. Expanded on the preparation of budget note 11 for instructions for the Notice of Budget Hearing.</t>
  </si>
  <si>
    <t>The following were changed to this spreadsheet on 5/08/2008</t>
  </si>
  <si>
    <r>
      <t>1. Change all the Non-Budgeted Funds forms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</si>
  <si>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</si>
  <si>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3. The revision date was changed.</t>
  </si>
  <si>
    <t>The following were changed to this spreadsheet on 7/01/08</t>
  </si>
  <si>
    <t>2. Changed the formula for unencumbered cash balances for NonBudA to NonBudD to show a negative balance.</t>
  </si>
  <si>
    <t>3. Added box under unencumbered cash balance for NonBudA to NonBudD to reflect a negative ending cash balance.</t>
  </si>
  <si>
    <t>1. Added instructions to 9d for the NonBudA to NonBudD tabs explaining about negative cash balance.</t>
  </si>
  <si>
    <t xml:space="preserve">Ad Valorem Tax </t>
  </si>
  <si>
    <t xml:space="preserve">County.xls spreadsheet has General Fund, Debt Service, Road &amp; Bridge, 22 levy fund pages, 16 no levy fund pages, and 20 non-budgeted funds. </t>
  </si>
  <si>
    <t>1. Input tab (inputPrYr) added column for the current year expenditures.</t>
  </si>
  <si>
    <t>2. Statement of Indebtedness (debt) added lines to all categories.</t>
  </si>
  <si>
    <t xml:space="preserve">3. All tax levy funds and no tax levy funds fund pages made the following changes: </t>
  </si>
  <si>
    <r>
      <t>3a. Made the total expenditures block for the actual and current year to turn '</t>
    </r>
    <r>
      <rPr>
        <sz val="12"/>
        <color indexed="10"/>
        <rFont val="Times New Roman"/>
        <family val="1"/>
      </rPr>
      <t>Red</t>
    </r>
    <r>
      <rPr>
        <sz val="12"/>
        <rFont val="Times New Roman"/>
        <family val="1"/>
      </rPr>
      <t>' if violation occurs.</t>
    </r>
  </si>
  <si>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</si>
  <si>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</si>
  <si>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</si>
  <si>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</si>
  <si>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</si>
  <si>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</si>
  <si>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7a. Added instruction line 4a to explain about no-fund warrants and temporary notes can be added to the debt service on the Computation to Determine Levy Limit.</t>
  </si>
  <si>
    <t>7b. Added instruction line 9c to explain more about the debt service fund page can included for debts.</t>
  </si>
  <si>
    <t>8. Added to the instruction page lines 10a - 10c to provide a little more insight for the Neighborhood Revitalization rebate.</t>
  </si>
  <si>
    <t>9. Added 2b to explain how to delete delinquency rate from tax levy fund pages.</t>
  </si>
  <si>
    <t>10. Changed the Bond &amp; Interest tab (B&amp;I) to Debt Service tab (DebtService).</t>
  </si>
  <si>
    <t>11. Changed the revised date on all pages changed.</t>
  </si>
  <si>
    <t>12. Added instruction lines 9h to 9j for additional edits for budget authority.</t>
  </si>
  <si>
    <t>13. Added to instruction line 9c about the miscellaneous receipt for the proposed year takes into account the ad valorem taxes for the 10% Rule.</t>
  </si>
  <si>
    <t>14. Added to instruction line 6 for using chartered ordinance number in place of statute reference.</t>
  </si>
  <si>
    <t>2b. If the county chooses not to use the delinquency rate for all tax levy funds, then the county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</si>
  <si>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9/04/08</t>
  </si>
  <si>
    <t>Budget Summary Page</t>
  </si>
  <si>
    <t>27. Added Neighborhood Revitalization table and linked to the tax levy fund pages.</t>
  </si>
  <si>
    <t>32. Added 'miscellaneous' category to the receipt/expenditure for all fund pages and set error message.</t>
  </si>
  <si>
    <t>33. Added to the instruction about correct the error message for the miscellaneous.</t>
  </si>
  <si>
    <t>9. Added Neighborhood Revitalization, LAVTR, City and County Revenue Sharing, and Slider to the input page and to the General Fund page. Added NR to each tax levy fund page.</t>
  </si>
  <si>
    <t xml:space="preserve">General Instructions </t>
  </si>
  <si>
    <t>To print the spreadsheets, you can either print one sheet at a time or all of the sheets at once.</t>
  </si>
  <si>
    <t>Computer Spreadsheet Preparation</t>
  </si>
  <si>
    <t>Statute</t>
  </si>
  <si>
    <t>General</t>
  </si>
  <si>
    <t>Total</t>
  </si>
  <si>
    <t>Motor Vehicle Tax Estimate</t>
  </si>
  <si>
    <t>Recreational Vehicle Tax Estimate</t>
  </si>
  <si>
    <t>certify that: (1) the hearing mentioned in the attached publication was held;</t>
  </si>
  <si>
    <t>(2) after the Budget Hearing this budget was duly approved and adopted as the</t>
  </si>
  <si>
    <t>Page</t>
  </si>
  <si>
    <t>County Clerk's</t>
  </si>
  <si>
    <t>Table of Contents:</t>
  </si>
  <si>
    <t>No.</t>
  </si>
  <si>
    <t>Expenditures</t>
  </si>
  <si>
    <t>Use Only</t>
  </si>
  <si>
    <t>Statement of Indebtedness</t>
  </si>
  <si>
    <t>Statement of Lease-Purchases</t>
  </si>
  <si>
    <t>Fund</t>
  </si>
  <si>
    <t>K.S.A.</t>
  </si>
  <si>
    <t>TOTALS</t>
  </si>
  <si>
    <t>x</t>
  </si>
  <si>
    <t>Assisted by:</t>
  </si>
  <si>
    <t>Governing Body</t>
  </si>
  <si>
    <t>County Clerk</t>
  </si>
  <si>
    <t>Amount</t>
  </si>
  <si>
    <t>TOTAL</t>
  </si>
  <si>
    <t>County Treas Motor Vehicle Estimate</t>
  </si>
  <si>
    <t>County Treasurers Recreational Vehicle Estimate</t>
  </si>
  <si>
    <t>Motor Vehicle Factor</t>
  </si>
  <si>
    <t>MVT</t>
  </si>
  <si>
    <t>Totals</t>
  </si>
  <si>
    <t>District Court</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</si>
  <si>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</si>
  <si>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</si>
  <si>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</si>
  <si>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</si>
  <si>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</si>
  <si>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</si>
  <si>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</si>
  <si>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</si>
  <si>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</si>
  <si>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</si>
  <si>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</si>
  <si>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</si>
  <si>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 xml:space="preserve">General </t>
  </si>
  <si>
    <t>Expenditures:</t>
  </si>
  <si>
    <t>Total Expenditures</t>
  </si>
  <si>
    <t>Tax Required</t>
  </si>
  <si>
    <t>%</t>
  </si>
  <si>
    <t>General Fund - Detail Expend</t>
  </si>
  <si>
    <t xml:space="preserve">  Salaries</t>
  </si>
  <si>
    <t xml:space="preserve">  Contractual</t>
  </si>
  <si>
    <t xml:space="preserve">  Commodities</t>
  </si>
  <si>
    <t xml:space="preserve">  Capital Outlay</t>
  </si>
  <si>
    <t>Ambulance</t>
  </si>
  <si>
    <t>County Attorney/Counselor</t>
  </si>
  <si>
    <t>County Treasurer</t>
  </si>
  <si>
    <t>Debt Service</t>
  </si>
  <si>
    <t>Election</t>
  </si>
  <si>
    <t>Extension Council</t>
  </si>
  <si>
    <t>Fair</t>
  </si>
  <si>
    <t>Historical</t>
  </si>
  <si>
    <t>Register of Deeds</t>
  </si>
  <si>
    <t>Road &amp; Bridge</t>
  </si>
  <si>
    <t>Soil Conservation</t>
  </si>
  <si>
    <t>Solid Waste</t>
  </si>
  <si>
    <t>Other</t>
  </si>
  <si>
    <t>Page No.</t>
  </si>
  <si>
    <t>Actual</t>
  </si>
  <si>
    <t>Est.</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</si>
  <si>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</si>
  <si>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</si>
  <si>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</si>
  <si>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</si>
  <si>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</si>
  <si>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</si>
  <si>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</si>
  <si>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</si>
  <si>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</si>
  <si>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</si>
  <si>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</si>
  <si>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</si>
  <si>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Clerk</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</si>
  <si>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</si>
  <si>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</si>
  <si>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</si>
  <si>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</si>
  <si>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</si>
  <si>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</si>
  <si>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</si>
  <si>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</si>
  <si>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</si>
  <si>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</si>
  <si>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</si>
  <si>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</si>
  <si>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</si>
  <si>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</si>
  <si>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</si>
  <si>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</si>
  <si>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</si>
  <si>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</si>
  <si>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</si>
  <si>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</si>
  <si>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</si>
  <si>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</si>
  <si>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16/20 M Vehicle Tax</t>
  </si>
  <si>
    <t>CERTIFICATE</t>
  </si>
  <si>
    <t>STATEMENT OF CONDITIONAL LEASE-PURCHASE AND CERTIFICATE OF PARTICIPATION*</t>
  </si>
  <si>
    <t>NOTICE OF BUDGET HEARING</t>
  </si>
  <si>
    <t>BUDGET SUMMARY</t>
  </si>
  <si>
    <t>FUND PAGE - GENERAL</t>
  </si>
  <si>
    <t>FUND PAGE - GENERAL DETAIL</t>
  </si>
  <si>
    <t>FUND PAGE - ROAD</t>
  </si>
  <si>
    <t>FUND PAGE - ROAD DETAIL</t>
  </si>
  <si>
    <t>FUND PAGE FOR FUNDS WITH A TAX LEVY</t>
  </si>
  <si>
    <t>FUND PAGE FOR FUNDS WITH NO TAX LEVY</t>
  </si>
  <si>
    <t>STATEMENT OF INDEBTEDNESS</t>
  </si>
  <si>
    <t>RVT</t>
  </si>
  <si>
    <t>County Treasurers 16/20M Vehicle Estimate</t>
  </si>
  <si>
    <t>16/20M Vehicle Tax Estimate</t>
  </si>
  <si>
    <t>Amount of Levy</t>
  </si>
  <si>
    <t xml:space="preserve"> 1.</t>
  </si>
  <si>
    <t>+</t>
  </si>
  <si>
    <t>$</t>
  </si>
  <si>
    <t xml:space="preserve"> 2.</t>
  </si>
  <si>
    <t>-</t>
  </si>
  <si>
    <t xml:space="preserve"> 3.</t>
  </si>
  <si>
    <t xml:space="preserve"> 4.</t>
  </si>
  <si>
    <t xml:space="preserve"> 5.</t>
  </si>
  <si>
    <t>5a.</t>
  </si>
  <si>
    <t>5b.</t>
  </si>
  <si>
    <t>5c.</t>
  </si>
  <si>
    <t>6.</t>
  </si>
  <si>
    <t>9.</t>
  </si>
  <si>
    <t>10.</t>
  </si>
  <si>
    <t>11.</t>
  </si>
  <si>
    <t>12.</t>
  </si>
  <si>
    <t>(Use Only if &gt; 0)</t>
  </si>
  <si>
    <t>16/20M Vehicle Tax</t>
  </si>
  <si>
    <t xml:space="preserve">The governing body of </t>
  </si>
  <si>
    <t>Gross Earnings (Intangible) Tax</t>
  </si>
  <si>
    <t>7.</t>
  </si>
  <si>
    <t>8.</t>
  </si>
  <si>
    <t>Balance On</t>
  </si>
  <si>
    <t>16/20M Veh</t>
  </si>
  <si>
    <t>13.</t>
  </si>
  <si>
    <t>14.</t>
  </si>
  <si>
    <t>Unencumbered Cash Balance Jan 1</t>
  </si>
  <si>
    <t>Unencumbered Cash Balance Dec 31</t>
  </si>
  <si>
    <t>Receipts:</t>
  </si>
  <si>
    <t xml:space="preserve">Enter information  in all areas that are green if they apply to the budget you are preparing. </t>
  </si>
  <si>
    <t>79-1946</t>
  </si>
  <si>
    <t>Schedule of Transfers</t>
  </si>
  <si>
    <t>Outstanding</t>
  </si>
  <si>
    <t>(Beginning Principal)</t>
  </si>
  <si>
    <t>Estimated Tax Rate is subject to change depending on the final assessed valuation.</t>
  </si>
  <si>
    <t>Lease Pur. Princ.</t>
  </si>
  <si>
    <t>Page No. 7</t>
  </si>
  <si>
    <t>Page No. 7a</t>
  </si>
  <si>
    <t>Page 7b</t>
  </si>
  <si>
    <t>Page 7c</t>
  </si>
  <si>
    <t>Page 7d</t>
  </si>
  <si>
    <t>Page 7e</t>
  </si>
  <si>
    <t xml:space="preserve">                                                                          16/20M Vehicle Factor</t>
  </si>
  <si>
    <t xml:space="preserve">                                         Recreational Vehicle Factor</t>
  </si>
  <si>
    <t>Current</t>
  </si>
  <si>
    <t>Proposed</t>
  </si>
  <si>
    <t>Total - Page 7b</t>
  </si>
  <si>
    <t>Total - Page7c</t>
  </si>
  <si>
    <t>Total - Page7d</t>
  </si>
  <si>
    <t>Total - Page7e</t>
  </si>
  <si>
    <t>Total  - Page 7f</t>
  </si>
  <si>
    <t>Total - Page7b</t>
  </si>
  <si>
    <t>Total - Page 7c</t>
  </si>
  <si>
    <t>Page 7f</t>
  </si>
  <si>
    <t>When the page numbers are changed on the fund pages, the Certificate page will also be changed.</t>
  </si>
  <si>
    <t>County Clerk's Use Only</t>
  </si>
  <si>
    <t>November 1st Valuation</t>
  </si>
  <si>
    <t>Address:</t>
  </si>
  <si>
    <t>County1 Spreadsheet Instructions</t>
  </si>
  <si>
    <t xml:space="preserve">Counties can use the county.xls or county1.xls files.   You must choose a form that meets the needs for the number of funds.  If you don't need all the funds, just leave the pages blank and number the completed pages sequentially. </t>
  </si>
  <si>
    <t>Input sheet for County1 budget form</t>
  </si>
  <si>
    <t>Enter County Name followed by 'County'</t>
  </si>
  <si>
    <t>Enter year being budgeted (YYYY)</t>
  </si>
  <si>
    <t>Information comes from the Certificate, Page No. 1</t>
  </si>
  <si>
    <t>Fund Names for all funds with a tax levy:</t>
  </si>
  <si>
    <t>10-113</t>
  </si>
  <si>
    <t>In Lieu of Tax (IRB)</t>
  </si>
  <si>
    <t>Neighborhood Revitalization</t>
  </si>
  <si>
    <t>LAVTR</t>
  </si>
  <si>
    <t>City and County Revenue Sharing</t>
  </si>
  <si>
    <t>Computation of Delinquency</t>
  </si>
  <si>
    <r>
      <t>**</t>
    </r>
    <r>
      <rPr>
        <u val="single"/>
        <sz val="12"/>
        <rFont val="Times New Roman"/>
        <family val="1"/>
      </rPr>
      <t>Note</t>
    </r>
    <r>
      <rPr>
        <sz val="12"/>
        <rFont val="Times New Roman"/>
        <family val="1"/>
      </rPr>
      <t>: The delinquency rate can be up to 5% more than the actual delinquency rate from the preivous year.</t>
    </r>
  </si>
  <si>
    <t>From:</t>
  </si>
  <si>
    <t xml:space="preserve">  To:</t>
  </si>
  <si>
    <t>Amount for</t>
  </si>
  <si>
    <t>Transfers</t>
  </si>
  <si>
    <t>Authorized by</t>
  </si>
  <si>
    <t>Adjusted Totals</t>
  </si>
  <si>
    <t>Beginning Amount</t>
  </si>
  <si>
    <t xml:space="preserve">of </t>
  </si>
  <si>
    <t>Retirement</t>
  </si>
  <si>
    <t xml:space="preserve">Total Other </t>
  </si>
  <si>
    <t>The following were changed to this spreadsheet on 2/23/09</t>
  </si>
  <si>
    <t>1. Instruction under Submitting Budgets added 79-2926 requires electronic filing of the budget.</t>
  </si>
  <si>
    <t>2. Input other tab line 27 changed from Budget Summary to Budget Certificate.</t>
  </si>
  <si>
    <t xml:space="preserve">K.S.A. 79-2926 requires budgets be submitted by electronic means. </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</si>
  <si>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</si>
  <si>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</si>
  <si>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Counties</t>
  </si>
  <si>
    <t>1. InputPrYr tab added C13 'If amended….'</t>
  </si>
  <si>
    <t>2.No levypage21 tab add conditional statement to cells c29, c30, and d29</t>
  </si>
  <si>
    <t>3. Added tab 'TransfersStatutes'</t>
  </si>
  <si>
    <t>4. Changed foot note to reflect the changes made on 7/1/08 to the above tabs.</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</si>
  <si>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</si>
  <si>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</si>
  <si>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12. Changed the Certificate page so the county name flows instead of having unneeded spaces.</t>
  </si>
  <si>
    <t>14. Delinquency rate for actual for 3 decimal and note that rate can be up to 5% over the actual rate.</t>
  </si>
  <si>
    <t>15. Computation to Determine Limit changed the note on bottom to include publish ordinance and attach the published ordinance to the budget.</t>
  </si>
  <si>
    <t>19. Budget Summary changed the sentence "will meet…" so the year automatically changes.</t>
  </si>
  <si>
    <t>26. Added warning "Exceeds 5%" on all fund pages for the non-appropriated balance.</t>
  </si>
  <si>
    <t>28. Added Neighborhood Revitalization expenditure block to each tax levy fund pages.</t>
  </si>
  <si>
    <t>Non-Budgeted Funds - Counties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</si>
  <si>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</si>
  <si>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</si>
  <si>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</si>
  <si>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</si>
  <si>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sz val="12"/>
        <color indexed="8"/>
        <rFont val="Times New Roman"/>
        <family val="1"/>
      </rPr>
      <t xml:space="preserve">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</si>
  <si>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</si>
  <si>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19-119.</t>
    </r>
    <r>
      <rPr>
        <sz val="12"/>
        <color indexed="8"/>
        <rFont val="Times New Roman"/>
        <family val="1"/>
      </rPr>
      <t xml:space="preserve">  </t>
    </r>
    <r>
      <rPr>
        <b/>
        <sz val="12"/>
        <color indexed="8"/>
        <rFont val="Times New Roman"/>
        <family val="1"/>
      </rPr>
      <t xml:space="preserve">County equipment reserve fund. </t>
    </r>
    <r>
      <rPr>
        <sz val="12"/>
        <color indexed="8"/>
        <rFont val="Times New Roman"/>
        <family val="1"/>
      </rPr>
      <t xml:space="preserve"> Provides for the creation of a county equipment reserve fund to finance the acquisition of equipment.</t>
    </r>
  </si>
  <si>
    <r>
      <t xml:space="preserve">K.S.A. </t>
    </r>
    <r>
      <rPr>
        <b/>
        <sz val="12"/>
        <color indexed="8"/>
        <rFont val="Times New Roman"/>
        <family val="1"/>
      </rPr>
      <t>19-120.</t>
    </r>
    <r>
      <rPr>
        <sz val="12"/>
        <color indexed="8"/>
        <rFont val="Times New Roman"/>
        <family val="1"/>
      </rPr>
      <t xml:space="preserve">  </t>
    </r>
    <r>
      <rPr>
        <b/>
        <sz val="12"/>
        <color indexed="8"/>
        <rFont val="Times New Roman"/>
        <family val="1"/>
      </rPr>
      <t>Multi-year capital improvement fund.</t>
    </r>
    <r>
      <rPr>
        <sz val="12"/>
        <color indexed="8"/>
        <rFont val="Times New Roman"/>
        <family val="1"/>
      </rPr>
      <t xml:space="preserve">  (a)  The commissioners of any county with a multi-year capital improvement plan may establish a capital improvements fund.</t>
    </r>
  </si>
  <si>
    <r>
      <t xml:space="preserve">K.S.A. </t>
    </r>
    <r>
      <rPr>
        <b/>
        <sz val="12"/>
        <color indexed="8"/>
        <rFont val="Times New Roman"/>
        <family val="1"/>
      </rPr>
      <t>19-15,136.</t>
    </r>
    <r>
      <rPr>
        <sz val="12"/>
        <color indexed="8"/>
        <rFont val="Times New Roman"/>
        <family val="1"/>
      </rPr>
      <t xml:space="preserve">  </t>
    </r>
    <r>
      <rPr>
        <b/>
        <sz val="12"/>
        <color indexed="8"/>
        <rFont val="Times New Roman"/>
        <family val="1"/>
      </rPr>
      <t>Special building fund.</t>
    </r>
    <r>
      <rPr>
        <sz val="12"/>
        <color indexed="8"/>
        <rFont val="Times New Roman"/>
        <family val="1"/>
      </rPr>
      <t xml:space="preserve">  County commissioners may create a special building fund to act as the repository of proceeds from the sale of county home or farm property</t>
    </r>
  </si>
  <si>
    <r>
      <t xml:space="preserve">K.S.A. </t>
    </r>
    <r>
      <rPr>
        <b/>
        <sz val="12"/>
        <color indexed="8"/>
        <rFont val="Times New Roman"/>
        <family val="1"/>
      </rPr>
      <t>19-2120.</t>
    </r>
    <r>
      <rPr>
        <sz val="12"/>
        <color indexed="8"/>
        <rFont val="Times New Roman"/>
        <family val="1"/>
      </rPr>
      <t xml:space="preserve">  </t>
    </r>
    <r>
      <rPr>
        <b/>
        <sz val="12"/>
        <color indexed="8"/>
        <rFont val="Times New Roman"/>
        <family val="1"/>
      </rPr>
      <t>County home improvement fund in certain counties.</t>
    </r>
    <r>
      <rPr>
        <sz val="12"/>
        <color indexed="8"/>
        <rFont val="Times New Roman"/>
        <family val="1"/>
      </rPr>
      <t xml:space="preserve">  County commissioners in counties having a population of less than 3,000, or any county having a population of more than 5,400 and not more than 6,000 and an assessed tangible valuation of not less than $25,000,000 and not more than $35,000,000, owning a county home for the aged, shall place proceeds from its renting, leasing or letting into a county home improvement fund.</t>
    </r>
  </si>
  <si>
    <r>
      <t xml:space="preserve">[per </t>
    </r>
    <r>
      <rPr>
        <b/>
        <sz val="12"/>
        <rFont val="Times New Roman"/>
        <family val="1"/>
      </rPr>
      <t xml:space="preserve">K.S.A. </t>
    </r>
    <r>
      <rPr>
        <b/>
        <sz val="11"/>
        <color indexed="8"/>
        <rFont val="Arial"/>
        <family val="2"/>
      </rPr>
      <t>19-2121,</t>
    </r>
    <r>
      <rPr>
        <sz val="11"/>
        <color indexed="8"/>
        <rFont val="Arial"/>
        <family val="2"/>
      </rPr>
      <t xml:space="preserve"> such county home improvement fund shall not be subject to the provisions of K.S.A. 79-2925 to 79-2941 . . . .]</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</si>
  <si>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</si>
  <si>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</si>
  <si>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68-559a.</t>
    </r>
    <r>
      <rPr>
        <sz val="12"/>
        <color indexed="8"/>
        <rFont val="Times New Roman"/>
        <family val="1"/>
      </rPr>
      <t xml:space="preserve">   </t>
    </r>
    <r>
      <rPr>
        <b/>
        <sz val="12"/>
        <color indexed="8"/>
        <rFont val="Times New Roman"/>
        <family val="1"/>
      </rPr>
      <t>Special road and bridge fund.</t>
    </r>
    <r>
      <rPr>
        <sz val="12"/>
        <color indexed="8"/>
        <rFont val="Times New Roman"/>
        <family val="1"/>
      </rPr>
      <t xml:space="preserve">  Authorizes the creation of a special road and bridge fund and for funding of such through levy of an annual property tax of not to exceed two mills.</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</si>
  <si>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</si>
  <si>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</si>
  <si>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79-1482.</t>
    </r>
    <r>
      <rPr>
        <sz val="12"/>
        <color indexed="8"/>
        <rFont val="Times New Roman"/>
        <family val="1"/>
      </rPr>
      <t xml:space="preserve">  </t>
    </r>
    <r>
      <rPr>
        <b/>
        <sz val="12"/>
        <color indexed="8"/>
        <rFont val="Times New Roman"/>
        <family val="1"/>
      </rPr>
      <t>Special countywide reappraisal fund.</t>
    </r>
    <r>
      <rPr>
        <sz val="12"/>
        <color indexed="8"/>
        <rFont val="Times New Roman"/>
        <family val="1"/>
      </rPr>
      <t xml:space="preserve">  Counties may levy taxes and place the proceeds in a special countywide reappraisal fund to be used to pay costs associated with countywide reappraisal.</t>
    </r>
  </si>
  <si>
    <r>
      <t xml:space="preserve">K.S.A. </t>
    </r>
    <r>
      <rPr>
        <b/>
        <sz val="12"/>
        <color indexed="8"/>
        <rFont val="Times New Roman"/>
        <family val="1"/>
      </rPr>
      <t>79-1608.</t>
    </r>
    <r>
      <rPr>
        <sz val="12"/>
        <color indexed="8"/>
        <rFont val="Times New Roman"/>
        <family val="1"/>
      </rPr>
      <t xml:space="preserve">  </t>
    </r>
    <r>
      <rPr>
        <b/>
        <sz val="12"/>
        <color indexed="8"/>
        <rFont val="Times New Roman"/>
        <family val="1"/>
      </rPr>
      <t>Special appraisal fund.</t>
    </r>
    <r>
      <rPr>
        <sz val="12"/>
        <color indexed="8"/>
        <rFont val="Times New Roman"/>
        <family val="1"/>
      </rPr>
      <t xml:space="preserve">  Counties may create a special appraisal fund to be used for the purpose of assuring that all property in the county is classified and appraised according to law and for employment of or contracting for appraisal assistance, hearing officers or panels and arbitrators.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</si>
  <si>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</si>
  <si>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Counties may create non-budgeted funds for any gifts or bequests, and, for the operation of a county coliseum.</t>
    </r>
  </si>
  <si>
    <t>5. Added tab 'NonBudFunds'</t>
  </si>
  <si>
    <t>4. Added tabs A to E for possible violation</t>
  </si>
  <si>
    <t>6. Instructions tab changed cells 9g - j for changes for possible violations on fund pages</t>
  </si>
  <si>
    <t xml:space="preserve">8.  Instructions tab added line 6b to inform about TransferStatutes tab
</t>
  </si>
  <si>
    <t>7. Deleted on all fund pages the 'Yes' and 'No' and replace with see tab for possible violations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</si>
  <si>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</si>
  <si>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</si>
  <si>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12-196</t>
    </r>
    <r>
      <rPr>
        <sz val="12"/>
        <rFont val="Times New Roman"/>
        <family val="1"/>
      </rPr>
      <t xml:space="preserve">. </t>
    </r>
    <r>
      <rPr>
        <sz val="12"/>
        <color indexed="8"/>
        <rFont val="Times New Roman"/>
        <family val="1"/>
      </rPr>
      <t xml:space="preserve"> </t>
    </r>
    <r>
      <rPr>
        <b/>
        <sz val="12"/>
        <color indexed="8"/>
        <rFont val="Times New Roman"/>
        <family val="1"/>
      </rPr>
      <t>Transfer of sales tax proceeds.</t>
    </r>
    <r>
      <rPr>
        <sz val="12"/>
        <color indexed="8"/>
        <rFont val="Times New Roman"/>
        <family val="1"/>
      </rPr>
      <t xml:space="preserve">  The board of county commissioners may transfer any portion of the revenue received pursuant to K.S.A. 12-192 [countywide retailers sales tax] from the county general fund to the county road and bridge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</si>
  <si>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</si>
  <si>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</si>
  <si>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</si>
  <si>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 xml:space="preserve">.  </t>
    </r>
    <r>
      <rPr>
        <b/>
        <sz val="12"/>
        <color indexed="8"/>
        <rFont val="Times New Roman"/>
        <family val="1"/>
      </rPr>
      <t>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</si>
  <si>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K.S.A. 19-119</t>
    </r>
    <r>
      <rPr>
        <sz val="12"/>
        <rFont val="Times New Roman"/>
        <family val="1"/>
      </rPr>
      <t>.</t>
    </r>
    <r>
      <rPr>
        <b/>
        <sz val="12"/>
        <rFont val="Times New Roman"/>
        <family val="1"/>
      </rPr>
      <t xml:space="preserve">  Transfer to equipment reserve fund.</t>
    </r>
    <r>
      <rPr>
        <sz val="12"/>
        <rFont val="Times New Roman"/>
        <family val="1"/>
      </rPr>
      <t xml:space="preserve">  </t>
    </r>
    <r>
      <rPr>
        <sz val="12"/>
        <color indexed="8"/>
        <rFont val="Times New Roman"/>
        <family val="1"/>
      </rPr>
      <t>Moneys may be budgeted and transferred to an equipment reserve fund from any source which may be lawfully utilized for such purposes.</t>
    </r>
  </si>
  <si>
    <r>
      <t>K.S.A. 19-120</t>
    </r>
    <r>
      <rPr>
        <sz val="12"/>
        <color indexed="8"/>
        <rFont val="Times New Roman"/>
        <family val="1"/>
      </rPr>
      <t>.</t>
    </r>
    <r>
      <rPr>
        <b/>
        <sz val="12"/>
        <color indexed="8"/>
        <rFont val="Times New Roman"/>
        <family val="1"/>
      </rPr>
      <t xml:space="preserve">  Transfer to capital improvements fund.</t>
    </r>
    <r>
      <rPr>
        <sz val="12"/>
        <color indexed="8"/>
        <rFont val="Times New Roman"/>
        <family val="1"/>
      </rPr>
      <t xml:space="preserve">  Authorizes the budgeted transfer of moneys from other funds lawfully available for improvement purposes to the capital improvements fund, including moneys in the general fund.</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</si>
  <si>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Transfer to worker’s compensation reserve fund.</t>
    </r>
    <r>
      <rPr>
        <sz val="12"/>
        <color indexed="8"/>
        <rFont val="Times New Roman"/>
        <family val="1"/>
      </rPr>
      <t xml:space="preserve">  Where a county chooses to act as a self-insurer under the worker’s compensation act it is authorized it is authorized to make transfers to a worker’s compensation reserve fund at any time by transfer of money from the road and bridge fund of said county in such amount as the board deems necessary.</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</si>
  <si>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</si>
  <si>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</si>
  <si>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</si>
  <si>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NonBud tab changed Net valuation to July 1</t>
  </si>
  <si>
    <t>Valuation Factor:</t>
  </si>
  <si>
    <t>Neighborhood Revitalization Subj to Rebate:</t>
  </si>
  <si>
    <t>Neighborhood Revitalization factor:</t>
  </si>
  <si>
    <t>10.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</si>
  <si>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</si>
  <si>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</si>
  <si>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</si>
  <si>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</si>
  <si>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Shawnee County Clerk's Office</t>
  </si>
  <si>
    <t>Available at:</t>
  </si>
  <si>
    <t>Examples</t>
  </si>
  <si>
    <t>August 12, 2010</t>
  </si>
  <si>
    <t>7:00 PM or 7:00 AM</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</si>
  <si>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</si>
  <si>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</si>
  <si>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</si>
  <si>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</si>
  <si>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</si>
  <si>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</si>
  <si>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</si>
  <si>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</si>
  <si>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</si>
  <si>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</si>
  <si>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</si>
  <si>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</si>
  <si>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</si>
  <si>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</si>
  <si>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</si>
  <si>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</si>
  <si>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</si>
  <si>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</si>
  <si>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</si>
  <si>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</si>
  <si>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</si>
  <si>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</si>
  <si>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</si>
  <si>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</si>
  <si>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 &amp; bridge</t>
  </si>
  <si>
    <t xml:space="preserve">and noxious weed funds may split contractual services between the two </t>
  </si>
  <si>
    <t xml:space="preserve">funds.  If one of those funds is in trouble, you might be able to </t>
  </si>
  <si>
    <t xml:space="preserve">allocate a little more in contractual services to the healthy fund in </t>
  </si>
  <si>
    <t>order to 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</si>
  <si>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</si>
  <si>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</si>
  <si>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</si>
  <si>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</si>
  <si>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</si>
  <si>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</si>
  <si>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</si>
  <si>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</si>
  <si>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</si>
  <si>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</si>
  <si>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</si>
  <si>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</si>
  <si>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</si>
  <si>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</si>
  <si>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</si>
  <si>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</si>
  <si>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</si>
  <si>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</si>
  <si>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</si>
  <si>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</si>
  <si>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</si>
  <si>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</si>
  <si>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</si>
  <si>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</si>
  <si>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</si>
  <si>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</si>
  <si>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</si>
  <si>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</si>
  <si>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</si>
  <si>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</si>
  <si>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</si>
  <si>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</si>
  <si>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</si>
  <si>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</si>
  <si>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</si>
  <si>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</si>
  <si>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</si>
  <si>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</si>
  <si>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</si>
  <si>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</si>
  <si>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</si>
  <si>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</si>
  <si>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</si>
  <si>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</si>
  <si>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</si>
  <si>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</si>
  <si>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</si>
  <si>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</si>
  <si>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</si>
  <si>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</si>
  <si>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</si>
  <si>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</si>
  <si>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</si>
  <si>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</si>
  <si>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</si>
  <si>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</si>
  <si>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</si>
  <si>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</si>
  <si>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</si>
  <si>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</si>
  <si>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</si>
  <si>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</si>
  <si>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</si>
  <si>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</si>
  <si>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</si>
  <si>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</si>
  <si>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</si>
  <si>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</si>
  <si>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</si>
  <si>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</si>
  <si>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</si>
  <si>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</si>
  <si>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</si>
  <si>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</si>
  <si>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</si>
  <si>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</si>
  <si>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</si>
  <si>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</si>
  <si>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</si>
  <si>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</si>
  <si>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</si>
  <si>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</si>
  <si>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</si>
  <si>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</si>
  <si>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</si>
  <si>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</si>
  <si>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</si>
  <si>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</si>
  <si>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</si>
  <si>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</si>
  <si>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</si>
  <si>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</si>
  <si>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</si>
  <si>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</si>
  <si>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</si>
  <si>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</si>
  <si>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</si>
  <si>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</si>
  <si>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</si>
  <si>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</si>
  <si>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</si>
  <si>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</si>
  <si>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</si>
  <si>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</si>
  <si>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</si>
  <si>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</si>
  <si>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</si>
  <si>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 xml:space="preserve">funds.  If one of those funds is in trouble you might be able to </t>
  </si>
  <si>
    <t>order to 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</si>
  <si>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</si>
  <si>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</si>
  <si>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</si>
  <si>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</si>
  <si>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</si>
  <si>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</si>
  <si>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</si>
  <si>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</si>
  <si>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</si>
  <si>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</si>
  <si>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</si>
  <si>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</si>
  <si>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</si>
  <si>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</si>
  <si>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</si>
  <si>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</si>
  <si>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</si>
  <si>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</si>
  <si>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</si>
  <si>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</si>
  <si>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</si>
  <si>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</si>
  <si>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</si>
  <si>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</si>
  <si>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</si>
  <si>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</si>
  <si>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</si>
  <si>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</si>
  <si>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</si>
  <si>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</si>
  <si>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</si>
  <si>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</si>
  <si>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</si>
  <si>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</si>
  <si>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</si>
  <si>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</si>
  <si>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</si>
  <si>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</si>
  <si>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</si>
  <si>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</si>
  <si>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</si>
  <si>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</si>
  <si>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</si>
  <si>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</si>
  <si>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</si>
  <si>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</si>
  <si>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</si>
  <si>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</si>
  <si>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</si>
  <si>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</si>
  <si>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</si>
  <si>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</si>
  <si>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</si>
  <si>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</si>
  <si>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</si>
  <si>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</si>
  <si>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</si>
  <si>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</si>
  <si>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</si>
  <si>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</si>
  <si>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</si>
  <si>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</si>
  <si>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</si>
  <si>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</si>
  <si>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</si>
  <si>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</si>
  <si>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</si>
  <si>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</si>
  <si>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</si>
  <si>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</si>
  <si>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</si>
  <si>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</si>
  <si>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</si>
  <si>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Submitting the Budget </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</si>
  <si>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</si>
  <si>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</si>
  <si>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</si>
  <si>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4b.  If someone other than a municipal employee assists in preparing the budget, please enter the person's or firm's name and address in the area provided. </t>
  </si>
  <si>
    <t>4c. The Certificate(2) (cert2) and Budget Summary (summ2) are used when the County Clerk has special districts that are to be submitted along with the County's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</si>
  <si>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</si>
  <si>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on the Budget Summary. </t>
    </r>
    <r>
      <rPr>
        <b/>
        <sz val="12"/>
        <rFont val="Times New Roman"/>
        <family val="1"/>
      </rPr>
      <t>If the county does not have any debt, then on the first line enter 'none'.</t>
    </r>
  </si>
  <si>
    <r>
      <t xml:space="preserve">9.  Statement of Conditional Lease, Lease-Purchases and Certificate of Participation (lpform) must be completed for all transactions which at the end of the lease period the lease is owned by the county.  Principal Balance Due for the actual year is linked on the Budget Summary page. </t>
    </r>
    <r>
      <rPr>
        <b/>
        <sz val="12"/>
        <rFont val="Times New Roman"/>
        <family val="1"/>
      </rPr>
      <t>If the county does not have any leases, then on the first line enter 'none'.</t>
    </r>
  </si>
  <si>
    <t>10.  The spreadsheet has individual fund sheets for General Fund (general), Debt Service (DebtService), Road &amp; Bridge, 22 levy pages (levy page10 and levy page20), 10 no levy fund pages (nolevypage21 to nolevypage28), and 4 non-budgeted tab which allows for 20 non-budgeted funds.  Only complete the fund pages needed.  When the fund pages are completed, the totals will be linked to the Certificate and Budget Summary pages.</t>
  </si>
  <si>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</si>
  <si>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approximately the amount of the rebates and lost revenue because of the rebates. </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</si>
  <si>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</si>
  <si>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these steps are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</si>
  <si>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</si>
  <si>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please review the entire document and verify that all amounts are correct.  In addition, the Certificate Page needs to be signed by at least one member of the governing body (signatures of the entire governing body is preferred, but not mandatory). </t>
  </si>
  <si>
    <t>answering objections of taxpayers relating to the proposed use of all funds and the amount of ad valorem tax.</t>
  </si>
  <si>
    <t>the Neighborhood Revitalization Rebate table.</t>
  </si>
  <si>
    <t>7c.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</si>
  <si>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</si>
  <si>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</si>
  <si>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</si>
  <si>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*Note:</t>
  </si>
  <si>
    <t>Expenditure</t>
  </si>
  <si>
    <t>Receipt</t>
  </si>
  <si>
    <t xml:space="preserve">Fund Transferred </t>
  </si>
  <si>
    <t>Fund Transferred</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</si>
  <si>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</si>
  <si>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</si>
  <si>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</si>
  <si>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</si>
  <si>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in the appropriate locations.  If any of the numbers are wrong, change them on this input sheet.</t>
  </si>
  <si>
    <t xml:space="preserve">Enter the following information from the sources shown.  This information will be  entered on the budget forms </t>
  </si>
  <si>
    <t>1. Road tab, changed the delinquency % cell reference from E23 to E24</t>
  </si>
  <si>
    <t>Budget Authority</t>
  </si>
  <si>
    <t>for Expenditures</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</si>
  <si>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</si>
  <si>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 xml:space="preserve">K.S.A. 8-145.  </t>
    </r>
    <r>
      <rPr>
        <b/>
        <sz val="12"/>
        <color indexed="8"/>
        <rFont val="Times New Roman"/>
        <family val="1"/>
      </rPr>
      <t>Transfer to general fund from special motor vehicle fund.</t>
    </r>
    <r>
      <rPr>
        <sz val="12"/>
        <color indexed="8"/>
        <rFont val="Times New Roman"/>
        <family val="1"/>
      </rPr>
      <t xml:space="preserve">  Any balance remaining in the special motor vehicle fund at the close of any calendar year shall be withdrawn and credited to the general fund of the county prior to June 1 of the following calendar year.</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</si>
  <si>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</si>
  <si>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1"/>
        <color indexed="8"/>
        <rFont val="Times New Roman"/>
        <family val="1"/>
      </rPr>
      <t>19-2661.</t>
    </r>
    <r>
      <rPr>
        <sz val="11"/>
        <color indexed="8"/>
        <rFont val="Times New Roman"/>
        <family val="1"/>
      </rPr>
      <t xml:space="preserve">  </t>
    </r>
    <r>
      <rPr>
        <b/>
        <sz val="11"/>
        <color indexed="8"/>
        <rFont val="Times New Roman"/>
        <family val="1"/>
      </rPr>
      <t>Transfer to refuse disposal sinking (debt service) fund.</t>
    </r>
    <r>
      <rPr>
        <sz val="11"/>
        <color indexed="8"/>
        <rFont val="Times New Roman"/>
        <family val="1"/>
      </rPr>
      <t xml:space="preserve">  Authorizes the transfer of surplus money from the refuse disposal fund to a refuse disposal debt service fund.</t>
    </r>
  </si>
  <si>
    <t>Compensating Use Tax</t>
  </si>
  <si>
    <t>Local Sales Tax</t>
  </si>
  <si>
    <t>Does miscellaneous exceed 10% of Total Exp</t>
  </si>
  <si>
    <t>Does miscellaneous exceed 10% of Total Rec</t>
  </si>
  <si>
    <t xml:space="preserve">Road &amp; Bridge Fund </t>
  </si>
  <si>
    <t>General Fund - Detail Expenditures</t>
  </si>
  <si>
    <t>Non-Appropriated Balance</t>
  </si>
  <si>
    <t>Total Expenditure/Non-Appr Balance</t>
  </si>
  <si>
    <t>Delinquent Comp Rate:</t>
  </si>
  <si>
    <t>Desired Carryover Amount:</t>
  </si>
  <si>
    <t>Estimated Mill Rate Impact:</t>
  </si>
  <si>
    <t>The estimated value of one mill would be:</t>
  </si>
  <si>
    <t>Change in Ad Valorem Tax Revenue:</t>
  </si>
  <si>
    <t>What Mill Rate Would Be Desired?</t>
  </si>
  <si>
    <t>1. All pages removed the revision date</t>
  </si>
  <si>
    <t>2. All tax levy fund pages reduced the columns and revised the bottom of pages for see tabs</t>
  </si>
  <si>
    <t>3. Instruction tab added 10a,b and f, 12 b and c, and 14</t>
  </si>
  <si>
    <t>4. Certificate and Certificate2 tab change the 'Expenditure' heading by adding  'Budget Authority for Expenditures'</t>
  </si>
  <si>
    <t>5. Certificate tab add the year in the block for 'County Clerk Use Only'</t>
  </si>
  <si>
    <t>6. Gen tab added revenue line for 'Compensation Use'</t>
  </si>
  <si>
    <t>7. Gen tab added table for 'Projection of Cash Carryover'</t>
  </si>
  <si>
    <t>8. Gen tab added table for 'Desired Carryover'</t>
  </si>
  <si>
    <t>9. Gen tab redefine print que to not include tables</t>
  </si>
  <si>
    <t>10. Gen tab hid the comp for see tabs</t>
  </si>
  <si>
    <t>11. DebtService tab added table for 'Projected Carryover'</t>
  </si>
  <si>
    <t>12. Road tab added table for 'Projected Carryover'</t>
  </si>
  <si>
    <t>13. DebtService and Road tab redefine print que and hid comp for see tabs</t>
  </si>
  <si>
    <t>14. Levy page10 and page20 tab hid comp for see tabs</t>
  </si>
  <si>
    <t>15. Summ and Summ2 tab changed proposed year expenditure column to 'Budget Authority (Includes Carryover)</t>
  </si>
  <si>
    <t>16. Summ tab added four tables to the right of the form</t>
  </si>
  <si>
    <t>17. Revised TransferStatutes and NonBudFunds tabs</t>
  </si>
  <si>
    <t>18. Added Mill Rate Computation tab</t>
  </si>
  <si>
    <t>19. Add Helpful Links tab</t>
  </si>
  <si>
    <t>20. Inputoth tab changed Actual Delinquency tax from -2 to -3</t>
  </si>
  <si>
    <t>21. Summ2 added year to Estimate Valuation column</t>
  </si>
  <si>
    <t>22. Added page no. to all tabs at the bottom of each page</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</si>
  <si>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</si>
  <si>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</si>
  <si>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</si>
  <si>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</si>
  <si>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</si>
  <si>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</si>
  <si>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</si>
  <si>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</si>
  <si>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</si>
  <si>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</si>
  <si>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</si>
  <si>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</si>
  <si>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</si>
  <si>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</si>
  <si>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</si>
  <si>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</si>
  <si>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</si>
  <si>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</si>
  <si>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</si>
  <si>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</si>
  <si>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</si>
  <si>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</si>
  <si>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</si>
  <si>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</si>
  <si>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</si>
  <si>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</si>
  <si>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</si>
  <si>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</si>
  <si>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</si>
  <si>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</si>
  <si>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</si>
  <si>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</si>
  <si>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</si>
  <si>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</si>
  <si>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</si>
  <si>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</si>
  <si>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</si>
  <si>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</si>
  <si>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</si>
  <si>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</si>
  <si>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</si>
  <si>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</si>
  <si>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</si>
  <si>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</si>
  <si>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</si>
  <si>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</si>
  <si>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</si>
  <si>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</si>
  <si>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</si>
  <si>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</si>
  <si>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</si>
  <si>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</si>
  <si>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</si>
  <si>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</si>
  <si>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</si>
  <si>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</si>
  <si>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</si>
  <si>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</si>
  <si>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</si>
  <si>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</si>
  <si>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</si>
  <si>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</si>
  <si>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</si>
  <si>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</si>
  <si>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</si>
  <si>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</si>
  <si>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</si>
  <si>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</si>
  <si>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</si>
  <si>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</si>
  <si>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</si>
  <si>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</si>
  <si>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</si>
  <si>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</si>
  <si>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</si>
  <si>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</si>
  <si>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28-115a.</t>
    </r>
    <r>
      <rPr>
        <sz val="12"/>
        <color indexed="8"/>
        <rFont val="Times New Roman"/>
        <family val="1"/>
      </rPr>
      <t xml:space="preserve">  </t>
    </r>
    <r>
      <rPr>
        <b/>
        <sz val="12"/>
        <color indexed="8"/>
        <rFont val="Times New Roman"/>
        <family val="1"/>
      </rPr>
      <t>Register of deeds technology fund.</t>
    </r>
    <r>
      <rPr>
        <sz val="12"/>
        <color indexed="8"/>
        <rFont val="Times New Roman"/>
        <family val="1"/>
      </rPr>
      <t xml:space="preserve">  Moneys in the fund (certain additional recording fees collected pursuant to K.S.A. 28-115(b)) shall be used by the register of deeds to acquire equipment and technological services for the storing, recording, archiving, retrieving, maintaining, and handling of data recorded or stored in the office of the register of deeds.</t>
    </r>
  </si>
  <si>
    <r>
      <t xml:space="preserve">K.S.A. </t>
    </r>
    <r>
      <rPr>
        <b/>
        <sz val="12"/>
        <color indexed="8"/>
        <rFont val="Times New Roman"/>
        <family val="1"/>
      </rPr>
      <t>68-1135.</t>
    </r>
    <r>
      <rPr>
        <sz val="12"/>
        <color indexed="8"/>
        <rFont val="Times New Roman"/>
        <family val="1"/>
      </rPr>
      <t xml:space="preserve">  </t>
    </r>
    <r>
      <rPr>
        <b/>
        <sz val="12"/>
        <color indexed="8"/>
        <rFont val="Times New Roman"/>
        <family val="1"/>
      </rPr>
      <t>Special bridge and culvert fund.</t>
    </r>
    <r>
      <rPr>
        <sz val="12"/>
        <color indexed="8"/>
        <rFont val="Times New Roman"/>
        <family val="1"/>
      </rPr>
      <t xml:space="preserve">  Counties are authorized to levy taxes for the purpose of creating and providing a special fund to be used in building and reconstructing bridges and culverts and constructing the approaches thereto or to be used in repaying loans or advances received from the highway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</si>
  <si>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pages . </t>
    </r>
  </si>
  <si>
    <t xml:space="preserve">2. The information entered into the Input Other (inputOth) worksheet is obtained from the County Clerk, County Treasurer, and the budget from two years ago(the year for actual year column for the current budget).  After the information has been entered, please verify the data is correct. </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</si>
  <si>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</si>
  <si>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</si>
  <si>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</si>
  <si>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</si>
  <si>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</si>
  <si>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</si>
  <si>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</si>
  <si>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</si>
  <si>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</si>
  <si>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</si>
  <si>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</si>
  <si>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</si>
  <si>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1. Summ tabs changed proposed year expenditure column to 'Budget Authority for Expenditures'</t>
  </si>
  <si>
    <r>
      <t xml:space="preserve">K.S.A. 65-204.  Transfer to County Health Capital Outlay Fund from County Health Fund.  </t>
    </r>
    <r>
      <rPr>
        <sz val="12"/>
        <rFont val="Times New Roman"/>
        <family val="1"/>
      </rPr>
      <t>Any moneys remaining in the county health fund at the end of any county fiscal year for which a levy is made under this section may be transferred to the county health capital outlay fund, which is hereby created, for the making of capital expenditures incident to county health purposes.</t>
    </r>
  </si>
  <si>
    <t>Type</t>
  </si>
  <si>
    <t xml:space="preserve"> Debt</t>
  </si>
  <si>
    <t xml:space="preserve"> Purchased</t>
  </si>
  <si>
    <t>Items</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</si>
  <si>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</si>
  <si>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</si>
  <si>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</si>
  <si>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</si>
  <si>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</si>
  <si>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</si>
  <si>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Clerk Name:</t>
  </si>
  <si>
    <t>Must be at least 10 days between date published and hearing held.</t>
  </si>
  <si>
    <t>January</t>
  </si>
  <si>
    <t>February</t>
  </si>
  <si>
    <t>March</t>
  </si>
  <si>
    <t>April</t>
  </si>
  <si>
    <t>May</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</si>
  <si>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</si>
  <si>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</si>
  <si>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</si>
  <si>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</si>
  <si>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</si>
  <si>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</si>
  <si>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</si>
  <si>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</si>
  <si>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</si>
  <si>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</si>
  <si>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 16/20M Vehicle Taxes </t>
  </si>
  <si>
    <t>Budgeted Funds</t>
  </si>
  <si>
    <t>Expenditures Must Be Changed by:</t>
  </si>
  <si>
    <t>Mill Rate Comparison</t>
  </si>
  <si>
    <t xml:space="preserve">Prior Year </t>
  </si>
  <si>
    <t xml:space="preserve">Current Year </t>
  </si>
  <si>
    <t xml:space="preserve">Proposed Budget </t>
  </si>
  <si>
    <t>Allocation of Vehicle Taxes</t>
  </si>
  <si>
    <t>3b. Once a date has been entered in the Date block, the following statement will appear: 'Latest date for notice to be published in your newspaper'.  Please ensure to take into consideration as to when your newspaper is published when arriving at the hearing date.</t>
  </si>
  <si>
    <t>6.  Motor Vehicle Allocation(mvalloc) are completed from information entered on the input pages (inputpryr and inputoth).  Once calculated, the tables information are linked to the applicable fund pages. If the information is not correct, please do not change the tables, but rather correct the information on the input pages.</t>
  </si>
  <si>
    <r>
      <t>10a.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</si>
  <si>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10b.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</si>
  <si>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10c.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</si>
  <si>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</si>
  <si>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the proposed column miscellaneous receipt also takes into consideration the amount of ad valorem taxes in determining the 10% Rule.</t>
    </r>
  </si>
  <si>
    <r>
      <t xml:space="preserve">10f. The Debt Service fund page (DebtService) can contain all debts owe by the county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county has No Fund warrants, these can be included in the Debt Service fund page and levy taxes for this debt. </t>
    </r>
    <r>
      <rPr>
        <b/>
        <sz val="12"/>
        <rFont val="Times New Roman"/>
        <family val="1"/>
      </rPr>
      <t>Note</t>
    </r>
    <r>
      <rPr>
        <sz val="12"/>
        <rFont val="Times New Roman"/>
        <family val="1"/>
      </rPr>
      <t xml:space="preserve">, No Fund warrants </t>
    </r>
    <r>
      <rPr>
        <u val="single"/>
        <sz val="12"/>
        <rFont val="Times New Roman"/>
        <family val="1"/>
      </rPr>
      <t>are not required</t>
    </r>
    <r>
      <rPr>
        <sz val="12"/>
        <rFont val="Times New Roman"/>
        <family val="1"/>
      </rPr>
      <t xml:space="preserve"> to be included in the Debt Service and may still have a No Fund page to account for them if the county desires.  </t>
    </r>
  </si>
  <si>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</si>
  <si>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10h. The 4 non-budgeted pages (NonBudA to D) each are designed to hold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</si>
  <si>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10i. The non-budgeted pages in the last column, the last two boxes should have the same figures as the last box take totals from the right side with the next to last box takes totals from the bottom.</t>
  </si>
  <si>
    <r>
      <t xml:space="preserve">10j. All levy fund pages have a Non-Appropriated Balance block. K.S.A. 79-2927 allows the county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turns red.  In order to remove this warning message, you must reduce the non-appropriate figure.</t>
    </r>
  </si>
  <si>
    <t xml:space="preserve">10k. Each fund after the "unencumbered cash bal dec31", will show the budget authority expenditure amount for the actual and current year. </t>
  </si>
  <si>
    <r>
      <t>10l. For tax levy or no tax levy fund pages, a comparison is made between the budget authority for the actual year and the actual total expenditures for the actual year as shown in the budget. If the total expenditures exceed the budget authority amount, then a '</t>
    </r>
    <r>
      <rPr>
        <sz val="12"/>
        <color indexed="10"/>
        <rFont val="Times New Roman"/>
        <family val="1"/>
      </rPr>
      <t>See Tab A</t>
    </r>
    <r>
      <rPr>
        <sz val="12"/>
        <rFont val="Times New Roman"/>
        <family val="1"/>
      </rPr>
      <t>' appears to indicate a possible violation and the expenditure blocks turns red.  Another comparison is made for the unencumbered cash balance dec 31 to determine if the fund ended with a negative cash balance and if so, then a '</t>
    </r>
    <r>
      <rPr>
        <sz val="12"/>
        <color indexed="10"/>
        <rFont val="Times New Roman"/>
        <family val="1"/>
      </rPr>
      <t>See Tab B</t>
    </r>
    <r>
      <rPr>
        <sz val="12"/>
        <rFont val="Times New Roman"/>
        <family val="1"/>
      </rPr>
      <t xml:space="preserve">' will appear for the violation and the unencumbered cash block turns red. </t>
    </r>
  </si>
  <si>
    <r>
      <t>10m. For tax levy or no tax levy fund pages, a comparison is maybe between the budget authority for the current year and total expenditures for the current budget expenditures as shown in the budget. If the current year adjusted expenditures are more than the budget authority, then a possible violation has occurred and red '</t>
    </r>
    <r>
      <rPr>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sz val="12"/>
        <color indexed="10"/>
        <rFont val="Times New Roman"/>
        <family val="1"/>
      </rPr>
      <t>See Tab D</t>
    </r>
    <r>
      <rPr>
        <sz val="12"/>
        <rFont val="Times New Roman"/>
        <family val="1"/>
      </rPr>
      <t>' will appear for the possible violation and the unencumbered cash block turns red.</t>
    </r>
  </si>
  <si>
    <r>
      <t>10n.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</si>
  <si>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</si>
  <si>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</si>
  <si>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</si>
  <si>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</si>
  <si>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changed #11b to reflect all tax levy pages with 'Projected Carryover' table</t>
  </si>
  <si>
    <t>6. Instructions tab, changed #11c to reflect all tax levy pages with 'Desired Carryover' and warning about delinquency rate</t>
  </si>
  <si>
    <t>7. Instructions tab, added #11d for last year mill rate, proposed total mill rate, and last year total mill rate</t>
  </si>
  <si>
    <t>8. Instructions tab, changed #12b added name of official</t>
  </si>
  <si>
    <t>9. Instructions tab, added #12c for computation of one mill</t>
  </si>
  <si>
    <t>10. Instructions tab, changed #12d added the name of the tables and warning about delinquency rate if used</t>
  </si>
  <si>
    <t>11. Instructions tab, changed #12e added the name of the table and warning about delinquency rate if used</t>
  </si>
  <si>
    <t>12. Instructions tab, changed #12f added that not signing the Budget Summary page will not require to be reprinted</t>
  </si>
  <si>
    <t xml:space="preserve">13. InputPrYr tab, added column for adjusting ad valorem taxes to reflect a better picture of actual taxes received, allow a rate to be used to compute the new amount, and links the new amounts to the appropriate fund page, if used, otherwise used the original amounts </t>
  </si>
  <si>
    <t>14. InputOth tab, section for Computation of Delinquency, change to % from rate and provided example, link to all tax levy fund page will show as %  vs rate</t>
  </si>
  <si>
    <t>15. InputBudSum tab, added official name and latest date for publication of Notice of Budget Hearing</t>
  </si>
  <si>
    <t xml:space="preserve">16. Cert tab, under Table of Content, added Computation to Determine State Library Grant </t>
  </si>
  <si>
    <t>17. Cert tab, right justifyed figures versus having figures centered</t>
  </si>
  <si>
    <t>18. Cert tab, put spaces between governing body signatures block</t>
  </si>
  <si>
    <t>19. Mvalloc tab, removed slider column and computation for slider</t>
  </si>
  <si>
    <t>20. All tax levy fund pages removed the link from Mvalloc tab for slider and converted cells to blank</t>
  </si>
  <si>
    <t xml:space="preserve">21. Debt and Lpform tab added a blank new column at left side and formated 'type of debt' and 'item purchased'  </t>
  </si>
  <si>
    <t>22. All fund pages changed the year column heading, example 'Prior Year Actual' to 'Prior Year' second line 'Actual YYYY'</t>
  </si>
  <si>
    <t xml:space="preserve">23. Change out the 'Mill Rate Computation' tab so to agree with the website </t>
  </si>
  <si>
    <t>24. Added KSA 65-204 to transfer tab</t>
  </si>
  <si>
    <t>25. All tax levy fund pages added 'Mill Rate Comparison' table</t>
  </si>
  <si>
    <t>26. Certificate tab added a place for the email address of the assisted by</t>
  </si>
  <si>
    <t>Email:</t>
  </si>
  <si>
    <t>____________________________________  __________________________________</t>
  </si>
  <si>
    <t>12a. At the bottom of the page is a green shaded area, enter the page number.</t>
  </si>
  <si>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</si>
  <si>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</si>
  <si>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</si>
  <si>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</si>
  <si>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12f. Once the 'Notice of Budget Hearing' has been printed in the local newspaper, please review the notice to ensure the information was correctly printed.  If the information is not correct, the Notice may need to be republished, and may delay the submission of the budget.</t>
  </si>
  <si>
    <t>12g. If the Special District budgets are computed by the County Clerk, the Clerk could complete the County Spec District.xls spreadsheet and this spreadsheet would be included with the county's budget.  Both Budget Summary pages would be taken to the newspaper for publication.</t>
  </si>
  <si>
    <t>1.  Added "resolution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</si>
  <si>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</si>
  <si>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</si>
  <si>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Certificate page links to levy page 19 were corrected</t>
  </si>
  <si>
    <t>.</t>
  </si>
  <si>
    <t>1.  "Budget Authority Amount" cell added to budget year column of all funds.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</si>
  <si>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</si>
  <si>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</si>
  <si>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t>15.</t>
  </si>
  <si>
    <t>16.</t>
  </si>
  <si>
    <t>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</si>
  <si>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</si>
  <si>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</si>
  <si>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</si>
  <si>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</si>
  <si>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Total valuation adjustment (sum of 4, 5c, and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</si>
  <si>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</si>
  <si>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</si>
  <si>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</si>
  <si>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</si>
  <si>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</si>
  <si>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</si>
  <si>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</si>
  <si>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</si>
  <si>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</si>
  <si>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</si>
  <si>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</si>
  <si>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5/19/14</t>
  </si>
  <si>
    <t>The following changes were made to this workbook on 4/9/14</t>
  </si>
  <si>
    <t>The following changes were made to this workbook on 7/11/13</t>
  </si>
  <si>
    <t>The following changes were made to this workbook on 3/27/13</t>
  </si>
  <si>
    <t>The following changes were made to this workbook on 10/9/12</t>
  </si>
  <si>
    <t>The following changes were made to this workbook on 12/23/11</t>
  </si>
  <si>
    <t>The following changes were made to this workbook on 4/19/11</t>
  </si>
  <si>
    <t>The following changes were made to this workbook on 9/23/10</t>
  </si>
  <si>
    <t>The following changes were made to this workbook on 6/29/10</t>
  </si>
  <si>
    <t>The following changes were made to this workbook on 1/05/10</t>
  </si>
  <si>
    <t>The following changes were made to this workbook on 12/28/09</t>
  </si>
  <si>
    <t>The following changes were made to this workbook on 12/08/09</t>
  </si>
  <si>
    <t>The following changes were made to this workbook on 9/23/09</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</si>
  <si>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</si>
  <si>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county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</si>
  <si>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Consumer Price Index adjustment (3 times 15)</t>
  </si>
  <si>
    <t>(14 plus 16)</t>
  </si>
  <si>
    <t>The following changes were made to this workbook on 7/9/14</t>
  </si>
  <si>
    <t>1.  Correction to formula in cell j39 of the computation tab worksheet.</t>
  </si>
  <si>
    <t>Health Nurse</t>
  </si>
  <si>
    <t>65-204</t>
  </si>
  <si>
    <t>2-132</t>
  </si>
  <si>
    <t>4-H Building</t>
  </si>
  <si>
    <t>19-1561b</t>
  </si>
  <si>
    <t>Recycling/HHW</t>
  </si>
  <si>
    <t>CR#99-06-0</t>
  </si>
  <si>
    <t>Agency on Aging</t>
  </si>
  <si>
    <t>12-16880</t>
  </si>
  <si>
    <t>2-1907b</t>
  </si>
  <si>
    <t>19-2651</t>
  </si>
  <si>
    <t>Appraiser</t>
  </si>
  <si>
    <t>19-436</t>
  </si>
  <si>
    <t>Noxious Weed</t>
  </si>
  <si>
    <t>2-1318</t>
  </si>
  <si>
    <t>25-2201a</t>
  </si>
  <si>
    <t>2-610</t>
  </si>
  <si>
    <t>CR#87-1</t>
  </si>
  <si>
    <t>65-6113</t>
  </si>
  <si>
    <t>Men Health Ret Workshop</t>
  </si>
  <si>
    <t>19-4004</t>
  </si>
  <si>
    <t xml:space="preserve">Pawnee Mental Health </t>
  </si>
  <si>
    <t>19-4011</t>
  </si>
  <si>
    <t>Emp Ben (Health Insurance)</t>
  </si>
  <si>
    <t>12-16,102</t>
  </si>
  <si>
    <t>Unemployment</t>
  </si>
  <si>
    <t>44-710e</t>
  </si>
  <si>
    <t xml:space="preserve">Liability </t>
  </si>
  <si>
    <t>75-6110</t>
  </si>
  <si>
    <t>Employee Retirement</t>
  </si>
  <si>
    <t>74-4920</t>
  </si>
  <si>
    <t>Workers Compensation</t>
  </si>
  <si>
    <t>44-505c</t>
  </si>
  <si>
    <t>Social Security</t>
  </si>
  <si>
    <t>40-2305</t>
  </si>
  <si>
    <t>Special Park &amp; Rec</t>
  </si>
  <si>
    <t>Special Alcohol</t>
  </si>
  <si>
    <t>Aging - KDOT</t>
  </si>
  <si>
    <t>Aging - Kitchen Equip</t>
  </si>
  <si>
    <t>Health Cap Outlay</t>
  </si>
  <si>
    <t>911 Local</t>
  </si>
  <si>
    <t>911 Special</t>
  </si>
  <si>
    <t>EM Capital Outlay</t>
  </si>
  <si>
    <t xml:space="preserve">Health Dept Building </t>
  </si>
  <si>
    <t>Title III C</t>
  </si>
  <si>
    <t>Motor Vehicle Operating</t>
  </si>
  <si>
    <t>Special Co. Attorney Fund</t>
  </si>
  <si>
    <t>Prosecuting Attorney</t>
  </si>
  <si>
    <t>County Equipment Res</t>
  </si>
  <si>
    <t>Tourism Promo &amp; Bed Tax</t>
  </si>
  <si>
    <t>EM Grant Fund</t>
  </si>
  <si>
    <t>Nox Weed Capital Outlay</t>
  </si>
  <si>
    <t>Sp Law Enforcement</t>
  </si>
  <si>
    <t>Appraiser Capital Outlay</t>
  </si>
  <si>
    <t>Road and Bridge Sales Tax</t>
  </si>
  <si>
    <t>Register of Deeds Tech Fund</t>
  </si>
  <si>
    <t>Marshall County</t>
  </si>
  <si>
    <t>Sonya L. Stohs</t>
  </si>
  <si>
    <t xml:space="preserve">10:30 a.m. </t>
  </si>
  <si>
    <t>Marshall County Courthouse Commissioner Room</t>
  </si>
  <si>
    <t xml:space="preserve">Marshall County Clerk's Office </t>
  </si>
  <si>
    <t>Health Capital Outlay</t>
  </si>
  <si>
    <t>Health Building Fund</t>
  </si>
  <si>
    <t>Election Equipment Res</t>
  </si>
  <si>
    <t>Sheriff's Capital Outlay</t>
  </si>
  <si>
    <t>Special Road &amp; Bridge</t>
  </si>
  <si>
    <t>Special Machinery</t>
  </si>
  <si>
    <t>General (Emerg Man)</t>
  </si>
  <si>
    <t>19-119</t>
  </si>
  <si>
    <t>19-120</t>
  </si>
  <si>
    <t>68-204</t>
  </si>
  <si>
    <t>Sewer Project-Series 2002B</t>
  </si>
  <si>
    <t>2012 Dodge Charger</t>
  </si>
  <si>
    <t>2010 Chevy Tahoe</t>
  </si>
  <si>
    <t>2013 Dodge Pickup-Charcoal</t>
  </si>
  <si>
    <t>2013 Dodge Pickup-Black</t>
  </si>
  <si>
    <t>Vehicle Excise Tax</t>
  </si>
  <si>
    <t>Mortgage Registration Fees</t>
  </si>
  <si>
    <t>Officer's Fees</t>
  </si>
  <si>
    <t>Motor Veh,Antique reg &amp; driv lic fees</t>
  </si>
  <si>
    <t>Filing fees</t>
  </si>
  <si>
    <t>Diversion fees &amp; community service</t>
  </si>
  <si>
    <t>Vehicle inspection fees</t>
  </si>
  <si>
    <t>Prisioner work release</t>
  </si>
  <si>
    <t>Housing out of county prisioners</t>
  </si>
  <si>
    <t>Reimbursed expenses</t>
  </si>
  <si>
    <t>District Coroner fees</t>
  </si>
  <si>
    <t>Coroner wage reimburs-other counties</t>
  </si>
  <si>
    <t>Interest on delinquent taxes</t>
  </si>
  <si>
    <t>Other Revenue</t>
  </si>
  <si>
    <t>Transfer in</t>
  </si>
  <si>
    <t>Redemptions</t>
  </si>
  <si>
    <t>Prior year cancelled encumbrances</t>
  </si>
  <si>
    <t>Beer Licenses/Moving Permits</t>
  </si>
  <si>
    <t>Motor Vehicle transfer</t>
  </si>
  <si>
    <t>Federal Land Management</t>
  </si>
  <si>
    <t>County Commissioners</t>
  </si>
  <si>
    <t xml:space="preserve">County Clerk </t>
  </si>
  <si>
    <t>County Building and Equipment</t>
  </si>
  <si>
    <t>Sheriff</t>
  </si>
  <si>
    <t>County General</t>
  </si>
  <si>
    <t>Emergency Management</t>
  </si>
  <si>
    <t>District Coroner</t>
  </si>
  <si>
    <t xml:space="preserve">  District and Deputy Coroner's expense</t>
  </si>
  <si>
    <t xml:space="preserve">   </t>
  </si>
  <si>
    <t>Janitor</t>
  </si>
  <si>
    <t xml:space="preserve">  Computer and Maintenance &amp; upgrades</t>
  </si>
  <si>
    <t xml:space="preserve">Juvenile Dentention </t>
  </si>
  <si>
    <t>Appropriations</t>
  </si>
  <si>
    <t xml:space="preserve">  Kansas National Guard</t>
  </si>
  <si>
    <t xml:space="preserve">  Soil Conservation</t>
  </si>
  <si>
    <t xml:space="preserve">  RSVP</t>
  </si>
  <si>
    <t xml:space="preserve">  County Sanitartian</t>
  </si>
  <si>
    <t>Appropriations cont….</t>
  </si>
  <si>
    <t xml:space="preserve">  Other (ED)</t>
  </si>
  <si>
    <t xml:space="preserve">  Transfers Out  </t>
  </si>
  <si>
    <t xml:space="preserve">  Neighborhood Revitalization </t>
  </si>
  <si>
    <t xml:space="preserve">  Bldg. Improvements and Equipment</t>
  </si>
  <si>
    <t xml:space="preserve">Interest  </t>
  </si>
  <si>
    <t>Commission and Postage</t>
  </si>
  <si>
    <t>Cash Basis Reserve</t>
  </si>
  <si>
    <t>New Debt</t>
  </si>
  <si>
    <t>Reimbursement</t>
  </si>
  <si>
    <t>Payment in Lieu of (Wind Farm)</t>
  </si>
  <si>
    <t>Transfer Out</t>
  </si>
  <si>
    <t>Salaries</t>
  </si>
  <si>
    <t xml:space="preserve">Contractual </t>
  </si>
  <si>
    <t>Commodities</t>
  </si>
  <si>
    <t>Capital Outlay</t>
  </si>
  <si>
    <t>Transfer out</t>
  </si>
  <si>
    <t>Charge for Services</t>
  </si>
  <si>
    <t>Appropriation-Fair Board</t>
  </si>
  <si>
    <t>Appropriation-Building Improvements</t>
  </si>
  <si>
    <t>Appropriation-Insurance Increase</t>
  </si>
  <si>
    <t>Recycling</t>
  </si>
  <si>
    <t>Household Hazardous Waste</t>
  </si>
  <si>
    <t>Operating Transfers</t>
  </si>
  <si>
    <t>Appropriation</t>
  </si>
  <si>
    <t xml:space="preserve">Reimbursements  </t>
  </si>
  <si>
    <t>Charges for Services</t>
  </si>
  <si>
    <t>Allocations and distributions</t>
  </si>
  <si>
    <t>Axtell Appropriation</t>
  </si>
  <si>
    <t>Blue Rapids Appropriation</t>
  </si>
  <si>
    <t>Frankfort Appropriations</t>
  </si>
  <si>
    <t>Marysville Appropriations</t>
  </si>
  <si>
    <t>Waterville Appropriations</t>
  </si>
  <si>
    <t>Reimbursements</t>
  </si>
  <si>
    <t>Reimursement</t>
  </si>
  <si>
    <t>Unemployment tax payments</t>
  </si>
  <si>
    <t>Insurance Premiums</t>
  </si>
  <si>
    <t>Retirement Plan Contributions</t>
  </si>
  <si>
    <t>Social Security and Medicare</t>
  </si>
  <si>
    <t>Local Alcohol tax</t>
  </si>
  <si>
    <t>Contractual and other expenditures</t>
  </si>
  <si>
    <t>Computer</t>
  </si>
  <si>
    <t>Transfer</t>
  </si>
  <si>
    <t>Election Equipment Reserve</t>
  </si>
  <si>
    <t>Childcare Licensing</t>
  </si>
  <si>
    <t>Maternal Child Health</t>
  </si>
  <si>
    <t>Immunizations</t>
  </si>
  <si>
    <t>Medical Reserve Corp</t>
  </si>
  <si>
    <t>Breastfeeding Grant</t>
  </si>
  <si>
    <t>Nurse Bioterrorism</t>
  </si>
  <si>
    <t>Safe Kids Grant</t>
  </si>
  <si>
    <t>County Equipment Reserve</t>
  </si>
  <si>
    <t>State Formula Grant</t>
  </si>
  <si>
    <t>Transfer from Health Dept</t>
  </si>
  <si>
    <t>Misc tax revenue</t>
  </si>
  <si>
    <t>Material and supplies</t>
  </si>
  <si>
    <t>Reimbursement and Grants</t>
  </si>
  <si>
    <t>Transer from Road &amp; Bridge</t>
  </si>
  <si>
    <t>Contractual</t>
  </si>
  <si>
    <t>Operating transfers</t>
  </si>
  <si>
    <t>Taxes and Shared Revenue</t>
  </si>
  <si>
    <t>License, Permits, and Fees</t>
  </si>
  <si>
    <t>Transfer from Election-EM</t>
  </si>
  <si>
    <t>Expenditurees</t>
  </si>
  <si>
    <t>Transfer to Appraiser</t>
  </si>
  <si>
    <t xml:space="preserve">Transfer from Health </t>
  </si>
  <si>
    <t>Road &amp; Bridge Machinery</t>
  </si>
  <si>
    <t>Transfer from Road &amp; Bridge</t>
  </si>
  <si>
    <t>Personal Service</t>
  </si>
  <si>
    <t>Grant</t>
  </si>
  <si>
    <t>Operating Transfer</t>
  </si>
  <si>
    <t>Revenue</t>
  </si>
  <si>
    <t>Charge for Service</t>
  </si>
  <si>
    <t>Sheriff Reserve Fund</t>
  </si>
  <si>
    <t>Transfer from Gen</t>
  </si>
  <si>
    <t>Shared Revenue</t>
  </si>
  <si>
    <t>License, Permits, Fees</t>
  </si>
  <si>
    <t>Agency Special</t>
  </si>
  <si>
    <t>Path Grant</t>
  </si>
  <si>
    <t>Community College</t>
  </si>
  <si>
    <t>Grants</t>
  </si>
  <si>
    <t>General (Janitor)</t>
  </si>
  <si>
    <t>September 8, 2014</t>
  </si>
  <si>
    <t xml:space="preserve"> </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</si>
</sst>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m/d/yy"/>
    <numFmt numFmtId="173" formatCode="m/d"/>
    <numFmt numFmtId="174" formatCode="_(* #,##0.0_);_(* \(#,##0.0\);_(* &quot;-&quot;??_);_(@_)"/>
    <numFmt numFmtId="175" formatCode="_(* #,##0_);_(* \(#,##0\);_(* &quot;-&quot;??_);_(@_)"/>
    <numFmt numFmtId="176" formatCode="#,##0.0_);\(#,##0.0\)"/>
    <numFmt numFmtId="177" formatCode="#,##0.000_);\(#,##0.00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
    <numFmt numFmtId="184" formatCode="#,##0.000"/>
    <numFmt numFmtId="185" formatCode="[$-409]mmmm\ d\,\ yyyy;@"/>
    <numFmt numFmtId="186" formatCode="[$-409]h:mm\ AM/PM;@"/>
    <numFmt numFmtId="187" formatCode="\1\2\-\1\1\1\1"/>
    <numFmt numFmtId="188" formatCode="[$-409]dddd\,\ mmmm\ dd\,\ yyyy"/>
    <numFmt numFmtId="189" formatCode="m/d/yy;@"/>
    <numFmt numFmtId="190" formatCode="&quot;$&quot;#,##0"/>
    <numFmt numFmtId="191" formatCode="&quot;$&quot;#,##0.00"/>
    <numFmt numFmtId="192" formatCode="#,###"/>
    <numFmt numFmtId="193" formatCode="0.0%"/>
    <numFmt numFmtId="194" formatCode="#,##0.000_);[Red]\(#,##0.000\)"/>
  </numFmts>
  <fonts count="98">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4"/>
      <name val="Times New Roman"/>
      <family val="1"/>
    </font>
    <font>
      <sz val="11"/>
      <name val="Times New Roman"/>
      <family val="1"/>
    </font>
    <font>
      <sz val="8"/>
      <name val="Courier"/>
      <family val="3"/>
    </font>
    <font>
      <u val="single"/>
      <sz val="12"/>
      <color indexed="36"/>
      <name val="Courier New"/>
      <family val="3"/>
    </font>
    <font>
      <u val="single"/>
      <sz val="12"/>
      <color indexed="12"/>
      <name val="Courier New"/>
      <family val="3"/>
    </font>
    <font>
      <sz val="12"/>
      <name val="Courier New"/>
      <family val="3"/>
    </font>
    <font>
      <b/>
      <sz val="11"/>
      <name val="Times New Roman"/>
      <family val="1"/>
    </font>
    <font>
      <sz val="10"/>
      <name val="Times New Roman"/>
      <family val="1"/>
    </font>
    <font>
      <b/>
      <sz val="10"/>
      <name val="Times New Roman"/>
      <family val="1"/>
    </font>
    <font>
      <sz val="10"/>
      <name val="Courier"/>
      <family val="3"/>
    </font>
    <font>
      <sz val="8"/>
      <name val="Times New Roman"/>
      <family val="1"/>
    </font>
    <font>
      <b/>
      <u val="single"/>
      <sz val="12"/>
      <name val="Times New Roman"/>
      <family val="1"/>
    </font>
    <font>
      <sz val="12"/>
      <color indexed="10"/>
      <name val="Times New Roman"/>
      <family val="1"/>
    </font>
    <font>
      <b/>
      <u val="single"/>
      <sz val="12"/>
      <color indexed="10"/>
      <name val="Times New Roman"/>
      <family val="1"/>
    </font>
    <font>
      <b/>
      <u val="single"/>
      <sz val="12"/>
      <name val="Courier"/>
      <family val="3"/>
    </font>
    <font>
      <b/>
      <sz val="8"/>
      <name val="Times New Roman"/>
      <family val="1"/>
    </font>
    <font>
      <b/>
      <u val="single"/>
      <sz val="10"/>
      <name val="Times New Roman"/>
      <family val="1"/>
    </font>
    <font>
      <b/>
      <sz val="12"/>
      <color indexed="10"/>
      <name val="Times New Roman"/>
      <family val="1"/>
    </font>
    <font>
      <sz val="12"/>
      <color indexed="10"/>
      <name val="Courier"/>
      <family val="3"/>
    </font>
    <font>
      <i/>
      <sz val="12"/>
      <name val="Times New Roman"/>
      <family val="1"/>
    </font>
    <font>
      <b/>
      <u val="single"/>
      <sz val="14"/>
      <name val="Times New Roman"/>
      <family val="1"/>
    </font>
    <font>
      <b/>
      <sz val="12"/>
      <color indexed="8"/>
      <name val="Times New Roman"/>
      <family val="1"/>
    </font>
    <font>
      <sz val="12"/>
      <color indexed="8"/>
      <name val="Times New Roman"/>
      <family val="1"/>
    </font>
    <font>
      <b/>
      <sz val="11"/>
      <color indexed="8"/>
      <name val="Arial"/>
      <family val="2"/>
    </font>
    <font>
      <sz val="11"/>
      <color indexed="8"/>
      <name val="Arial"/>
      <family val="2"/>
    </font>
    <font>
      <b/>
      <u val="single"/>
      <sz val="8"/>
      <color indexed="10"/>
      <name val="Times New Roman"/>
      <family val="1"/>
    </font>
    <font>
      <sz val="14"/>
      <name val="Courier"/>
      <family val="3"/>
    </font>
    <font>
      <b/>
      <sz val="14"/>
      <name val="Times New Roman"/>
      <family val="1"/>
    </font>
    <font>
      <u val="single"/>
      <sz val="12"/>
      <color indexed="12"/>
      <name val="Courier"/>
      <family val="3"/>
    </font>
    <font>
      <i/>
      <u val="single"/>
      <sz val="12"/>
      <name val="Courier"/>
      <family val="3"/>
    </font>
    <font>
      <sz val="11"/>
      <color indexed="8"/>
      <name val="Times New Roman"/>
      <family val="1"/>
    </font>
    <font>
      <b/>
      <sz val="11"/>
      <color indexed="8"/>
      <name val="Times New Roman"/>
      <family val="1"/>
    </font>
    <font>
      <b/>
      <u val="single"/>
      <sz val="10"/>
      <name val="Courier"/>
      <family val="3"/>
    </font>
    <font>
      <sz val="10"/>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u val="single"/>
      <sz val="12"/>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0"/>
      <color rgb="FFFF0000"/>
      <name val="Times New Roman"/>
      <family val="1"/>
    </font>
    <font>
      <b/>
      <sz val="10"/>
      <color rgb="FFFF0000"/>
      <name val="Times New Roman"/>
      <family val="1"/>
    </font>
    <font>
      <b/>
      <sz val="14"/>
      <color theme="1"/>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rgb="FFFFFFC0"/>
        <bgColor indexed="64"/>
      </patternFill>
    </fill>
    <fill>
      <patternFill patternType="solid">
        <fgColor rgb="FFFF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double"/>
    </border>
    <border>
      <left>
        <color indexed="63"/>
      </left>
      <right style="thin"/>
      <top>
        <color indexed="63"/>
      </top>
      <bottom>
        <color indexed="63"/>
      </bottom>
    </border>
    <border>
      <left style="thin"/>
      <right style="thin"/>
      <top>
        <color indexed="63"/>
      </top>
      <bottom style="double"/>
    </border>
    <border>
      <left>
        <color indexed="63"/>
      </left>
      <right style="thin"/>
      <top>
        <color indexed="63"/>
      </top>
      <bottom style="double"/>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style="medium"/>
    </border>
    <border>
      <left style="medium"/>
      <right/>
      <top style="medium"/>
      <bottom/>
    </border>
    <border>
      <left style="medium"/>
      <right/>
      <top/>
      <bottom/>
    </border>
    <border>
      <left/>
      <right style="medium"/>
      <top/>
      <bottom/>
    </border>
    <border>
      <left/>
      <right/>
      <top style="medium"/>
      <bottom/>
    </border>
    <border>
      <left/>
      <right style="medium"/>
      <top style="medium"/>
      <bottom/>
    </border>
    <border>
      <left style="medium"/>
      <right/>
      <top/>
      <bottom style="thin"/>
    </border>
    <border>
      <left style="medium"/>
      <right/>
      <top/>
      <bottom style="medium"/>
    </border>
    <border>
      <left/>
      <right/>
      <top/>
      <bottom style="medium"/>
    </border>
    <border>
      <left/>
      <right style="medium"/>
      <top/>
      <bottom style="medium"/>
    </border>
    <border>
      <left style="medium"/>
      <right/>
      <top style="thin"/>
      <bottom/>
    </border>
    <border>
      <left/>
      <right style="medium"/>
      <top style="thin"/>
      <botto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10"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1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0">
      <alignment/>
      <protection/>
    </xf>
    <xf numFmtId="0" fontId="70" fillId="0" borderId="0">
      <alignment/>
      <protection/>
    </xf>
    <xf numFmtId="0" fontId="70" fillId="0" borderId="0">
      <alignment/>
      <protection/>
    </xf>
    <xf numFmtId="0" fontId="0" fillId="0" borderId="0">
      <alignment/>
      <protection/>
    </xf>
    <xf numFmtId="0" fontId="0" fillId="0" borderId="0">
      <alignment/>
      <protection/>
    </xf>
    <xf numFmtId="0" fontId="7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902">
    <xf numFmtId="0" fontId="0" fillId="0" borderId="0" xfId="0" applyAlignment="1">
      <alignment/>
    </xf>
    <xf numFmtId="0" fontId="4" fillId="0" borderId="0" xfId="0" applyFont="1" applyAlignment="1" applyProtection="1">
      <alignment/>
      <protection locked="0"/>
    </xf>
    <xf numFmtId="0" fontId="4" fillId="0" borderId="0" xfId="0" applyFont="1" applyAlignment="1">
      <alignment/>
    </xf>
    <xf numFmtId="0" fontId="4" fillId="0" borderId="0" xfId="0" applyFont="1" applyAlignment="1">
      <alignment horizontal="centerContinuous"/>
    </xf>
    <xf numFmtId="37" fontId="4" fillId="0" borderId="0" xfId="0" applyNumberFormat="1" applyFont="1" applyAlignment="1" applyProtection="1">
      <alignment horizontal="left"/>
      <protection locked="0"/>
    </xf>
    <xf numFmtId="37" fontId="4" fillId="0" borderId="0" xfId="0" applyNumberFormat="1" applyFont="1" applyAlignment="1" applyProtection="1">
      <alignment horizontal="center"/>
      <protection locked="0"/>
    </xf>
    <xf numFmtId="0" fontId="4" fillId="0" borderId="0" xfId="0" applyFont="1" applyAlignment="1" applyProtection="1">
      <alignment horizontal="centerContinuous"/>
      <protection locked="0"/>
    </xf>
    <xf numFmtId="37" fontId="4" fillId="0" borderId="10" xfId="0" applyNumberFormat="1" applyFont="1" applyBorder="1" applyAlignment="1" applyProtection="1">
      <alignment horizontal="fill"/>
      <protection locked="0"/>
    </xf>
    <xf numFmtId="37" fontId="4" fillId="33" borderId="11" xfId="0" applyNumberFormat="1" applyFont="1" applyFill="1" applyBorder="1" applyAlignment="1" applyProtection="1">
      <alignment/>
      <protection locked="0"/>
    </xf>
    <xf numFmtId="0" fontId="4" fillId="33" borderId="0" xfId="0" applyFont="1" applyFill="1" applyAlignment="1" applyProtection="1">
      <alignment/>
      <protection locked="0"/>
    </xf>
    <xf numFmtId="164" fontId="4" fillId="33" borderId="11" xfId="0" applyNumberFormat="1" applyFont="1" applyFill="1" applyBorder="1" applyAlignment="1" applyProtection="1">
      <alignment/>
      <protection locked="0"/>
    </xf>
    <xf numFmtId="37" fontId="4" fillId="34" borderId="12" xfId="0" applyNumberFormat="1" applyFont="1" applyFill="1" applyBorder="1" applyAlignment="1" applyProtection="1">
      <alignment horizontal="center"/>
      <protection/>
    </xf>
    <xf numFmtId="37" fontId="4" fillId="34" borderId="0" xfId="0" applyNumberFormat="1" applyFont="1" applyFill="1" applyAlignment="1" applyProtection="1">
      <alignment horizontal="right"/>
      <protection/>
    </xf>
    <xf numFmtId="0" fontId="4" fillId="34" borderId="0" xfId="0" applyFont="1" applyFill="1" applyAlignment="1" applyProtection="1">
      <alignment/>
      <protection/>
    </xf>
    <xf numFmtId="37" fontId="4" fillId="34" borderId="0" xfId="0" applyNumberFormat="1" applyFont="1" applyFill="1" applyAlignment="1" applyProtection="1">
      <alignment horizontal="left"/>
      <protection/>
    </xf>
    <xf numFmtId="37" fontId="4" fillId="34" borderId="0" xfId="0" applyNumberFormat="1" applyFont="1" applyFill="1" applyAlignment="1" applyProtection="1">
      <alignment horizontal="centerContinuous"/>
      <protection/>
    </xf>
    <xf numFmtId="0" fontId="4" fillId="34" borderId="0" xfId="0" applyFont="1" applyFill="1" applyAlignment="1" applyProtection="1">
      <alignment horizontal="centerContinuous"/>
      <protection/>
    </xf>
    <xf numFmtId="37" fontId="4" fillId="34" borderId="0" xfId="0" applyNumberFormat="1" applyFont="1" applyFill="1" applyAlignment="1" applyProtection="1">
      <alignment horizontal="fill"/>
      <protection/>
    </xf>
    <xf numFmtId="37" fontId="4" fillId="34" borderId="13" xfId="0" applyNumberFormat="1" applyFont="1" applyFill="1" applyBorder="1" applyAlignment="1" applyProtection="1">
      <alignment horizontal="centerContinuous"/>
      <protection/>
    </xf>
    <xf numFmtId="0" fontId="4" fillId="34" borderId="14" xfId="0" applyFont="1" applyFill="1" applyBorder="1" applyAlignment="1" applyProtection="1">
      <alignment horizontal="centerContinuous"/>
      <protection/>
    </xf>
    <xf numFmtId="0" fontId="4" fillId="34" borderId="15" xfId="0" applyFont="1" applyFill="1" applyBorder="1" applyAlignment="1" applyProtection="1">
      <alignment horizontal="centerContinuous"/>
      <protection/>
    </xf>
    <xf numFmtId="37" fontId="4" fillId="34" borderId="16" xfId="0" applyNumberFormat="1"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37" fontId="4" fillId="34" borderId="11" xfId="0" applyNumberFormat="1" applyFont="1" applyFill="1" applyBorder="1" applyAlignment="1" applyProtection="1">
      <alignment/>
      <protection/>
    </xf>
    <xf numFmtId="37" fontId="4" fillId="34" borderId="10" xfId="0" applyNumberFormat="1" applyFont="1" applyFill="1" applyBorder="1" applyAlignment="1" applyProtection="1">
      <alignment horizontal="fill"/>
      <protection/>
    </xf>
    <xf numFmtId="37" fontId="4" fillId="34" borderId="0" xfId="0" applyNumberFormat="1" applyFont="1" applyFill="1" applyAlignment="1" applyProtection="1">
      <alignment/>
      <protection/>
    </xf>
    <xf numFmtId="0" fontId="4" fillId="34" borderId="0" xfId="0" applyFont="1" applyFill="1" applyAlignment="1">
      <alignment/>
    </xf>
    <xf numFmtId="0" fontId="4" fillId="34" borderId="17" xfId="0" applyFont="1" applyFill="1" applyBorder="1" applyAlignment="1" applyProtection="1">
      <alignment horizontal="center"/>
      <protection/>
    </xf>
    <xf numFmtId="0" fontId="4" fillId="34" borderId="0" xfId="0" applyFont="1" applyFill="1" applyAlignment="1" applyProtection="1">
      <alignment horizontal="center"/>
      <protection/>
    </xf>
    <xf numFmtId="37" fontId="4" fillId="34" borderId="0" xfId="0" applyNumberFormat="1" applyFont="1" applyFill="1" applyAlignment="1" applyProtection="1" quotePrefix="1">
      <alignment horizontal="right"/>
      <protection/>
    </xf>
    <xf numFmtId="37" fontId="5" fillId="34" borderId="0" xfId="0" applyNumberFormat="1" applyFont="1" applyFill="1" applyAlignment="1" applyProtection="1">
      <alignment horizontal="centerContinuous"/>
      <protection/>
    </xf>
    <xf numFmtId="0" fontId="4" fillId="34" borderId="16" xfId="0" applyFont="1" applyFill="1" applyBorder="1" applyAlignment="1" applyProtection="1">
      <alignment horizontal="centerContinuous"/>
      <protection/>
    </xf>
    <xf numFmtId="1" fontId="4" fillId="34" borderId="13" xfId="0" applyNumberFormat="1" applyFont="1" applyFill="1" applyBorder="1" applyAlignment="1" applyProtection="1">
      <alignment horizontal="centerContinuous"/>
      <protection/>
    </xf>
    <xf numFmtId="164" fontId="4" fillId="34" borderId="11" xfId="0" applyNumberFormat="1" applyFont="1" applyFill="1" applyBorder="1" applyAlignment="1" applyProtection="1">
      <alignment/>
      <protection/>
    </xf>
    <xf numFmtId="0" fontId="4" fillId="34" borderId="0" xfId="0" applyNumberFormat="1" applyFont="1" applyFill="1" applyAlignment="1" applyProtection="1">
      <alignment horizontal="right"/>
      <protection/>
    </xf>
    <xf numFmtId="37" fontId="4" fillId="34" borderId="0" xfId="0" applyNumberFormat="1" applyFont="1" applyFill="1" applyBorder="1" applyAlignment="1" applyProtection="1">
      <alignment horizontal="left"/>
      <protection/>
    </xf>
    <xf numFmtId="0" fontId="4" fillId="34" borderId="0" xfId="0" applyFont="1" applyFill="1" applyAlignment="1">
      <alignment horizontal="center"/>
    </xf>
    <xf numFmtId="164" fontId="4" fillId="34" borderId="11" xfId="0" applyNumberFormat="1" applyFont="1" applyFill="1" applyBorder="1" applyAlignment="1" applyProtection="1">
      <alignment/>
      <protection locked="0"/>
    </xf>
    <xf numFmtId="166" fontId="4" fillId="34" borderId="0" xfId="0" applyNumberFormat="1" applyFont="1" applyFill="1" applyAlignment="1" applyProtection="1">
      <alignment horizontal="center"/>
      <protection/>
    </xf>
    <xf numFmtId="37" fontId="4" fillId="34" borderId="10" xfId="0" applyNumberFormat="1" applyFont="1" applyFill="1" applyBorder="1" applyAlignment="1" applyProtection="1">
      <alignment horizontal="center"/>
      <protection/>
    </xf>
    <xf numFmtId="37" fontId="4" fillId="34" borderId="0" xfId="0" applyNumberFormat="1" applyFont="1" applyFill="1" applyBorder="1" applyAlignment="1" applyProtection="1">
      <alignment horizontal="center"/>
      <protection/>
    </xf>
    <xf numFmtId="165" fontId="4" fillId="35" borderId="10" xfId="0" applyNumberFormat="1" applyFont="1" applyFill="1" applyBorder="1" applyAlignment="1" applyProtection="1">
      <alignment horizontal="center"/>
      <protection/>
    </xf>
    <xf numFmtId="165" fontId="4" fillId="34" borderId="0" xfId="0" applyNumberFormat="1" applyFont="1" applyFill="1" applyBorder="1" applyAlignment="1" applyProtection="1">
      <alignment horizontal="center"/>
      <protection/>
    </xf>
    <xf numFmtId="0" fontId="4" fillId="34" borderId="0" xfId="0" applyFont="1" applyFill="1" applyAlignment="1">
      <alignment horizontal="left"/>
    </xf>
    <xf numFmtId="37" fontId="5" fillId="34" borderId="0" xfId="0" applyNumberFormat="1" applyFont="1" applyFill="1" applyAlignment="1" applyProtection="1">
      <alignment horizontal="center"/>
      <protection/>
    </xf>
    <xf numFmtId="0" fontId="0" fillId="34" borderId="0" xfId="0" applyFill="1" applyAlignment="1">
      <alignment/>
    </xf>
    <xf numFmtId="0" fontId="0" fillId="34" borderId="0" xfId="0" applyFill="1" applyAlignment="1">
      <alignment/>
    </xf>
    <xf numFmtId="177" fontId="4" fillId="34" borderId="0" xfId="0" applyNumberFormat="1" applyFont="1" applyFill="1" applyBorder="1" applyAlignment="1" applyProtection="1">
      <alignment horizontal="center"/>
      <protection/>
    </xf>
    <xf numFmtId="0" fontId="5"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protection/>
    </xf>
    <xf numFmtId="0" fontId="24" fillId="0" borderId="0" xfId="0" applyFont="1" applyAlignment="1">
      <alignment vertical="center" wrapText="1"/>
    </xf>
    <xf numFmtId="0" fontId="4" fillId="33" borderId="0" xfId="0" applyFont="1" applyFill="1" applyAlignment="1" applyProtection="1">
      <alignment vertical="center" wrapText="1"/>
      <protection/>
    </xf>
    <xf numFmtId="0" fontId="4" fillId="0" borderId="0" xfId="0" applyFont="1" applyFill="1" applyAlignment="1" applyProtection="1">
      <alignment vertical="center" wrapText="1"/>
      <protection/>
    </xf>
    <xf numFmtId="0" fontId="4" fillId="34" borderId="0" xfId="0" applyFont="1" applyFill="1" applyAlignment="1">
      <alignment vertical="center" wrapText="1"/>
    </xf>
    <xf numFmtId="0" fontId="4" fillId="36" borderId="0" xfId="0" applyFont="1" applyFill="1" applyAlignment="1">
      <alignment vertical="center" wrapText="1"/>
    </xf>
    <xf numFmtId="0" fontId="4" fillId="37" borderId="0" xfId="0" applyFont="1" applyFill="1" applyAlignment="1">
      <alignment vertical="center"/>
    </xf>
    <xf numFmtId="37" fontId="4" fillId="0" borderId="0" xfId="0" applyNumberFormat="1" applyFont="1" applyFill="1" applyAlignment="1" applyProtection="1">
      <alignment horizontal="left" vertical="center" wrapText="1"/>
      <protection/>
    </xf>
    <xf numFmtId="37" fontId="4" fillId="34" borderId="0" xfId="0" applyNumberFormat="1" applyFont="1" applyFill="1" applyAlignment="1" applyProtection="1">
      <alignment horizontal="left" vertical="center"/>
      <protection/>
    </xf>
    <xf numFmtId="0" fontId="4" fillId="34" borderId="0" xfId="0" applyFont="1" applyFill="1" applyAlignment="1" applyProtection="1">
      <alignment vertical="center"/>
      <protection/>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horizontal="center" vertical="center"/>
      <protection locked="0"/>
    </xf>
    <xf numFmtId="0" fontId="5" fillId="34" borderId="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4" borderId="0" xfId="0" applyFont="1" applyFill="1" applyAlignment="1" applyProtection="1">
      <alignment horizontal="center" vertical="center"/>
      <protection/>
    </xf>
    <xf numFmtId="0" fontId="4" fillId="36" borderId="16" xfId="0" applyFont="1" applyFill="1" applyBorder="1" applyAlignment="1" applyProtection="1">
      <alignment horizontal="center" vertical="center"/>
      <protection/>
    </xf>
    <xf numFmtId="37" fontId="4" fillId="36" borderId="16" xfId="0" applyNumberFormat="1" applyFont="1" applyFill="1" applyBorder="1" applyAlignment="1" applyProtection="1">
      <alignment horizontal="center" vertical="center"/>
      <protection/>
    </xf>
    <xf numFmtId="0" fontId="4" fillId="36" borderId="16"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horizontal="center" vertical="center"/>
      <protection/>
    </xf>
    <xf numFmtId="37" fontId="4" fillId="36" borderId="17" xfId="0" applyNumberFormat="1" applyFont="1" applyFill="1" applyBorder="1" applyAlignment="1" applyProtection="1">
      <alignment horizontal="center"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wrapText="1"/>
      <protection locked="0"/>
    </xf>
    <xf numFmtId="164" fontId="4" fillId="33" borderId="11" xfId="0" applyNumberFormat="1" applyFont="1" applyFill="1" applyBorder="1" applyAlignment="1" applyProtection="1">
      <alignment vertical="center"/>
      <protection locked="0"/>
    </xf>
    <xf numFmtId="0" fontId="4" fillId="34" borderId="11" xfId="0" applyFont="1" applyFill="1" applyBorder="1" applyAlignment="1" applyProtection="1">
      <alignment vertical="center"/>
      <protection/>
    </xf>
    <xf numFmtId="164" fontId="4" fillId="33" borderId="11" xfId="0" applyNumberFormat="1" applyFont="1" applyFill="1" applyBorder="1" applyAlignment="1" applyProtection="1">
      <alignment vertical="center"/>
      <protection locked="0"/>
    </xf>
    <xf numFmtId="0" fontId="4" fillId="33" borderId="11" xfId="0" applyFont="1" applyFill="1" applyBorder="1" applyAlignment="1" applyProtection="1">
      <alignment horizontal="left" vertical="center"/>
      <protection locked="0"/>
    </xf>
    <xf numFmtId="0" fontId="4" fillId="33" borderId="11" xfId="0"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37" fontId="4" fillId="34" borderId="10" xfId="0" applyNumberFormat="1"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0" fontId="4" fillId="34" borderId="15" xfId="0" applyFont="1" applyFill="1" applyBorder="1" applyAlignment="1" applyProtection="1">
      <alignment vertical="center"/>
      <protection/>
    </xf>
    <xf numFmtId="3" fontId="4" fillId="35" borderId="15" xfId="0" applyNumberFormat="1" applyFont="1" applyFill="1" applyBorder="1" applyAlignment="1" applyProtection="1">
      <alignment vertical="center"/>
      <protection/>
    </xf>
    <xf numFmtId="164" fontId="4" fillId="35" borderId="11" xfId="0" applyNumberFormat="1" applyFont="1" applyFill="1" applyBorder="1" applyAlignment="1" applyProtection="1">
      <alignment vertical="center"/>
      <protection/>
    </xf>
    <xf numFmtId="164" fontId="4" fillId="34" borderId="10" xfId="0" applyNumberFormat="1" applyFont="1" applyFill="1" applyBorder="1" applyAlignment="1" applyProtection="1">
      <alignment vertical="center"/>
      <protection locked="0"/>
    </xf>
    <xf numFmtId="0" fontId="4" fillId="34" borderId="18" xfId="0" applyFont="1" applyFill="1" applyBorder="1" applyAlignment="1" applyProtection="1">
      <alignment vertical="center"/>
      <protection/>
    </xf>
    <xf numFmtId="3" fontId="4" fillId="35" borderId="11" xfId="0" applyNumberFormat="1" applyFont="1" applyFill="1" applyBorder="1" applyAlignment="1" applyProtection="1">
      <alignment vertical="center"/>
      <protection/>
    </xf>
    <xf numFmtId="37" fontId="4" fillId="34" borderId="0" xfId="0" applyNumberFormat="1" applyFont="1" applyFill="1" applyBorder="1" applyAlignment="1" applyProtection="1">
      <alignment horizontal="left" vertical="center"/>
      <protection/>
    </xf>
    <xf numFmtId="164" fontId="4" fillId="34" borderId="0" xfId="0" applyNumberFormat="1" applyFont="1" applyFill="1" applyBorder="1" applyAlignment="1" applyProtection="1">
      <alignment vertical="center"/>
      <protection locked="0"/>
    </xf>
    <xf numFmtId="3" fontId="4" fillId="34" borderId="0" xfId="0" applyNumberFormat="1" applyFont="1" applyFill="1" applyBorder="1" applyAlignment="1" applyProtection="1">
      <alignment vertical="center"/>
      <protection/>
    </xf>
    <xf numFmtId="37" fontId="5" fillId="38" borderId="0" xfId="0" applyNumberFormat="1" applyFont="1" applyFill="1" applyAlignment="1" applyProtection="1">
      <alignment horizontal="left" vertical="center"/>
      <protection/>
    </xf>
    <xf numFmtId="0" fontId="4" fillId="34" borderId="0" xfId="0" applyFont="1" applyFill="1" applyAlignment="1">
      <alignment vertical="center"/>
    </xf>
    <xf numFmtId="0" fontId="4" fillId="38" borderId="0" xfId="0" applyFont="1" applyFill="1" applyAlignment="1" applyProtection="1">
      <alignment vertical="center"/>
      <protection/>
    </xf>
    <xf numFmtId="37" fontId="4" fillId="34" borderId="11" xfId="0" applyNumberFormat="1" applyFont="1" applyFill="1" applyBorder="1" applyAlignment="1" applyProtection="1">
      <alignment vertical="center"/>
      <protection/>
    </xf>
    <xf numFmtId="37" fontId="4" fillId="36" borderId="10" xfId="0" applyNumberFormat="1" applyFont="1" applyFill="1" applyBorder="1" applyAlignment="1" applyProtection="1">
      <alignment horizontal="left" vertical="center"/>
      <protection/>
    </xf>
    <xf numFmtId="0" fontId="4" fillId="36" borderId="10" xfId="0" applyFont="1" applyFill="1" applyBorder="1" applyAlignment="1" applyProtection="1">
      <alignment vertical="center"/>
      <protection/>
    </xf>
    <xf numFmtId="37" fontId="4" fillId="36" borderId="14" xfId="0" applyNumberFormat="1" applyFont="1" applyFill="1" applyBorder="1" applyAlignment="1" applyProtection="1">
      <alignment horizontal="left" vertical="center"/>
      <protection/>
    </xf>
    <xf numFmtId="0" fontId="4" fillId="36" borderId="14" xfId="0" applyFont="1" applyFill="1" applyBorder="1" applyAlignment="1" applyProtection="1">
      <alignment vertical="center"/>
      <protection/>
    </xf>
    <xf numFmtId="0" fontId="4" fillId="34" borderId="14" xfId="0"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18" fillId="38" borderId="0" xfId="0" applyNumberFormat="1" applyFont="1" applyFill="1" applyAlignment="1" applyProtection="1">
      <alignment horizontal="left" vertical="center"/>
      <protection/>
    </xf>
    <xf numFmtId="0" fontId="6" fillId="36" borderId="0" xfId="0" applyFont="1" applyFill="1" applyAlignment="1">
      <alignment vertical="center"/>
    </xf>
    <xf numFmtId="0" fontId="4" fillId="38" borderId="0" xfId="0" applyFont="1" applyFill="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4" fillId="38" borderId="10" xfId="0" applyFont="1" applyFill="1" applyBorder="1" applyAlignment="1" applyProtection="1">
      <alignment vertical="center"/>
      <protection locked="0"/>
    </xf>
    <xf numFmtId="0" fontId="4" fillId="34" borderId="0" xfId="0" applyFont="1" applyFill="1" applyBorder="1" applyAlignment="1" applyProtection="1">
      <alignment vertical="center"/>
      <protection locked="0"/>
    </xf>
    <xf numFmtId="0" fontId="4" fillId="38" borderId="14" xfId="0" applyFont="1" applyFill="1" applyBorder="1" applyAlignment="1" applyProtection="1">
      <alignment vertical="center"/>
      <protection locked="0"/>
    </xf>
    <xf numFmtId="0" fontId="4" fillId="0" borderId="0" xfId="0" applyFont="1" applyAlignment="1" applyProtection="1">
      <alignment vertical="center"/>
      <protection locked="0"/>
    </xf>
    <xf numFmtId="37" fontId="4" fillId="34" borderId="0" xfId="0" applyNumberFormat="1" applyFont="1" applyFill="1" applyAlignment="1">
      <alignment vertical="center"/>
    </xf>
    <xf numFmtId="3" fontId="4" fillId="34" borderId="0" xfId="0" applyNumberFormat="1" applyFont="1" applyFill="1" applyAlignment="1" applyProtection="1">
      <alignment vertical="center"/>
      <protection/>
    </xf>
    <xf numFmtId="37" fontId="4" fillId="34" borderId="14" xfId="0" applyNumberFormat="1" applyFont="1" applyFill="1" applyBorder="1" applyAlignment="1" applyProtection="1">
      <alignment horizontal="left" vertical="center"/>
      <protection/>
    </xf>
    <xf numFmtId="37" fontId="4" fillId="33" borderId="11" xfId="0" applyNumberFormat="1" applyFont="1" applyFill="1" applyBorder="1" applyAlignment="1" applyProtection="1">
      <alignment vertical="center"/>
      <protection locked="0"/>
    </xf>
    <xf numFmtId="37" fontId="4" fillId="34" borderId="13" xfId="0" applyNumberFormat="1" applyFont="1" applyFill="1" applyBorder="1" applyAlignment="1" applyProtection="1">
      <alignment horizontal="left" vertical="center"/>
      <protection/>
    </xf>
    <xf numFmtId="3" fontId="4" fillId="34" borderId="18" xfId="0" applyNumberFormat="1" applyFont="1" applyFill="1" applyBorder="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4"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7" fontId="4" fillId="34" borderId="10" xfId="0" applyNumberFormat="1" applyFont="1" applyFill="1" applyBorder="1" applyAlignment="1" applyProtection="1">
      <alignment vertical="center"/>
      <protection/>
    </xf>
    <xf numFmtId="0" fontId="0" fillId="34" borderId="0" xfId="0" applyFill="1" applyAlignment="1">
      <alignment vertical="center"/>
    </xf>
    <xf numFmtId="0" fontId="4" fillId="36" borderId="16" xfId="0" applyFont="1" applyFill="1" applyBorder="1" applyAlignment="1">
      <alignment horizontal="center" vertical="center"/>
    </xf>
    <xf numFmtId="0" fontId="4" fillId="36" borderId="12" xfId="0" applyFont="1" applyFill="1" applyBorder="1" applyAlignment="1">
      <alignment horizontal="center" vertical="center"/>
    </xf>
    <xf numFmtId="0" fontId="19" fillId="34" borderId="0" xfId="0" applyFont="1" applyFill="1" applyAlignment="1">
      <alignment vertical="center"/>
    </xf>
    <xf numFmtId="0" fontId="25" fillId="34" borderId="0" xfId="0" applyFont="1" applyFill="1" applyAlignment="1">
      <alignment vertical="center"/>
    </xf>
    <xf numFmtId="0" fontId="4" fillId="36" borderId="17" xfId="0" applyFont="1" applyFill="1" applyBorder="1" applyAlignment="1">
      <alignment horizontal="center" vertical="center"/>
    </xf>
    <xf numFmtId="37" fontId="4" fillId="34" borderId="17" xfId="0" applyNumberFormat="1" applyFont="1" applyFill="1" applyBorder="1" applyAlignment="1">
      <alignment vertical="center"/>
    </xf>
    <xf numFmtId="3" fontId="4" fillId="33" borderId="17" xfId="0" applyNumberFormat="1" applyFont="1" applyFill="1" applyBorder="1" applyAlignment="1" applyProtection="1">
      <alignment vertical="center"/>
      <protection locked="0"/>
    </xf>
    <xf numFmtId="0" fontId="14" fillId="34" borderId="0" xfId="0" applyFont="1" applyFill="1" applyAlignment="1">
      <alignment vertical="center"/>
    </xf>
    <xf numFmtId="0" fontId="14" fillId="0" borderId="0" xfId="0" applyFont="1" applyAlignment="1">
      <alignment vertical="center"/>
    </xf>
    <xf numFmtId="0" fontId="14" fillId="34" borderId="0" xfId="0" applyFont="1" applyFill="1" applyAlignment="1" applyProtection="1">
      <alignment vertical="center"/>
      <protection/>
    </xf>
    <xf numFmtId="0" fontId="0" fillId="0" borderId="0" xfId="0" applyAlignment="1">
      <alignment vertical="center"/>
    </xf>
    <xf numFmtId="37" fontId="14" fillId="34" borderId="0" xfId="0" applyNumberFormat="1" applyFont="1" applyFill="1" applyAlignment="1" applyProtection="1">
      <alignment horizontal="centerContinuous" vertical="center"/>
      <protection/>
    </xf>
    <xf numFmtId="0" fontId="14" fillId="34" borderId="0" xfId="0" applyFont="1" applyFill="1" applyAlignment="1" applyProtection="1">
      <alignment horizontal="centerContinuous" vertical="center"/>
      <protection/>
    </xf>
    <xf numFmtId="37" fontId="14" fillId="34" borderId="0" xfId="0" applyNumberFormat="1" applyFont="1" applyFill="1" applyAlignment="1" applyProtection="1">
      <alignment horizontal="left" vertical="center"/>
      <protection/>
    </xf>
    <xf numFmtId="37" fontId="14" fillId="34" borderId="0" xfId="0" applyNumberFormat="1" applyFont="1" applyFill="1" applyAlignment="1" applyProtection="1">
      <alignment horizontal="fill" vertical="center"/>
      <protection/>
    </xf>
    <xf numFmtId="37" fontId="14" fillId="34" borderId="13" xfId="0" applyNumberFormat="1" applyFont="1" applyFill="1" applyBorder="1" applyAlignment="1" applyProtection="1">
      <alignment horizontal="centerContinuous" vertical="center"/>
      <protection/>
    </xf>
    <xf numFmtId="0" fontId="14" fillId="34" borderId="14" xfId="0" applyFont="1" applyFill="1" applyBorder="1" applyAlignment="1" applyProtection="1">
      <alignment horizontal="centerContinuous" vertical="center"/>
      <protection/>
    </xf>
    <xf numFmtId="0" fontId="14" fillId="34" borderId="15" xfId="0" applyFont="1" applyFill="1" applyBorder="1" applyAlignment="1" applyProtection="1">
      <alignment horizontal="centerContinuous" vertical="center"/>
      <protection/>
    </xf>
    <xf numFmtId="37" fontId="14" fillId="34" borderId="16" xfId="0" applyNumberFormat="1" applyFont="1" applyFill="1" applyBorder="1" applyAlignment="1" applyProtection="1">
      <alignment horizontal="center" vertical="center"/>
      <protection/>
    </xf>
    <xf numFmtId="37" fontId="15" fillId="34" borderId="10" xfId="0" applyNumberFormat="1" applyFont="1" applyFill="1" applyBorder="1" applyAlignment="1" applyProtection="1">
      <alignment horizontal="left" vertical="center"/>
      <protection/>
    </xf>
    <xf numFmtId="0" fontId="14" fillId="34" borderId="10" xfId="0" applyFont="1" applyFill="1" applyBorder="1" applyAlignment="1" applyProtection="1">
      <alignment vertical="center"/>
      <protection/>
    </xf>
    <xf numFmtId="37" fontId="14" fillId="34" borderId="17" xfId="0" applyNumberFormat="1" applyFont="1" applyFill="1" applyBorder="1" applyAlignment="1" applyProtection="1">
      <alignment horizontal="center" vertical="center"/>
      <protection/>
    </xf>
    <xf numFmtId="37" fontId="14" fillId="34" borderId="11" xfId="0" applyNumberFormat="1" applyFont="1" applyFill="1" applyBorder="1" applyAlignment="1" applyProtection="1">
      <alignment horizontal="left" vertical="center"/>
      <protection/>
    </xf>
    <xf numFmtId="37" fontId="14" fillId="34" borderId="12" xfId="0" applyNumberFormat="1" applyFont="1" applyFill="1" applyBorder="1" applyAlignment="1" applyProtection="1">
      <alignment horizontal="center" vertical="center"/>
      <protection/>
    </xf>
    <xf numFmtId="0" fontId="14" fillId="34" borderId="0" xfId="0" applyFont="1" applyFill="1" applyBorder="1" applyAlignment="1" applyProtection="1">
      <alignment vertical="center"/>
      <protection/>
    </xf>
    <xf numFmtId="37" fontId="14" fillId="34" borderId="13" xfId="0" applyNumberFormat="1" applyFont="1" applyFill="1" applyBorder="1" applyAlignment="1" applyProtection="1">
      <alignment horizontal="left" vertical="center"/>
      <protection/>
    </xf>
    <xf numFmtId="0" fontId="14" fillId="34" borderId="15" xfId="0" applyFont="1" applyFill="1" applyBorder="1" applyAlignment="1" applyProtection="1">
      <alignment vertical="center"/>
      <protection/>
    </xf>
    <xf numFmtId="37" fontId="14" fillId="34" borderId="18" xfId="0" applyNumberFormat="1" applyFont="1" applyFill="1" applyBorder="1" applyAlignment="1" applyProtection="1">
      <alignment horizontal="center" vertical="center"/>
      <protection/>
    </xf>
    <xf numFmtId="37" fontId="14" fillId="34" borderId="11" xfId="0" applyNumberFormat="1" applyFont="1" applyFill="1" applyBorder="1" applyAlignment="1" applyProtection="1">
      <alignment horizontal="center" vertical="center"/>
      <protection/>
    </xf>
    <xf numFmtId="0" fontId="14" fillId="34" borderId="12" xfId="0" applyFont="1" applyFill="1" applyBorder="1" applyAlignment="1" applyProtection="1">
      <alignment vertical="center"/>
      <protection/>
    </xf>
    <xf numFmtId="37" fontId="14" fillId="34" borderId="15" xfId="0" applyNumberFormat="1" applyFont="1" applyFill="1" applyBorder="1" applyAlignment="1" applyProtection="1">
      <alignment horizontal="center" vertical="center"/>
      <protection/>
    </xf>
    <xf numFmtId="37" fontId="23" fillId="34" borderId="17" xfId="0" applyNumberFormat="1" applyFont="1" applyFill="1" applyBorder="1" applyAlignment="1" applyProtection="1">
      <alignment horizontal="left" vertical="center"/>
      <protection/>
    </xf>
    <xf numFmtId="37" fontId="23" fillId="34" borderId="17" xfId="0" applyNumberFormat="1" applyFont="1" applyFill="1" applyBorder="1" applyAlignment="1" applyProtection="1">
      <alignment horizontal="center" vertical="center"/>
      <protection/>
    </xf>
    <xf numFmtId="0" fontId="14" fillId="34" borderId="11" xfId="0" applyFont="1" applyFill="1" applyBorder="1" applyAlignment="1" applyProtection="1">
      <alignment vertical="center"/>
      <protection/>
    </xf>
    <xf numFmtId="0" fontId="14" fillId="34" borderId="17" xfId="0" applyFont="1" applyFill="1" applyBorder="1" applyAlignment="1" applyProtection="1">
      <alignment vertical="center"/>
      <protection/>
    </xf>
    <xf numFmtId="37" fontId="14" fillId="34" borderId="13" xfId="0" applyNumberFormat="1" applyFont="1" applyFill="1" applyBorder="1" applyAlignment="1" applyProtection="1">
      <alignment horizontal="center" vertical="center"/>
      <protection/>
    </xf>
    <xf numFmtId="37" fontId="14" fillId="34" borderId="11" xfId="0" applyNumberFormat="1" applyFont="1" applyFill="1" applyBorder="1" applyAlignment="1" applyProtection="1">
      <alignment vertical="center"/>
      <protection/>
    </xf>
    <xf numFmtId="183" fontId="4" fillId="34" borderId="11" xfId="0" applyNumberFormat="1" applyFont="1" applyFill="1" applyBorder="1" applyAlignment="1" applyProtection="1">
      <alignment vertical="center"/>
      <protection/>
    </xf>
    <xf numFmtId="37" fontId="4" fillId="34" borderId="11" xfId="0" applyNumberFormat="1" applyFont="1" applyFill="1" applyBorder="1" applyAlignment="1" applyProtection="1">
      <alignment horizontal="center" vertical="center"/>
      <protection/>
    </xf>
    <xf numFmtId="0" fontId="14" fillId="34" borderId="11" xfId="0" applyFont="1" applyFill="1" applyBorder="1" applyAlignment="1" applyProtection="1">
      <alignment horizontal="center" vertical="center"/>
      <protection/>
    </xf>
    <xf numFmtId="0" fontId="14" fillId="34" borderId="16" xfId="0" applyFont="1" applyFill="1" applyBorder="1" applyAlignment="1" applyProtection="1">
      <alignment vertical="center"/>
      <protection/>
    </xf>
    <xf numFmtId="37" fontId="15" fillId="34" borderId="16" xfId="0" applyNumberFormat="1" applyFont="1" applyFill="1" applyBorder="1" applyAlignment="1" applyProtection="1">
      <alignment horizontal="left" vertical="center"/>
      <protection/>
    </xf>
    <xf numFmtId="37" fontId="14" fillId="34" borderId="19" xfId="0" applyNumberFormat="1" applyFont="1" applyFill="1" applyBorder="1" applyAlignment="1" applyProtection="1">
      <alignment horizontal="left" vertical="center"/>
      <protection/>
    </xf>
    <xf numFmtId="0" fontId="14" fillId="34" borderId="20" xfId="0" applyFont="1" applyFill="1" applyBorder="1" applyAlignment="1" applyProtection="1">
      <alignment vertical="center"/>
      <protection/>
    </xf>
    <xf numFmtId="37" fontId="14" fillId="34" borderId="0" xfId="0" applyNumberFormat="1" applyFont="1" applyFill="1" applyBorder="1" applyAlignment="1" applyProtection="1">
      <alignment vertical="center"/>
      <protection/>
    </xf>
    <xf numFmtId="0" fontId="14" fillId="34" borderId="0" xfId="0" applyFont="1" applyFill="1" applyAlignment="1" applyProtection="1">
      <alignment horizontal="center" vertical="center"/>
      <protection/>
    </xf>
    <xf numFmtId="0" fontId="19" fillId="39" borderId="15" xfId="0" applyFont="1" applyFill="1" applyBorder="1" applyAlignment="1" applyProtection="1">
      <alignment horizontal="center" vertical="center"/>
      <protection/>
    </xf>
    <xf numFmtId="3" fontId="14" fillId="33" borderId="11" xfId="0" applyNumberFormat="1" applyFont="1" applyFill="1" applyBorder="1" applyAlignment="1" applyProtection="1">
      <alignment vertical="center"/>
      <protection locked="0"/>
    </xf>
    <xf numFmtId="37" fontId="14" fillId="34" borderId="0" xfId="0" applyNumberFormat="1" applyFont="1" applyFill="1" applyAlignment="1" applyProtection="1">
      <alignment horizontal="right" vertical="center"/>
      <protection/>
    </xf>
    <xf numFmtId="0" fontId="14" fillId="33" borderId="10" xfId="0" applyFont="1" applyFill="1" applyBorder="1" applyAlignment="1" applyProtection="1">
      <alignment vertical="center"/>
      <protection locked="0"/>
    </xf>
    <xf numFmtId="0" fontId="14" fillId="33" borderId="14" xfId="0" applyFont="1" applyFill="1" applyBorder="1" applyAlignment="1" applyProtection="1">
      <alignment vertical="center"/>
      <protection locked="0"/>
    </xf>
    <xf numFmtId="0" fontId="14" fillId="34" borderId="0" xfId="0" applyFont="1" applyFill="1" applyAlignment="1" applyProtection="1">
      <alignment horizontal="right" vertical="center"/>
      <protection/>
    </xf>
    <xf numFmtId="0" fontId="14" fillId="34" borderId="0" xfId="0" applyFont="1" applyFill="1" applyAlignment="1" applyProtection="1">
      <alignment horizontal="left" vertical="center"/>
      <protection/>
    </xf>
    <xf numFmtId="0" fontId="14" fillId="0" borderId="0" xfId="0" applyFont="1" applyAlignment="1" applyProtection="1">
      <alignment vertical="center"/>
      <protection locked="0"/>
    </xf>
    <xf numFmtId="37" fontId="4" fillId="34" borderId="0" xfId="0" applyNumberFormat="1" applyFont="1" applyFill="1" applyAlignment="1" applyProtection="1">
      <alignment horizontal="centerContinuous" vertical="center"/>
      <protection/>
    </xf>
    <xf numFmtId="37" fontId="4" fillId="34" borderId="13" xfId="0" applyNumberFormat="1" applyFont="1" applyFill="1" applyBorder="1" applyAlignment="1" applyProtection="1">
      <alignment horizontal="centerContinuous" vertical="center"/>
      <protection/>
    </xf>
    <xf numFmtId="0" fontId="4" fillId="34" borderId="14"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37" fontId="4" fillId="34" borderId="16" xfId="0" applyNumberFormat="1" applyFont="1" applyFill="1" applyBorder="1" applyAlignment="1" applyProtection="1">
      <alignment horizontal="center" vertical="center"/>
      <protection/>
    </xf>
    <xf numFmtId="37" fontId="5" fillId="34" borderId="10" xfId="0" applyNumberFormat="1" applyFont="1" applyFill="1" applyBorder="1" applyAlignment="1" applyProtection="1">
      <alignment horizontal="left" vertical="center"/>
      <protection/>
    </xf>
    <xf numFmtId="37" fontId="4"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4" fillId="33" borderId="11" xfId="0" applyNumberFormat="1" applyFont="1" applyFill="1" applyBorder="1" applyAlignment="1" applyProtection="1">
      <alignment horizontal="left" vertical="center"/>
      <protection locked="0"/>
    </xf>
    <xf numFmtId="37" fontId="4" fillId="34" borderId="11" xfId="0" applyNumberFormat="1" applyFont="1" applyFill="1" applyBorder="1" applyAlignment="1" applyProtection="1">
      <alignment horizontal="fill" vertical="center"/>
      <protection/>
    </xf>
    <xf numFmtId="37" fontId="4" fillId="35" borderId="21" xfId="0" applyNumberFormat="1" applyFont="1" applyFill="1" applyBorder="1" applyAlignment="1" applyProtection="1">
      <alignment vertical="center"/>
      <protection/>
    </xf>
    <xf numFmtId="183" fontId="4" fillId="35" borderId="21"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7" fontId="4" fillId="0" borderId="0" xfId="0" applyNumberFormat="1" applyFont="1" applyAlignment="1" applyProtection="1">
      <alignment horizontal="left" vertical="center"/>
      <protection locked="0"/>
    </xf>
    <xf numFmtId="0" fontId="4" fillId="0" borderId="0" xfId="0" applyFont="1" applyAlignment="1" applyProtection="1">
      <alignment horizontal="center" vertical="center"/>
      <protection locked="0"/>
    </xf>
    <xf numFmtId="37" fontId="4" fillId="0" borderId="0" xfId="0" applyNumberFormat="1" applyFont="1" applyAlignment="1" applyProtection="1">
      <alignment horizontal="fill" vertical="center"/>
      <protection locked="0"/>
    </xf>
    <xf numFmtId="37" fontId="4"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7" fontId="4" fillId="34" borderId="0" xfId="0" applyNumberFormat="1" applyFont="1" applyFill="1" applyAlignment="1" applyProtection="1">
      <alignment horizontal="right" vertical="center"/>
      <protection/>
    </xf>
    <xf numFmtId="0" fontId="5" fillId="34" borderId="10"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4" fillId="34" borderId="24" xfId="0" applyFont="1" applyFill="1" applyBorder="1" applyAlignment="1" applyProtection="1">
      <alignment horizontal="center" vertical="center"/>
      <protection/>
    </xf>
    <xf numFmtId="0" fontId="4" fillId="33" borderId="17" xfId="0" applyFont="1" applyFill="1" applyBorder="1" applyAlignment="1" applyProtection="1">
      <alignment vertical="center"/>
      <protection locked="0"/>
    </xf>
    <xf numFmtId="175" fontId="4" fillId="33" borderId="17" xfId="42" applyNumberFormat="1" applyFont="1" applyFill="1" applyBorder="1" applyAlignment="1" applyProtection="1">
      <alignment vertical="center"/>
      <protection locked="0"/>
    </xf>
    <xf numFmtId="175" fontId="4" fillId="33" borderId="11" xfId="42" applyNumberFormat="1"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4" fillId="34" borderId="11" xfId="0"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locked="0"/>
    </xf>
    <xf numFmtId="1" fontId="4" fillId="34" borderId="0" xfId="0" applyNumberFormat="1" applyFont="1" applyFill="1" applyBorder="1" applyAlignment="1" applyProtection="1">
      <alignment horizontal="right" vertical="center"/>
      <protection/>
    </xf>
    <xf numFmtId="0" fontId="5" fillId="34" borderId="0" xfId="571" applyFont="1" applyFill="1" applyAlignment="1" applyProtection="1">
      <alignment horizontal="centerContinuous" vertical="center"/>
      <protection/>
    </xf>
    <xf numFmtId="0" fontId="4" fillId="34" borderId="10" xfId="0" applyFont="1" applyFill="1" applyBorder="1" applyAlignment="1" applyProtection="1">
      <alignment horizontal="fill" vertical="center"/>
      <protection/>
    </xf>
    <xf numFmtId="0" fontId="4" fillId="34" borderId="16" xfId="0" applyFont="1" applyFill="1" applyBorder="1" applyAlignment="1" applyProtection="1">
      <alignment horizontal="center" vertical="center"/>
      <protection/>
    </xf>
    <xf numFmtId="0" fontId="4" fillId="34" borderId="19" xfId="0" applyFont="1" applyFill="1" applyBorder="1" applyAlignment="1" applyProtection="1">
      <alignment horizontal="centerContinuous" vertical="center"/>
      <protection/>
    </xf>
    <xf numFmtId="0" fontId="4" fillId="34" borderId="20"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 vertical="center"/>
      <protection/>
    </xf>
    <xf numFmtId="1" fontId="4" fillId="34" borderId="25" xfId="0" applyNumberFormat="1" applyFont="1" applyFill="1" applyBorder="1" applyAlignment="1" applyProtection="1">
      <alignment horizontal="center" vertical="center"/>
      <protection/>
    </xf>
    <xf numFmtId="0" fontId="4" fillId="34" borderId="11" xfId="0" applyFont="1" applyFill="1" applyBorder="1" applyAlignment="1" applyProtection="1">
      <alignment horizontal="left" vertical="center"/>
      <protection/>
    </xf>
    <xf numFmtId="0" fontId="4" fillId="34" borderId="17" xfId="0" applyFont="1" applyFill="1" applyBorder="1" applyAlignment="1" applyProtection="1">
      <alignment horizontal="center" vertical="center"/>
      <protection/>
    </xf>
    <xf numFmtId="2" fontId="4" fillId="34" borderId="11"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0" fontId="4" fillId="33" borderId="11" xfId="0" applyFont="1" applyFill="1" applyBorder="1" applyAlignment="1" applyProtection="1">
      <alignment horizontal="center" vertical="center"/>
      <protection locked="0"/>
    </xf>
    <xf numFmtId="2" fontId="4" fillId="33" borderId="11" xfId="0" applyNumberFormat="1" applyFont="1" applyFill="1" applyBorder="1" applyAlignment="1" applyProtection="1">
      <alignment horizontal="center" vertical="center"/>
      <protection locked="0"/>
    </xf>
    <xf numFmtId="3" fontId="4" fillId="33" borderId="11" xfId="0" applyNumberFormat="1" applyFont="1" applyFill="1" applyBorder="1" applyAlignment="1" applyProtection="1">
      <alignment horizontal="center" vertical="center"/>
      <protection locked="0"/>
    </xf>
    <xf numFmtId="37" fontId="4" fillId="33" borderId="11" xfId="0" applyNumberFormat="1" applyFont="1" applyFill="1" applyBorder="1" applyAlignment="1" applyProtection="1">
      <alignment horizontal="center" vertical="center"/>
      <protection locked="0"/>
    </xf>
    <xf numFmtId="173" fontId="4" fillId="33" borderId="11" xfId="0" applyNumberFormat="1" applyFont="1" applyFill="1" applyBorder="1" applyAlignment="1" applyProtection="1">
      <alignment horizontal="center" vertical="center"/>
      <protection locked="0"/>
    </xf>
    <xf numFmtId="0" fontId="5" fillId="34" borderId="11" xfId="0" applyFont="1" applyFill="1" applyBorder="1" applyAlignment="1" applyProtection="1">
      <alignment horizontal="center" vertical="center"/>
      <protection/>
    </xf>
    <xf numFmtId="172" fontId="5" fillId="34" borderId="11" xfId="0" applyNumberFormat="1" applyFont="1" applyFill="1" applyBorder="1" applyAlignment="1" applyProtection="1">
      <alignment horizontal="center" vertical="center"/>
      <protection/>
    </xf>
    <xf numFmtId="2" fontId="5" fillId="34" borderId="11" xfId="0" applyNumberFormat="1" applyFont="1" applyFill="1" applyBorder="1" applyAlignment="1" applyProtection="1">
      <alignment horizontal="center" vertical="center"/>
      <protection/>
    </xf>
    <xf numFmtId="3" fontId="5" fillId="34" borderId="11" xfId="0" applyNumberFormat="1" applyFont="1" applyFill="1" applyBorder="1" applyAlignment="1" applyProtection="1">
      <alignment horizontal="center" vertical="center"/>
      <protection/>
    </xf>
    <xf numFmtId="37" fontId="5" fillId="35" borderId="11" xfId="0" applyNumberFormat="1" applyFont="1" applyFill="1" applyBorder="1" applyAlignment="1" applyProtection="1">
      <alignment horizontal="center" vertical="center"/>
      <protection/>
    </xf>
    <xf numFmtId="173" fontId="5" fillId="34" borderId="11" xfId="0" applyNumberFormat="1" applyFont="1" applyFill="1" applyBorder="1" applyAlignment="1" applyProtection="1">
      <alignment horizontal="center" vertical="center"/>
      <protection/>
    </xf>
    <xf numFmtId="172" fontId="4" fillId="34" borderId="11" xfId="0" applyNumberFormat="1" applyFont="1" applyFill="1" applyBorder="1" applyAlignment="1" applyProtection="1">
      <alignment horizontal="center" vertical="center"/>
      <protection/>
    </xf>
    <xf numFmtId="2" fontId="4" fillId="34" borderId="11" xfId="0" applyNumberFormat="1" applyFont="1" applyFill="1" applyBorder="1" applyAlignment="1" applyProtection="1">
      <alignment horizontal="center" vertical="center"/>
      <protection/>
    </xf>
    <xf numFmtId="3" fontId="4" fillId="34" borderId="11" xfId="0" applyNumberFormat="1" applyFont="1" applyFill="1" applyBorder="1" applyAlignment="1" applyProtection="1">
      <alignment horizontal="center" vertical="center"/>
      <protection/>
    </xf>
    <xf numFmtId="173" fontId="4" fillId="34" borderId="11" xfId="0" applyNumberFormat="1" applyFont="1" applyFill="1" applyBorder="1" applyAlignment="1" applyProtection="1">
      <alignment horizontal="center" vertical="center"/>
      <protection/>
    </xf>
    <xf numFmtId="1" fontId="5" fillId="34" borderId="11" xfId="0" applyNumberFormat="1" applyFont="1" applyFill="1" applyBorder="1" applyAlignment="1" applyProtection="1">
      <alignment horizontal="center" vertical="center"/>
      <protection/>
    </xf>
    <xf numFmtId="3" fontId="5" fillId="35" borderId="11" xfId="0" applyNumberFormat="1" applyFont="1" applyFill="1" applyBorder="1" applyAlignment="1" applyProtection="1">
      <alignment horizontal="center" vertical="center"/>
      <protection/>
    </xf>
    <xf numFmtId="1" fontId="4" fillId="34" borderId="11" xfId="0" applyNumberFormat="1" applyFont="1" applyFill="1" applyBorder="1" applyAlignment="1" applyProtection="1">
      <alignment horizontal="center" vertical="center"/>
      <protection/>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34" borderId="0" xfId="0" applyNumberFormat="1" applyFont="1" applyFill="1" applyAlignment="1" applyProtection="1">
      <alignment horizontal="right" vertical="center"/>
      <protection/>
    </xf>
    <xf numFmtId="0" fontId="4" fillId="34" borderId="0" xfId="0" applyFont="1" applyFill="1" applyAlignment="1" applyProtection="1">
      <alignment horizontal="right" vertical="center"/>
      <protection/>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8" fillId="34" borderId="17" xfId="0" applyFont="1" applyFill="1" applyBorder="1" applyAlignment="1" applyProtection="1">
      <alignment horizontal="center" vertical="center"/>
      <protection/>
    </xf>
    <xf numFmtId="14" fontId="4" fillId="34" borderId="17" xfId="0" applyNumberFormat="1" applyFont="1" applyFill="1" applyBorder="1" applyAlignment="1" applyProtection="1" quotePrefix="1">
      <alignment horizontal="center" vertical="center"/>
      <protection/>
    </xf>
    <xf numFmtId="0" fontId="4" fillId="33" borderId="11" xfId="0" applyFont="1" applyFill="1" applyBorder="1" applyAlignment="1" applyProtection="1">
      <alignment vertical="center"/>
      <protection locked="0"/>
    </xf>
    <xf numFmtId="1" fontId="4" fillId="33" borderId="11" xfId="0" applyNumberFormat="1" applyFont="1" applyFill="1" applyBorder="1" applyAlignment="1" applyProtection="1">
      <alignment vertical="center"/>
      <protection locked="0"/>
    </xf>
    <xf numFmtId="2" fontId="4" fillId="33" borderId="11" xfId="0" applyNumberFormat="1" applyFont="1" applyFill="1" applyBorder="1" applyAlignment="1" applyProtection="1">
      <alignment vertical="center"/>
      <protection locked="0"/>
    </xf>
    <xf numFmtId="3" fontId="5" fillId="35" borderId="21" xfId="0" applyNumberFormat="1" applyFont="1" applyFill="1" applyBorder="1" applyAlignment="1" applyProtection="1">
      <alignment vertical="center"/>
      <protection/>
    </xf>
    <xf numFmtId="0" fontId="4" fillId="0" borderId="0" xfId="0" applyFont="1" applyBorder="1" applyAlignment="1">
      <alignment vertical="center"/>
    </xf>
    <xf numFmtId="0" fontId="4" fillId="37" borderId="0" xfId="570" applyFont="1" applyFill="1" applyAlignment="1" applyProtection="1">
      <alignment vertical="center"/>
      <protection/>
    </xf>
    <xf numFmtId="0" fontId="4" fillId="37" borderId="0" xfId="0" applyFont="1" applyFill="1" applyAlignment="1" applyProtection="1">
      <alignment vertical="center"/>
      <protection/>
    </xf>
    <xf numFmtId="0" fontId="4" fillId="34" borderId="0" xfId="0" applyFont="1" applyFill="1" applyAlignment="1" applyProtection="1" quotePrefix="1">
      <alignment horizontal="right" vertical="center"/>
      <protection/>
    </xf>
    <xf numFmtId="0" fontId="4" fillId="34" borderId="0" xfId="0" applyFont="1" applyFill="1" applyAlignment="1" applyProtection="1">
      <alignment horizontal="left" vertical="center"/>
      <protection/>
    </xf>
    <xf numFmtId="1" fontId="4" fillId="34" borderId="17"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left" vertical="center"/>
      <protection/>
    </xf>
    <xf numFmtId="3" fontId="4" fillId="33" borderId="15" xfId="0" applyNumberFormat="1" applyFont="1" applyFill="1" applyBorder="1" applyAlignment="1" applyProtection="1">
      <alignment vertical="center"/>
      <protection locked="0"/>
    </xf>
    <xf numFmtId="37" fontId="4" fillId="34" borderId="13" xfId="0" applyNumberFormat="1"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37" fontId="4" fillId="33" borderId="13" xfId="0" applyNumberFormat="1" applyFont="1" applyFill="1" applyBorder="1" applyAlignment="1" applyProtection="1">
      <alignment vertical="center"/>
      <protection locked="0"/>
    </xf>
    <xf numFmtId="0" fontId="4" fillId="33" borderId="13" xfId="0" applyFont="1" applyFill="1" applyBorder="1" applyAlignment="1" applyProtection="1">
      <alignment horizontal="left" vertical="center"/>
      <protection locked="0"/>
    </xf>
    <xf numFmtId="0" fontId="4" fillId="34" borderId="13" xfId="0" applyFont="1" applyFill="1" applyBorder="1" applyAlignment="1" applyProtection="1">
      <alignment vertical="center"/>
      <protection/>
    </xf>
    <xf numFmtId="3" fontId="19" fillId="40" borderId="20"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left" vertical="center"/>
      <protection/>
    </xf>
    <xf numFmtId="37" fontId="5" fillId="35" borderId="11" xfId="0" applyNumberFormat="1" applyFont="1" applyFill="1" applyBorder="1" applyAlignment="1" applyProtection="1">
      <alignment vertical="center"/>
      <protection/>
    </xf>
    <xf numFmtId="0" fontId="5" fillId="34" borderId="0" xfId="0" applyFont="1" applyFill="1" applyAlignment="1" applyProtection="1">
      <alignment horizontal="left" vertical="center"/>
      <protection/>
    </xf>
    <xf numFmtId="0" fontId="4" fillId="34" borderId="0" xfId="0" applyFont="1" applyFill="1" applyAlignment="1" applyProtection="1">
      <alignment horizontal="fill" vertical="center"/>
      <protection/>
    </xf>
    <xf numFmtId="0" fontId="4" fillId="34" borderId="17"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vertical="center"/>
      <protection/>
    </xf>
    <xf numFmtId="37" fontId="4" fillId="39" borderId="11" xfId="0" applyNumberFormat="1" applyFont="1" applyFill="1" applyBorder="1" applyAlignment="1" applyProtection="1">
      <alignment vertical="center"/>
      <protection/>
    </xf>
    <xf numFmtId="0" fontId="4" fillId="33" borderId="13" xfId="0" applyFont="1" applyFill="1" applyBorder="1" applyAlignment="1" applyProtection="1">
      <alignment vertical="center"/>
      <protection locked="0"/>
    </xf>
    <xf numFmtId="37" fontId="4" fillId="35" borderId="11" xfId="0" applyNumberFormat="1" applyFont="1" applyFill="1" applyBorder="1" applyAlignment="1" applyProtection="1">
      <alignment vertical="center"/>
      <protection/>
    </xf>
    <xf numFmtId="0" fontId="19" fillId="0" borderId="0" xfId="0" applyFont="1" applyAlignment="1">
      <alignment vertical="center"/>
    </xf>
    <xf numFmtId="0" fontId="20" fillId="34" borderId="0" xfId="0" applyFont="1" applyFill="1" applyAlignment="1" applyProtection="1">
      <alignment horizontal="center" vertical="center"/>
      <protection/>
    </xf>
    <xf numFmtId="0" fontId="4" fillId="34" borderId="0" xfId="0" applyFont="1" applyFill="1" applyAlignment="1">
      <alignment horizontal="right" vertical="center"/>
    </xf>
    <xf numFmtId="1" fontId="4" fillId="34" borderId="16" xfId="0" applyNumberFormat="1" applyFont="1" applyFill="1" applyBorder="1" applyAlignment="1" applyProtection="1">
      <alignment horizontal="center" vertical="center"/>
      <protection/>
    </xf>
    <xf numFmtId="0" fontId="4" fillId="33" borderId="11" xfId="0" applyFont="1" applyFill="1" applyBorder="1" applyAlignment="1" applyProtection="1">
      <alignment horizontal="left" vertical="center"/>
      <protection locked="0"/>
    </xf>
    <xf numFmtId="37" fontId="4" fillId="35" borderId="16" xfId="0" applyNumberFormat="1" applyFont="1" applyFill="1" applyBorder="1" applyAlignment="1" applyProtection="1">
      <alignment vertical="center"/>
      <protection/>
    </xf>
    <xf numFmtId="0" fontId="4" fillId="34" borderId="0" xfId="0" applyNumberFormat="1" applyFont="1" applyFill="1" applyAlignment="1" applyProtection="1">
      <alignment vertical="center"/>
      <protection/>
    </xf>
    <xf numFmtId="37" fontId="4" fillId="34" borderId="0" xfId="0" applyNumberFormat="1" applyFont="1" applyFill="1" applyAlignment="1" applyProtection="1">
      <alignment horizontal="fill" vertical="center"/>
      <protection/>
    </xf>
    <xf numFmtId="0" fontId="4" fillId="35" borderId="0" xfId="0" applyFont="1" applyFill="1" applyAlignment="1" applyProtection="1">
      <alignment horizontal="left" vertical="center"/>
      <protection/>
    </xf>
    <xf numFmtId="37" fontId="5" fillId="39" borderId="21" xfId="0" applyNumberFormat="1" applyFont="1" applyFill="1" applyBorder="1" applyAlignment="1" applyProtection="1">
      <alignment vertical="center"/>
      <protection/>
    </xf>
    <xf numFmtId="0" fontId="19" fillId="37" borderId="0" xfId="0" applyFont="1" applyFill="1" applyAlignment="1">
      <alignment vertical="center"/>
    </xf>
    <xf numFmtId="37" fontId="4" fillId="37" borderId="0" xfId="0" applyNumberFormat="1" applyFont="1" applyFill="1" applyAlignment="1">
      <alignment vertical="center"/>
    </xf>
    <xf numFmtId="37" fontId="4" fillId="0" borderId="0" xfId="0" applyNumberFormat="1" applyFont="1" applyAlignment="1">
      <alignment vertical="center"/>
    </xf>
    <xf numFmtId="166" fontId="4" fillId="34" borderId="0" xfId="0" applyNumberFormat="1" applyFont="1" applyFill="1" applyAlignment="1" applyProtection="1">
      <alignment vertical="center"/>
      <protection/>
    </xf>
    <xf numFmtId="37" fontId="4" fillId="34" borderId="0" xfId="0" applyNumberFormat="1" applyFont="1" applyFill="1" applyAlignment="1" applyProtection="1" quotePrefix="1">
      <alignment horizontal="right" vertical="center"/>
      <protection/>
    </xf>
    <xf numFmtId="3" fontId="4" fillId="34" borderId="11" xfId="42" applyNumberFormat="1" applyFont="1" applyFill="1" applyBorder="1" applyAlignment="1" applyProtection="1">
      <alignment horizontal="right" vertical="center"/>
      <protection/>
    </xf>
    <xf numFmtId="37" fontId="4" fillId="34" borderId="25" xfId="0" applyNumberFormat="1" applyFont="1" applyFill="1" applyBorder="1" applyAlignment="1" applyProtection="1">
      <alignment horizontal="left" vertical="center"/>
      <protection/>
    </xf>
    <xf numFmtId="3" fontId="4" fillId="34" borderId="11" xfId="0" applyNumberFormat="1" applyFont="1" applyFill="1" applyBorder="1" applyAlignment="1" applyProtection="1">
      <alignment horizontal="fill" vertical="center"/>
      <protection/>
    </xf>
    <xf numFmtId="3" fontId="4" fillId="33" borderId="11" xfId="0" applyNumberFormat="1" applyFont="1" applyFill="1" applyBorder="1" applyAlignment="1" applyProtection="1">
      <alignment horizontal="right" vertical="center"/>
      <protection locked="0"/>
    </xf>
    <xf numFmtId="3" fontId="4" fillId="34" borderId="11" xfId="0" applyNumberFormat="1" applyFont="1" applyFill="1" applyBorder="1" applyAlignment="1" applyProtection="1">
      <alignment horizontal="right" vertical="center"/>
      <protection/>
    </xf>
    <xf numFmtId="0" fontId="4" fillId="34" borderId="13" xfId="0" applyNumberFormat="1" applyFont="1" applyFill="1" applyBorder="1" applyAlignment="1" applyProtection="1">
      <alignment horizontal="left" vertical="center"/>
      <protection/>
    </xf>
    <xf numFmtId="0" fontId="4" fillId="33" borderId="13" xfId="0" applyNumberFormat="1" applyFont="1" applyFill="1" applyBorder="1" applyAlignment="1" applyProtection="1">
      <alignment horizontal="left" vertical="center"/>
      <protection locked="0"/>
    </xf>
    <xf numFmtId="3" fontId="4" fillId="33" borderId="11" xfId="0" applyNumberFormat="1" applyFont="1" applyFill="1" applyBorder="1" applyAlignment="1" applyProtection="1">
      <alignment horizontal="right" vertical="center"/>
      <protection locked="0"/>
    </xf>
    <xf numFmtId="0" fontId="4" fillId="33" borderId="19" xfId="0" applyNumberFormat="1" applyFont="1" applyFill="1" applyBorder="1" applyAlignment="1" applyProtection="1">
      <alignment horizontal="left" vertical="center"/>
      <protection locked="0"/>
    </xf>
    <xf numFmtId="3" fontId="19" fillId="40" borderId="11" xfId="0" applyNumberFormat="1" applyFont="1" applyFill="1" applyBorder="1" applyAlignment="1" applyProtection="1">
      <alignment horizontal="center" vertical="center"/>
      <protection/>
    </xf>
    <xf numFmtId="3" fontId="5" fillId="35" borderId="17" xfId="0" applyNumberFormat="1" applyFont="1" applyFill="1" applyBorder="1" applyAlignment="1" applyProtection="1">
      <alignment horizontal="right" vertical="center"/>
      <protection/>
    </xf>
    <xf numFmtId="3" fontId="5" fillId="35" borderId="11" xfId="0" applyNumberFormat="1" applyFont="1" applyFill="1" applyBorder="1" applyAlignment="1" applyProtection="1">
      <alignment horizontal="right" vertical="center"/>
      <protection/>
    </xf>
    <xf numFmtId="0" fontId="19" fillId="0" borderId="0" xfId="0" applyFont="1" applyAlignment="1" applyProtection="1">
      <alignment vertical="center"/>
      <protection/>
    </xf>
    <xf numFmtId="3" fontId="4" fillId="39" borderId="11" xfId="0" applyNumberFormat="1" applyFont="1" applyFill="1" applyBorder="1" applyAlignment="1" applyProtection="1">
      <alignment vertical="center"/>
      <protection/>
    </xf>
    <xf numFmtId="0" fontId="4" fillId="33" borderId="0" xfId="0" applyFont="1" applyFill="1" applyAlignment="1" applyProtection="1">
      <alignment horizontal="left" vertical="center"/>
      <protection locked="0"/>
    </xf>
    <xf numFmtId="0" fontId="4" fillId="33" borderId="13" xfId="0" applyFont="1" applyFill="1" applyBorder="1" applyAlignment="1" applyProtection="1">
      <alignment horizontal="left" vertical="center"/>
      <protection/>
    </xf>
    <xf numFmtId="0" fontId="4" fillId="33" borderId="13" xfId="0" applyFont="1" applyFill="1" applyBorder="1" applyAlignment="1">
      <alignment vertical="center"/>
    </xf>
    <xf numFmtId="3" fontId="5" fillId="35" borderId="11" xfId="0" applyNumberFormat="1" applyFont="1" applyFill="1" applyBorder="1" applyAlignment="1" applyProtection="1">
      <alignment vertical="center"/>
      <protection/>
    </xf>
    <xf numFmtId="0" fontId="4" fillId="34" borderId="0" xfId="0" applyFont="1" applyFill="1" applyAlignment="1" applyProtection="1">
      <alignment horizontal="center" vertical="center"/>
      <protection locked="0"/>
    </xf>
    <xf numFmtId="37" fontId="4" fillId="33" borderId="13" xfId="0" applyNumberFormat="1" applyFont="1" applyFill="1" applyBorder="1" applyAlignment="1" applyProtection="1">
      <alignment vertical="center"/>
      <protection/>
    </xf>
    <xf numFmtId="0" fontId="19" fillId="37" borderId="0" xfId="0" applyFont="1" applyFill="1" applyAlignment="1" applyProtection="1">
      <alignment vertical="center"/>
      <protection/>
    </xf>
    <xf numFmtId="37" fontId="4" fillId="37" borderId="0" xfId="0" applyNumberFormat="1" applyFont="1" applyFill="1" applyAlignment="1" applyProtection="1">
      <alignment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4" fillId="34" borderId="15" xfId="0" applyFont="1" applyFill="1" applyBorder="1" applyAlignment="1">
      <alignment horizontal="center" vertical="center"/>
    </xf>
    <xf numFmtId="0" fontId="4" fillId="34" borderId="10" xfId="0" applyFont="1" applyFill="1" applyBorder="1" applyAlignment="1">
      <alignment vertical="center"/>
    </xf>
    <xf numFmtId="0" fontId="17" fillId="34" borderId="16" xfId="0" applyFont="1" applyFill="1" applyBorder="1" applyAlignment="1">
      <alignment vertical="center"/>
    </xf>
    <xf numFmtId="0" fontId="17" fillId="34" borderId="15" xfId="0" applyFont="1" applyFill="1" applyBorder="1" applyAlignment="1">
      <alignment horizontal="center" vertical="center"/>
    </xf>
    <xf numFmtId="0" fontId="17" fillId="34" borderId="20" xfId="0" applyFont="1" applyFill="1" applyBorder="1" applyAlignment="1">
      <alignment vertical="center"/>
    </xf>
    <xf numFmtId="0" fontId="17" fillId="34" borderId="11" xfId="0" applyFont="1" applyFill="1" applyBorder="1" applyAlignment="1">
      <alignment horizontal="center" vertical="center"/>
    </xf>
    <xf numFmtId="0" fontId="4" fillId="34" borderId="15" xfId="0" applyFont="1" applyFill="1" applyBorder="1" applyAlignment="1">
      <alignment vertical="center"/>
    </xf>
    <xf numFmtId="0" fontId="4" fillId="34" borderId="11" xfId="0" applyFont="1" applyFill="1" applyBorder="1" applyAlignment="1">
      <alignment horizontal="center" vertical="center"/>
    </xf>
    <xf numFmtId="0" fontId="17" fillId="34" borderId="25" xfId="0" applyFont="1" applyFill="1" applyBorder="1" applyAlignment="1">
      <alignment vertical="center"/>
    </xf>
    <xf numFmtId="3" fontId="17" fillId="33" borderId="11" xfId="0" applyNumberFormat="1" applyFont="1" applyFill="1" applyBorder="1" applyAlignment="1" applyProtection="1">
      <alignment horizontal="center" vertical="center"/>
      <protection locked="0"/>
    </xf>
    <xf numFmtId="0" fontId="17" fillId="34" borderId="10" xfId="0" applyFont="1" applyFill="1" applyBorder="1" applyAlignment="1">
      <alignment vertical="center"/>
    </xf>
    <xf numFmtId="3" fontId="17" fillId="35" borderId="11" xfId="0" applyNumberFormat="1" applyFont="1" applyFill="1" applyBorder="1" applyAlignment="1">
      <alignment horizontal="center" vertical="center"/>
    </xf>
    <xf numFmtId="0" fontId="17" fillId="34" borderId="0" xfId="0" applyFont="1" applyFill="1" applyAlignment="1">
      <alignment vertical="center"/>
    </xf>
    <xf numFmtId="3" fontId="17" fillId="34" borderId="0" xfId="0" applyNumberFormat="1" applyFont="1" applyFill="1" applyAlignment="1">
      <alignment horizontal="center" vertical="center"/>
    </xf>
    <xf numFmtId="0" fontId="17" fillId="34" borderId="0" xfId="0" applyFont="1" applyFill="1" applyAlignment="1">
      <alignment horizontal="center" vertical="center"/>
    </xf>
    <xf numFmtId="0" fontId="17" fillId="33" borderId="11" xfId="0" applyFont="1" applyFill="1" applyBorder="1" applyAlignment="1" applyProtection="1">
      <alignment vertical="center"/>
      <protection locked="0"/>
    </xf>
    <xf numFmtId="0" fontId="17" fillId="33" borderId="20" xfId="0" applyFont="1" applyFill="1" applyBorder="1" applyAlignment="1" applyProtection="1">
      <alignment vertical="center"/>
      <protection locked="0"/>
    </xf>
    <xf numFmtId="0" fontId="17" fillId="33" borderId="0" xfId="0" applyFont="1" applyFill="1" applyAlignment="1" applyProtection="1">
      <alignment vertical="center"/>
      <protection locked="0"/>
    </xf>
    <xf numFmtId="0" fontId="17" fillId="33" borderId="15" xfId="0" applyFont="1" applyFill="1" applyBorder="1" applyAlignment="1" applyProtection="1">
      <alignment vertical="center"/>
      <protection locked="0"/>
    </xf>
    <xf numFmtId="0" fontId="17" fillId="33" borderId="17" xfId="0" applyFont="1" applyFill="1" applyBorder="1" applyAlignment="1" applyProtection="1">
      <alignment vertical="center"/>
      <protection locked="0"/>
    </xf>
    <xf numFmtId="0" fontId="17" fillId="33" borderId="22" xfId="0" applyFont="1" applyFill="1" applyBorder="1" applyAlignment="1" applyProtection="1">
      <alignment vertical="center"/>
      <protection locked="0"/>
    </xf>
    <xf numFmtId="3" fontId="17" fillId="34" borderId="11" xfId="0" applyNumberFormat="1" applyFont="1" applyFill="1" applyBorder="1" applyAlignment="1">
      <alignment horizontal="center" vertical="center"/>
    </xf>
    <xf numFmtId="3" fontId="22" fillId="39" borderId="11" xfId="0" applyNumberFormat="1" applyFont="1" applyFill="1" applyBorder="1" applyAlignment="1">
      <alignment horizontal="center" vertical="center"/>
    </xf>
    <xf numFmtId="3" fontId="4" fillId="34" borderId="0" xfId="0" applyNumberFormat="1" applyFont="1" applyFill="1" applyAlignment="1">
      <alignment vertical="center"/>
    </xf>
    <xf numFmtId="3" fontId="4" fillId="0" borderId="0" xfId="0" applyNumberFormat="1" applyFont="1" applyAlignment="1">
      <alignment vertical="center"/>
    </xf>
    <xf numFmtId="3" fontId="22" fillId="35" borderId="11" xfId="0" applyNumberFormat="1" applyFont="1" applyFill="1" applyBorder="1" applyAlignment="1">
      <alignment horizontal="center" vertical="center"/>
    </xf>
    <xf numFmtId="0" fontId="4" fillId="0" borderId="0" xfId="0" applyFont="1" applyAlignment="1">
      <alignment horizontal="centerContinuous" vertical="center"/>
    </xf>
    <xf numFmtId="0" fontId="4" fillId="34" borderId="16" xfId="0" applyFont="1" applyFill="1" applyBorder="1" applyAlignment="1" applyProtection="1">
      <alignment horizontal="centerContinuous" vertical="center"/>
      <protection/>
    </xf>
    <xf numFmtId="1" fontId="4" fillId="34" borderId="13" xfId="0" applyNumberFormat="1" applyFont="1" applyFill="1" applyBorder="1" applyAlignment="1" applyProtection="1">
      <alignment horizontal="centerContinuous" vertical="center"/>
      <protection/>
    </xf>
    <xf numFmtId="164" fontId="4" fillId="34" borderId="11" xfId="0" applyNumberFormat="1" applyFont="1" applyFill="1" applyBorder="1" applyAlignment="1" applyProtection="1">
      <alignment vertical="center"/>
      <protection/>
    </xf>
    <xf numFmtId="37" fontId="4" fillId="34" borderId="11" xfId="0" applyNumberFormat="1" applyFont="1" applyFill="1" applyBorder="1" applyAlignment="1" applyProtection="1">
      <alignment vertical="center"/>
      <protection locked="0"/>
    </xf>
    <xf numFmtId="1" fontId="4" fillId="34" borderId="0" xfId="0" applyNumberFormat="1" applyFont="1" applyFill="1" applyAlignment="1" applyProtection="1">
      <alignment vertical="center"/>
      <protection/>
    </xf>
    <xf numFmtId="1" fontId="6" fillId="34" borderId="0" xfId="0" applyNumberFormat="1" applyFont="1" applyFill="1" applyAlignment="1" applyProtection="1">
      <alignment horizontal="center" vertical="center"/>
      <protection/>
    </xf>
    <xf numFmtId="37" fontId="4" fillId="34" borderId="21" xfId="0" applyNumberFormat="1" applyFont="1" applyFill="1" applyBorder="1" applyAlignment="1" applyProtection="1">
      <alignment vertical="center"/>
      <protection/>
    </xf>
    <xf numFmtId="0" fontId="4" fillId="33" borderId="0" xfId="0" applyFont="1" applyFill="1" applyAlignment="1" applyProtection="1">
      <alignment vertical="center"/>
      <protection locked="0"/>
    </xf>
    <xf numFmtId="0" fontId="4" fillId="34" borderId="16" xfId="0" applyFont="1" applyFill="1" applyBorder="1" applyAlignment="1" applyProtection="1">
      <alignment horizontal="center" vertical="center" wrapText="1"/>
      <protection/>
    </xf>
    <xf numFmtId="0" fontId="4" fillId="34" borderId="20"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3" fontId="4" fillId="33" borderId="11" xfId="0" applyNumberFormat="1" applyFont="1" applyFill="1" applyBorder="1" applyAlignment="1" applyProtection="1">
      <alignment horizontal="center" vertical="center"/>
      <protection locked="0"/>
    </xf>
    <xf numFmtId="184" fontId="4" fillId="34" borderId="11" xfId="0" applyNumberFormat="1" applyFont="1" applyFill="1" applyBorder="1" applyAlignment="1" applyProtection="1">
      <alignment horizontal="center" vertical="center"/>
      <protection/>
    </xf>
    <xf numFmtId="3" fontId="4" fillId="33" borderId="16" xfId="0" applyNumberFormat="1" applyFont="1" applyFill="1" applyBorder="1" applyAlignment="1" applyProtection="1">
      <alignment horizontal="center" vertical="center"/>
      <protection locked="0"/>
    </xf>
    <xf numFmtId="3" fontId="4" fillId="34" borderId="21" xfId="0" applyNumberFormat="1" applyFont="1" applyFill="1" applyBorder="1" applyAlignment="1" applyProtection="1">
      <alignment horizontal="center" vertical="center"/>
      <protection/>
    </xf>
    <xf numFmtId="184" fontId="4" fillId="34" borderId="21"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4" fontId="4" fillId="34" borderId="10" xfId="0" applyNumberFormat="1" applyFont="1" applyFill="1" applyBorder="1" applyAlignment="1" applyProtection="1">
      <alignment horizontal="center" vertical="center"/>
      <protection/>
    </xf>
    <xf numFmtId="184"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184" fontId="4" fillId="34" borderId="10" xfId="0" applyNumberFormat="1" applyFont="1" applyFill="1" applyBorder="1" applyAlignment="1">
      <alignment horizontal="center" vertical="center"/>
    </xf>
    <xf numFmtId="183" fontId="4" fillId="34" borderId="0" xfId="0" applyNumberFormat="1" applyFont="1" applyFill="1" applyBorder="1" applyAlignment="1" applyProtection="1">
      <alignment vertical="center"/>
      <protection/>
    </xf>
    <xf numFmtId="0" fontId="6" fillId="0" borderId="0" xfId="0" applyFont="1" applyAlignment="1">
      <alignment vertical="center"/>
    </xf>
    <xf numFmtId="0" fontId="27" fillId="0" borderId="0" xfId="0" applyFont="1" applyAlignment="1">
      <alignment horizontal="center" vertical="center"/>
    </xf>
    <xf numFmtId="0" fontId="5" fillId="0" borderId="0" xfId="0" applyFont="1" applyAlignment="1">
      <alignment vertical="center" wrapText="1"/>
    </xf>
    <xf numFmtId="3" fontId="32" fillId="39" borderId="0" xfId="0" applyNumberFormat="1" applyFont="1" applyFill="1" applyAlignment="1">
      <alignment horizontal="center" vertical="center"/>
    </xf>
    <xf numFmtId="0" fontId="4" fillId="0" borderId="0" xfId="459" applyNumberFormat="1" applyFont="1" applyAlignment="1">
      <alignment vertical="center" wrapText="1"/>
      <protection/>
    </xf>
    <xf numFmtId="0" fontId="4" fillId="0" borderId="0" xfId="492" applyNumberFormat="1" applyFont="1" applyAlignment="1">
      <alignment vertical="center" wrapText="1"/>
      <protection/>
    </xf>
    <xf numFmtId="0" fontId="4" fillId="0" borderId="0" xfId="519" applyFont="1" applyAlignment="1">
      <alignment vertical="center" wrapText="1"/>
      <protection/>
    </xf>
    <xf numFmtId="0" fontId="4" fillId="0" borderId="0" xfId="234" applyFont="1" applyAlignment="1">
      <alignment vertical="center" wrapText="1"/>
      <protection/>
    </xf>
    <xf numFmtId="0" fontId="0" fillId="0" borderId="0" xfId="0" applyAlignment="1">
      <alignment/>
    </xf>
    <xf numFmtId="37" fontId="14" fillId="34" borderId="0" xfId="0" applyNumberFormat="1" applyFont="1" applyFill="1" applyBorder="1" applyAlignment="1" applyProtection="1">
      <alignment horizontal="left" vertical="center"/>
      <protection/>
    </xf>
    <xf numFmtId="0" fontId="4" fillId="0" borderId="0" xfId="555" applyFont="1" applyAlignment="1">
      <alignment vertical="center"/>
      <protection/>
    </xf>
    <xf numFmtId="37" fontId="14" fillId="34" borderId="0" xfId="0" applyNumberFormat="1" applyFont="1" applyFill="1" applyBorder="1" applyAlignment="1" applyProtection="1">
      <alignment horizontal="fill" vertical="center"/>
      <protection/>
    </xf>
    <xf numFmtId="0" fontId="12" fillId="0" borderId="0" xfId="534" applyFont="1">
      <alignment/>
      <protection/>
    </xf>
    <xf numFmtId="0" fontId="4" fillId="0" borderId="0" xfId="534" applyFont="1" applyAlignment="1">
      <alignment horizontal="left" vertical="center"/>
      <protection/>
    </xf>
    <xf numFmtId="185" fontId="17" fillId="0" borderId="0" xfId="534" applyNumberFormat="1" applyFont="1" applyAlignment="1">
      <alignment horizontal="left" vertical="center"/>
      <protection/>
    </xf>
    <xf numFmtId="49" fontId="4" fillId="0" borderId="0" xfId="534" applyNumberFormat="1" applyFont="1" applyAlignment="1">
      <alignment horizontal="left" vertical="center"/>
      <protection/>
    </xf>
    <xf numFmtId="0" fontId="17" fillId="0" borderId="0" xfId="534" applyFont="1" applyAlignment="1">
      <alignment horizontal="left" vertical="center"/>
      <protection/>
    </xf>
    <xf numFmtId="186" fontId="17" fillId="0" borderId="0" xfId="534" applyNumberFormat="1" applyFont="1" applyAlignment="1">
      <alignment horizontal="left" vertical="center"/>
      <protection/>
    </xf>
    <xf numFmtId="0" fontId="6" fillId="0" borderId="0" xfId="151" applyFont="1" applyAlignment="1">
      <alignment vertical="center"/>
      <protection/>
    </xf>
    <xf numFmtId="0" fontId="4" fillId="0" borderId="0" xfId="156" applyFont="1" applyAlignment="1">
      <alignment vertical="center"/>
      <protection/>
    </xf>
    <xf numFmtId="0" fontId="21"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63" applyFont="1">
      <alignment/>
      <protection/>
    </xf>
    <xf numFmtId="0" fontId="0" fillId="0" borderId="0" xfId="263" applyFont="1" applyFill="1">
      <alignment/>
      <protection/>
    </xf>
    <xf numFmtId="0" fontId="0" fillId="0" borderId="0" xfId="0" applyFont="1" applyAlignment="1">
      <alignment/>
    </xf>
    <xf numFmtId="0" fontId="1" fillId="0" borderId="0" xfId="0" applyFont="1" applyAlignment="1">
      <alignment horizontal="center"/>
    </xf>
    <xf numFmtId="0" fontId="4" fillId="0" borderId="0" xfId="562" applyFont="1" applyAlignment="1">
      <alignment vertical="center" wrapText="1"/>
      <protection/>
    </xf>
    <xf numFmtId="0" fontId="4" fillId="0" borderId="0" xfId="93" applyFont="1" applyAlignment="1">
      <alignment vertical="center" wrapText="1"/>
      <protection/>
    </xf>
    <xf numFmtId="0" fontId="6" fillId="0" borderId="0" xfId="150" applyFont="1" applyAlignment="1">
      <alignment vertical="center"/>
      <protection/>
    </xf>
    <xf numFmtId="0" fontId="87"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3" fontId="17" fillId="35" borderId="17" xfId="0" applyNumberFormat="1" applyFont="1" applyFill="1" applyBorder="1" applyAlignment="1">
      <alignment horizontal="center" vertical="center"/>
    </xf>
    <xf numFmtId="14" fontId="4" fillId="33" borderId="11" xfId="0" applyNumberFormat="1" applyFont="1" applyFill="1" applyBorder="1" applyAlignment="1" applyProtection="1">
      <alignment vertical="center"/>
      <protection locked="0"/>
    </xf>
    <xf numFmtId="14" fontId="4" fillId="33" borderId="11" xfId="0" applyNumberFormat="1" applyFont="1" applyFill="1" applyBorder="1" applyAlignment="1" applyProtection="1">
      <alignment horizontal="center" vertical="center"/>
      <protection locked="0"/>
    </xf>
    <xf numFmtId="37" fontId="4" fillId="41" borderId="11" xfId="0" applyNumberFormat="1" applyFont="1" applyFill="1" applyBorder="1" applyAlignment="1" applyProtection="1">
      <alignment vertical="center"/>
      <protection locked="0"/>
    </xf>
    <xf numFmtId="3" fontId="4" fillId="33" borderId="13" xfId="0" applyNumberFormat="1" applyFont="1" applyFill="1" applyBorder="1" applyAlignment="1" applyProtection="1">
      <alignment vertical="center"/>
      <protection locked="0"/>
    </xf>
    <xf numFmtId="3" fontId="19" fillId="40" borderId="13" xfId="0" applyNumberFormat="1" applyFont="1" applyFill="1" applyBorder="1" applyAlignment="1" applyProtection="1">
      <alignment horizontal="center" vertical="center"/>
      <protection/>
    </xf>
    <xf numFmtId="3" fontId="5" fillId="35" borderId="13" xfId="0" applyNumberFormat="1" applyFont="1" applyFill="1" applyBorder="1" applyAlignment="1" applyProtection="1">
      <alignment vertical="center"/>
      <protection/>
    </xf>
    <xf numFmtId="0" fontId="4" fillId="34" borderId="25" xfId="0" applyNumberFormat="1" applyFont="1" applyFill="1" applyBorder="1" applyAlignment="1" applyProtection="1">
      <alignment horizontal="center" vertical="center"/>
      <protection/>
    </xf>
    <xf numFmtId="3" fontId="4" fillId="34" borderId="13" xfId="0" applyNumberFormat="1" applyFont="1" applyFill="1" applyBorder="1" applyAlignment="1" applyProtection="1">
      <alignment vertical="center"/>
      <protection/>
    </xf>
    <xf numFmtId="3" fontId="4" fillId="35" borderId="13" xfId="0" applyNumberFormat="1" applyFont="1" applyFill="1" applyBorder="1" applyAlignment="1" applyProtection="1">
      <alignment vertical="center"/>
      <protection/>
    </xf>
    <xf numFmtId="3" fontId="4" fillId="34" borderId="13" xfId="0" applyNumberFormat="1" applyFont="1" applyFill="1" applyBorder="1" applyAlignment="1" applyProtection="1">
      <alignment horizontal="right" vertical="center"/>
      <protection locked="0"/>
    </xf>
    <xf numFmtId="3" fontId="4" fillId="33" borderId="13" xfId="0" applyNumberFormat="1" applyFont="1" applyFill="1" applyBorder="1" applyAlignment="1" applyProtection="1">
      <alignment horizontal="right" vertical="center"/>
      <protection locked="0"/>
    </xf>
    <xf numFmtId="3" fontId="4" fillId="34" borderId="13" xfId="0" applyNumberFormat="1" applyFont="1" applyFill="1" applyBorder="1" applyAlignment="1" applyProtection="1">
      <alignment horizontal="right" vertical="center"/>
      <protection/>
    </xf>
    <xf numFmtId="3" fontId="4" fillId="34" borderId="13" xfId="42" applyNumberFormat="1" applyFont="1" applyFill="1" applyBorder="1" applyAlignment="1" applyProtection="1">
      <alignment horizontal="right" vertical="center"/>
      <protection/>
    </xf>
    <xf numFmtId="3" fontId="5" fillId="35" borderId="25" xfId="0" applyNumberFormat="1" applyFont="1" applyFill="1" applyBorder="1" applyAlignment="1" applyProtection="1">
      <alignment horizontal="right" vertical="center"/>
      <protection/>
    </xf>
    <xf numFmtId="3" fontId="5" fillId="35" borderId="13" xfId="0" applyNumberFormat="1" applyFont="1" applyFill="1" applyBorder="1" applyAlignment="1" applyProtection="1">
      <alignment horizontal="right" vertical="center"/>
      <protection/>
    </xf>
    <xf numFmtId="3" fontId="4" fillId="35" borderId="13" xfId="0" applyNumberFormat="1" applyFont="1" applyFill="1" applyBorder="1" applyAlignment="1" applyProtection="1">
      <alignment horizontal="right" vertical="center"/>
      <protection/>
    </xf>
    <xf numFmtId="49" fontId="4" fillId="33" borderId="11" xfId="0" applyNumberFormat="1" applyFont="1" applyFill="1" applyBorder="1" applyAlignment="1" applyProtection="1">
      <alignment horizontal="center" vertical="center"/>
      <protection locked="0"/>
    </xf>
    <xf numFmtId="37" fontId="14" fillId="34" borderId="0" xfId="0" applyNumberFormat="1" applyFont="1" applyFill="1" applyAlignment="1" applyProtection="1">
      <alignment horizontal="center" vertical="center"/>
      <protection locked="0"/>
    </xf>
    <xf numFmtId="37" fontId="14" fillId="34" borderId="0" xfId="0" applyNumberFormat="1" applyFont="1" applyFill="1" applyAlignment="1" applyProtection="1">
      <alignment horizontal="left" vertical="center"/>
      <protection locked="0"/>
    </xf>
    <xf numFmtId="0" fontId="14" fillId="36" borderId="11" xfId="0" applyFont="1" applyFill="1" applyBorder="1" applyAlignment="1" applyProtection="1">
      <alignment horizontal="center" vertical="center"/>
      <protection/>
    </xf>
    <xf numFmtId="37" fontId="14" fillId="34" borderId="27" xfId="0" applyNumberFormat="1" applyFont="1" applyFill="1" applyBorder="1" applyAlignment="1" applyProtection="1">
      <alignment horizontal="center" vertical="center"/>
      <protection/>
    </xf>
    <xf numFmtId="0" fontId="40" fillId="0" borderId="0" xfId="0" applyFont="1" applyAlignment="1" applyProtection="1">
      <alignment vertical="center"/>
      <protection/>
    </xf>
    <xf numFmtId="0" fontId="14" fillId="39" borderId="10" xfId="95" applyFont="1" applyFill="1" applyBorder="1" applyAlignment="1" applyProtection="1">
      <alignment vertical="center"/>
      <protection/>
    </xf>
    <xf numFmtId="0" fontId="14" fillId="34" borderId="26" xfId="95" applyFont="1" applyFill="1" applyBorder="1" applyAlignment="1" applyProtection="1">
      <alignment vertical="center"/>
      <protection/>
    </xf>
    <xf numFmtId="0" fontId="4" fillId="39" borderId="18" xfId="95" applyFont="1" applyFill="1" applyBorder="1" applyAlignment="1" applyProtection="1">
      <alignment vertical="center"/>
      <protection/>
    </xf>
    <xf numFmtId="0" fontId="14" fillId="39" borderId="18" xfId="95" applyFont="1" applyFill="1" applyBorder="1" applyAlignment="1" applyProtection="1">
      <alignment vertical="center"/>
      <protection/>
    </xf>
    <xf numFmtId="37" fontId="14" fillId="34" borderId="17" xfId="111" applyNumberFormat="1" applyFont="1" applyFill="1" applyBorder="1" applyAlignment="1" applyProtection="1">
      <alignment horizontal="center" vertical="center"/>
      <protection/>
    </xf>
    <xf numFmtId="37" fontId="14" fillId="34" borderId="12" xfId="111" applyNumberFormat="1" applyFont="1" applyFill="1" applyBorder="1" applyAlignment="1" applyProtection="1">
      <alignment horizontal="center" vertical="center"/>
      <protection/>
    </xf>
    <xf numFmtId="3" fontId="19" fillId="33" borderId="11" xfId="0" applyNumberFormat="1" applyFont="1" applyFill="1" applyBorder="1" applyAlignment="1" applyProtection="1">
      <alignment horizontal="center" vertical="center"/>
      <protection/>
    </xf>
    <xf numFmtId="3" fontId="19" fillId="40" borderId="16" xfId="0" applyNumberFormat="1" applyFont="1" applyFill="1" applyBorder="1" applyAlignment="1" applyProtection="1">
      <alignment horizontal="center" vertical="center"/>
      <protection/>
    </xf>
    <xf numFmtId="0" fontId="5" fillId="34" borderId="18" xfId="0" applyFont="1" applyFill="1" applyBorder="1" applyAlignment="1" applyProtection="1">
      <alignment vertical="center"/>
      <protection/>
    </xf>
    <xf numFmtId="0" fontId="5" fillId="34" borderId="10" xfId="0" applyFont="1" applyFill="1" applyBorder="1" applyAlignment="1" applyProtection="1">
      <alignment vertical="center"/>
      <protection/>
    </xf>
    <xf numFmtId="37" fontId="5" fillId="34" borderId="10"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4" fillId="39" borderId="13" xfId="0" applyNumberFormat="1" applyFont="1" applyFill="1" applyBorder="1" applyAlignment="1" applyProtection="1">
      <alignment vertical="center"/>
      <protection/>
    </xf>
    <xf numFmtId="0" fontId="29" fillId="0" borderId="0" xfId="0" applyFont="1" applyAlignment="1">
      <alignment/>
    </xf>
    <xf numFmtId="0" fontId="28" fillId="0" borderId="0" xfId="0" applyFont="1" applyAlignment="1">
      <alignment wrapText="1"/>
    </xf>
    <xf numFmtId="0" fontId="0" fillId="0" borderId="0" xfId="0" applyAlignment="1">
      <alignment vertical="center" wrapText="1"/>
    </xf>
    <xf numFmtId="0" fontId="5" fillId="0" borderId="0" xfId="0" applyFont="1" applyAlignment="1">
      <alignment wrapText="1"/>
    </xf>
    <xf numFmtId="0" fontId="13" fillId="0" borderId="0" xfId="0" applyFont="1" applyAlignment="1">
      <alignment wrapText="1"/>
    </xf>
    <xf numFmtId="0" fontId="33" fillId="0" borderId="0" xfId="0" applyFont="1" applyAlignment="1">
      <alignment vertical="center"/>
    </xf>
    <xf numFmtId="0" fontId="34" fillId="0" borderId="0" xfId="0" applyFont="1" applyAlignment="1">
      <alignment horizontal="center"/>
    </xf>
    <xf numFmtId="37" fontId="4" fillId="34" borderId="12" xfId="95" applyNumberFormat="1" applyFont="1" applyFill="1" applyBorder="1" applyAlignment="1" applyProtection="1">
      <alignment horizontal="center" vertical="center"/>
      <protection/>
    </xf>
    <xf numFmtId="37" fontId="4" fillId="34" borderId="17" xfId="95" applyNumberFormat="1" applyFont="1" applyFill="1" applyBorder="1" applyAlignment="1" applyProtection="1">
      <alignment horizontal="center" vertical="center"/>
      <protection/>
    </xf>
    <xf numFmtId="0" fontId="15" fillId="39" borderId="10" xfId="95" applyFont="1" applyFill="1" applyBorder="1" applyAlignment="1" applyProtection="1">
      <alignment vertical="center"/>
      <protection/>
    </xf>
    <xf numFmtId="190" fontId="15" fillId="39" borderId="25" xfId="95" applyNumberFormat="1" applyFont="1" applyFill="1" applyBorder="1" applyAlignment="1" applyProtection="1">
      <alignment horizontal="center" vertical="center"/>
      <protection/>
    </xf>
    <xf numFmtId="190" fontId="14" fillId="34" borderId="26" xfId="95" applyNumberFormat="1" applyFont="1" applyFill="1" applyBorder="1" applyAlignment="1" applyProtection="1">
      <alignment vertical="center"/>
      <protection/>
    </xf>
    <xf numFmtId="190" fontId="14" fillId="34" borderId="25" xfId="95" applyNumberFormat="1" applyFont="1" applyFill="1" applyBorder="1" applyAlignment="1" applyProtection="1">
      <alignment horizontal="center" vertical="center"/>
      <protection/>
    </xf>
    <xf numFmtId="0" fontId="14" fillId="34" borderId="0" xfId="95" applyFont="1" applyFill="1" applyBorder="1" applyAlignment="1" applyProtection="1">
      <alignment vertical="center"/>
      <protection/>
    </xf>
    <xf numFmtId="0" fontId="14" fillId="34" borderId="22" xfId="95" applyFont="1" applyFill="1" applyBorder="1" applyAlignment="1" applyProtection="1">
      <alignment vertical="center"/>
      <protection/>
    </xf>
    <xf numFmtId="0" fontId="14" fillId="34" borderId="0" xfId="95" applyFont="1" applyFill="1" applyBorder="1" applyAlignment="1" applyProtection="1">
      <alignment horizontal="left" vertical="center"/>
      <protection/>
    </xf>
    <xf numFmtId="0" fontId="40" fillId="0" borderId="0" xfId="0" applyFont="1" applyAlignment="1">
      <alignment vertical="center"/>
    </xf>
    <xf numFmtId="190" fontId="14" fillId="34" borderId="26" xfId="95" applyNumberFormat="1" applyFont="1" applyFill="1" applyBorder="1" applyAlignment="1" applyProtection="1">
      <alignment horizontal="center" vertical="center"/>
      <protection/>
    </xf>
    <xf numFmtId="0" fontId="4" fillId="34" borderId="0" xfId="115" applyFont="1" applyFill="1" applyAlignment="1" applyProtection="1">
      <alignment horizontal="right" vertical="center"/>
      <protection/>
    </xf>
    <xf numFmtId="0" fontId="88" fillId="34" borderId="0" xfId="0" applyFont="1" applyFill="1" applyBorder="1" applyAlignment="1" applyProtection="1">
      <alignment horizontal="center" vertical="center"/>
      <protection/>
    </xf>
    <xf numFmtId="0" fontId="88" fillId="34" borderId="0" xfId="0" applyFont="1" applyFill="1" applyAlignment="1" applyProtection="1">
      <alignment horizontal="center" vertical="center"/>
      <protection/>
    </xf>
    <xf numFmtId="0" fontId="4" fillId="34" borderId="28" xfId="0" applyFont="1" applyFill="1" applyBorder="1" applyAlignment="1" applyProtection="1">
      <alignment vertical="center"/>
      <protection locked="0"/>
    </xf>
    <xf numFmtId="0" fontId="4" fillId="34" borderId="28" xfId="0" applyFont="1" applyFill="1" applyBorder="1" applyAlignment="1" applyProtection="1">
      <alignment vertical="center"/>
      <protection/>
    </xf>
    <xf numFmtId="37" fontId="4" fillId="34" borderId="28" xfId="0" applyNumberFormat="1" applyFont="1" applyFill="1" applyBorder="1" applyAlignment="1" applyProtection="1">
      <alignment vertical="center"/>
      <protection/>
    </xf>
    <xf numFmtId="164" fontId="4" fillId="34" borderId="17"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fill" vertical="center"/>
      <protection/>
    </xf>
    <xf numFmtId="37" fontId="4" fillId="34" borderId="17" xfId="0" applyNumberFormat="1" applyFont="1" applyFill="1" applyBorder="1" applyAlignment="1" applyProtection="1">
      <alignment vertical="center"/>
      <protection/>
    </xf>
    <xf numFmtId="0" fontId="0" fillId="0" borderId="0" xfId="95">
      <alignment/>
      <protection/>
    </xf>
    <xf numFmtId="37" fontId="4" fillId="34" borderId="16" xfId="95" applyNumberFormat="1" applyFont="1" applyFill="1" applyBorder="1" applyAlignment="1" applyProtection="1">
      <alignment horizontal="center"/>
      <protection/>
    </xf>
    <xf numFmtId="37" fontId="4" fillId="34" borderId="17" xfId="95" applyNumberFormat="1" applyFont="1" applyFill="1" applyBorder="1" applyAlignment="1" applyProtection="1">
      <alignment horizontal="center"/>
      <protection/>
    </xf>
    <xf numFmtId="0" fontId="4" fillId="34" borderId="0" xfId="95" applyFont="1" applyFill="1" applyBorder="1" applyAlignment="1" applyProtection="1">
      <alignment vertical="center"/>
      <protection/>
    </xf>
    <xf numFmtId="0" fontId="4" fillId="34" borderId="26" xfId="95" applyFont="1" applyFill="1" applyBorder="1" applyAlignment="1" applyProtection="1">
      <alignment vertical="center"/>
      <protection/>
    </xf>
    <xf numFmtId="0" fontId="4" fillId="34" borderId="22" xfId="95" applyFont="1" applyFill="1" applyBorder="1" applyAlignment="1" applyProtection="1">
      <alignment vertical="center"/>
      <protection/>
    </xf>
    <xf numFmtId="0" fontId="4" fillId="0" borderId="0" xfId="95" applyFont="1" applyFill="1" applyBorder="1" applyAlignment="1" applyProtection="1">
      <alignment vertical="center"/>
      <protection/>
    </xf>
    <xf numFmtId="0" fontId="14" fillId="42" borderId="26" xfId="111" applyFont="1" applyFill="1" applyBorder="1" applyProtection="1">
      <alignment/>
      <protection/>
    </xf>
    <xf numFmtId="0" fontId="4" fillId="42" borderId="0" xfId="111" applyFont="1" applyFill="1" applyBorder="1" applyProtection="1">
      <alignment/>
      <protection/>
    </xf>
    <xf numFmtId="190" fontId="4" fillId="42" borderId="22" xfId="111" applyNumberFormat="1" applyFont="1" applyFill="1" applyBorder="1" applyAlignment="1" applyProtection="1">
      <alignment horizontal="center"/>
      <protection/>
    </xf>
    <xf numFmtId="0" fontId="4" fillId="42" borderId="25" xfId="111" applyFont="1" applyFill="1" applyBorder="1" applyProtection="1">
      <alignment/>
      <protection/>
    </xf>
    <xf numFmtId="0" fontId="4" fillId="42" borderId="10" xfId="111" applyFont="1" applyFill="1" applyBorder="1" applyProtection="1">
      <alignment/>
      <protection/>
    </xf>
    <xf numFmtId="190" fontId="4" fillId="43" borderId="18" xfId="111" applyNumberFormat="1" applyFont="1" applyFill="1" applyBorder="1" applyAlignment="1" applyProtection="1">
      <alignment horizontal="center"/>
      <protection/>
    </xf>
    <xf numFmtId="0" fontId="4" fillId="0" borderId="0" xfId="111" applyFont="1" applyFill="1" applyBorder="1" applyProtection="1">
      <alignment/>
      <protection/>
    </xf>
    <xf numFmtId="0" fontId="4" fillId="42" borderId="26" xfId="111" applyFont="1" applyFill="1" applyBorder="1" applyProtection="1">
      <alignment/>
      <protection/>
    </xf>
    <xf numFmtId="0" fontId="4" fillId="42" borderId="22" xfId="111" applyFont="1" applyFill="1" applyBorder="1" applyProtection="1">
      <alignment/>
      <protection/>
    </xf>
    <xf numFmtId="183" fontId="4" fillId="42" borderId="22" xfId="111" applyNumberFormat="1" applyFont="1" applyFill="1" applyBorder="1" applyAlignment="1" applyProtection="1">
      <alignment horizontal="center"/>
      <protection/>
    </xf>
    <xf numFmtId="0" fontId="4" fillId="43" borderId="26" xfId="111" applyFont="1" applyFill="1" applyBorder="1" applyProtection="1">
      <alignment/>
      <protection/>
    </xf>
    <xf numFmtId="0" fontId="4" fillId="43" borderId="0" xfId="111" applyFont="1" applyFill="1" applyBorder="1" applyProtection="1">
      <alignment/>
      <protection/>
    </xf>
    <xf numFmtId="0" fontId="4" fillId="43" borderId="25" xfId="111" applyFont="1" applyFill="1" applyBorder="1" applyProtection="1">
      <alignment/>
      <protection/>
    </xf>
    <xf numFmtId="0" fontId="4" fillId="43" borderId="10" xfId="111" applyFont="1" applyFill="1" applyBorder="1" applyProtection="1">
      <alignment/>
      <protection/>
    </xf>
    <xf numFmtId="0" fontId="4" fillId="0" borderId="0" xfId="111" applyFont="1" applyProtection="1">
      <alignment/>
      <protection/>
    </xf>
    <xf numFmtId="190" fontId="4" fillId="42" borderId="18" xfId="111" applyNumberFormat="1" applyFont="1" applyFill="1" applyBorder="1" applyAlignment="1" applyProtection="1">
      <alignment horizontal="center"/>
      <protection/>
    </xf>
    <xf numFmtId="184" fontId="4" fillId="41" borderId="22" xfId="111" applyNumberFormat="1" applyFont="1" applyFill="1" applyBorder="1" applyAlignment="1" applyProtection="1">
      <alignment horizontal="center"/>
      <protection locked="0"/>
    </xf>
    <xf numFmtId="37" fontId="4" fillId="44" borderId="21" xfId="0" applyNumberFormat="1" applyFont="1" applyFill="1" applyBorder="1" applyAlignment="1" applyProtection="1">
      <alignment vertical="center"/>
      <protection/>
    </xf>
    <xf numFmtId="0" fontId="29" fillId="0" borderId="0" xfId="0" applyFont="1" applyAlignment="1">
      <alignment vertical="center"/>
    </xf>
    <xf numFmtId="0" fontId="42" fillId="0" borderId="0" xfId="0" applyFont="1" applyBorder="1" applyAlignment="1">
      <alignment horizontal="centerContinuous"/>
    </xf>
    <xf numFmtId="0" fontId="42" fillId="0" borderId="0" xfId="0" applyFont="1" applyBorder="1" applyAlignment="1">
      <alignment/>
    </xf>
    <xf numFmtId="0" fontId="42" fillId="0" borderId="0" xfId="0" applyFont="1" applyAlignment="1">
      <alignment/>
    </xf>
    <xf numFmtId="0" fontId="4" fillId="0" borderId="0" xfId="95" applyFont="1" applyAlignment="1">
      <alignment vertical="center"/>
      <protection/>
    </xf>
    <xf numFmtId="0" fontId="4" fillId="0" borderId="0" xfId="115" applyFont="1" applyAlignment="1">
      <alignment vertical="center"/>
      <protection/>
    </xf>
    <xf numFmtId="0" fontId="4" fillId="0" borderId="0" xfId="95" applyFont="1">
      <alignment/>
      <protection/>
    </xf>
    <xf numFmtId="0" fontId="43" fillId="0" borderId="0" xfId="95" applyFont="1" applyAlignment="1">
      <alignment horizontal="center"/>
      <protection/>
    </xf>
    <xf numFmtId="0" fontId="4" fillId="0" borderId="0" xfId="95" applyFont="1" applyAlignment="1">
      <alignment wrapText="1"/>
      <protection/>
    </xf>
    <xf numFmtId="0" fontId="44" fillId="0" borderId="0" xfId="79" applyFont="1" applyAlignment="1" applyProtection="1">
      <alignment/>
      <protection/>
    </xf>
    <xf numFmtId="0" fontId="8" fillId="34" borderId="17" xfId="0" applyNumberFormat="1" applyFont="1" applyFill="1" applyBorder="1" applyAlignment="1" applyProtection="1">
      <alignment horizontal="center" vertical="center"/>
      <protection/>
    </xf>
    <xf numFmtId="0" fontId="4" fillId="0" borderId="0" xfId="115" applyFont="1" applyAlignment="1">
      <alignment vertical="center" wrapText="1"/>
      <protection/>
    </xf>
    <xf numFmtId="0" fontId="89" fillId="42" borderId="0" xfId="0" applyFont="1" applyFill="1" applyAlignment="1">
      <alignment/>
    </xf>
    <xf numFmtId="0" fontId="89" fillId="42" borderId="29" xfId="0" applyFont="1" applyFill="1" applyBorder="1" applyAlignment="1">
      <alignment/>
    </xf>
    <xf numFmtId="0" fontId="90" fillId="0" borderId="0" xfId="0" applyFont="1" applyBorder="1" applyAlignment="1">
      <alignment/>
    </xf>
    <xf numFmtId="0" fontId="89" fillId="0" borderId="0" xfId="0" applyFont="1" applyBorder="1" applyAlignment="1">
      <alignment horizontal="centerContinuous"/>
    </xf>
    <xf numFmtId="0" fontId="89" fillId="42" borderId="29" xfId="0" applyFont="1" applyFill="1" applyBorder="1" applyAlignment="1">
      <alignment/>
    </xf>
    <xf numFmtId="0" fontId="89" fillId="42" borderId="30" xfId="0" applyFont="1" applyFill="1" applyBorder="1" applyAlignment="1">
      <alignment horizontal="centerContinuous" vertical="center"/>
    </xf>
    <xf numFmtId="190" fontId="89" fillId="42" borderId="0" xfId="0" applyNumberFormat="1" applyFont="1" applyFill="1" applyBorder="1" applyAlignment="1">
      <alignment horizontal="centerContinuous" vertical="center"/>
    </xf>
    <xf numFmtId="0" fontId="89" fillId="42" borderId="0" xfId="0" applyFont="1" applyFill="1" applyBorder="1" applyAlignment="1">
      <alignment horizontal="centerContinuous" vertical="center"/>
    </xf>
    <xf numFmtId="184" fontId="89" fillId="42" borderId="0" xfId="0" applyNumberFormat="1" applyFont="1" applyFill="1" applyBorder="1" applyAlignment="1" applyProtection="1">
      <alignment horizontal="centerContinuous" vertical="center"/>
      <protection locked="0"/>
    </xf>
    <xf numFmtId="191" fontId="89" fillId="42" borderId="0" xfId="0" applyNumberFormat="1" applyFont="1" applyFill="1" applyBorder="1" applyAlignment="1">
      <alignment horizontal="centerContinuous" vertical="center"/>
    </xf>
    <xf numFmtId="0" fontId="89" fillId="42" borderId="31" xfId="0" applyFont="1" applyFill="1" applyBorder="1" applyAlignment="1">
      <alignment horizontal="centerContinuous" vertical="center"/>
    </xf>
    <xf numFmtId="0" fontId="89" fillId="42" borderId="30" xfId="0" applyFont="1" applyFill="1" applyBorder="1" applyAlignment="1">
      <alignment horizontal="centerContinuous"/>
    </xf>
    <xf numFmtId="190" fontId="89" fillId="42" borderId="0" xfId="0" applyNumberFormat="1" applyFont="1" applyFill="1" applyBorder="1" applyAlignment="1">
      <alignment horizontal="centerContinuous"/>
    </xf>
    <xf numFmtId="0" fontId="89" fillId="42" borderId="0" xfId="0" applyFont="1" applyFill="1" applyBorder="1" applyAlignment="1">
      <alignment horizontal="centerContinuous"/>
    </xf>
    <xf numFmtId="184" fontId="89" fillId="42" borderId="0" xfId="0" applyNumberFormat="1" applyFont="1" applyFill="1" applyBorder="1" applyAlignment="1" applyProtection="1">
      <alignment horizontal="centerContinuous"/>
      <protection locked="0"/>
    </xf>
    <xf numFmtId="191" fontId="89" fillId="42" borderId="0" xfId="0" applyNumberFormat="1" applyFont="1" applyFill="1" applyBorder="1" applyAlignment="1">
      <alignment horizontal="centerContinuous"/>
    </xf>
    <xf numFmtId="0" fontId="89" fillId="42" borderId="31" xfId="0" applyFont="1" applyFill="1" applyBorder="1" applyAlignment="1">
      <alignment horizontal="centerContinuous"/>
    </xf>
    <xf numFmtId="0" fontId="42" fillId="45" borderId="0" xfId="0" applyFont="1" applyFill="1" applyAlignment="1">
      <alignment/>
    </xf>
    <xf numFmtId="0" fontId="42" fillId="42" borderId="0" xfId="0" applyFont="1" applyFill="1" applyAlignment="1">
      <alignment/>
    </xf>
    <xf numFmtId="0" fontId="89" fillId="45" borderId="0" xfId="0" applyFont="1" applyFill="1" applyAlignment="1">
      <alignment horizontal="center" wrapText="1"/>
    </xf>
    <xf numFmtId="0" fontId="42" fillId="42" borderId="0" xfId="0" applyFont="1" applyFill="1" applyAlignment="1">
      <alignment horizontal="center"/>
    </xf>
    <xf numFmtId="0" fontId="42" fillId="42" borderId="32" xfId="0" applyFont="1" applyFill="1" applyBorder="1" applyAlignment="1">
      <alignment/>
    </xf>
    <xf numFmtId="0" fontId="42" fillId="42" borderId="33" xfId="0" applyFont="1" applyFill="1" applyBorder="1" applyAlignment="1">
      <alignment/>
    </xf>
    <xf numFmtId="190" fontId="42" fillId="42" borderId="34" xfId="0" applyNumberFormat="1" applyFont="1" applyFill="1" applyBorder="1" applyAlignment="1">
      <alignment/>
    </xf>
    <xf numFmtId="0" fontId="42" fillId="42" borderId="0" xfId="0" applyFont="1" applyFill="1" applyBorder="1" applyAlignment="1">
      <alignment/>
    </xf>
    <xf numFmtId="190" fontId="42" fillId="42" borderId="10" xfId="0" applyNumberFormat="1" applyFont="1" applyFill="1" applyBorder="1" applyAlignment="1">
      <alignment horizontal="center"/>
    </xf>
    <xf numFmtId="0" fontId="42" fillId="42" borderId="31" xfId="0" applyFont="1" applyFill="1" applyBorder="1" applyAlignment="1">
      <alignment/>
    </xf>
    <xf numFmtId="0" fontId="42" fillId="42" borderId="35" xfId="0" applyFont="1" applyFill="1" applyBorder="1" applyAlignment="1">
      <alignment/>
    </xf>
    <xf numFmtId="0" fontId="42" fillId="42" borderId="36" xfId="0" applyFont="1" applyFill="1" applyBorder="1" applyAlignment="1">
      <alignment/>
    </xf>
    <xf numFmtId="0" fontId="42" fillId="42" borderId="37" xfId="0" applyFont="1" applyFill="1" applyBorder="1" applyAlignment="1">
      <alignment/>
    </xf>
    <xf numFmtId="190" fontId="42" fillId="42" borderId="0" xfId="0" applyNumberFormat="1" applyFont="1" applyFill="1" applyAlignment="1">
      <alignment/>
    </xf>
    <xf numFmtId="0" fontId="42" fillId="42" borderId="29" xfId="0" applyFont="1" applyFill="1" applyBorder="1" applyAlignment="1">
      <alignment/>
    </xf>
    <xf numFmtId="0" fontId="42" fillId="42" borderId="30" xfId="0" applyFont="1" applyFill="1" applyBorder="1" applyAlignment="1">
      <alignment/>
    </xf>
    <xf numFmtId="190" fontId="42" fillId="41" borderId="34" xfId="0" applyNumberFormat="1" applyFont="1" applyFill="1" applyBorder="1" applyAlignment="1" applyProtection="1">
      <alignment horizontal="center"/>
      <protection locked="0"/>
    </xf>
    <xf numFmtId="184" fontId="42" fillId="42" borderId="0" xfId="0" applyNumberFormat="1" applyFont="1" applyFill="1" applyBorder="1" applyAlignment="1">
      <alignment horizontal="center"/>
    </xf>
    <xf numFmtId="190" fontId="42" fillId="0" borderId="0" xfId="0" applyNumberFormat="1" applyFont="1" applyAlignment="1">
      <alignment/>
    </xf>
    <xf numFmtId="0" fontId="42" fillId="45" borderId="0" xfId="0" applyFont="1" applyFill="1" applyBorder="1" applyAlignment="1">
      <alignment/>
    </xf>
    <xf numFmtId="0" fontId="42" fillId="42" borderId="38" xfId="0" applyFont="1" applyFill="1" applyBorder="1" applyAlignment="1">
      <alignment/>
    </xf>
    <xf numFmtId="0" fontId="42" fillId="42" borderId="27" xfId="0" applyFont="1" applyFill="1" applyBorder="1" applyAlignment="1">
      <alignment/>
    </xf>
    <xf numFmtId="0" fontId="42" fillId="42" borderId="39" xfId="0" applyFont="1" applyFill="1" applyBorder="1" applyAlignment="1">
      <alignment/>
    </xf>
    <xf numFmtId="5" fontId="42" fillId="42" borderId="36" xfId="0" applyNumberFormat="1" applyFont="1" applyFill="1" applyBorder="1" applyAlignment="1">
      <alignment horizontal="center"/>
    </xf>
    <xf numFmtId="0" fontId="42" fillId="42" borderId="36" xfId="0" applyFont="1" applyFill="1" applyBorder="1" applyAlignment="1">
      <alignment horizontal="center"/>
    </xf>
    <xf numFmtId="184" fontId="42" fillId="42" borderId="36" xfId="0" applyNumberFormat="1" applyFont="1" applyFill="1" applyBorder="1" applyAlignment="1">
      <alignment horizontal="center"/>
    </xf>
    <xf numFmtId="191" fontId="42" fillId="42" borderId="36" xfId="0" applyNumberFormat="1" applyFont="1" applyFill="1" applyBorder="1" applyAlignment="1">
      <alignment horizontal="center"/>
    </xf>
    <xf numFmtId="0" fontId="42" fillId="42" borderId="0" xfId="0" applyFont="1" applyFill="1" applyAlignment="1">
      <alignment horizontal="center" wrapText="1"/>
    </xf>
    <xf numFmtId="0" fontId="42" fillId="42" borderId="32" xfId="0" applyFont="1" applyFill="1" applyBorder="1" applyAlignment="1">
      <alignment/>
    </xf>
    <xf numFmtId="0" fontId="42" fillId="42" borderId="33" xfId="0" applyFont="1" applyFill="1" applyBorder="1" applyAlignment="1">
      <alignment/>
    </xf>
    <xf numFmtId="0" fontId="42" fillId="42" borderId="30" xfId="0" applyFont="1" applyFill="1" applyBorder="1" applyAlignment="1">
      <alignment/>
    </xf>
    <xf numFmtId="0" fontId="42" fillId="42" borderId="31" xfId="0" applyFont="1" applyFill="1" applyBorder="1" applyAlignment="1">
      <alignment/>
    </xf>
    <xf numFmtId="0" fontId="42" fillId="42" borderId="38" xfId="0" applyFont="1" applyFill="1" applyBorder="1" applyAlignment="1">
      <alignment/>
    </xf>
    <xf numFmtId="0" fontId="42" fillId="42" borderId="27" xfId="0" applyFont="1" applyFill="1" applyBorder="1" applyAlignment="1">
      <alignment/>
    </xf>
    <xf numFmtId="0" fontId="42" fillId="42" borderId="39" xfId="0" applyFont="1" applyFill="1" applyBorder="1" applyAlignment="1">
      <alignment/>
    </xf>
    <xf numFmtId="183" fontId="42" fillId="42" borderId="0" xfId="0" applyNumberFormat="1" applyFont="1" applyFill="1" applyBorder="1" applyAlignment="1">
      <alignment horizontal="center"/>
    </xf>
    <xf numFmtId="0" fontId="42" fillId="42" borderId="35" xfId="0" applyFont="1" applyFill="1" applyBorder="1" applyAlignment="1">
      <alignment/>
    </xf>
    <xf numFmtId="5" fontId="42" fillId="42" borderId="0" xfId="0" applyNumberFormat="1" applyFont="1" applyFill="1" applyBorder="1" applyAlignment="1">
      <alignment horizontal="center"/>
    </xf>
    <xf numFmtId="0" fontId="42" fillId="45" borderId="0" xfId="0" applyFont="1" applyFill="1" applyAlignment="1">
      <alignment/>
    </xf>
    <xf numFmtId="184" fontId="42" fillId="41" borderId="10" xfId="0" applyNumberFormat="1" applyFont="1" applyFill="1" applyBorder="1" applyAlignment="1" applyProtection="1">
      <alignment horizontal="center"/>
      <protection locked="0"/>
    </xf>
    <xf numFmtId="191" fontId="42" fillId="42" borderId="0" xfId="0" applyNumberFormat="1" applyFont="1" applyFill="1" applyBorder="1" applyAlignment="1">
      <alignment/>
    </xf>
    <xf numFmtId="190" fontId="42" fillId="42" borderId="36" xfId="0" applyNumberFormat="1" applyFont="1" applyFill="1" applyBorder="1" applyAlignment="1">
      <alignment horizontal="center"/>
    </xf>
    <xf numFmtId="184" fontId="42" fillId="42" borderId="36" xfId="0" applyNumberFormat="1" applyFont="1" applyFill="1" applyBorder="1" applyAlignment="1" applyProtection="1">
      <alignment horizontal="center"/>
      <protection locked="0"/>
    </xf>
    <xf numFmtId="191" fontId="42" fillId="42" borderId="36" xfId="0" applyNumberFormat="1" applyFont="1" applyFill="1" applyBorder="1" applyAlignment="1">
      <alignment/>
    </xf>
    <xf numFmtId="184" fontId="42" fillId="42" borderId="0" xfId="0" applyNumberFormat="1" applyFont="1" applyFill="1" applyBorder="1" applyAlignment="1" applyProtection="1">
      <alignment horizontal="center"/>
      <protection locked="0"/>
    </xf>
    <xf numFmtId="190" fontId="42" fillId="42" borderId="32" xfId="0" applyNumberFormat="1" applyFont="1" applyFill="1" applyBorder="1" applyAlignment="1">
      <alignment horizontal="center"/>
    </xf>
    <xf numFmtId="0" fontId="42" fillId="42" borderId="32" xfId="0" applyFont="1" applyFill="1" applyBorder="1" applyAlignment="1">
      <alignment horizontal="center"/>
    </xf>
    <xf numFmtId="184" fontId="42" fillId="42" borderId="32" xfId="0" applyNumberFormat="1" applyFont="1" applyFill="1" applyBorder="1" applyAlignment="1" applyProtection="1">
      <alignment horizontal="center"/>
      <protection locked="0"/>
    </xf>
    <xf numFmtId="191" fontId="42" fillId="42" borderId="32" xfId="0" applyNumberFormat="1" applyFont="1" applyFill="1" applyBorder="1" applyAlignment="1">
      <alignment/>
    </xf>
    <xf numFmtId="190" fontId="42" fillId="42" borderId="0" xfId="0" applyNumberFormat="1" applyFont="1" applyFill="1" applyBorder="1" applyAlignment="1" applyProtection="1">
      <alignment horizontal="center"/>
      <protection locked="0"/>
    </xf>
    <xf numFmtId="0" fontId="42" fillId="46" borderId="0" xfId="0" applyFont="1" applyFill="1" applyAlignment="1">
      <alignment/>
    </xf>
    <xf numFmtId="190" fontId="4" fillId="43" borderId="22" xfId="111" applyNumberFormat="1" applyFont="1" applyFill="1" applyBorder="1" applyAlignment="1" applyProtection="1">
      <alignment horizontal="center"/>
      <protection/>
    </xf>
    <xf numFmtId="0" fontId="4" fillId="43" borderId="25" xfId="0" applyFont="1" applyFill="1" applyBorder="1" applyAlignment="1">
      <alignment vertical="center"/>
    </xf>
    <xf numFmtId="0" fontId="4" fillId="43" borderId="10" xfId="0" applyFont="1" applyFill="1" applyBorder="1" applyAlignment="1">
      <alignment vertical="center"/>
    </xf>
    <xf numFmtId="190" fontId="4" fillId="43" borderId="18" xfId="0" applyNumberFormat="1" applyFont="1" applyFill="1" applyBorder="1" applyAlignment="1">
      <alignment horizontal="center" vertical="center"/>
    </xf>
    <xf numFmtId="0" fontId="4" fillId="34" borderId="25" xfId="0" applyFont="1" applyFill="1" applyBorder="1" applyAlignment="1" applyProtection="1">
      <alignment horizontal="center" vertical="center"/>
      <protection/>
    </xf>
    <xf numFmtId="190" fontId="42" fillId="42" borderId="0" xfId="0" applyNumberFormat="1" applyFont="1" applyFill="1" applyBorder="1" applyAlignment="1">
      <alignment horizontal="center"/>
    </xf>
    <xf numFmtId="0" fontId="42" fillId="42" borderId="27" xfId="0" applyFont="1" applyFill="1" applyBorder="1" applyAlignment="1">
      <alignment horizontal="center"/>
    </xf>
    <xf numFmtId="191" fontId="42" fillId="42" borderId="0" xfId="0" applyNumberFormat="1" applyFont="1" applyFill="1" applyBorder="1" applyAlignment="1">
      <alignment horizontal="center"/>
    </xf>
    <xf numFmtId="0" fontId="89" fillId="42" borderId="0" xfId="0" applyFont="1" applyFill="1" applyAlignment="1">
      <alignment horizontal="center" wrapText="1"/>
    </xf>
    <xf numFmtId="190" fontId="42" fillId="41" borderId="10" xfId="0" applyNumberFormat="1" applyFont="1" applyFill="1" applyBorder="1" applyAlignment="1" applyProtection="1">
      <alignment horizontal="center"/>
      <protection locked="0"/>
    </xf>
    <xf numFmtId="0" fontId="89" fillId="42" borderId="0" xfId="0" applyFont="1" applyFill="1" applyAlignment="1">
      <alignment horizontal="center"/>
    </xf>
    <xf numFmtId="190" fontId="42" fillId="42" borderId="0" xfId="0" applyNumberFormat="1" applyFont="1" applyFill="1" applyAlignment="1">
      <alignment horizontal="center"/>
    </xf>
    <xf numFmtId="0" fontId="42" fillId="42" borderId="0" xfId="0" applyFont="1" applyFill="1" applyBorder="1" applyAlignment="1">
      <alignment/>
    </xf>
    <xf numFmtId="0" fontId="42" fillId="42" borderId="37" xfId="0" applyFont="1" applyFill="1" applyBorder="1" applyAlignment="1">
      <alignment/>
    </xf>
    <xf numFmtId="0" fontId="42" fillId="42" borderId="0" xfId="0" applyFont="1" applyFill="1" applyBorder="1" applyAlignment="1">
      <alignment horizontal="center"/>
    </xf>
    <xf numFmtId="0" fontId="4" fillId="34" borderId="0" xfId="0" applyNumberFormat="1" applyFont="1" applyFill="1" applyBorder="1" applyAlignment="1" applyProtection="1">
      <alignment horizontal="right" vertical="center"/>
      <protection/>
    </xf>
    <xf numFmtId="0" fontId="4" fillId="34" borderId="26" xfId="0"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0" borderId="0" xfId="536" applyFont="1" applyAlignment="1">
      <alignment horizontal="left" vertical="center"/>
      <protection/>
    </xf>
    <xf numFmtId="0" fontId="91" fillId="0" borderId="0" xfId="0" applyFont="1" applyAlignment="1">
      <alignment/>
    </xf>
    <xf numFmtId="0" fontId="92" fillId="0" borderId="0" xfId="536" applyFont="1">
      <alignment/>
      <protection/>
    </xf>
    <xf numFmtId="185" fontId="93" fillId="0" borderId="0" xfId="536" applyNumberFormat="1" applyFont="1" applyAlignment="1">
      <alignment horizontal="left" vertical="center"/>
      <protection/>
    </xf>
    <xf numFmtId="0" fontId="93" fillId="0" borderId="0" xfId="536" applyNumberFormat="1" applyFont="1" applyAlignment="1">
      <alignment horizontal="left" vertical="center"/>
      <protection/>
    </xf>
    <xf numFmtId="1" fontId="93" fillId="0" borderId="0" xfId="536" applyNumberFormat="1" applyFont="1" applyAlignment="1">
      <alignment horizontal="left" vertical="center"/>
      <protection/>
    </xf>
    <xf numFmtId="0" fontId="94" fillId="0" borderId="0" xfId="536" applyFont="1" applyAlignment="1">
      <alignment horizontal="left" vertical="center"/>
      <protection/>
    </xf>
    <xf numFmtId="0" fontId="4" fillId="42" borderId="0" xfId="0" applyFont="1" applyFill="1" applyAlignment="1" applyProtection="1">
      <alignment vertical="center"/>
      <protection locked="0"/>
    </xf>
    <xf numFmtId="10" fontId="4" fillId="33" borderId="11" xfId="0" applyNumberFormat="1" applyFont="1" applyFill="1" applyBorder="1" applyAlignment="1" applyProtection="1">
      <alignment vertical="center"/>
      <protection locked="0"/>
    </xf>
    <xf numFmtId="0" fontId="4" fillId="34" borderId="16" xfId="0" applyFont="1" applyFill="1" applyBorder="1" applyAlignment="1">
      <alignment horizontal="center" vertical="center"/>
    </xf>
    <xf numFmtId="37" fontId="4" fillId="35" borderId="21" xfId="0" applyNumberFormat="1" applyFont="1" applyFill="1" applyBorder="1" applyAlignment="1" applyProtection="1">
      <alignment horizontal="center" vertical="center"/>
      <protection/>
    </xf>
    <xf numFmtId="177" fontId="4" fillId="35" borderId="21" xfId="0" applyNumberFormat="1" applyFont="1" applyFill="1" applyBorder="1" applyAlignment="1" applyProtection="1">
      <alignment horizontal="center" vertical="center"/>
      <protection/>
    </xf>
    <xf numFmtId="177" fontId="4" fillId="34" borderId="11" xfId="0" applyNumberFormat="1" applyFont="1" applyFill="1" applyBorder="1" applyAlignment="1" applyProtection="1">
      <alignment horizontal="center" vertical="center"/>
      <protection/>
    </xf>
    <xf numFmtId="193" fontId="4" fillId="34" borderId="0" xfId="0" applyNumberFormat="1" applyFont="1" applyFill="1" applyAlignment="1">
      <alignment horizontal="center" vertical="center"/>
    </xf>
    <xf numFmtId="0" fontId="14" fillId="42" borderId="26"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14" fillId="42" borderId="0" xfId="0" applyFont="1" applyFill="1" applyBorder="1" applyAlignment="1" applyProtection="1">
      <alignment vertical="center"/>
      <protection/>
    </xf>
    <xf numFmtId="190" fontId="14" fillId="42" borderId="22" xfId="0" applyNumberFormat="1" applyFont="1" applyFill="1" applyBorder="1" applyAlignment="1" applyProtection="1">
      <alignment horizontal="center" vertical="center"/>
      <protection/>
    </xf>
    <xf numFmtId="0" fontId="14" fillId="42" borderId="26" xfId="0" applyFont="1" applyFill="1" applyBorder="1" applyAlignment="1" applyProtection="1">
      <alignment horizontal="left" vertical="center"/>
      <protection/>
    </xf>
    <xf numFmtId="190" fontId="14" fillId="41" borderId="11" xfId="0" applyNumberFormat="1" applyFont="1" applyFill="1" applyBorder="1" applyAlignment="1" applyProtection="1">
      <alignment horizontal="center" vertical="center"/>
      <protection locked="0"/>
    </xf>
    <xf numFmtId="184" fontId="15" fillId="42" borderId="15" xfId="0" applyNumberFormat="1" applyFont="1" applyFill="1" applyBorder="1" applyAlignment="1" applyProtection="1">
      <alignment horizontal="center" vertical="center"/>
      <protection/>
    </xf>
    <xf numFmtId="0" fontId="15" fillId="43" borderId="26" xfId="0" applyFont="1" applyFill="1" applyBorder="1" applyAlignment="1" applyProtection="1">
      <alignment vertical="center"/>
      <protection/>
    </xf>
    <xf numFmtId="0" fontId="4" fillId="43" borderId="0" xfId="0" applyFont="1" applyFill="1" applyBorder="1" applyAlignment="1" applyProtection="1">
      <alignment vertical="center"/>
      <protection/>
    </xf>
    <xf numFmtId="0" fontId="14" fillId="43" borderId="0" xfId="0" applyFont="1" applyFill="1" applyBorder="1" applyAlignment="1" applyProtection="1">
      <alignment vertical="center"/>
      <protection/>
    </xf>
    <xf numFmtId="190" fontId="15" fillId="43" borderId="15" xfId="0" applyNumberFormat="1" applyFont="1" applyFill="1" applyBorder="1" applyAlignment="1" applyProtection="1">
      <alignment horizontal="center" vertical="center"/>
      <protection/>
    </xf>
    <xf numFmtId="37" fontId="14" fillId="34" borderId="25" xfId="0" applyNumberFormat="1" applyFont="1" applyFill="1" applyBorder="1" applyAlignment="1" applyProtection="1">
      <alignment horizontal="left" vertical="center"/>
      <protection/>
    </xf>
    <xf numFmtId="0" fontId="16" fillId="42" borderId="10" xfId="0" applyFont="1" applyFill="1" applyBorder="1" applyAlignment="1">
      <alignment horizontal="left" vertical="center"/>
    </xf>
    <xf numFmtId="190" fontId="15" fillId="43" borderId="18" xfId="0" applyNumberFormat="1" applyFont="1" applyFill="1" applyBorder="1" applyAlignment="1" applyProtection="1">
      <alignment horizontal="center" vertical="center"/>
      <protection locked="0"/>
    </xf>
    <xf numFmtId="0" fontId="4" fillId="34" borderId="22" xfId="0" applyFont="1" applyFill="1" applyBorder="1" applyAlignment="1" applyProtection="1">
      <alignment vertical="center"/>
      <protection/>
    </xf>
    <xf numFmtId="0" fontId="4" fillId="42" borderId="22" xfId="0" applyFont="1" applyFill="1" applyBorder="1" applyAlignment="1" applyProtection="1">
      <alignment vertical="center"/>
      <protection locked="0"/>
    </xf>
    <xf numFmtId="0" fontId="95" fillId="0" borderId="0" xfId="0" applyFont="1" applyAlignment="1" applyProtection="1">
      <alignment/>
      <protection locked="0"/>
    </xf>
    <xf numFmtId="0" fontId="4" fillId="43" borderId="18" xfId="0" applyFont="1" applyFill="1" applyBorder="1" applyAlignment="1" applyProtection="1">
      <alignment vertical="center"/>
      <protection locked="0"/>
    </xf>
    <xf numFmtId="184" fontId="14" fillId="42" borderId="26" xfId="0" applyNumberFormat="1" applyFont="1" applyFill="1" applyBorder="1" applyAlignment="1" applyProtection="1">
      <alignment horizontal="center" vertical="center"/>
      <protection/>
    </xf>
    <xf numFmtId="0" fontId="14" fillId="42" borderId="0" xfId="0" applyFont="1" applyFill="1" applyBorder="1" applyAlignment="1" applyProtection="1">
      <alignment horizontal="left" vertical="center"/>
      <protection/>
    </xf>
    <xf numFmtId="0" fontId="23" fillId="42" borderId="0" xfId="0" applyFont="1" applyFill="1" applyBorder="1" applyAlignment="1" applyProtection="1">
      <alignment horizontal="center" vertical="center"/>
      <protection/>
    </xf>
    <xf numFmtId="0" fontId="0" fillId="42" borderId="22" xfId="0" applyFill="1" applyBorder="1" applyAlignment="1" applyProtection="1">
      <alignment vertical="center"/>
      <protection/>
    </xf>
    <xf numFmtId="184" fontId="14" fillId="43" borderId="25" xfId="0" applyNumberFormat="1" applyFont="1" applyFill="1" applyBorder="1" applyAlignment="1" applyProtection="1">
      <alignment horizontal="center" vertical="center"/>
      <protection/>
    </xf>
    <xf numFmtId="184" fontId="14" fillId="42" borderId="13" xfId="0" applyNumberFormat="1" applyFont="1" applyFill="1" applyBorder="1" applyAlignment="1" applyProtection="1">
      <alignment horizontal="center" vertical="center"/>
      <protection/>
    </xf>
    <xf numFmtId="184" fontId="14" fillId="43" borderId="13" xfId="0" applyNumberFormat="1" applyFont="1" applyFill="1" applyBorder="1" applyAlignment="1" applyProtection="1">
      <alignment horizontal="center" vertical="center"/>
      <protection/>
    </xf>
    <xf numFmtId="0" fontId="14" fillId="42" borderId="10" xfId="0" applyFont="1" applyFill="1" applyBorder="1" applyAlignment="1" applyProtection="1">
      <alignment horizontal="left" vertical="center"/>
      <protection/>
    </xf>
    <xf numFmtId="0" fontId="23" fillId="42" borderId="10" xfId="0" applyFont="1" applyFill="1" applyBorder="1" applyAlignment="1" applyProtection="1">
      <alignment horizontal="center" vertical="center"/>
      <protection/>
    </xf>
    <xf numFmtId="0" fontId="0" fillId="42" borderId="18" xfId="0" applyFill="1" applyBorder="1" applyAlignment="1" applyProtection="1">
      <alignment vertical="center"/>
      <protection/>
    </xf>
    <xf numFmtId="37" fontId="4" fillId="34" borderId="22" xfId="0" applyNumberFormat="1" applyFont="1" applyFill="1" applyBorder="1" applyAlignment="1" applyProtection="1">
      <alignment horizontal="right" vertical="center"/>
      <protection/>
    </xf>
    <xf numFmtId="190" fontId="14" fillId="42" borderId="26" xfId="0" applyNumberFormat="1" applyFont="1" applyFill="1" applyBorder="1" applyAlignment="1" applyProtection="1">
      <alignment horizontal="center" vertical="center"/>
      <protection/>
    </xf>
    <xf numFmtId="0" fontId="14" fillId="42" borderId="22" xfId="0" applyFont="1" applyFill="1" applyBorder="1" applyAlignment="1" applyProtection="1">
      <alignment vertical="center"/>
      <protection/>
    </xf>
    <xf numFmtId="190" fontId="14" fillId="42" borderId="25" xfId="0" applyNumberFormat="1" applyFont="1" applyFill="1" applyBorder="1" applyAlignment="1" applyProtection="1">
      <alignment horizontal="center" vertical="center"/>
      <protection/>
    </xf>
    <xf numFmtId="190" fontId="14" fillId="42" borderId="26" xfId="0" applyNumberFormat="1" applyFont="1" applyFill="1" applyBorder="1" applyAlignment="1" applyProtection="1">
      <alignment vertical="center"/>
      <protection/>
    </xf>
    <xf numFmtId="0" fontId="4" fillId="42" borderId="22" xfId="0" applyFont="1" applyFill="1" applyBorder="1" applyAlignment="1" applyProtection="1">
      <alignment/>
      <protection locked="0"/>
    </xf>
    <xf numFmtId="190" fontId="14" fillId="43" borderId="25" xfId="0" applyNumberFormat="1" applyFont="1" applyFill="1" applyBorder="1" applyAlignment="1" applyProtection="1">
      <alignment horizontal="center" vertical="center"/>
      <protection/>
    </xf>
    <xf numFmtId="0" fontId="14" fillId="43" borderId="10" xfId="0" applyFont="1" applyFill="1" applyBorder="1" applyAlignment="1" applyProtection="1">
      <alignment vertical="center"/>
      <protection/>
    </xf>
    <xf numFmtId="0" fontId="14" fillId="43" borderId="18" xfId="0" applyFont="1" applyFill="1" applyBorder="1" applyAlignment="1" applyProtection="1">
      <alignment vertical="center"/>
      <protection/>
    </xf>
    <xf numFmtId="37" fontId="4" fillId="43" borderId="18" xfId="0" applyNumberFormat="1" applyFont="1" applyFill="1" applyBorder="1" applyAlignment="1" applyProtection="1">
      <alignment horizontal="right" vertical="center"/>
      <protection/>
    </xf>
    <xf numFmtId="0" fontId="4" fillId="42" borderId="26" xfId="0" applyFont="1" applyFill="1" applyBorder="1" applyAlignment="1" applyProtection="1">
      <alignment vertical="center"/>
      <protection/>
    </xf>
    <xf numFmtId="190" fontId="17" fillId="42" borderId="26" xfId="0" applyNumberFormat="1" applyFont="1" applyFill="1" applyBorder="1" applyAlignment="1" applyProtection="1">
      <alignment horizontal="center" vertical="center"/>
      <protection/>
    </xf>
    <xf numFmtId="0" fontId="4" fillId="42" borderId="22" xfId="0" applyFont="1" applyFill="1" applyBorder="1" applyAlignment="1" applyProtection="1">
      <alignment vertical="center"/>
      <protection/>
    </xf>
    <xf numFmtId="190" fontId="17" fillId="42" borderId="26" xfId="0" applyNumberFormat="1" applyFont="1" applyFill="1" applyBorder="1" applyAlignment="1" applyProtection="1">
      <alignment vertical="center"/>
      <protection/>
    </xf>
    <xf numFmtId="0" fontId="17" fillId="42" borderId="0" xfId="0" applyFont="1" applyFill="1" applyBorder="1" applyAlignment="1" applyProtection="1">
      <alignment vertical="center"/>
      <protection/>
    </xf>
    <xf numFmtId="190" fontId="17" fillId="42" borderId="25" xfId="0" applyNumberFormat="1" applyFont="1" applyFill="1" applyBorder="1" applyAlignment="1" applyProtection="1">
      <alignment horizontal="center" vertical="center"/>
      <protection/>
    </xf>
    <xf numFmtId="190" fontId="17" fillId="43" borderId="25" xfId="0" applyNumberFormat="1" applyFont="1" applyFill="1" applyBorder="1" applyAlignment="1" applyProtection="1">
      <alignment horizontal="center" vertical="center"/>
      <protection/>
    </xf>
    <xf numFmtId="0" fontId="4" fillId="43" borderId="18" xfId="0" applyFont="1" applyFill="1" applyBorder="1" applyAlignment="1" applyProtection="1">
      <alignment vertical="center"/>
      <protection/>
    </xf>
    <xf numFmtId="0" fontId="4" fillId="43" borderId="18" xfId="0" applyFont="1" applyFill="1" applyBorder="1" applyAlignment="1" applyProtection="1">
      <alignment/>
      <protection locked="0"/>
    </xf>
    <xf numFmtId="193" fontId="4" fillId="33" borderId="11" xfId="0" applyNumberFormat="1" applyFont="1" applyFill="1" applyBorder="1" applyAlignment="1" applyProtection="1">
      <alignment vertical="center"/>
      <protection locked="0"/>
    </xf>
    <xf numFmtId="37" fontId="4" fillId="34" borderId="10" xfId="95" applyNumberFormat="1" applyFont="1" applyFill="1" applyBorder="1" applyAlignment="1" applyProtection="1">
      <alignment horizontal="left" vertical="center"/>
      <protection/>
    </xf>
    <xf numFmtId="190" fontId="14" fillId="43" borderId="25" xfId="95" applyNumberFormat="1" applyFont="1" applyFill="1" applyBorder="1" applyAlignment="1" applyProtection="1">
      <alignment horizontal="center" vertical="center"/>
      <protection/>
    </xf>
    <xf numFmtId="193" fontId="4" fillId="33" borderId="11" xfId="0" applyNumberFormat="1" applyFont="1" applyFill="1" applyBorder="1" applyAlignment="1" applyProtection="1">
      <alignment vertical="center"/>
      <protection locked="0"/>
    </xf>
    <xf numFmtId="37" fontId="4" fillId="34" borderId="14" xfId="90" applyNumberFormat="1" applyFont="1" applyFill="1" applyBorder="1" applyAlignment="1" applyProtection="1">
      <alignment horizontal="left" vertical="center"/>
      <protection/>
    </xf>
    <xf numFmtId="0" fontId="5" fillId="34" borderId="0" xfId="95" applyFont="1" applyFill="1" applyAlignment="1" applyProtection="1">
      <alignment vertical="center"/>
      <protection/>
    </xf>
    <xf numFmtId="1" fontId="4" fillId="34" borderId="19"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center" vertical="center"/>
      <protection/>
    </xf>
    <xf numFmtId="0" fontId="24" fillId="34" borderId="0" xfId="0" applyFont="1" applyFill="1" applyAlignment="1" applyProtection="1">
      <alignment horizontal="center" vertical="center"/>
      <protection/>
    </xf>
    <xf numFmtId="37" fontId="5" fillId="34" borderId="0" xfId="0" applyNumberFormat="1" applyFont="1" applyFill="1" applyAlignment="1" applyProtection="1">
      <alignment vertical="center"/>
      <protection/>
    </xf>
    <xf numFmtId="0" fontId="14" fillId="34" borderId="18" xfId="0" applyFont="1" applyFill="1" applyBorder="1" applyAlignment="1" applyProtection="1">
      <alignment vertical="center"/>
      <protection/>
    </xf>
    <xf numFmtId="0" fontId="14" fillId="0" borderId="0" xfId="95" applyFont="1" applyFill="1" applyBorder="1" applyAlignment="1" applyProtection="1">
      <alignment vertical="center"/>
      <protection/>
    </xf>
    <xf numFmtId="190" fontId="15" fillId="0" borderId="0" xfId="95" applyNumberFormat="1" applyFont="1" applyFill="1" applyBorder="1" applyAlignment="1" applyProtection="1">
      <alignment horizontal="center" vertical="center"/>
      <protection/>
    </xf>
    <xf numFmtId="0" fontId="15" fillId="0" borderId="0" xfId="95" applyFont="1" applyFill="1" applyBorder="1" applyAlignment="1" applyProtection="1">
      <alignment vertical="center"/>
      <protection/>
    </xf>
    <xf numFmtId="37" fontId="14" fillId="34" borderId="11" xfId="0" applyNumberFormat="1" applyFont="1" applyFill="1" applyBorder="1" applyAlignment="1" applyProtection="1">
      <alignment horizontal="right" vertical="center"/>
      <protection/>
    </xf>
    <xf numFmtId="192" fontId="14" fillId="34" borderId="11" xfId="0" applyNumberFormat="1" applyFont="1" applyFill="1" applyBorder="1" applyAlignment="1" applyProtection="1">
      <alignment horizontal="right" vertical="center"/>
      <protection/>
    </xf>
    <xf numFmtId="183" fontId="4" fillId="34" borderId="11" xfId="0" applyNumberFormat="1" applyFont="1" applyFill="1" applyBorder="1" applyAlignment="1" applyProtection="1">
      <alignment horizontal="right" vertical="center"/>
      <protection/>
    </xf>
    <xf numFmtId="0" fontId="14" fillId="34" borderId="11" xfId="0" applyFont="1" applyFill="1" applyBorder="1" applyAlignment="1" applyProtection="1">
      <alignment horizontal="right" vertical="center"/>
      <protection/>
    </xf>
    <xf numFmtId="0" fontId="14" fillId="34" borderId="16" xfId="0" applyFont="1" applyFill="1" applyBorder="1" applyAlignment="1" applyProtection="1">
      <alignment horizontal="right" vertical="center"/>
      <protection/>
    </xf>
    <xf numFmtId="37" fontId="14" fillId="34" borderId="21" xfId="0" applyNumberFormat="1" applyFont="1" applyFill="1" applyBorder="1" applyAlignment="1" applyProtection="1">
      <alignment horizontal="right" vertical="center"/>
      <protection/>
    </xf>
    <xf numFmtId="183" fontId="14" fillId="34" borderId="21" xfId="0" applyNumberFormat="1" applyFont="1" applyFill="1" applyBorder="1" applyAlignment="1" applyProtection="1">
      <alignment horizontal="right" vertical="center"/>
      <protection/>
    </xf>
    <xf numFmtId="0" fontId="4" fillId="0" borderId="0" xfId="88" applyFont="1" applyAlignment="1">
      <alignment vertical="center" wrapText="1"/>
      <protection/>
    </xf>
    <xf numFmtId="0" fontId="4" fillId="0" borderId="0" xfId="151" applyFont="1" applyAlignment="1">
      <alignment vertical="center"/>
      <protection/>
    </xf>
    <xf numFmtId="37" fontId="14" fillId="34" borderId="0" xfId="0" applyNumberFormat="1" applyFont="1" applyFill="1" applyBorder="1" applyAlignment="1" applyProtection="1">
      <alignment horizontal="fill" vertical="center"/>
      <protection locked="0"/>
    </xf>
    <xf numFmtId="0" fontId="14" fillId="34" borderId="0" xfId="0" applyFont="1" applyFill="1" applyBorder="1" applyAlignment="1" applyProtection="1">
      <alignment vertical="center"/>
      <protection locked="0"/>
    </xf>
    <xf numFmtId="0" fontId="14" fillId="34" borderId="0" xfId="0" applyFont="1" applyFill="1" applyBorder="1" applyAlignment="1" applyProtection="1">
      <alignment horizontal="centerContinuous" vertical="center"/>
      <protection locked="0"/>
    </xf>
    <xf numFmtId="37" fontId="14" fillId="34" borderId="0" xfId="0" applyNumberFormat="1" applyFont="1" applyFill="1" applyBorder="1" applyAlignment="1" applyProtection="1">
      <alignment horizontal="centerContinuous" vertical="center"/>
      <protection/>
    </xf>
    <xf numFmtId="0" fontId="4" fillId="0" borderId="0" xfId="105" applyFont="1" applyAlignment="1">
      <alignment vertical="center" wrapText="1"/>
      <protection/>
    </xf>
    <xf numFmtId="0" fontId="4" fillId="0" borderId="0" xfId="139" applyFont="1" applyAlignment="1">
      <alignment vertical="center" wrapText="1"/>
      <protection/>
    </xf>
    <xf numFmtId="0" fontId="96" fillId="42" borderId="15" xfId="0" applyFont="1" applyFill="1" applyBorder="1" applyAlignment="1" applyProtection="1">
      <alignment horizontal="center" vertical="center"/>
      <protection locked="0"/>
    </xf>
    <xf numFmtId="0" fontId="5" fillId="42" borderId="14" xfId="0" applyFont="1" applyFill="1" applyBorder="1" applyAlignment="1" applyProtection="1">
      <alignment horizontal="centerContinuous" vertical="center"/>
      <protection locked="0"/>
    </xf>
    <xf numFmtId="0" fontId="96" fillId="42" borderId="15" xfId="0" applyFont="1" applyFill="1" applyBorder="1" applyAlignment="1">
      <alignment horizontal="center" vertical="center"/>
    </xf>
    <xf numFmtId="0" fontId="5" fillId="42" borderId="14" xfId="0" applyFont="1" applyFill="1" applyBorder="1" applyAlignment="1">
      <alignment horizontal="centerContinuous" vertical="center"/>
    </xf>
    <xf numFmtId="0" fontId="4" fillId="0" borderId="0" xfId="0" applyFont="1" applyAlignment="1">
      <alignment wrapText="1"/>
    </xf>
    <xf numFmtId="0" fontId="4" fillId="33" borderId="13" xfId="0" applyFont="1" applyFill="1" applyBorder="1" applyAlignment="1" applyProtection="1">
      <alignment vertical="center"/>
      <protection locked="0"/>
    </xf>
    <xf numFmtId="0" fontId="4" fillId="33" borderId="14" xfId="0" applyFont="1" applyFill="1" applyBorder="1" applyAlignment="1" applyProtection="1">
      <alignment vertical="center"/>
      <protection/>
    </xf>
    <xf numFmtId="37" fontId="4" fillId="33" borderId="15" xfId="0" applyNumberFormat="1" applyFont="1" applyFill="1" applyBorder="1" applyAlignment="1" applyProtection="1">
      <alignment horizontal="left" vertical="center"/>
      <protection locked="0"/>
    </xf>
    <xf numFmtId="3" fontId="4" fillId="34" borderId="16" xfId="0" applyNumberFormat="1" applyFont="1" applyFill="1" applyBorder="1" applyAlignment="1" applyProtection="1">
      <alignment vertical="center"/>
      <protection/>
    </xf>
    <xf numFmtId="3" fontId="20" fillId="34" borderId="27" xfId="0" applyNumberFormat="1" applyFont="1" applyFill="1" applyBorder="1" applyAlignment="1" applyProtection="1">
      <alignment horizontal="center" vertical="center"/>
      <protection/>
    </xf>
    <xf numFmtId="0" fontId="20" fillId="34" borderId="27" xfId="0" applyFont="1" applyFill="1" applyBorder="1" applyAlignment="1" applyProtection="1">
      <alignment horizontal="center" vertical="center"/>
      <protection/>
    </xf>
    <xf numFmtId="0" fontId="4" fillId="0" borderId="0" xfId="90" applyFont="1" applyAlignment="1">
      <alignment horizontal="left" vertical="center"/>
      <protection/>
    </xf>
    <xf numFmtId="0" fontId="4" fillId="41" borderId="11" xfId="0" applyFont="1" applyFill="1" applyBorder="1" applyAlignment="1" applyProtection="1">
      <alignment/>
      <protection locked="0"/>
    </xf>
    <xf numFmtId="49" fontId="4" fillId="33" borderId="11" xfId="534" applyNumberFormat="1" applyFont="1" applyFill="1" applyBorder="1" applyAlignment="1" applyProtection="1">
      <alignment horizontal="left" vertical="center"/>
      <protection locked="0"/>
    </xf>
    <xf numFmtId="0" fontId="4" fillId="33" borderId="13" xfId="534" applyFont="1" applyFill="1" applyBorder="1" applyAlignment="1" applyProtection="1">
      <alignment horizontal="left" vertical="center"/>
      <protection locked="0"/>
    </xf>
    <xf numFmtId="0" fontId="4" fillId="33" borderId="14" xfId="534" applyFont="1" applyFill="1" applyBorder="1" applyAlignment="1" applyProtection="1">
      <alignment horizontal="left" vertical="center"/>
      <protection locked="0"/>
    </xf>
    <xf numFmtId="0" fontId="12" fillId="33" borderId="15" xfId="534" applyFont="1" applyFill="1" applyBorder="1" applyAlignment="1" applyProtection="1">
      <alignment horizontal="left" vertical="center"/>
      <protection locked="0"/>
    </xf>
    <xf numFmtId="0" fontId="7" fillId="34" borderId="0" xfId="90" applyFont="1" applyFill="1" applyAlignment="1" applyProtection="1">
      <alignment horizontal="center" vertical="center"/>
      <protection/>
    </xf>
    <xf numFmtId="3" fontId="4" fillId="34" borderId="27" xfId="0" applyNumberFormat="1" applyFont="1" applyFill="1" applyBorder="1" applyAlignment="1" applyProtection="1">
      <alignment vertical="center"/>
      <protection/>
    </xf>
    <xf numFmtId="171" fontId="4" fillId="34" borderId="10" xfId="0" applyNumberFormat="1" applyFont="1" applyFill="1" applyBorder="1" applyAlignment="1" applyProtection="1">
      <alignment vertical="center"/>
      <protection/>
    </xf>
    <xf numFmtId="3" fontId="4" fillId="34" borderId="40" xfId="0" applyNumberFormat="1" applyFont="1" applyFill="1" applyBorder="1" applyAlignment="1" applyProtection="1">
      <alignment vertical="center"/>
      <protection/>
    </xf>
    <xf numFmtId="0" fontId="4" fillId="34" borderId="27" xfId="0" applyFont="1" applyFill="1" applyBorder="1" applyAlignment="1" applyProtection="1">
      <alignment vertical="center"/>
      <protection/>
    </xf>
    <xf numFmtId="3" fontId="4" fillId="34" borderId="0" xfId="90" applyNumberFormat="1" applyFont="1" applyFill="1" applyAlignment="1" applyProtection="1">
      <alignment vertical="center"/>
      <protection/>
    </xf>
    <xf numFmtId="3" fontId="4" fillId="34" borderId="10" xfId="90" applyNumberFormat="1" applyFont="1" applyFill="1" applyBorder="1" applyAlignment="1" applyProtection="1">
      <alignment vertical="center"/>
      <protection/>
    </xf>
    <xf numFmtId="3" fontId="4" fillId="34" borderId="0" xfId="90" applyNumberFormat="1" applyFont="1" applyFill="1" applyBorder="1" applyAlignment="1" applyProtection="1">
      <alignment vertical="center"/>
      <protection/>
    </xf>
    <xf numFmtId="0" fontId="4" fillId="34" borderId="0" xfId="90" applyFont="1" applyFill="1" applyAlignment="1" applyProtection="1">
      <alignment horizontal="left" vertical="center"/>
      <protection/>
    </xf>
    <xf numFmtId="0" fontId="4" fillId="42" borderId="0" xfId="90" applyFont="1" applyFill="1" applyAlignment="1" applyProtection="1">
      <alignment vertical="center"/>
      <protection/>
    </xf>
    <xf numFmtId="0" fontId="4" fillId="34" borderId="0" xfId="90" applyFont="1" applyFill="1" applyAlignment="1" applyProtection="1" quotePrefix="1">
      <alignment vertical="center"/>
      <protection/>
    </xf>
    <xf numFmtId="3" fontId="4" fillId="34" borderId="40" xfId="90" applyNumberFormat="1" applyFont="1" applyFill="1" applyBorder="1" applyAlignment="1" applyProtection="1">
      <alignment vertical="center"/>
      <protection/>
    </xf>
    <xf numFmtId="0" fontId="4" fillId="34" borderId="0" xfId="90" applyFont="1" applyFill="1" applyAlignment="1" applyProtection="1" quotePrefix="1">
      <alignment horizontal="left" vertical="center"/>
      <protection/>
    </xf>
    <xf numFmtId="10" fontId="4" fillId="34" borderId="10" xfId="90" applyNumberFormat="1" applyFont="1" applyFill="1" applyBorder="1" applyAlignment="1" applyProtection="1">
      <alignment vertical="center"/>
      <protection/>
    </xf>
    <xf numFmtId="10" fontId="4" fillId="34" borderId="0" xfId="90" applyNumberFormat="1" applyFont="1" applyFill="1" applyBorder="1" applyAlignment="1" applyProtection="1">
      <alignment vertical="center"/>
      <protection/>
    </xf>
    <xf numFmtId="0" fontId="7" fillId="34" borderId="0" xfId="90" applyFont="1" applyFill="1" applyAlignment="1" applyProtection="1">
      <alignment horizontal="left" vertical="center"/>
      <protection/>
    </xf>
    <xf numFmtId="0" fontId="4" fillId="39" borderId="11" xfId="90" applyFont="1" applyFill="1" applyBorder="1" applyAlignment="1">
      <alignment horizontal="left" vertical="center" shrinkToFit="1"/>
      <protection/>
    </xf>
    <xf numFmtId="0" fontId="15" fillId="42" borderId="11" xfId="231" applyFont="1" applyFill="1" applyBorder="1" applyAlignment="1">
      <alignment horizontal="left" vertical="center"/>
      <protection/>
    </xf>
    <xf numFmtId="0" fontId="15" fillId="42" borderId="11" xfId="231" applyFont="1" applyFill="1" applyBorder="1" applyAlignment="1">
      <alignment horizontal="left" vertical="center"/>
      <protection/>
    </xf>
    <xf numFmtId="0" fontId="15" fillId="42" borderId="11" xfId="231" applyFont="1" applyFill="1" applyBorder="1" applyAlignment="1">
      <alignment horizontal="left" vertical="center"/>
      <protection/>
    </xf>
    <xf numFmtId="0" fontId="15" fillId="42" borderId="11" xfId="231" applyFont="1" applyFill="1" applyBorder="1" applyAlignment="1">
      <alignment horizontal="left" vertical="center"/>
      <protection/>
    </xf>
    <xf numFmtId="0" fontId="15" fillId="42" borderId="11" xfId="231" applyFont="1" applyFill="1" applyBorder="1" applyAlignment="1">
      <alignment horizontal="left" vertical="center"/>
      <protection/>
    </xf>
    <xf numFmtId="0" fontId="15" fillId="42" borderId="11" xfId="231" applyFont="1" applyFill="1" applyBorder="1" applyAlignment="1">
      <alignment horizontal="left" vertical="center"/>
      <protection/>
    </xf>
    <xf numFmtId="0" fontId="15" fillId="42" borderId="11" xfId="231" applyFont="1" applyFill="1" applyBorder="1" applyAlignment="1">
      <alignment horizontal="left" vertical="center"/>
      <protection/>
    </xf>
    <xf numFmtId="0" fontId="15" fillId="42" borderId="11" xfId="231" applyFont="1" applyFill="1" applyBorder="1" applyAlignment="1">
      <alignment horizontal="left" vertical="center"/>
      <protection/>
    </xf>
    <xf numFmtId="0" fontId="15" fillId="42" borderId="11" xfId="231" applyFont="1" applyFill="1" applyBorder="1" applyAlignment="1">
      <alignment horizontal="left" vertical="center"/>
      <protection/>
    </xf>
    <xf numFmtId="0" fontId="15" fillId="42" borderId="11" xfId="231" applyFont="1" applyFill="1" applyBorder="1" applyAlignment="1">
      <alignment horizontal="left" vertical="center"/>
      <protection/>
    </xf>
    <xf numFmtId="0" fontId="15" fillId="42" borderId="11" xfId="231" applyFont="1" applyFill="1" applyBorder="1" applyAlignment="1">
      <alignment horizontal="left" vertical="center"/>
      <protection/>
    </xf>
    <xf numFmtId="0" fontId="15" fillId="42" borderId="11" xfId="231" applyFont="1" applyFill="1" applyBorder="1" applyAlignment="1">
      <alignment horizontal="left" vertical="center"/>
      <protection/>
    </xf>
    <xf numFmtId="0" fontId="15" fillId="42" borderId="11" xfId="231" applyFont="1" applyFill="1" applyBorder="1" applyAlignment="1">
      <alignment horizontal="left" vertical="center"/>
      <protection/>
    </xf>
    <xf numFmtId="0" fontId="15" fillId="42" borderId="11" xfId="231" applyFont="1" applyFill="1" applyBorder="1" applyAlignment="1">
      <alignment horizontal="left" vertical="center"/>
      <protection/>
    </xf>
    <xf numFmtId="0" fontId="15" fillId="42" borderId="11" xfId="231" applyFont="1" applyFill="1" applyBorder="1" applyAlignment="1">
      <alignment horizontal="left" vertical="center"/>
      <protection/>
    </xf>
    <xf numFmtId="0" fontId="15" fillId="42" borderId="11" xfId="231" applyFont="1" applyFill="1" applyBorder="1" applyAlignment="1">
      <alignment horizontal="left" vertical="center"/>
      <protection/>
    </xf>
    <xf numFmtId="0" fontId="15" fillId="42" borderId="11" xfId="231" applyFont="1" applyFill="1" applyBorder="1" applyAlignment="1">
      <alignment horizontal="left" vertical="center"/>
      <protection/>
    </xf>
    <xf numFmtId="0" fontId="15" fillId="42" borderId="11" xfId="231" applyFont="1" applyFill="1" applyBorder="1" applyAlignment="1">
      <alignment horizontal="left" vertical="center"/>
      <protection/>
    </xf>
    <xf numFmtId="0" fontId="15" fillId="42" borderId="11" xfId="231" applyFont="1" applyFill="1" applyBorder="1" applyAlignment="1">
      <alignment horizontal="left" vertical="center"/>
      <protection/>
    </xf>
    <xf numFmtId="0" fontId="15" fillId="42" borderId="11" xfId="231" applyFont="1" applyFill="1" applyBorder="1" applyAlignment="1">
      <alignment horizontal="left" vertical="center"/>
      <protection/>
    </xf>
    <xf numFmtId="0" fontId="15" fillId="42" borderId="11" xfId="231" applyFont="1" applyFill="1" applyBorder="1" applyAlignment="1">
      <alignment horizontal="left" vertical="center"/>
      <protection/>
    </xf>
    <xf numFmtId="0" fontId="15" fillId="42" borderId="11" xfId="231" applyFont="1" applyFill="1" applyBorder="1" applyAlignment="1">
      <alignment horizontal="left" vertical="center"/>
      <protection/>
    </xf>
    <xf numFmtId="0" fontId="15" fillId="42" borderId="11" xfId="231" applyFont="1" applyFill="1" applyBorder="1" applyAlignment="1">
      <alignment horizontal="left" vertical="center"/>
      <protection/>
    </xf>
    <xf numFmtId="0" fontId="15" fillId="42" borderId="11" xfId="231" applyFont="1" applyFill="1" applyBorder="1" applyAlignment="1">
      <alignment horizontal="left" vertical="center"/>
      <protection/>
    </xf>
    <xf numFmtId="0" fontId="15" fillId="42" borderId="11" xfId="231" applyFont="1" applyFill="1" applyBorder="1" applyAlignment="1">
      <alignment horizontal="left" vertical="center"/>
      <protection/>
    </xf>
    <xf numFmtId="0" fontId="0" fillId="0" borderId="0" xfId="90">
      <alignment/>
      <protection/>
    </xf>
    <xf numFmtId="0" fontId="70" fillId="46" borderId="0" xfId="439" applyFill="1" applyBorder="1">
      <alignment/>
      <protection/>
    </xf>
    <xf numFmtId="0" fontId="70" fillId="46" borderId="0" xfId="439" applyFill="1" applyBorder="1" applyAlignment="1">
      <alignment horizontal="left" vertical="center"/>
      <protection/>
    </xf>
    <xf numFmtId="0" fontId="70" fillId="46" borderId="0" xfId="439" applyFill="1" applyBorder="1" applyAlignment="1">
      <alignment horizontal="center" vertical="center"/>
      <protection/>
    </xf>
    <xf numFmtId="0" fontId="46" fillId="0" borderId="0" xfId="90" applyFont="1">
      <alignment/>
      <protection/>
    </xf>
    <xf numFmtId="0" fontId="4" fillId="0" borderId="0" xfId="0" applyFont="1" applyAlignment="1">
      <alignment vertical="top" wrapText="1"/>
    </xf>
    <xf numFmtId="0" fontId="70" fillId="46" borderId="0" xfId="439" applyFill="1">
      <alignment/>
      <protection/>
    </xf>
    <xf numFmtId="0" fontId="85" fillId="46" borderId="0" xfId="439" applyFont="1" applyFill="1" applyBorder="1">
      <alignment/>
      <protection/>
    </xf>
    <xf numFmtId="0" fontId="85" fillId="46" borderId="31" xfId="439" applyFont="1" applyFill="1" applyBorder="1">
      <alignment/>
      <protection/>
    </xf>
    <xf numFmtId="0" fontId="85" fillId="46" borderId="30" xfId="439" applyFont="1" applyFill="1" applyBorder="1">
      <alignment/>
      <protection/>
    </xf>
    <xf numFmtId="0" fontId="85" fillId="46" borderId="0" xfId="439" applyFont="1" applyFill="1" applyBorder="1" applyAlignment="1">
      <alignment horizontal="center"/>
      <protection/>
    </xf>
    <xf numFmtId="0" fontId="85" fillId="46" borderId="0" xfId="439" applyFont="1" applyFill="1" applyBorder="1" applyAlignment="1">
      <alignment horizontal="right"/>
      <protection/>
    </xf>
    <xf numFmtId="3" fontId="85" fillId="46" borderId="10" xfId="439" applyNumberFormat="1" applyFont="1" applyFill="1" applyBorder="1">
      <alignment/>
      <protection/>
    </xf>
    <xf numFmtId="3" fontId="85" fillId="46" borderId="14" xfId="439" applyNumberFormat="1" applyFont="1" applyFill="1" applyBorder="1">
      <alignment/>
      <protection/>
    </xf>
    <xf numFmtId="0" fontId="85" fillId="46" borderId="10" xfId="439" applyFont="1" applyFill="1" applyBorder="1" applyAlignment="1" applyProtection="1">
      <alignment horizontal="center"/>
      <protection locked="0"/>
    </xf>
    <xf numFmtId="0" fontId="85" fillId="46" borderId="41" xfId="439" applyFont="1" applyFill="1" applyBorder="1" applyAlignment="1" applyProtection="1">
      <alignment horizontal="center"/>
      <protection locked="0"/>
    </xf>
    <xf numFmtId="0" fontId="85" fillId="46" borderId="35" xfId="439" applyFont="1" applyFill="1" applyBorder="1">
      <alignment/>
      <protection/>
    </xf>
    <xf numFmtId="0" fontId="85" fillId="46" borderId="36" xfId="439" applyFont="1" applyFill="1" applyBorder="1">
      <alignment/>
      <protection/>
    </xf>
    <xf numFmtId="0" fontId="85" fillId="46" borderId="37" xfId="439" applyFont="1" applyFill="1" applyBorder="1">
      <alignment/>
      <protection/>
    </xf>
    <xf numFmtId="0" fontId="4" fillId="0" borderId="0" xfId="90" applyFont="1" applyAlignment="1">
      <alignment vertical="center"/>
      <protection/>
    </xf>
    <xf numFmtId="37" fontId="14" fillId="34" borderId="27" xfId="0" applyNumberFormat="1" applyFont="1" applyFill="1" applyBorder="1" applyAlignment="1" applyProtection="1">
      <alignment horizontal="left" vertical="center"/>
      <protection/>
    </xf>
    <xf numFmtId="37" fontId="14" fillId="34" borderId="27" xfId="0" applyNumberFormat="1" applyFont="1" applyFill="1" applyBorder="1" applyAlignment="1" applyProtection="1">
      <alignment horizontal="fill" vertical="center"/>
      <protection/>
    </xf>
    <xf numFmtId="37" fontId="4" fillId="34" borderId="27" xfId="0" applyNumberFormat="1" applyFont="1" applyFill="1" applyBorder="1" applyAlignment="1" applyProtection="1">
      <alignment horizontal="center" vertical="center"/>
      <protection/>
    </xf>
    <xf numFmtId="0" fontId="4" fillId="33" borderId="11" xfId="0" applyNumberFormat="1" applyFont="1" applyFill="1" applyBorder="1" applyAlignment="1" applyProtection="1">
      <alignment vertical="center"/>
      <protection locked="0"/>
    </xf>
    <xf numFmtId="17" fontId="4" fillId="33" borderId="11" xfId="0" applyNumberFormat="1" applyFont="1" applyFill="1" applyBorder="1" applyAlignment="1" applyProtection="1">
      <alignment vertical="center"/>
      <protection locked="0"/>
    </xf>
    <xf numFmtId="164" fontId="4" fillId="33" borderId="11" xfId="0" applyNumberFormat="1" applyFont="1" applyFill="1" applyBorder="1" applyAlignment="1" applyProtection="1">
      <alignment/>
      <protection locked="0"/>
    </xf>
    <xf numFmtId="0" fontId="4" fillId="33" borderId="13" xfId="0" applyFont="1" applyFill="1" applyBorder="1" applyAlignment="1" applyProtection="1">
      <alignment horizontal="left"/>
      <protection locked="0"/>
    </xf>
    <xf numFmtId="37" fontId="4" fillId="33" borderId="13" xfId="0" applyNumberFormat="1" applyFont="1" applyFill="1" applyBorder="1" applyAlignment="1" applyProtection="1">
      <alignment/>
      <protection locked="0"/>
    </xf>
    <xf numFmtId="0" fontId="4" fillId="33" borderId="13" xfId="0" applyFont="1" applyFill="1" applyBorder="1" applyAlignment="1" applyProtection="1">
      <alignment/>
      <protection locked="0"/>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horizontal="center" vertical="center" wrapText="1"/>
    </xf>
    <xf numFmtId="37" fontId="20" fillId="34" borderId="0" xfId="0" applyNumberFormat="1" applyFont="1" applyFill="1" applyAlignment="1" applyProtection="1">
      <alignment horizontal="center" vertical="center"/>
      <protection/>
    </xf>
    <xf numFmtId="0" fontId="2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1" fillId="0" borderId="0" xfId="0" applyFont="1" applyAlignment="1">
      <alignment horizontal="center" vertical="center"/>
    </xf>
    <xf numFmtId="0" fontId="4" fillId="34" borderId="0" xfId="0" applyFont="1" applyFill="1" applyBorder="1" applyAlignment="1" applyProtection="1">
      <alignment vertical="center" wrapText="1"/>
      <protection/>
    </xf>
    <xf numFmtId="0" fontId="5" fillId="36" borderId="0" xfId="0" applyFont="1" applyFill="1" applyBorder="1" applyAlignment="1">
      <alignment horizontal="center" vertical="center"/>
    </xf>
    <xf numFmtId="0" fontId="1" fillId="36" borderId="0" xfId="0" applyFont="1" applyFill="1" applyBorder="1" applyAlignment="1">
      <alignment horizontal="center" vertical="center"/>
    </xf>
    <xf numFmtId="0" fontId="4" fillId="36" borderId="16"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19" fillId="34" borderId="0" xfId="0" applyFont="1" applyFill="1" applyBorder="1" applyAlignment="1">
      <alignment vertical="center"/>
    </xf>
    <xf numFmtId="0" fontId="25" fillId="0" borderId="0" xfId="0" applyFont="1" applyAlignment="1">
      <alignment vertical="center"/>
    </xf>
    <xf numFmtId="0" fontId="4" fillId="0" borderId="0" xfId="534" applyFont="1" applyAlignment="1">
      <alignment horizontal="left" vertical="center" wrapText="1"/>
      <protection/>
    </xf>
    <xf numFmtId="0" fontId="12" fillId="0" borderId="0" xfId="534" applyFont="1" applyAlignment="1">
      <alignment horizontal="left" vertical="center" wrapText="1"/>
      <protection/>
    </xf>
    <xf numFmtId="0" fontId="18" fillId="0" borderId="0" xfId="534" applyFont="1" applyAlignment="1">
      <alignment horizontal="left" vertical="center"/>
      <protection/>
    </xf>
    <xf numFmtId="37" fontId="14" fillId="0" borderId="0" xfId="0" applyNumberFormat="1" applyFont="1" applyAlignment="1" applyProtection="1">
      <alignment horizontal="center" vertical="center"/>
      <protection locked="0"/>
    </xf>
    <xf numFmtId="37" fontId="15" fillId="34" borderId="0" xfId="0" applyNumberFormat="1" applyFont="1" applyFill="1" applyAlignment="1" applyProtection="1">
      <alignment horizontal="center" vertical="center"/>
      <protection/>
    </xf>
    <xf numFmtId="37" fontId="14" fillId="34" borderId="16" xfId="0" applyNumberFormat="1" applyFont="1" applyFill="1" applyBorder="1" applyAlignment="1" applyProtection="1">
      <alignment horizontal="center" vertical="center" wrapText="1"/>
      <protection/>
    </xf>
    <xf numFmtId="0" fontId="16" fillId="0" borderId="17" xfId="0" applyFont="1" applyBorder="1" applyAlignment="1">
      <alignment horizontal="center" vertical="center" wrapText="1"/>
    </xf>
    <xf numFmtId="37" fontId="23" fillId="34" borderId="0" xfId="0" applyNumberFormat="1" applyFont="1" applyFill="1" applyAlignment="1" applyProtection="1">
      <alignment horizontal="center" vertical="center"/>
      <protection/>
    </xf>
    <xf numFmtId="0" fontId="1" fillId="0" borderId="0" xfId="0" applyFont="1" applyAlignment="1">
      <alignment horizontal="center" vertical="center"/>
    </xf>
    <xf numFmtId="37" fontId="14"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0" fillId="0" borderId="0" xfId="0" applyAlignment="1">
      <alignment vertical="center"/>
    </xf>
    <xf numFmtId="37" fontId="14" fillId="34" borderId="19" xfId="0" applyNumberFormat="1" applyFont="1" applyFill="1" applyBorder="1" applyAlignment="1" applyProtection="1">
      <alignment horizontal="fill" vertical="center"/>
      <protection/>
    </xf>
    <xf numFmtId="0" fontId="0" fillId="0" borderId="20" xfId="0" applyBorder="1" applyAlignment="1">
      <alignment vertical="center"/>
    </xf>
    <xf numFmtId="0" fontId="14" fillId="34" borderId="0" xfId="0" applyFont="1" applyFill="1" applyAlignment="1" applyProtection="1">
      <alignment horizontal="center" vertical="center"/>
      <protection/>
    </xf>
    <xf numFmtId="0" fontId="14" fillId="36" borderId="16" xfId="0" applyFont="1" applyFill="1" applyBorder="1" applyAlignment="1" applyProtection="1">
      <alignment horizontal="center" vertical="center" wrapText="1"/>
      <protection/>
    </xf>
    <xf numFmtId="0" fontId="0" fillId="0" borderId="17" xfId="0" applyBorder="1" applyAlignment="1">
      <alignment vertical="center" wrapText="1"/>
    </xf>
    <xf numFmtId="37" fontId="4" fillId="34" borderId="16" xfId="0" applyNumberFormat="1" applyFont="1" applyFill="1" applyBorder="1" applyAlignment="1" applyProtection="1">
      <alignment horizontal="center" vertical="center" wrapText="1"/>
      <protection/>
    </xf>
    <xf numFmtId="0" fontId="5" fillId="34" borderId="0" xfId="0" applyFont="1" applyFill="1" applyAlignment="1" applyProtection="1">
      <alignment horizontal="center" vertical="center"/>
      <protection/>
    </xf>
    <xf numFmtId="0" fontId="4" fillId="34" borderId="0" xfId="90" applyFont="1" applyFill="1" applyAlignment="1">
      <alignment horizontal="center" vertical="center"/>
      <protection/>
    </xf>
    <xf numFmtId="0" fontId="7" fillId="34" borderId="0" xfId="90" applyFont="1" applyFill="1" applyAlignment="1" applyProtection="1">
      <alignment horizontal="center" vertical="center"/>
      <protection/>
    </xf>
    <xf numFmtId="37" fontId="4" fillId="34" borderId="16" xfId="0" applyNumberFormat="1" applyFont="1" applyFill="1" applyBorder="1" applyAlignment="1" applyProtection="1">
      <alignment horizontal="center" wrapText="1"/>
      <protection/>
    </xf>
    <xf numFmtId="0" fontId="0" fillId="0" borderId="17" xfId="0" applyBorder="1" applyAlignment="1">
      <alignment horizontal="center" wrapText="1"/>
    </xf>
    <xf numFmtId="37" fontId="4" fillId="34" borderId="13" xfId="0" applyNumberFormat="1" applyFont="1" applyFill="1" applyBorder="1" applyAlignment="1" applyProtection="1">
      <alignment horizontal="center" vertical="center"/>
      <protection/>
    </xf>
    <xf numFmtId="0" fontId="0" fillId="0" borderId="14" xfId="0" applyBorder="1" applyAlignment="1">
      <alignment horizontal="center" vertical="center"/>
    </xf>
    <xf numFmtId="0" fontId="0" fillId="0" borderId="15" xfId="0" applyBorder="1" applyAlignment="1">
      <alignment horizontal="center" vertical="center"/>
    </xf>
    <xf numFmtId="37" fontId="5" fillId="34" borderId="0" xfId="0" applyNumberFormat="1" applyFont="1" applyFill="1" applyAlignment="1" applyProtection="1">
      <alignment horizontal="center"/>
      <protection/>
    </xf>
    <xf numFmtId="0" fontId="4" fillId="34" borderId="25" xfId="0" applyFont="1" applyFill="1" applyBorder="1" applyAlignment="1" applyProtection="1">
      <alignment horizontal="center" vertical="center"/>
      <protection/>
    </xf>
    <xf numFmtId="0" fontId="0" fillId="0" borderId="18" xfId="0" applyBorder="1" applyAlignment="1" applyProtection="1">
      <alignment vertical="center"/>
      <protection/>
    </xf>
    <xf numFmtId="1" fontId="4" fillId="34" borderId="25" xfId="0" applyNumberFormat="1" applyFont="1" applyFill="1" applyBorder="1" applyAlignment="1" applyProtection="1">
      <alignment horizontal="center" vertical="center"/>
      <protection/>
    </xf>
    <xf numFmtId="0" fontId="0" fillId="0" borderId="18" xfId="0" applyBorder="1" applyAlignment="1" applyProtection="1">
      <alignment horizontal="center" vertical="center"/>
      <protection/>
    </xf>
    <xf numFmtId="3" fontId="4" fillId="34" borderId="27" xfId="115" applyNumberFormat="1" applyFont="1" applyFill="1" applyBorder="1" applyAlignment="1" applyProtection="1">
      <alignment horizontal="right" vertical="center"/>
      <protection/>
    </xf>
    <xf numFmtId="0" fontId="0" fillId="0" borderId="20" xfId="115" applyBorder="1" applyAlignment="1">
      <alignment horizontal="right" vertical="center"/>
      <protection/>
    </xf>
    <xf numFmtId="0" fontId="4" fillId="34" borderId="0" xfId="115" applyFont="1" applyFill="1" applyAlignment="1" applyProtection="1">
      <alignment horizontal="right" vertical="center"/>
      <protection/>
    </xf>
    <xf numFmtId="0" fontId="4" fillId="0" borderId="22" xfId="115" applyFont="1" applyBorder="1" applyAlignment="1">
      <alignment horizontal="right" vertical="center"/>
      <protection/>
    </xf>
    <xf numFmtId="0" fontId="23" fillId="34" borderId="19" xfId="95" applyFont="1" applyFill="1" applyBorder="1" applyAlignment="1" applyProtection="1">
      <alignment horizontal="center" vertical="center"/>
      <protection/>
    </xf>
    <xf numFmtId="0" fontId="39" fillId="0" borderId="27" xfId="95" applyFont="1" applyBorder="1" applyAlignment="1" applyProtection="1">
      <alignment horizontal="center" vertical="center"/>
      <protection/>
    </xf>
    <xf numFmtId="0" fontId="0" fillId="0" borderId="20" xfId="95" applyBorder="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23" fillId="42" borderId="19" xfId="0" applyFont="1" applyFill="1" applyBorder="1" applyAlignment="1" applyProtection="1">
      <alignment horizontal="center" vertical="center"/>
      <protection/>
    </xf>
    <xf numFmtId="0" fontId="0" fillId="0" borderId="27" xfId="0" applyBorder="1" applyAlignment="1">
      <alignment vertical="center"/>
    </xf>
    <xf numFmtId="184" fontId="23" fillId="42" borderId="19" xfId="0" applyNumberFormat="1" applyFont="1" applyFill="1" applyBorder="1" applyAlignment="1" applyProtection="1">
      <alignment horizontal="center"/>
      <protection/>
    </xf>
    <xf numFmtId="0" fontId="21" fillId="0" borderId="27" xfId="0" applyFont="1" applyBorder="1" applyAlignment="1">
      <alignment/>
    </xf>
    <xf numFmtId="0" fontId="21" fillId="0" borderId="20" xfId="0" applyFont="1" applyBorder="1" applyAlignment="1">
      <alignment/>
    </xf>
    <xf numFmtId="37" fontId="4" fillId="34" borderId="0" xfId="0" applyNumberFormat="1" applyFont="1" applyFill="1" applyAlignment="1" applyProtection="1">
      <alignment horizontal="center" vertical="center"/>
      <protection/>
    </xf>
    <xf numFmtId="0" fontId="0" fillId="0" borderId="27" xfId="0" applyBorder="1" applyAlignment="1">
      <alignment horizontal="center" vertical="center"/>
    </xf>
    <xf numFmtId="0" fontId="0" fillId="0" borderId="20" xfId="0" applyBorder="1" applyAlignment="1">
      <alignment/>
    </xf>
    <xf numFmtId="0" fontId="16" fillId="0" borderId="27" xfId="0" applyFont="1" applyBorder="1" applyAlignment="1">
      <alignment horizontal="center" vertical="center"/>
    </xf>
    <xf numFmtId="0" fontId="4" fillId="34" borderId="13" xfId="0" applyFont="1" applyFill="1" applyBorder="1" applyAlignment="1">
      <alignment horizontal="center" vertical="center"/>
    </xf>
    <xf numFmtId="0" fontId="4" fillId="34" borderId="15" xfId="0" applyFont="1" applyFill="1" applyBorder="1" applyAlignment="1">
      <alignment horizontal="center" vertical="center"/>
    </xf>
    <xf numFmtId="37" fontId="18" fillId="34" borderId="0" xfId="0" applyNumberFormat="1" applyFont="1" applyFill="1" applyAlignment="1" applyProtection="1">
      <alignment horizontal="center" vertical="center"/>
      <protection/>
    </xf>
    <xf numFmtId="37" fontId="4" fillId="42" borderId="0" xfId="0" applyNumberFormat="1" applyFont="1" applyFill="1" applyAlignment="1" applyProtection="1">
      <alignment horizontal="center" vertical="center"/>
      <protection/>
    </xf>
    <xf numFmtId="0" fontId="18" fillId="42" borderId="19" xfId="111" applyFont="1" applyFill="1" applyBorder="1" applyAlignment="1" applyProtection="1">
      <alignment horizontal="center"/>
      <protection/>
    </xf>
    <xf numFmtId="0" fontId="18" fillId="42" borderId="27" xfId="111" applyFont="1" applyFill="1" applyBorder="1" applyAlignment="1" applyProtection="1">
      <alignment horizontal="center"/>
      <protection/>
    </xf>
    <xf numFmtId="0" fontId="18" fillId="42" borderId="20" xfId="111" applyFont="1" applyFill="1" applyBorder="1" applyAlignment="1" applyProtection="1">
      <alignment horizontal="center"/>
      <protection/>
    </xf>
    <xf numFmtId="0" fontId="0" fillId="0" borderId="27" xfId="111" applyBorder="1" applyAlignment="1" applyProtection="1">
      <alignment horizontal="center"/>
      <protection/>
    </xf>
    <xf numFmtId="0" fontId="0" fillId="0" borderId="20" xfId="111" applyBorder="1" applyAlignment="1" applyProtection="1">
      <alignment horizontal="center"/>
      <protection/>
    </xf>
    <xf numFmtId="37" fontId="4" fillId="34" borderId="10" xfId="0" applyNumberFormat="1" applyFont="1" applyFill="1" applyBorder="1" applyAlignment="1" applyProtection="1">
      <alignment horizontal="center" vertical="center"/>
      <protection locked="0"/>
    </xf>
    <xf numFmtId="0" fontId="0" fillId="0" borderId="27" xfId="0" applyBorder="1" applyAlignment="1">
      <alignment horizontal="center"/>
    </xf>
    <xf numFmtId="0" fontId="0" fillId="0" borderId="20" xfId="0" applyBorder="1" applyAlignment="1">
      <alignment horizontal="center"/>
    </xf>
    <xf numFmtId="0" fontId="4" fillId="34" borderId="0" xfId="0" applyFont="1" applyFill="1"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85" fillId="46" borderId="35" xfId="439" applyFont="1" applyFill="1" applyBorder="1" applyAlignment="1">
      <alignment horizontal="left" vertical="top" wrapText="1"/>
      <protection/>
    </xf>
    <xf numFmtId="0" fontId="85" fillId="46" borderId="36" xfId="439" applyFont="1" applyFill="1" applyBorder="1" applyAlignment="1">
      <alignment horizontal="left" vertical="top" wrapText="1"/>
      <protection/>
    </xf>
    <xf numFmtId="0" fontId="85" fillId="46" borderId="37" xfId="439" applyFont="1" applyFill="1" applyBorder="1" applyAlignment="1">
      <alignment horizontal="left" vertical="top" wrapText="1"/>
      <protection/>
    </xf>
    <xf numFmtId="0" fontId="97" fillId="46" borderId="42" xfId="439" applyFont="1" applyFill="1" applyBorder="1" applyAlignment="1">
      <alignment horizontal="center"/>
      <protection/>
    </xf>
    <xf numFmtId="0" fontId="70" fillId="46" borderId="43" xfId="439" applyFill="1" applyBorder="1" applyAlignment="1">
      <alignment horizontal="center"/>
      <protection/>
    </xf>
    <xf numFmtId="0" fontId="70" fillId="46" borderId="44" xfId="439" applyFill="1" applyBorder="1" applyAlignment="1">
      <alignment horizontal="center"/>
      <protection/>
    </xf>
    <xf numFmtId="0" fontId="85" fillId="46" borderId="29" xfId="439" applyFont="1" applyFill="1" applyBorder="1" applyAlignment="1">
      <alignment horizontal="center"/>
      <protection/>
    </xf>
    <xf numFmtId="0" fontId="85" fillId="46" borderId="32" xfId="439" applyFont="1" applyFill="1" applyBorder="1" applyAlignment="1">
      <alignment horizontal="center"/>
      <protection/>
    </xf>
    <xf numFmtId="0" fontId="85" fillId="46" borderId="33" xfId="439" applyFont="1" applyFill="1" applyBorder="1" applyAlignment="1">
      <alignment horizontal="center"/>
      <protection/>
    </xf>
    <xf numFmtId="0" fontId="97" fillId="0" borderId="42" xfId="439" applyFont="1" applyBorder="1" applyAlignment="1">
      <alignment horizontal="center"/>
      <protection/>
    </xf>
    <xf numFmtId="0" fontId="97" fillId="0" borderId="43" xfId="439" applyFont="1" applyBorder="1" applyAlignment="1">
      <alignment horizontal="center"/>
      <protection/>
    </xf>
    <xf numFmtId="0" fontId="97" fillId="0" borderId="44" xfId="439" applyFont="1" applyBorder="1" applyAlignment="1">
      <alignment horizontal="center"/>
      <protection/>
    </xf>
    <xf numFmtId="0" fontId="85" fillId="46" borderId="30" xfId="439" applyFont="1" applyFill="1" applyBorder="1" applyAlignment="1">
      <alignment horizontal="center"/>
      <protection/>
    </xf>
    <xf numFmtId="0" fontId="85" fillId="46" borderId="0" xfId="439" applyFont="1" applyFill="1" applyBorder="1" applyAlignment="1">
      <alignment horizontal="center"/>
      <protection/>
    </xf>
    <xf numFmtId="0" fontId="85" fillId="46" borderId="31" xfId="439" applyFont="1" applyFill="1" applyBorder="1" applyAlignment="1">
      <alignment horizontal="center"/>
      <protection/>
    </xf>
    <xf numFmtId="183" fontId="42" fillId="41" borderId="10" xfId="0" applyNumberFormat="1" applyFont="1" applyFill="1" applyBorder="1" applyAlignment="1" applyProtection="1">
      <alignment horizontal="center"/>
      <protection locked="0"/>
    </xf>
    <xf numFmtId="191" fontId="42" fillId="42" borderId="0" xfId="0" applyNumberFormat="1" applyFont="1" applyFill="1" applyBorder="1" applyAlignment="1">
      <alignment horizontal="center"/>
    </xf>
    <xf numFmtId="191" fontId="42" fillId="0" borderId="31" xfId="0" applyNumberFormat="1" applyFont="1" applyBorder="1" applyAlignment="1">
      <alignment horizontal="center"/>
    </xf>
    <xf numFmtId="5" fontId="42" fillId="42" borderId="10" xfId="0" applyNumberFormat="1" applyFont="1" applyFill="1" applyBorder="1" applyAlignment="1">
      <alignment horizontal="center"/>
    </xf>
    <xf numFmtId="190" fontId="42" fillId="42" borderId="0" xfId="0" applyNumberFormat="1" applyFont="1" applyFill="1" applyBorder="1" applyAlignment="1">
      <alignment horizontal="center"/>
    </xf>
    <xf numFmtId="0" fontId="42" fillId="42" borderId="27" xfId="0" applyFont="1" applyFill="1" applyBorder="1" applyAlignment="1">
      <alignment horizontal="center"/>
    </xf>
    <xf numFmtId="0" fontId="42" fillId="42" borderId="30" xfId="0" applyFont="1" applyFill="1" applyBorder="1" applyAlignment="1">
      <alignment vertical="top" wrapText="1"/>
    </xf>
    <xf numFmtId="0" fontId="42" fillId="0" borderId="0" xfId="0" applyFont="1" applyAlignment="1">
      <alignment vertical="top" wrapText="1"/>
    </xf>
    <xf numFmtId="0" fontId="42" fillId="0" borderId="31" xfId="0" applyFont="1" applyBorder="1" applyAlignment="1">
      <alignment vertical="top" wrapText="1"/>
    </xf>
    <xf numFmtId="0" fontId="42" fillId="0" borderId="31" xfId="0" applyFont="1" applyBorder="1" applyAlignment="1">
      <alignment horizontal="center"/>
    </xf>
    <xf numFmtId="0" fontId="89" fillId="42" borderId="0" xfId="0" applyFont="1" applyFill="1" applyBorder="1" applyAlignment="1">
      <alignment horizontal="center" wrapText="1"/>
    </xf>
    <xf numFmtId="0" fontId="89" fillId="0" borderId="0" xfId="0" applyFont="1" applyAlignment="1">
      <alignment horizontal="center" wrapText="1"/>
    </xf>
    <xf numFmtId="0" fontId="89" fillId="42" borderId="0" xfId="0" applyFont="1" applyFill="1" applyAlignment="1">
      <alignment horizontal="center" wrapText="1"/>
    </xf>
    <xf numFmtId="0" fontId="42" fillId="42" borderId="0" xfId="0" applyFont="1" applyFill="1" applyAlignment="1">
      <alignment wrapText="1"/>
    </xf>
    <xf numFmtId="190" fontId="42" fillId="41" borderId="10" xfId="0" applyNumberFormat="1" applyFont="1" applyFill="1" applyBorder="1" applyAlignment="1" applyProtection="1">
      <alignment horizontal="center"/>
      <protection locked="0"/>
    </xf>
    <xf numFmtId="0" fontId="89" fillId="42" borderId="32" xfId="0" applyFont="1" applyFill="1" applyBorder="1" applyAlignment="1">
      <alignment horizontal="center" vertical="center"/>
    </xf>
    <xf numFmtId="0" fontId="42" fillId="0" borderId="32" xfId="0" applyFont="1" applyBorder="1" applyAlignment="1">
      <alignment horizontal="center" vertical="center"/>
    </xf>
    <xf numFmtId="0" fontId="42" fillId="0" borderId="0" xfId="0" applyFont="1" applyAlignment="1">
      <alignment horizontal="center" wrapText="1"/>
    </xf>
    <xf numFmtId="0" fontId="89" fillId="42" borderId="0" xfId="0" applyFont="1" applyFill="1" applyAlignment="1">
      <alignment horizontal="center"/>
    </xf>
    <xf numFmtId="0" fontId="42" fillId="0" borderId="0" xfId="0" applyFont="1" applyAlignment="1">
      <alignment wrapText="1"/>
    </xf>
    <xf numFmtId="190" fontId="42" fillId="42" borderId="0" xfId="0" applyNumberFormat="1" applyFont="1" applyFill="1" applyAlignment="1">
      <alignment horizontal="center"/>
    </xf>
    <xf numFmtId="190" fontId="42" fillId="41" borderId="34" xfId="0" applyNumberFormat="1" applyFont="1" applyFill="1" applyBorder="1" applyAlignment="1" applyProtection="1">
      <alignment horizontal="center"/>
      <protection locked="0"/>
    </xf>
    <xf numFmtId="0" fontId="42" fillId="42" borderId="0" xfId="0" applyFont="1" applyFill="1" applyBorder="1" applyAlignment="1">
      <alignment/>
    </xf>
    <xf numFmtId="0" fontId="42" fillId="0" borderId="0" xfId="0" applyFont="1" applyBorder="1" applyAlignment="1">
      <alignment/>
    </xf>
    <xf numFmtId="0" fontId="42" fillId="42" borderId="36" xfId="0" applyFont="1" applyFill="1" applyBorder="1" applyAlignment="1">
      <alignment/>
    </xf>
    <xf numFmtId="0" fontId="42" fillId="42" borderId="37" xfId="0" applyFont="1" applyFill="1" applyBorder="1" applyAlignment="1">
      <alignment/>
    </xf>
    <xf numFmtId="0" fontId="89" fillId="42" borderId="0" xfId="0" applyFont="1" applyFill="1" applyAlignment="1">
      <alignment horizontal="center" vertical="center"/>
    </xf>
    <xf numFmtId="0" fontId="89" fillId="0" borderId="0" xfId="0" applyFont="1" applyAlignment="1">
      <alignment horizontal="center" vertical="center"/>
    </xf>
    <xf numFmtId="190" fontId="42" fillId="42" borderId="0" xfId="0" applyNumberFormat="1" applyFont="1" applyFill="1" applyAlignment="1">
      <alignment/>
    </xf>
    <xf numFmtId="0" fontId="42" fillId="42" borderId="0" xfId="0" applyFont="1" applyFill="1" applyBorder="1" applyAlignment="1">
      <alignment wrapText="1"/>
    </xf>
    <xf numFmtId="0" fontId="42" fillId="42" borderId="0" xfId="0" applyFont="1" applyFill="1" applyBorder="1" applyAlignment="1">
      <alignment horizontal="center"/>
    </xf>
  </cellXfs>
  <cellStyles count="5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2 2 2" xfId="187"/>
    <cellStyle name="Normal 2 10 11 2 2 3"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2 3 3" xfId="502"/>
    <cellStyle name="Normal 4 2 3" xfId="503"/>
    <cellStyle name="Normal 4 2 4" xfId="504"/>
    <cellStyle name="Normal 4 2 5" xfId="505"/>
    <cellStyle name="Normal 4 3" xfId="506"/>
    <cellStyle name="Normal 4 3 2" xfId="507"/>
    <cellStyle name="Normal 4 3 3" xfId="508"/>
    <cellStyle name="Normal 4 4" xfId="509"/>
    <cellStyle name="Normal 4 5" xfId="510"/>
    <cellStyle name="Normal 4 5 2" xfId="511"/>
    <cellStyle name="Normal 4 5 3" xfId="512"/>
    <cellStyle name="Normal 4 6" xfId="513"/>
    <cellStyle name="Normal 4 6 2" xfId="514"/>
    <cellStyle name="Normal 4 6 3" xfId="515"/>
    <cellStyle name="Normal 4 7" xfId="516"/>
    <cellStyle name="Normal 4 8" xfId="517"/>
    <cellStyle name="Normal 4 9" xfId="518"/>
    <cellStyle name="Normal 5" xfId="519"/>
    <cellStyle name="Normal 5 2" xfId="520"/>
    <cellStyle name="Normal 5 3" xfId="521"/>
    <cellStyle name="Normal 5 3 2" xfId="522"/>
    <cellStyle name="Normal 5 3 3" xfId="523"/>
    <cellStyle name="Normal 5 4" xfId="524"/>
    <cellStyle name="Normal 5 5" xfId="525"/>
    <cellStyle name="Normal 5 5 2" xfId="526"/>
    <cellStyle name="Normal 5 5 3" xfId="527"/>
    <cellStyle name="Normal 5 6" xfId="528"/>
    <cellStyle name="Normal 6" xfId="529"/>
    <cellStyle name="Normal 6 2" xfId="530"/>
    <cellStyle name="Normal 6 3" xfId="531"/>
    <cellStyle name="Normal 6 4" xfId="532"/>
    <cellStyle name="Normal 6 5" xfId="533"/>
    <cellStyle name="Normal 7" xfId="534"/>
    <cellStyle name="Normal 7 2" xfId="535"/>
    <cellStyle name="Normal 7 2 2" xfId="536"/>
    <cellStyle name="Normal 7 2 2 2" xfId="537"/>
    <cellStyle name="Normal 7 2 2 3" xfId="538"/>
    <cellStyle name="Normal 7 2 3" xfId="539"/>
    <cellStyle name="Normal 7 2 4" xfId="540"/>
    <cellStyle name="Normal 7 2 4 2" xfId="541"/>
    <cellStyle name="Normal 7 2 4 3" xfId="542"/>
    <cellStyle name="Normal 7 2 5" xfId="543"/>
    <cellStyle name="Normal 7 3" xfId="544"/>
    <cellStyle name="Normal 7 4" xfId="545"/>
    <cellStyle name="Normal 7 4 2" xfId="546"/>
    <cellStyle name="Normal 7 4 3" xfId="547"/>
    <cellStyle name="Normal 7 5" xfId="548"/>
    <cellStyle name="Normal 7 5 2" xfId="549"/>
    <cellStyle name="Normal 7 5 3" xfId="550"/>
    <cellStyle name="Normal 7 5 4" xfId="551"/>
    <cellStyle name="Normal 7 5 5" xfId="552"/>
    <cellStyle name="Normal 7 6" xfId="553"/>
    <cellStyle name="Normal 7 7" xfId="554"/>
    <cellStyle name="Normal 8" xfId="555"/>
    <cellStyle name="Normal 8 2" xfId="556"/>
    <cellStyle name="Normal 8 3" xfId="557"/>
    <cellStyle name="Normal 9" xfId="558"/>
    <cellStyle name="Normal 9 2" xfId="559"/>
    <cellStyle name="Normal 9 2 2" xfId="560"/>
    <cellStyle name="Normal 9 2 3" xfId="561"/>
    <cellStyle name="Normal 9 3" xfId="562"/>
    <cellStyle name="Normal 9 4" xfId="563"/>
    <cellStyle name="Normal 9 5" xfId="564"/>
    <cellStyle name="Normal 9 5 2" xfId="565"/>
    <cellStyle name="Normal 9 5 3" xfId="566"/>
    <cellStyle name="Normal 9 6" xfId="567"/>
    <cellStyle name="Normal 9 6 2" xfId="568"/>
    <cellStyle name="Normal 9 6 3" xfId="569"/>
    <cellStyle name="Normal_debt" xfId="570"/>
    <cellStyle name="Normal_lpform" xfId="571"/>
    <cellStyle name="Note" xfId="572"/>
    <cellStyle name="Output" xfId="573"/>
    <cellStyle name="Percent" xfId="574"/>
    <cellStyle name="Title" xfId="575"/>
    <cellStyle name="Total" xfId="576"/>
    <cellStyle name="Warning Text" xfId="577"/>
  </cellStyles>
  <dxfs count="40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9"/>
  <sheetViews>
    <sheetView zoomScale="75" zoomScaleNormal="75" zoomScalePageLayoutView="0" workbookViewId="0" topLeftCell="A1">
      <selection activeCell="S81" sqref="S81"/>
    </sheetView>
  </sheetViews>
  <sheetFormatPr defaultColWidth="8.796875" defaultRowHeight="15"/>
  <cols>
    <col min="1" max="1" width="88.796875" style="50" customWidth="1"/>
    <col min="2" max="16384" width="8.8984375" style="50" customWidth="1"/>
  </cols>
  <sheetData>
    <row r="1" ht="15.75">
      <c r="A1" s="49" t="s">
        <v>304</v>
      </c>
    </row>
    <row r="3" ht="34.5" customHeight="1">
      <c r="A3" s="693" t="s">
        <v>868</v>
      </c>
    </row>
    <row r="4" ht="15.75">
      <c r="A4" s="51"/>
    </row>
    <row r="5" ht="52.5" customHeight="1">
      <c r="A5" s="52" t="s">
        <v>305</v>
      </c>
    </row>
    <row r="6" ht="15.75">
      <c r="A6" s="52"/>
    </row>
    <row r="7" ht="31.5">
      <c r="A7" s="52" t="s">
        <v>97</v>
      </c>
    </row>
    <row r="8" ht="15.75">
      <c r="A8" s="52"/>
    </row>
    <row r="9" ht="54.75" customHeight="1">
      <c r="A9" s="52" t="s">
        <v>82</v>
      </c>
    </row>
    <row r="10" ht="15.75">
      <c r="A10" s="52"/>
    </row>
    <row r="11" ht="15.75">
      <c r="A11" s="52" t="s">
        <v>300</v>
      </c>
    </row>
    <row r="13" ht="118.5" customHeight="1">
      <c r="A13" s="52" t="s">
        <v>77</v>
      </c>
    </row>
    <row r="14" ht="15.75">
      <c r="A14" s="52"/>
    </row>
    <row r="15" ht="106.5" customHeight="1">
      <c r="A15" s="52" t="s">
        <v>78</v>
      </c>
    </row>
    <row r="17" ht="15.75">
      <c r="A17" s="49" t="s">
        <v>611</v>
      </c>
    </row>
    <row r="18" ht="15.75">
      <c r="A18" s="49"/>
    </row>
    <row r="19" ht="15.75">
      <c r="A19" s="51" t="s">
        <v>80</v>
      </c>
    </row>
    <row r="20" ht="15.75">
      <c r="A20" s="51"/>
    </row>
    <row r="21" ht="15.75">
      <c r="A21" s="50" t="s">
        <v>331</v>
      </c>
    </row>
    <row r="23" ht="72" customHeight="1">
      <c r="A23" s="53" t="s">
        <v>81</v>
      </c>
    </row>
    <row r="24" ht="13.5" customHeight="1">
      <c r="A24" s="53"/>
    </row>
    <row r="27" ht="15.75">
      <c r="A27" s="49" t="s">
        <v>124</v>
      </c>
    </row>
    <row r="29" ht="34.5" customHeight="1">
      <c r="A29" s="52" t="s">
        <v>76</v>
      </c>
    </row>
    <row r="30" ht="9.75" customHeight="1">
      <c r="A30" s="52"/>
    </row>
    <row r="31" ht="15.75">
      <c r="A31" s="54" t="s">
        <v>39</v>
      </c>
    </row>
    <row r="32" ht="15.75">
      <c r="A32" s="52"/>
    </row>
    <row r="33" ht="17.25" customHeight="1">
      <c r="A33" s="55" t="s">
        <v>275</v>
      </c>
    </row>
    <row r="34" ht="17.25" customHeight="1">
      <c r="A34" s="56"/>
    </row>
    <row r="35" ht="87.75" customHeight="1">
      <c r="A35" s="57" t="s">
        <v>63</v>
      </c>
    </row>
    <row r="37" ht="15.75">
      <c r="A37" s="58" t="s">
        <v>40</v>
      </c>
    </row>
    <row r="39" ht="15.75">
      <c r="A39" s="59" t="s">
        <v>79</v>
      </c>
    </row>
    <row r="41" ht="15.75">
      <c r="A41" s="52" t="s">
        <v>125</v>
      </c>
    </row>
    <row r="43" ht="15.75">
      <c r="A43" s="49" t="s">
        <v>126</v>
      </c>
    </row>
    <row r="45" ht="70.5" customHeight="1">
      <c r="A45" s="52" t="s">
        <v>765</v>
      </c>
    </row>
    <row r="46" ht="52.5" customHeight="1">
      <c r="A46" s="60" t="s">
        <v>53</v>
      </c>
    </row>
    <row r="47" ht="9" customHeight="1">
      <c r="A47" s="52"/>
    </row>
    <row r="48" ht="69.75" customHeight="1">
      <c r="A48" s="52" t="s">
        <v>766</v>
      </c>
    </row>
    <row r="49" ht="53.25" customHeight="1">
      <c r="A49" s="52" t="s">
        <v>54</v>
      </c>
    </row>
    <row r="50" ht="102.75" customHeight="1">
      <c r="A50" s="52" t="s">
        <v>117</v>
      </c>
    </row>
    <row r="51" ht="73.5" customHeight="1">
      <c r="A51" s="408" t="s">
        <v>612</v>
      </c>
    </row>
    <row r="52" ht="69.75" customHeight="1">
      <c r="A52" s="409" t="s">
        <v>613</v>
      </c>
    </row>
    <row r="53" ht="69.75" customHeight="1">
      <c r="A53" s="681" t="s">
        <v>816</v>
      </c>
    </row>
    <row r="54" ht="12" customHeight="1">
      <c r="A54" s="52"/>
    </row>
    <row r="55" ht="68.25" customHeight="1">
      <c r="A55" s="52" t="s">
        <v>614</v>
      </c>
    </row>
    <row r="56" ht="81" customHeight="1">
      <c r="A56" s="52" t="s">
        <v>907</v>
      </c>
    </row>
    <row r="57" ht="31.5">
      <c r="A57" s="52" t="s">
        <v>615</v>
      </c>
    </row>
    <row r="58" ht="31.5">
      <c r="A58" s="52" t="s">
        <v>616</v>
      </c>
    </row>
    <row r="59" ht="12" customHeight="1"/>
    <row r="60" ht="68.25" customHeight="1">
      <c r="A60" s="52" t="s">
        <v>873</v>
      </c>
    </row>
    <row r="61" ht="128.25" customHeight="1">
      <c r="A61" s="52" t="s">
        <v>908</v>
      </c>
    </row>
    <row r="62" ht="41.25" customHeight="1">
      <c r="A62" s="52" t="s">
        <v>874</v>
      </c>
    </row>
    <row r="63" ht="10.5" customHeight="1">
      <c r="A63" s="52"/>
    </row>
    <row r="64" ht="68.25" customHeight="1">
      <c r="A64" s="52" t="s">
        <v>817</v>
      </c>
    </row>
    <row r="65" ht="10.5" customHeight="1">
      <c r="A65" s="52"/>
    </row>
    <row r="66" ht="72.75" customHeight="1">
      <c r="A66" s="52" t="s">
        <v>617</v>
      </c>
    </row>
    <row r="67" ht="31.5" customHeight="1">
      <c r="A67" s="52" t="s">
        <v>630</v>
      </c>
    </row>
    <row r="68" ht="82.5" customHeight="1">
      <c r="A68" s="52" t="s">
        <v>631</v>
      </c>
    </row>
    <row r="69" ht="37.5" customHeight="1">
      <c r="A69" s="386" t="s">
        <v>629</v>
      </c>
    </row>
    <row r="70" ht="12" customHeight="1">
      <c r="A70" s="52"/>
    </row>
    <row r="71" ht="54" customHeight="1">
      <c r="A71" s="52" t="s">
        <v>618</v>
      </c>
    </row>
    <row r="72" ht="12" customHeight="1"/>
    <row r="73" s="52" customFormat="1" ht="69" customHeight="1">
      <c r="A73" s="52" t="s">
        <v>619</v>
      </c>
    </row>
    <row r="74" ht="12" customHeight="1"/>
    <row r="75" ht="87" customHeight="1">
      <c r="A75" s="52" t="s">
        <v>620</v>
      </c>
    </row>
    <row r="76" ht="87" customHeight="1">
      <c r="A76" s="512" t="s">
        <v>818</v>
      </c>
    </row>
    <row r="77" ht="87" customHeight="1">
      <c r="A77" s="512" t="s">
        <v>819</v>
      </c>
    </row>
    <row r="78" ht="87" customHeight="1">
      <c r="A78" s="512" t="s">
        <v>820</v>
      </c>
    </row>
    <row r="79" ht="72" customHeight="1">
      <c r="A79" s="52" t="s">
        <v>821</v>
      </c>
    </row>
    <row r="80" ht="116.25" customHeight="1">
      <c r="A80" s="52" t="s">
        <v>822</v>
      </c>
    </row>
    <row r="81" ht="132.75" customHeight="1">
      <c r="A81" s="52" t="s">
        <v>823</v>
      </c>
    </row>
    <row r="82" ht="84" customHeight="1">
      <c r="A82" s="512" t="s">
        <v>824</v>
      </c>
    </row>
    <row r="83" ht="124.5" customHeight="1">
      <c r="A83" s="52" t="s">
        <v>825</v>
      </c>
    </row>
    <row r="84" ht="38.25" customHeight="1">
      <c r="A84" s="52" t="s">
        <v>826</v>
      </c>
    </row>
    <row r="85" ht="85.5" customHeight="1">
      <c r="A85" s="52" t="s">
        <v>827</v>
      </c>
    </row>
    <row r="86" ht="40.5" customHeight="1">
      <c r="A86" s="52" t="s">
        <v>828</v>
      </c>
    </row>
    <row r="87" ht="140.25" customHeight="1">
      <c r="A87" s="383" t="s">
        <v>829</v>
      </c>
    </row>
    <row r="88" ht="119.25" customHeight="1">
      <c r="A88" s="384" t="s">
        <v>830</v>
      </c>
    </row>
    <row r="89" ht="59.25" customHeight="1">
      <c r="A89" s="385" t="s">
        <v>831</v>
      </c>
    </row>
    <row r="91" ht="154.5" customHeight="1">
      <c r="A91" s="52" t="s">
        <v>621</v>
      </c>
    </row>
    <row r="92" ht="132" customHeight="1">
      <c r="A92" s="52" t="s">
        <v>622</v>
      </c>
    </row>
    <row r="93" ht="54" customHeight="1">
      <c r="A93" s="52" t="s">
        <v>623</v>
      </c>
    </row>
    <row r="94" ht="21.75" customHeight="1">
      <c r="A94" s="52" t="s">
        <v>624</v>
      </c>
    </row>
    <row r="96" ht="52.5" customHeight="1">
      <c r="A96" s="52" t="s">
        <v>625</v>
      </c>
    </row>
    <row r="97" ht="22.5" customHeight="1">
      <c r="A97" s="687" t="s">
        <v>860</v>
      </c>
    </row>
    <row r="98" ht="31.5" customHeight="1">
      <c r="A98" s="512" t="s">
        <v>861</v>
      </c>
    </row>
    <row r="99" ht="109.5" customHeight="1">
      <c r="A99" s="512" t="s">
        <v>862</v>
      </c>
    </row>
    <row r="100" ht="126" customHeight="1">
      <c r="A100" s="512" t="s">
        <v>863</v>
      </c>
    </row>
    <row r="101" ht="71.25" customHeight="1">
      <c r="A101" s="688" t="s">
        <v>864</v>
      </c>
    </row>
    <row r="102" ht="57.75" customHeight="1">
      <c r="A102" s="52" t="s">
        <v>865</v>
      </c>
    </row>
    <row r="103" ht="57.75" customHeight="1">
      <c r="A103" s="52" t="s">
        <v>866</v>
      </c>
    </row>
    <row r="104" ht="10.5" customHeight="1"/>
    <row r="105" ht="57" customHeight="1">
      <c r="A105" s="52" t="s">
        <v>626</v>
      </c>
    </row>
    <row r="106" ht="15.75" customHeight="1"/>
    <row r="107" ht="54" customHeight="1">
      <c r="A107" s="512" t="s">
        <v>767</v>
      </c>
    </row>
    <row r="108" ht="93" customHeight="1">
      <c r="A108" s="512" t="s">
        <v>768</v>
      </c>
    </row>
    <row r="109" ht="104.25" customHeight="1">
      <c r="A109" s="512" t="s">
        <v>769</v>
      </c>
    </row>
  </sheetData>
  <sheetProtection sheet="1"/>
  <printOptions/>
  <pageMargins left="0.5" right="0.5" top="0.5" bottom="0.5" header="0.5" footer="0.5"/>
  <pageSetup blackAndWhite="1" fitToHeight="2" horizontalDpi="600" verticalDpi="600" orientation="portrait" scale="90" r:id="rId1"/>
  <rowBreaks count="1" manualBreakCount="1">
    <brk id="26" max="0" man="1"/>
  </rowBreaks>
</worksheet>
</file>

<file path=xl/worksheets/sheet10.xml><?xml version="1.0" encoding="utf-8"?>
<worksheet xmlns="http://schemas.openxmlformats.org/spreadsheetml/2006/main" xmlns:r="http://schemas.openxmlformats.org/officeDocument/2006/relationships">
  <dimension ref="A1:G48"/>
  <sheetViews>
    <sheetView zoomScalePageLayoutView="0" workbookViewId="0" topLeftCell="A28">
      <selection activeCell="A31" sqref="A31"/>
    </sheetView>
  </sheetViews>
  <sheetFormatPr defaultColWidth="8.796875" defaultRowHeight="15"/>
  <cols>
    <col min="1" max="1" width="70.3984375" style="140" customWidth="1"/>
    <col min="2" max="16384" width="8.8984375" style="140" customWidth="1"/>
  </cols>
  <sheetData>
    <row r="1" spans="1:7" ht="30" customHeight="1">
      <c r="A1" s="455" t="s">
        <v>334</v>
      </c>
      <c r="B1" s="454"/>
      <c r="C1" s="454"/>
      <c r="D1" s="454"/>
      <c r="E1" s="454"/>
      <c r="F1" s="454"/>
      <c r="G1" s="454"/>
    </row>
    <row r="2" ht="15.75" customHeight="1">
      <c r="A2" s="2"/>
    </row>
    <row r="3" ht="54" customHeight="1">
      <c r="A3" s="453" t="s">
        <v>647</v>
      </c>
    </row>
    <row r="4" ht="15.75" customHeight="1">
      <c r="A4" s="2"/>
    </row>
    <row r="5" ht="52.5" customHeight="1">
      <c r="A5" s="453" t="s">
        <v>648</v>
      </c>
    </row>
    <row r="6" ht="15.75" customHeight="1">
      <c r="A6" s="2"/>
    </row>
    <row r="7" s="451" customFormat="1" ht="45.75" customHeight="1">
      <c r="A7" s="452" t="s">
        <v>373</v>
      </c>
    </row>
    <row r="8" ht="15.75" customHeight="1">
      <c r="A8" s="2"/>
    </row>
    <row r="9" ht="46.5" customHeight="1">
      <c r="A9" s="452" t="s">
        <v>374</v>
      </c>
    </row>
    <row r="10" ht="15.75" customHeight="1"/>
    <row r="11" ht="45.75" customHeight="1">
      <c r="A11" s="452" t="s">
        <v>375</v>
      </c>
    </row>
    <row r="12" ht="15.75" customHeight="1">
      <c r="A12" s="2"/>
    </row>
    <row r="13" ht="62.25" customHeight="1">
      <c r="A13" s="452" t="s">
        <v>376</v>
      </c>
    </row>
    <row r="14" ht="15.75" customHeight="1">
      <c r="A14" s="2"/>
    </row>
    <row r="15" ht="32.25" customHeight="1">
      <c r="A15" s="452" t="s">
        <v>377</v>
      </c>
    </row>
    <row r="16" ht="15.75" customHeight="1"/>
    <row r="17" ht="67.5" customHeight="1">
      <c r="A17" s="450" t="s">
        <v>649</v>
      </c>
    </row>
    <row r="18" ht="15.75" customHeight="1"/>
    <row r="19" ht="81" customHeight="1">
      <c r="A19" s="450" t="s">
        <v>378</v>
      </c>
    </row>
    <row r="20" ht="15.75" customHeight="1">
      <c r="A20" s="2"/>
    </row>
    <row r="21" ht="78" customHeight="1">
      <c r="A21" s="452" t="s">
        <v>379</v>
      </c>
    </row>
    <row r="22" ht="15.75" customHeight="1">
      <c r="A22" s="2"/>
    </row>
    <row r="23" ht="44.25" customHeight="1">
      <c r="A23" s="452" t="s">
        <v>380</v>
      </c>
    </row>
    <row r="24" ht="15.75" customHeight="1"/>
    <row r="25" ht="53.25" customHeight="1">
      <c r="A25" s="450" t="s">
        <v>381</v>
      </c>
    </row>
    <row r="26" ht="16.5" customHeight="1">
      <c r="A26" s="2"/>
    </row>
    <row r="27" ht="40.5" customHeight="1">
      <c r="A27" s="453" t="s">
        <v>650</v>
      </c>
    </row>
    <row r="28" ht="16.5" customHeight="1">
      <c r="A28" s="2"/>
    </row>
    <row r="29" ht="69.75" customHeight="1">
      <c r="A29" s="452" t="s">
        <v>382</v>
      </c>
    </row>
    <row r="30" ht="15.75" customHeight="1">
      <c r="A30" s="2"/>
    </row>
    <row r="31" ht="79.5" customHeight="1">
      <c r="A31" s="452" t="s">
        <v>780</v>
      </c>
    </row>
    <row r="32" ht="15.75" customHeight="1">
      <c r="A32" s="2"/>
    </row>
    <row r="33" ht="58.5" customHeight="1">
      <c r="A33" s="452" t="s">
        <v>383</v>
      </c>
    </row>
    <row r="35" ht="60.75" customHeight="1">
      <c r="A35" s="452" t="s">
        <v>384</v>
      </c>
    </row>
    <row r="36" ht="15.75">
      <c r="A36" s="2"/>
    </row>
    <row r="37" ht="82.5" customHeight="1">
      <c r="A37" s="452" t="s">
        <v>385</v>
      </c>
    </row>
    <row r="38" ht="15.75">
      <c r="A38" s="449"/>
    </row>
    <row r="39" ht="15.75">
      <c r="A39" s="449"/>
    </row>
    <row r="41" ht="15.75">
      <c r="A41" s="449"/>
    </row>
    <row r="42" ht="15.75">
      <c r="A42" s="449"/>
    </row>
    <row r="44" ht="15.75">
      <c r="A44" s="2"/>
    </row>
    <row r="45" ht="15.75">
      <c r="A45" s="449"/>
    </row>
    <row r="47" ht="15.75">
      <c r="A47" s="449"/>
    </row>
    <row r="48" ht="15.75">
      <c r="A48" s="449"/>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AC42"/>
  <sheetViews>
    <sheetView zoomScale="75" zoomScaleNormal="75" zoomScalePageLayoutView="0" workbookViewId="0" topLeftCell="A1">
      <selection activeCell="Q21" sqref="Q21"/>
    </sheetView>
  </sheetViews>
  <sheetFormatPr defaultColWidth="8.796875" defaultRowHeight="15"/>
  <cols>
    <col min="1" max="1" width="5.3984375" style="118" customWidth="1"/>
    <col min="2" max="2" width="20.796875" style="118" customWidth="1"/>
    <col min="3" max="3" width="9.3984375" style="118" customWidth="1"/>
    <col min="4" max="4" width="9.796875" style="118" customWidth="1"/>
    <col min="5" max="5" width="8.796875" style="118" customWidth="1"/>
    <col min="6" max="6" width="12.796875" style="118" customWidth="1"/>
    <col min="7" max="7" width="14" style="118" customWidth="1"/>
    <col min="8" max="13" width="9.796875" style="118" customWidth="1"/>
    <col min="14" max="16384" width="8.8984375" style="118" customWidth="1"/>
  </cols>
  <sheetData>
    <row r="1" spans="2:13" ht="15.75">
      <c r="B1" s="201" t="str">
        <f>inputPrYr!$C$2</f>
        <v>Marshall County</v>
      </c>
      <c r="C1" s="62"/>
      <c r="D1" s="62"/>
      <c r="E1" s="62"/>
      <c r="F1" s="62"/>
      <c r="G1" s="62"/>
      <c r="H1" s="62"/>
      <c r="I1" s="62"/>
      <c r="J1" s="62"/>
      <c r="K1" s="62"/>
      <c r="L1" s="62"/>
      <c r="M1" s="223">
        <f>inputPrYr!$C$4</f>
        <v>2015</v>
      </c>
    </row>
    <row r="2" spans="2:13" ht="15.75">
      <c r="B2" s="201"/>
      <c r="C2" s="62"/>
      <c r="D2" s="62"/>
      <c r="E2" s="62"/>
      <c r="F2" s="62"/>
      <c r="G2" s="62"/>
      <c r="H2" s="62"/>
      <c r="I2" s="62"/>
      <c r="J2" s="62"/>
      <c r="K2" s="62"/>
      <c r="L2" s="62"/>
      <c r="M2" s="208"/>
    </row>
    <row r="3" spans="2:13" ht="15.75">
      <c r="B3" s="224" t="s">
        <v>241</v>
      </c>
      <c r="C3" s="68"/>
      <c r="D3" s="68"/>
      <c r="E3" s="68"/>
      <c r="F3" s="68"/>
      <c r="G3" s="68"/>
      <c r="H3" s="68"/>
      <c r="I3" s="68"/>
      <c r="J3" s="68"/>
      <c r="K3" s="68"/>
      <c r="L3" s="68"/>
      <c r="M3" s="68"/>
    </row>
    <row r="4" spans="2:13" ht="15.75">
      <c r="B4" s="62"/>
      <c r="C4" s="225"/>
      <c r="D4" s="225"/>
      <c r="E4" s="225"/>
      <c r="F4" s="225"/>
      <c r="G4" s="225"/>
      <c r="H4" s="225"/>
      <c r="I4" s="225"/>
      <c r="J4" s="225"/>
      <c r="K4" s="225"/>
      <c r="L4" s="225"/>
      <c r="M4" s="225"/>
    </row>
    <row r="5" spans="2:13" ht="15.75">
      <c r="B5" s="226" t="s">
        <v>781</v>
      </c>
      <c r="C5" s="226" t="s">
        <v>208</v>
      </c>
      <c r="D5" s="226" t="s">
        <v>208</v>
      </c>
      <c r="E5" s="226" t="s">
        <v>222</v>
      </c>
      <c r="F5" s="226"/>
      <c r="G5" s="226" t="s">
        <v>324</v>
      </c>
      <c r="H5" s="62"/>
      <c r="I5" s="62"/>
      <c r="J5" s="227" t="s">
        <v>209</v>
      </c>
      <c r="K5" s="228"/>
      <c r="L5" s="227" t="s">
        <v>209</v>
      </c>
      <c r="M5" s="228"/>
    </row>
    <row r="6" spans="2:13" ht="15.75">
      <c r="B6" s="229" t="s">
        <v>210</v>
      </c>
      <c r="C6" s="229" t="s">
        <v>210</v>
      </c>
      <c r="D6" s="229" t="s">
        <v>325</v>
      </c>
      <c r="E6" s="229" t="s">
        <v>211</v>
      </c>
      <c r="F6" s="229" t="s">
        <v>149</v>
      </c>
      <c r="G6" s="229" t="s">
        <v>278</v>
      </c>
      <c r="H6" s="818" t="s">
        <v>212</v>
      </c>
      <c r="I6" s="819"/>
      <c r="J6" s="820">
        <f>M1-1</f>
        <v>2014</v>
      </c>
      <c r="K6" s="821"/>
      <c r="L6" s="820">
        <f>M1</f>
        <v>2015</v>
      </c>
      <c r="M6" s="821"/>
    </row>
    <row r="7" spans="2:13" ht="15.75">
      <c r="B7" s="232" t="s">
        <v>782</v>
      </c>
      <c r="C7" s="232" t="s">
        <v>213</v>
      </c>
      <c r="D7" s="232" t="s">
        <v>326</v>
      </c>
      <c r="E7" s="232" t="s">
        <v>173</v>
      </c>
      <c r="F7" s="232" t="s">
        <v>214</v>
      </c>
      <c r="G7" s="230" t="str">
        <f>CONCATENATE("Jan 1,",M1-1,"")</f>
        <v>Jan 1,2014</v>
      </c>
      <c r="H7" s="221" t="s">
        <v>222</v>
      </c>
      <c r="I7" s="221" t="s">
        <v>223</v>
      </c>
      <c r="J7" s="221" t="s">
        <v>222</v>
      </c>
      <c r="K7" s="221" t="s">
        <v>223</v>
      </c>
      <c r="L7" s="221" t="s">
        <v>222</v>
      </c>
      <c r="M7" s="221" t="s">
        <v>223</v>
      </c>
    </row>
    <row r="8" spans="2:13" ht="15.75">
      <c r="B8" s="231" t="s">
        <v>215</v>
      </c>
      <c r="C8" s="83"/>
      <c r="D8" s="83"/>
      <c r="E8" s="233"/>
      <c r="F8" s="234"/>
      <c r="G8" s="234"/>
      <c r="H8" s="83"/>
      <c r="I8" s="83"/>
      <c r="J8" s="234"/>
      <c r="K8" s="234"/>
      <c r="L8" s="234"/>
      <c r="M8" s="234"/>
    </row>
    <row r="9" spans="2:13" ht="15.75">
      <c r="B9" s="235" t="s">
        <v>984</v>
      </c>
      <c r="C9" s="415">
        <v>37319</v>
      </c>
      <c r="D9" s="415">
        <v>51564</v>
      </c>
      <c r="E9" s="236">
        <v>4.75</v>
      </c>
      <c r="F9" s="237">
        <v>322300</v>
      </c>
      <c r="G9" s="238">
        <v>242000</v>
      </c>
      <c r="H9" s="239">
        <v>41337</v>
      </c>
      <c r="I9" s="239">
        <v>41337</v>
      </c>
      <c r="J9" s="238">
        <v>11495</v>
      </c>
      <c r="K9" s="238">
        <v>8000</v>
      </c>
      <c r="L9" s="238">
        <v>11495</v>
      </c>
      <c r="M9" s="238">
        <v>8000</v>
      </c>
    </row>
    <row r="10" spans="2:13" ht="15.75">
      <c r="B10" s="235"/>
      <c r="C10" s="415"/>
      <c r="D10" s="415"/>
      <c r="E10" s="236"/>
      <c r="F10" s="237"/>
      <c r="G10" s="238"/>
      <c r="H10" s="239"/>
      <c r="I10" s="239"/>
      <c r="J10" s="238"/>
      <c r="K10" s="238"/>
      <c r="L10" s="238"/>
      <c r="M10" s="238"/>
    </row>
    <row r="11" spans="2:13" ht="15.75">
      <c r="B11" s="235"/>
      <c r="C11" s="415"/>
      <c r="D11" s="415"/>
      <c r="E11" s="236"/>
      <c r="F11" s="237"/>
      <c r="G11" s="238"/>
      <c r="H11" s="239"/>
      <c r="I11" s="239"/>
      <c r="J11" s="238"/>
      <c r="K11" s="238"/>
      <c r="L11" s="238"/>
      <c r="M11" s="238"/>
    </row>
    <row r="12" spans="2:13" ht="15.75">
      <c r="B12" s="235"/>
      <c r="C12" s="415"/>
      <c r="D12" s="415"/>
      <c r="E12" s="236"/>
      <c r="F12" s="237"/>
      <c r="G12" s="238"/>
      <c r="H12" s="239"/>
      <c r="I12" s="239"/>
      <c r="J12" s="238"/>
      <c r="K12" s="238"/>
      <c r="L12" s="238"/>
      <c r="M12" s="238"/>
    </row>
    <row r="13" spans="2:13" ht="15.75">
      <c r="B13" s="235"/>
      <c r="C13" s="415"/>
      <c r="D13" s="415"/>
      <c r="E13" s="236"/>
      <c r="F13" s="237"/>
      <c r="G13" s="238"/>
      <c r="H13" s="239"/>
      <c r="I13" s="239"/>
      <c r="J13" s="238"/>
      <c r="K13" s="238"/>
      <c r="L13" s="238"/>
      <c r="M13" s="238"/>
    </row>
    <row r="14" spans="2:13" ht="15.75">
      <c r="B14" s="235"/>
      <c r="C14" s="415"/>
      <c r="D14" s="415"/>
      <c r="E14" s="236"/>
      <c r="F14" s="237"/>
      <c r="G14" s="238"/>
      <c r="H14" s="239"/>
      <c r="I14" s="239"/>
      <c r="J14" s="238"/>
      <c r="K14" s="238"/>
      <c r="L14" s="238"/>
      <c r="M14" s="238"/>
    </row>
    <row r="15" spans="2:13" ht="15.75">
      <c r="B15" s="235"/>
      <c r="C15" s="415"/>
      <c r="D15" s="415"/>
      <c r="E15" s="236"/>
      <c r="F15" s="237"/>
      <c r="G15" s="238"/>
      <c r="H15" s="239"/>
      <c r="I15" s="239"/>
      <c r="J15" s="238"/>
      <c r="K15" s="238"/>
      <c r="L15" s="238"/>
      <c r="M15" s="238"/>
    </row>
    <row r="16" spans="2:13" ht="15.75">
      <c r="B16" s="235"/>
      <c r="C16" s="415"/>
      <c r="D16" s="415"/>
      <c r="E16" s="236"/>
      <c r="F16" s="237"/>
      <c r="G16" s="238"/>
      <c r="H16" s="239"/>
      <c r="I16" s="239"/>
      <c r="J16" s="238"/>
      <c r="K16" s="238"/>
      <c r="L16" s="238"/>
      <c r="M16" s="238"/>
    </row>
    <row r="17" spans="2:13" ht="15.75">
      <c r="B17" s="235"/>
      <c r="C17" s="415"/>
      <c r="D17" s="415"/>
      <c r="E17" s="236"/>
      <c r="F17" s="237"/>
      <c r="G17" s="238"/>
      <c r="H17" s="239"/>
      <c r="I17" s="239"/>
      <c r="J17" s="238"/>
      <c r="K17" s="238"/>
      <c r="L17" s="238"/>
      <c r="M17" s="238"/>
    </row>
    <row r="18" spans="2:13" ht="15.75">
      <c r="B18" s="235"/>
      <c r="C18" s="415"/>
      <c r="D18" s="415"/>
      <c r="E18" s="236"/>
      <c r="F18" s="237"/>
      <c r="G18" s="238"/>
      <c r="H18" s="239"/>
      <c r="I18" s="239"/>
      <c r="J18" s="238"/>
      <c r="K18" s="238"/>
      <c r="L18" s="238"/>
      <c r="M18" s="238"/>
    </row>
    <row r="19" spans="2:13" ht="15.75">
      <c r="B19" s="240" t="s">
        <v>216</v>
      </c>
      <c r="C19" s="241"/>
      <c r="D19" s="241"/>
      <c r="E19" s="242"/>
      <c r="F19" s="243"/>
      <c r="G19" s="244">
        <f>SUM(G9:G18)</f>
        <v>242000</v>
      </c>
      <c r="H19" s="245"/>
      <c r="I19" s="245"/>
      <c r="J19" s="244">
        <f>SUM(J9:J18)</f>
        <v>11495</v>
      </c>
      <c r="K19" s="244">
        <f>SUM(K9:K18)</f>
        <v>8000</v>
      </c>
      <c r="L19" s="244">
        <f>SUM(L9:L18)</f>
        <v>11495</v>
      </c>
      <c r="M19" s="244">
        <f>SUM(M9:M18)</f>
        <v>8000</v>
      </c>
    </row>
    <row r="20" spans="2:13" ht="15.75">
      <c r="B20" s="221" t="s">
        <v>217</v>
      </c>
      <c r="C20" s="246"/>
      <c r="D20" s="246"/>
      <c r="E20" s="247"/>
      <c r="F20" s="248"/>
      <c r="G20" s="248"/>
      <c r="H20" s="249"/>
      <c r="I20" s="249"/>
      <c r="J20" s="248"/>
      <c r="K20" s="248"/>
      <c r="L20" s="248"/>
      <c r="M20" s="248"/>
    </row>
    <row r="21" spans="2:13" ht="15.75">
      <c r="B21" s="235"/>
      <c r="C21" s="415"/>
      <c r="D21" s="415"/>
      <c r="E21" s="236"/>
      <c r="F21" s="237"/>
      <c r="G21" s="238"/>
      <c r="H21" s="239"/>
      <c r="I21" s="239"/>
      <c r="J21" s="238"/>
      <c r="K21" s="238"/>
      <c r="L21" s="238"/>
      <c r="M21" s="238"/>
    </row>
    <row r="22" spans="2:13" ht="15.75">
      <c r="B22" s="235"/>
      <c r="C22" s="415"/>
      <c r="D22" s="415"/>
      <c r="E22" s="236"/>
      <c r="F22" s="237"/>
      <c r="G22" s="238"/>
      <c r="H22" s="239"/>
      <c r="I22" s="239"/>
      <c r="J22" s="238"/>
      <c r="K22" s="238"/>
      <c r="L22" s="238"/>
      <c r="M22" s="238"/>
    </row>
    <row r="23" spans="2:13" ht="15.75">
      <c r="B23" s="235"/>
      <c r="C23" s="415"/>
      <c r="D23" s="415"/>
      <c r="E23" s="236"/>
      <c r="F23" s="237"/>
      <c r="G23" s="238"/>
      <c r="H23" s="239"/>
      <c r="I23" s="239"/>
      <c r="J23" s="238"/>
      <c r="K23" s="238"/>
      <c r="L23" s="238"/>
      <c r="M23" s="238"/>
    </row>
    <row r="24" spans="2:13" ht="15.75">
      <c r="B24" s="235"/>
      <c r="C24" s="415"/>
      <c r="D24" s="415"/>
      <c r="E24" s="236"/>
      <c r="F24" s="237"/>
      <c r="G24" s="238"/>
      <c r="H24" s="239"/>
      <c r="I24" s="239"/>
      <c r="J24" s="238"/>
      <c r="K24" s="238"/>
      <c r="L24" s="238"/>
      <c r="M24" s="238"/>
    </row>
    <row r="25" spans="2:13" ht="15.75">
      <c r="B25" s="235"/>
      <c r="C25" s="415"/>
      <c r="D25" s="415"/>
      <c r="E25" s="236"/>
      <c r="F25" s="237"/>
      <c r="G25" s="238"/>
      <c r="H25" s="239"/>
      <c r="I25" s="239"/>
      <c r="J25" s="238"/>
      <c r="K25" s="238"/>
      <c r="L25" s="238"/>
      <c r="M25" s="238"/>
    </row>
    <row r="26" spans="2:13" ht="15.75">
      <c r="B26" s="235"/>
      <c r="C26" s="415"/>
      <c r="D26" s="415"/>
      <c r="E26" s="236"/>
      <c r="F26" s="237"/>
      <c r="G26" s="238"/>
      <c r="H26" s="239"/>
      <c r="I26" s="239"/>
      <c r="J26" s="238"/>
      <c r="K26" s="238"/>
      <c r="L26" s="238"/>
      <c r="M26" s="238"/>
    </row>
    <row r="27" spans="2:13" ht="15.75">
      <c r="B27" s="240" t="s">
        <v>218</v>
      </c>
      <c r="C27" s="241"/>
      <c r="D27" s="241"/>
      <c r="E27" s="250"/>
      <c r="F27" s="243"/>
      <c r="G27" s="251">
        <f>SUM(G21:G26)</f>
        <v>0</v>
      </c>
      <c r="H27" s="245"/>
      <c r="I27" s="245"/>
      <c r="J27" s="251">
        <f>SUM(J21:J26)</f>
        <v>0</v>
      </c>
      <c r="K27" s="251">
        <f>SUM(K21:K26)</f>
        <v>0</v>
      </c>
      <c r="L27" s="244">
        <f>SUM(L21:L26)</f>
        <v>0</v>
      </c>
      <c r="M27" s="251">
        <f>SUM(M21:M26)</f>
        <v>0</v>
      </c>
    </row>
    <row r="28" spans="2:13" ht="15.75">
      <c r="B28" s="221" t="s">
        <v>219</v>
      </c>
      <c r="C28" s="246"/>
      <c r="D28" s="246"/>
      <c r="E28" s="247"/>
      <c r="F28" s="248"/>
      <c r="G28" s="252"/>
      <c r="H28" s="249"/>
      <c r="I28" s="249"/>
      <c r="J28" s="248"/>
      <c r="K28" s="248"/>
      <c r="L28" s="248"/>
      <c r="M28" s="248"/>
    </row>
    <row r="29" spans="2:13" ht="15.75">
      <c r="B29" s="235"/>
      <c r="C29" s="415"/>
      <c r="D29" s="415"/>
      <c r="E29" s="236"/>
      <c r="F29" s="237"/>
      <c r="G29" s="238"/>
      <c r="H29" s="239"/>
      <c r="I29" s="239"/>
      <c r="J29" s="238"/>
      <c r="K29" s="238"/>
      <c r="L29" s="238"/>
      <c r="M29" s="238"/>
    </row>
    <row r="30" spans="2:13" ht="15.75">
      <c r="B30" s="235"/>
      <c r="C30" s="415"/>
      <c r="D30" s="415"/>
      <c r="E30" s="236"/>
      <c r="F30" s="237"/>
      <c r="G30" s="238"/>
      <c r="H30" s="239"/>
      <c r="I30" s="239"/>
      <c r="J30" s="238"/>
      <c r="K30" s="238"/>
      <c r="L30" s="238"/>
      <c r="M30" s="238"/>
    </row>
    <row r="31" spans="2:13" ht="15.75">
      <c r="B31" s="235"/>
      <c r="C31" s="415"/>
      <c r="D31" s="415"/>
      <c r="E31" s="236"/>
      <c r="F31" s="237"/>
      <c r="G31" s="238"/>
      <c r="H31" s="239"/>
      <c r="I31" s="239"/>
      <c r="J31" s="238"/>
      <c r="K31" s="238"/>
      <c r="L31" s="238"/>
      <c r="M31" s="238"/>
    </row>
    <row r="32" spans="2:13" ht="15.75">
      <c r="B32" s="235"/>
      <c r="C32" s="415"/>
      <c r="D32" s="415"/>
      <c r="E32" s="236"/>
      <c r="F32" s="237"/>
      <c r="G32" s="238"/>
      <c r="H32" s="239"/>
      <c r="I32" s="239"/>
      <c r="J32" s="238"/>
      <c r="K32" s="238"/>
      <c r="L32" s="238"/>
      <c r="M32" s="238"/>
    </row>
    <row r="33" spans="2:13" ht="15.75">
      <c r="B33" s="235"/>
      <c r="C33" s="415"/>
      <c r="D33" s="415"/>
      <c r="E33" s="236"/>
      <c r="F33" s="237"/>
      <c r="G33" s="238"/>
      <c r="H33" s="239"/>
      <c r="I33" s="239"/>
      <c r="J33" s="238"/>
      <c r="K33" s="238"/>
      <c r="L33" s="238"/>
      <c r="M33" s="238"/>
    </row>
    <row r="34" spans="2:13" ht="15.75">
      <c r="B34" s="235"/>
      <c r="C34" s="415"/>
      <c r="D34" s="415"/>
      <c r="E34" s="236"/>
      <c r="F34" s="237"/>
      <c r="G34" s="238"/>
      <c r="H34" s="239"/>
      <c r="I34" s="239"/>
      <c r="J34" s="238"/>
      <c r="K34" s="238"/>
      <c r="L34" s="238"/>
      <c r="M34" s="238"/>
    </row>
    <row r="35" spans="2:29" ht="15.75">
      <c r="B35" s="235"/>
      <c r="C35" s="415"/>
      <c r="D35" s="415"/>
      <c r="E35" s="236"/>
      <c r="F35" s="237"/>
      <c r="G35" s="238"/>
      <c r="H35" s="239"/>
      <c r="I35" s="239"/>
      <c r="J35" s="238"/>
      <c r="K35" s="238"/>
      <c r="L35" s="238"/>
      <c r="M35" s="238"/>
      <c r="N35" s="50"/>
      <c r="O35" s="50"/>
      <c r="P35" s="50"/>
      <c r="Q35" s="50"/>
      <c r="R35" s="50"/>
      <c r="S35" s="50"/>
      <c r="T35" s="50"/>
      <c r="U35" s="50"/>
      <c r="V35" s="50"/>
      <c r="W35" s="50"/>
      <c r="X35" s="50"/>
      <c r="Y35" s="50"/>
      <c r="Z35" s="50"/>
      <c r="AA35" s="50"/>
      <c r="AB35" s="50"/>
      <c r="AC35" s="50"/>
    </row>
    <row r="36" spans="2:13" ht="15.75">
      <c r="B36" s="240" t="s">
        <v>327</v>
      </c>
      <c r="C36" s="240"/>
      <c r="D36" s="240"/>
      <c r="E36" s="250"/>
      <c r="F36" s="243"/>
      <c r="G36" s="251">
        <f>SUM(G29:G35)</f>
        <v>0</v>
      </c>
      <c r="H36" s="243"/>
      <c r="I36" s="243"/>
      <c r="J36" s="251">
        <f>SUM(J29:J35)</f>
        <v>0</v>
      </c>
      <c r="K36" s="251">
        <f>SUM(K29:K35)</f>
        <v>0</v>
      </c>
      <c r="L36" s="251">
        <f>SUM(L29:L35)</f>
        <v>0</v>
      </c>
      <c r="M36" s="251">
        <f>SUM(M29:M35)</f>
        <v>0</v>
      </c>
    </row>
    <row r="37" spans="2:13" ht="15.75">
      <c r="B37" s="240" t="s">
        <v>220</v>
      </c>
      <c r="C37" s="240"/>
      <c r="D37" s="240"/>
      <c r="E37" s="240"/>
      <c r="F37" s="243"/>
      <c r="G37" s="251">
        <f>SUM(G19+G27+G36)</f>
        <v>242000</v>
      </c>
      <c r="H37" s="243"/>
      <c r="I37" s="243"/>
      <c r="J37" s="251">
        <f>SUM(J19+J27+J36)</f>
        <v>11495</v>
      </c>
      <c r="K37" s="251">
        <f>SUM(K19+K27+K36)</f>
        <v>8000</v>
      </c>
      <c r="L37" s="251">
        <f>SUM(L19+L27+L36)</f>
        <v>11495</v>
      </c>
      <c r="M37" s="251">
        <f>SUM(M19+M27+M36)</f>
        <v>8000</v>
      </c>
    </row>
    <row r="38" spans="2:13" ht="15.75">
      <c r="B38" s="50"/>
      <c r="C38" s="50"/>
      <c r="D38" s="50"/>
      <c r="E38" s="50"/>
      <c r="F38" s="50"/>
      <c r="G38" s="50"/>
      <c r="H38" s="50"/>
      <c r="I38" s="50"/>
      <c r="J38" s="50"/>
      <c r="K38" s="50"/>
      <c r="L38" s="50"/>
      <c r="M38" s="50"/>
    </row>
    <row r="39" spans="6:13" ht="15.75">
      <c r="F39" s="253"/>
      <c r="G39" s="253"/>
      <c r="J39" s="253"/>
      <c r="K39" s="253"/>
      <c r="L39" s="253"/>
      <c r="M39" s="253"/>
    </row>
    <row r="40" spans="6:14" ht="15.75">
      <c r="F40" s="50"/>
      <c r="H40" s="254"/>
      <c r="N40" s="50"/>
    </row>
    <row r="41" spans="2:13" ht="15.75">
      <c r="B41" s="50"/>
      <c r="C41" s="50"/>
      <c r="D41" s="50"/>
      <c r="E41" s="50"/>
      <c r="F41" s="50"/>
      <c r="G41" s="50"/>
      <c r="H41" s="50"/>
      <c r="I41" s="50"/>
      <c r="J41" s="50"/>
      <c r="K41" s="50"/>
      <c r="L41" s="50"/>
      <c r="M41" s="50"/>
    </row>
    <row r="42" spans="2:13" ht="15.75">
      <c r="B42" s="50"/>
      <c r="C42" s="50"/>
      <c r="D42" s="50"/>
      <c r="E42" s="50"/>
      <c r="F42" s="50"/>
      <c r="G42" s="50"/>
      <c r="H42" s="50"/>
      <c r="I42" s="50"/>
      <c r="J42" s="50"/>
      <c r="K42" s="50"/>
      <c r="L42" s="50"/>
      <c r="M42" s="50"/>
    </row>
  </sheetData>
  <sheetProtection sheet="1"/>
  <mergeCells count="3">
    <mergeCell ref="H6:I6"/>
    <mergeCell ref="J6:K6"/>
    <mergeCell ref="L6:M6"/>
  </mergeCells>
  <printOptions/>
  <pageMargins left="0.38" right="0.5" top="0.78" bottom="0.4" header="0.5" footer="0"/>
  <pageSetup blackAndWhite="1" fitToHeight="1" fitToWidth="1" horizontalDpi="120" verticalDpi="120" orientation="landscape" scale="77" r:id="rId1"/>
  <headerFooter alignWithMargins="0">
    <oddHeader>&amp;RState of Kansas
County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48"/>
  <sheetViews>
    <sheetView zoomScale="75" zoomScaleNormal="75" zoomScalePageLayoutView="0" workbookViewId="0" topLeftCell="A1">
      <selection activeCell="G46" sqref="G46"/>
    </sheetView>
  </sheetViews>
  <sheetFormatPr defaultColWidth="8.796875" defaultRowHeight="15"/>
  <cols>
    <col min="1" max="1" width="4.796875" style="50" customWidth="1"/>
    <col min="2" max="2" width="25.796875" style="50" customWidth="1"/>
    <col min="3" max="5" width="9.796875" style="50" customWidth="1"/>
    <col min="6" max="6" width="17.09765625" style="50" customWidth="1"/>
    <col min="7" max="9" width="15.796875" style="50" customWidth="1"/>
    <col min="10" max="16384" width="8.8984375" style="50" customWidth="1"/>
  </cols>
  <sheetData>
    <row r="1" spans="2:9" ht="15.75">
      <c r="B1" s="201" t="str">
        <f>inputPrYr!$C$2</f>
        <v>Marshall County</v>
      </c>
      <c r="C1" s="62"/>
      <c r="D1" s="62"/>
      <c r="E1" s="62"/>
      <c r="F1" s="62"/>
      <c r="G1" s="62"/>
      <c r="H1" s="62"/>
      <c r="I1" s="255">
        <f>inputPrYr!C4</f>
        <v>2015</v>
      </c>
    </row>
    <row r="2" spans="2:9" ht="15.75">
      <c r="B2" s="62"/>
      <c r="C2" s="62"/>
      <c r="D2" s="62"/>
      <c r="E2" s="62"/>
      <c r="F2" s="62"/>
      <c r="G2" s="62"/>
      <c r="H2" s="62"/>
      <c r="I2" s="208"/>
    </row>
    <row r="3" spans="2:9" ht="15.75">
      <c r="B3" s="62"/>
      <c r="C3" s="68"/>
      <c r="D3" s="68"/>
      <c r="E3" s="68"/>
      <c r="F3" s="68"/>
      <c r="G3" s="68"/>
      <c r="H3" s="68"/>
      <c r="I3" s="256"/>
    </row>
    <row r="4" spans="2:9" ht="15.75">
      <c r="B4" s="224" t="s">
        <v>232</v>
      </c>
      <c r="C4" s="68"/>
      <c r="D4" s="68"/>
      <c r="E4" s="68"/>
      <c r="F4" s="68"/>
      <c r="G4" s="68"/>
      <c r="H4" s="68"/>
      <c r="I4" s="68"/>
    </row>
    <row r="5" spans="2:9" ht="15.75">
      <c r="B5" s="89"/>
      <c r="C5" s="225"/>
      <c r="D5" s="225"/>
      <c r="E5" s="225"/>
      <c r="F5" s="225"/>
      <c r="G5" s="225"/>
      <c r="H5" s="225"/>
      <c r="I5" s="225"/>
    </row>
    <row r="6" spans="2:9" ht="15.75">
      <c r="B6" s="257"/>
      <c r="C6" s="258"/>
      <c r="D6" s="258"/>
      <c r="E6" s="258"/>
      <c r="F6" s="226" t="s">
        <v>129</v>
      </c>
      <c r="G6" s="258"/>
      <c r="H6" s="258"/>
      <c r="I6" s="258"/>
    </row>
    <row r="7" spans="2:9" ht="15.75">
      <c r="B7" s="257"/>
      <c r="C7" s="229"/>
      <c r="D7" s="229" t="s">
        <v>221</v>
      </c>
      <c r="E7" s="229" t="s">
        <v>222</v>
      </c>
      <c r="F7" s="229" t="s">
        <v>149</v>
      </c>
      <c r="G7" s="229" t="s">
        <v>223</v>
      </c>
      <c r="H7" s="229" t="s">
        <v>224</v>
      </c>
      <c r="I7" s="229" t="s">
        <v>224</v>
      </c>
    </row>
    <row r="8" spans="2:9" ht="15.75">
      <c r="B8" s="597" t="s">
        <v>784</v>
      </c>
      <c r="C8" s="229" t="s">
        <v>225</v>
      </c>
      <c r="D8" s="229" t="s">
        <v>226</v>
      </c>
      <c r="E8" s="229" t="s">
        <v>211</v>
      </c>
      <c r="F8" s="229" t="s">
        <v>227</v>
      </c>
      <c r="G8" s="229" t="s">
        <v>268</v>
      </c>
      <c r="H8" s="229" t="s">
        <v>228</v>
      </c>
      <c r="I8" s="229" t="s">
        <v>228</v>
      </c>
    </row>
    <row r="9" spans="2:9" ht="15.75">
      <c r="B9" s="585" t="s">
        <v>783</v>
      </c>
      <c r="C9" s="232" t="s">
        <v>208</v>
      </c>
      <c r="D9" s="260" t="s">
        <v>229</v>
      </c>
      <c r="E9" s="232" t="s">
        <v>173</v>
      </c>
      <c r="F9" s="260" t="s">
        <v>279</v>
      </c>
      <c r="G9" s="261" t="str">
        <f>CONCATENATE("Jan 1,",I1-1,"")</f>
        <v>Jan 1,2014</v>
      </c>
      <c r="H9" s="232">
        <f>I1-1</f>
        <v>2014</v>
      </c>
      <c r="I9" s="232">
        <f>I1</f>
        <v>2015</v>
      </c>
    </row>
    <row r="10" spans="2:9" ht="15.75">
      <c r="B10" s="262" t="s">
        <v>985</v>
      </c>
      <c r="C10" s="414">
        <v>40946</v>
      </c>
      <c r="D10" s="263">
        <v>60</v>
      </c>
      <c r="E10" s="264">
        <v>3.49</v>
      </c>
      <c r="F10" s="87">
        <v>26633</v>
      </c>
      <c r="G10" s="87">
        <v>16924</v>
      </c>
      <c r="H10" s="87">
        <v>5806</v>
      </c>
      <c r="I10" s="87">
        <v>5806</v>
      </c>
    </row>
    <row r="11" spans="2:9" ht="15.75">
      <c r="B11" s="262" t="s">
        <v>985</v>
      </c>
      <c r="C11" s="414">
        <v>40953</v>
      </c>
      <c r="D11" s="263">
        <v>60</v>
      </c>
      <c r="E11" s="264">
        <v>3.49</v>
      </c>
      <c r="F11" s="87">
        <v>26633</v>
      </c>
      <c r="G11" s="87">
        <v>16913</v>
      </c>
      <c r="H11" s="87">
        <v>5806</v>
      </c>
      <c r="I11" s="87">
        <v>5806</v>
      </c>
    </row>
    <row r="12" spans="2:9" ht="15.75">
      <c r="B12" s="262" t="s">
        <v>986</v>
      </c>
      <c r="C12" s="414">
        <v>41297</v>
      </c>
      <c r="D12" s="263">
        <v>36</v>
      </c>
      <c r="E12" s="264">
        <v>3.59</v>
      </c>
      <c r="F12" s="87">
        <v>19000</v>
      </c>
      <c r="G12" s="87">
        <v>14864</v>
      </c>
      <c r="H12" s="87">
        <v>5110</v>
      </c>
      <c r="I12" s="87">
        <v>5110</v>
      </c>
    </row>
    <row r="13" spans="2:9" ht="15.75">
      <c r="B13" s="262" t="s">
        <v>987</v>
      </c>
      <c r="C13" s="414">
        <v>41456</v>
      </c>
      <c r="D13" s="263">
        <v>48</v>
      </c>
      <c r="E13" s="264">
        <v>2.98</v>
      </c>
      <c r="F13" s="87">
        <v>19000</v>
      </c>
      <c r="G13" s="87">
        <v>16724</v>
      </c>
      <c r="H13" s="87">
        <v>5912</v>
      </c>
      <c r="I13" s="87">
        <v>5912</v>
      </c>
    </row>
    <row r="14" spans="2:9" ht="15.75">
      <c r="B14" s="262" t="s">
        <v>988</v>
      </c>
      <c r="C14" s="414">
        <v>41498</v>
      </c>
      <c r="D14" s="263">
        <v>48</v>
      </c>
      <c r="E14" s="264">
        <v>2.98</v>
      </c>
      <c r="F14" s="87">
        <v>24900</v>
      </c>
      <c r="G14" s="87">
        <v>22672</v>
      </c>
      <c r="H14" s="87">
        <v>5912</v>
      </c>
      <c r="I14" s="87">
        <v>5912</v>
      </c>
    </row>
    <row r="15" spans="2:9" ht="15.75">
      <c r="B15" s="262"/>
      <c r="C15" s="414"/>
      <c r="D15" s="263"/>
      <c r="E15" s="264"/>
      <c r="F15" s="87"/>
      <c r="G15" s="87"/>
      <c r="H15" s="87"/>
      <c r="I15" s="87"/>
    </row>
    <row r="16" spans="2:9" ht="15.75">
      <c r="B16" s="262"/>
      <c r="C16" s="414"/>
      <c r="D16" s="263"/>
      <c r="E16" s="264"/>
      <c r="F16" s="87"/>
      <c r="G16" s="87"/>
      <c r="H16" s="87"/>
      <c r="I16" s="87"/>
    </row>
    <row r="17" spans="2:9" ht="15.75">
      <c r="B17" s="262"/>
      <c r="C17" s="414"/>
      <c r="D17" s="263"/>
      <c r="E17" s="264"/>
      <c r="F17" s="87"/>
      <c r="G17" s="87"/>
      <c r="H17" s="87"/>
      <c r="I17" s="87"/>
    </row>
    <row r="18" spans="2:9" ht="15.75">
      <c r="B18" s="262"/>
      <c r="C18" s="414"/>
      <c r="D18" s="263"/>
      <c r="E18" s="264"/>
      <c r="F18" s="87"/>
      <c r="G18" s="87"/>
      <c r="H18" s="87"/>
      <c r="I18" s="87"/>
    </row>
    <row r="19" spans="2:9" ht="15.75">
      <c r="B19" s="262"/>
      <c r="C19" s="414"/>
      <c r="D19" s="263"/>
      <c r="E19" s="264"/>
      <c r="F19" s="87"/>
      <c r="G19" s="87"/>
      <c r="H19" s="87"/>
      <c r="I19" s="87"/>
    </row>
    <row r="20" spans="2:9" ht="15.75">
      <c r="B20" s="262"/>
      <c r="C20" s="414"/>
      <c r="D20" s="263"/>
      <c r="E20" s="264"/>
      <c r="F20" s="87"/>
      <c r="G20" s="87"/>
      <c r="H20" s="87"/>
      <c r="I20" s="87"/>
    </row>
    <row r="21" spans="2:9" ht="15.75">
      <c r="B21" s="262"/>
      <c r="C21" s="414"/>
      <c r="D21" s="263"/>
      <c r="E21" s="264"/>
      <c r="F21" s="87"/>
      <c r="G21" s="87"/>
      <c r="H21" s="87"/>
      <c r="I21" s="87"/>
    </row>
    <row r="22" spans="2:9" ht="15.75">
      <c r="B22" s="262"/>
      <c r="C22" s="414"/>
      <c r="D22" s="263"/>
      <c r="E22" s="264"/>
      <c r="F22" s="87"/>
      <c r="G22" s="87"/>
      <c r="H22" s="87"/>
      <c r="I22" s="87"/>
    </row>
    <row r="23" spans="2:9" ht="15.75">
      <c r="B23" s="262"/>
      <c r="C23" s="414"/>
      <c r="D23" s="263"/>
      <c r="E23" s="264"/>
      <c r="F23" s="87"/>
      <c r="G23" s="87"/>
      <c r="H23" s="87"/>
      <c r="I23" s="87"/>
    </row>
    <row r="24" spans="2:9" ht="15.75">
      <c r="B24" s="262"/>
      <c r="C24" s="262"/>
      <c r="D24" s="263"/>
      <c r="E24" s="264"/>
      <c r="F24" s="87"/>
      <c r="G24" s="87"/>
      <c r="H24" s="87"/>
      <c r="I24" s="87"/>
    </row>
    <row r="25" spans="2:9" ht="15.75">
      <c r="B25" s="262"/>
      <c r="C25" s="262"/>
      <c r="D25" s="263"/>
      <c r="E25" s="264"/>
      <c r="F25" s="87"/>
      <c r="G25" s="87"/>
      <c r="H25" s="87"/>
      <c r="I25" s="87"/>
    </row>
    <row r="26" spans="2:9" ht="15.75">
      <c r="B26" s="262"/>
      <c r="C26" s="262"/>
      <c r="D26" s="263"/>
      <c r="E26" s="264"/>
      <c r="F26" s="87"/>
      <c r="G26" s="87"/>
      <c r="H26" s="87"/>
      <c r="I26" s="87"/>
    </row>
    <row r="27" spans="2:9" ht="15.75">
      <c r="B27" s="262"/>
      <c r="C27" s="262"/>
      <c r="D27" s="263"/>
      <c r="E27" s="264"/>
      <c r="F27" s="87"/>
      <c r="G27" s="87"/>
      <c r="H27" s="87"/>
      <c r="I27" s="87"/>
    </row>
    <row r="28" spans="2:9" ht="15.75">
      <c r="B28" s="262"/>
      <c r="C28" s="262"/>
      <c r="D28" s="263"/>
      <c r="E28" s="264"/>
      <c r="F28" s="87"/>
      <c r="G28" s="87"/>
      <c r="H28" s="87"/>
      <c r="I28" s="87"/>
    </row>
    <row r="29" spans="2:9" ht="15.75">
      <c r="B29" s="262"/>
      <c r="C29" s="262"/>
      <c r="D29" s="263"/>
      <c r="E29" s="264"/>
      <c r="F29" s="87"/>
      <c r="G29" s="87"/>
      <c r="H29" s="87"/>
      <c r="I29" s="87"/>
    </row>
    <row r="30" spans="2:9" ht="15.75">
      <c r="B30" s="262"/>
      <c r="C30" s="262"/>
      <c r="D30" s="263"/>
      <c r="E30" s="264"/>
      <c r="F30" s="87"/>
      <c r="G30" s="87"/>
      <c r="H30" s="87"/>
      <c r="I30" s="87"/>
    </row>
    <row r="31" spans="2:9" ht="15.75">
      <c r="B31" s="262"/>
      <c r="C31" s="262"/>
      <c r="D31" s="263"/>
      <c r="E31" s="264"/>
      <c r="F31" s="87"/>
      <c r="G31" s="87"/>
      <c r="H31" s="87"/>
      <c r="I31" s="87"/>
    </row>
    <row r="32" spans="2:9" ht="15.75">
      <c r="B32" s="262"/>
      <c r="C32" s="262"/>
      <c r="D32" s="263"/>
      <c r="E32" s="264"/>
      <c r="F32" s="87"/>
      <c r="G32" s="87"/>
      <c r="H32" s="87"/>
      <c r="I32" s="87"/>
    </row>
    <row r="33" spans="2:9" ht="15.75">
      <c r="B33" s="262"/>
      <c r="C33" s="262"/>
      <c r="D33" s="263"/>
      <c r="E33" s="264"/>
      <c r="F33" s="87"/>
      <c r="G33" s="87"/>
      <c r="H33" s="87"/>
      <c r="I33" s="87"/>
    </row>
    <row r="34" spans="2:9" ht="15.75">
      <c r="B34" s="262"/>
      <c r="C34" s="262"/>
      <c r="D34" s="263"/>
      <c r="E34" s="264"/>
      <c r="F34" s="87"/>
      <c r="G34" s="87"/>
      <c r="H34" s="87"/>
      <c r="I34" s="87"/>
    </row>
    <row r="35" spans="2:9" ht="15.75">
      <c r="B35" s="262"/>
      <c r="C35" s="262"/>
      <c r="D35" s="263"/>
      <c r="E35" s="264"/>
      <c r="F35" s="87"/>
      <c r="G35" s="87"/>
      <c r="H35" s="87"/>
      <c r="I35" s="87"/>
    </row>
    <row r="36" spans="2:9" ht="15.75">
      <c r="B36" s="262"/>
      <c r="C36" s="262"/>
      <c r="D36" s="263"/>
      <c r="E36" s="264"/>
      <c r="F36" s="87"/>
      <c r="G36" s="87"/>
      <c r="H36" s="87"/>
      <c r="I36" s="87"/>
    </row>
    <row r="37" spans="2:10" ht="16.5" thickBot="1">
      <c r="B37" s="598"/>
      <c r="C37" s="62"/>
      <c r="D37" s="62"/>
      <c r="E37" s="62"/>
      <c r="F37" s="240" t="s">
        <v>155</v>
      </c>
      <c r="G37" s="265">
        <f>SUM(G10:G36)</f>
        <v>88097</v>
      </c>
      <c r="H37" s="265">
        <f>SUM(H10:H36)</f>
        <v>28546</v>
      </c>
      <c r="I37" s="265">
        <f>SUM(I10:I36)</f>
        <v>28546</v>
      </c>
      <c r="J37" s="266"/>
    </row>
    <row r="38" spans="2:9" ht="16.5" thickTop="1">
      <c r="B38" s="62"/>
      <c r="C38" s="62"/>
      <c r="D38" s="62"/>
      <c r="E38" s="62"/>
      <c r="F38" s="62"/>
      <c r="G38" s="62"/>
      <c r="H38" s="201"/>
      <c r="I38" s="201"/>
    </row>
    <row r="39" spans="2:9" ht="15.75">
      <c r="B39" s="267" t="s">
        <v>86</v>
      </c>
      <c r="C39" s="268"/>
      <c r="D39" s="268"/>
      <c r="E39" s="268"/>
      <c r="F39" s="268"/>
      <c r="G39" s="268"/>
      <c r="H39" s="201"/>
      <c r="I39" s="201"/>
    </row>
    <row r="40" spans="2:9" ht="15.75">
      <c r="B40" s="118"/>
      <c r="C40" s="118"/>
      <c r="D40" s="254"/>
      <c r="E40" s="118"/>
      <c r="F40" s="118"/>
      <c r="G40" s="118"/>
      <c r="H40" s="253"/>
      <c r="I40" s="253"/>
    </row>
    <row r="41" spans="2:9" ht="15.75">
      <c r="B41" s="118"/>
      <c r="C41" s="118"/>
      <c r="D41" s="118"/>
      <c r="E41" s="118"/>
      <c r="F41" s="118"/>
      <c r="G41" s="118"/>
      <c r="H41" s="118"/>
      <c r="I41" s="118"/>
    </row>
    <row r="42" spans="2:9" ht="15.75">
      <c r="B42" s="118"/>
      <c r="C42" s="118"/>
      <c r="D42" s="118"/>
      <c r="E42" s="118"/>
      <c r="F42" s="118"/>
      <c r="G42" s="118"/>
      <c r="H42" s="118"/>
      <c r="I42" s="118"/>
    </row>
    <row r="43" spans="2:9" ht="15.75">
      <c r="B43" s="118"/>
      <c r="C43" s="118"/>
      <c r="D43" s="118"/>
      <c r="E43" s="118"/>
      <c r="F43" s="118"/>
      <c r="G43" s="118"/>
      <c r="H43" s="118"/>
      <c r="I43" s="118"/>
    </row>
    <row r="44" spans="2:9" ht="15.75">
      <c r="B44" s="118"/>
      <c r="C44" s="118"/>
      <c r="D44" s="118"/>
      <c r="E44" s="118"/>
      <c r="F44" s="118"/>
      <c r="G44" s="118"/>
      <c r="H44" s="118"/>
      <c r="I44" s="118"/>
    </row>
    <row r="45" spans="2:9" ht="15.75">
      <c r="B45" s="118"/>
      <c r="C45" s="118"/>
      <c r="D45" s="118"/>
      <c r="E45" s="118"/>
      <c r="F45" s="118"/>
      <c r="G45" s="118"/>
      <c r="H45" s="118"/>
      <c r="I45" s="118"/>
    </row>
    <row r="46" spans="2:9" ht="15.75">
      <c r="B46" s="118"/>
      <c r="C46" s="118"/>
      <c r="D46" s="118"/>
      <c r="E46" s="118"/>
      <c r="F46" s="118"/>
      <c r="G46" s="118"/>
      <c r="H46" s="118"/>
      <c r="I46" s="118"/>
    </row>
    <row r="47" spans="2:9" ht="15.75">
      <c r="B47" s="118"/>
      <c r="C47" s="118"/>
      <c r="D47" s="118"/>
      <c r="E47" s="118"/>
      <c r="F47" s="118"/>
      <c r="G47" s="118"/>
      <c r="H47" s="118"/>
      <c r="I47" s="118"/>
    </row>
    <row r="48" spans="2:9" ht="15.75">
      <c r="B48" s="118"/>
      <c r="C48" s="118"/>
      <c r="D48" s="118"/>
      <c r="E48" s="118"/>
      <c r="F48" s="118"/>
      <c r="G48" s="118"/>
      <c r="H48" s="118"/>
      <c r="I48" s="118"/>
    </row>
  </sheetData>
  <sheetProtection sheet="1"/>
  <printOptions/>
  <pageMargins left="0.17" right="0.5" top="0.78" bottom="0.4" header="0.5" footer="0"/>
  <pageSetup blackAndWhite="1" fitToHeight="1" fitToWidth="1" horizontalDpi="600" verticalDpi="600" orientation="landscape" scale="87" r:id="rId1"/>
  <headerFooter alignWithMargins="0">
    <oddHeader>&amp;RState of Kansas
County
</oddHeader>
    <oddFooter>&amp;CPage No. 6</oddFooter>
  </headerFooter>
</worksheet>
</file>

<file path=xl/worksheets/sheet13.xml><?xml version="1.0" encoding="utf-8"?>
<worksheet xmlns="http://schemas.openxmlformats.org/spreadsheetml/2006/main" xmlns:r="http://schemas.openxmlformats.org/officeDocument/2006/relationships">
  <dimension ref="B1:K135"/>
  <sheetViews>
    <sheetView zoomScalePageLayoutView="0" workbookViewId="0" topLeftCell="A1">
      <selection activeCell="Q90" sqref="Q90"/>
    </sheetView>
  </sheetViews>
  <sheetFormatPr defaultColWidth="8.796875" defaultRowHeight="15"/>
  <cols>
    <col min="1" max="1" width="2.3984375" style="50" customWidth="1"/>
    <col min="2" max="2" width="31.09765625" style="50" customWidth="1"/>
    <col min="3" max="4" width="15.796875" style="50" customWidth="1"/>
    <col min="5" max="5" width="16.19921875" style="50" customWidth="1"/>
    <col min="6" max="6" width="7.3984375" style="50" customWidth="1"/>
    <col min="7" max="7" width="10.19921875" style="50" customWidth="1"/>
    <col min="8" max="8" width="8.8984375" style="50" customWidth="1"/>
    <col min="9" max="9" width="5" style="50" customWidth="1"/>
    <col min="10" max="10" width="10" style="50" customWidth="1"/>
    <col min="11" max="16384" width="8.8984375" style="50" customWidth="1"/>
  </cols>
  <sheetData>
    <row r="1" spans="2:5" ht="15.75">
      <c r="B1" s="201" t="str">
        <f>inputPrYr!C2</f>
        <v>Marshall County</v>
      </c>
      <c r="C1" s="62"/>
      <c r="D1" s="62"/>
      <c r="E1" s="255">
        <f>inputPrYr!C4</f>
        <v>2015</v>
      </c>
    </row>
    <row r="2" spans="2:5" ht="15.75">
      <c r="B2" s="62"/>
      <c r="C2" s="62"/>
      <c r="D2" s="62"/>
      <c r="E2" s="208"/>
    </row>
    <row r="3" spans="2:5" ht="15.75">
      <c r="B3" s="127" t="s">
        <v>239</v>
      </c>
      <c r="C3" s="62"/>
      <c r="D3" s="62"/>
      <c r="E3" s="269"/>
    </row>
    <row r="4" spans="2:5" ht="15.75">
      <c r="B4" s="270" t="s">
        <v>157</v>
      </c>
      <c r="C4" s="666" t="s">
        <v>812</v>
      </c>
      <c r="D4" s="667" t="s">
        <v>813</v>
      </c>
      <c r="E4" s="188" t="s">
        <v>814</v>
      </c>
    </row>
    <row r="5" spans="2:5" ht="15.75">
      <c r="B5" s="447" t="str">
        <f>inputPrYr!B16</f>
        <v>General</v>
      </c>
      <c r="C5" s="420" t="str">
        <f>CONCATENATE("Actual for ",E1-2,"")</f>
        <v>Actual for 2013</v>
      </c>
      <c r="D5" s="420" t="str">
        <f>CONCATENATE("Estimate for ",E1-1,"")</f>
        <v>Estimate for 2014</v>
      </c>
      <c r="E5" s="271" t="str">
        <f>CONCATENATE("Year for ",E1,"")</f>
        <v>Year for 2015</v>
      </c>
    </row>
    <row r="6" spans="2:5" ht="15.75">
      <c r="B6" s="272" t="s">
        <v>272</v>
      </c>
      <c r="C6" s="417">
        <v>1441747</v>
      </c>
      <c r="D6" s="421">
        <f>C116</f>
        <v>1547412</v>
      </c>
      <c r="E6" s="234">
        <f>D116</f>
        <v>887213</v>
      </c>
    </row>
    <row r="7" spans="2:5" ht="15.75">
      <c r="B7" s="259" t="s">
        <v>274</v>
      </c>
      <c r="C7" s="274"/>
      <c r="D7" s="274"/>
      <c r="E7" s="102"/>
    </row>
    <row r="8" spans="2:5" ht="15.75">
      <c r="B8" s="272" t="s">
        <v>158</v>
      </c>
      <c r="C8" s="417">
        <v>1595639</v>
      </c>
      <c r="D8" s="421">
        <f>IF(inputPrYr!H16&gt;0,inputPrYr!H16,inputPrYr!E16)</f>
        <v>1835869</v>
      </c>
      <c r="E8" s="194" t="s">
        <v>145</v>
      </c>
    </row>
    <row r="9" spans="2:5" ht="15.75">
      <c r="B9" s="272" t="s">
        <v>159</v>
      </c>
      <c r="C9" s="417">
        <v>32699</v>
      </c>
      <c r="D9" s="417"/>
      <c r="E9" s="275"/>
    </row>
    <row r="10" spans="2:5" ht="15.75">
      <c r="B10" s="272" t="s">
        <v>160</v>
      </c>
      <c r="C10" s="417">
        <v>158003</v>
      </c>
      <c r="D10" s="417">
        <v>151671</v>
      </c>
      <c r="E10" s="234">
        <f>mvalloc!E7</f>
        <v>168685</v>
      </c>
    </row>
    <row r="11" spans="2:5" ht="15.75">
      <c r="B11" s="272" t="s">
        <v>161</v>
      </c>
      <c r="C11" s="417">
        <v>2425</v>
      </c>
      <c r="D11" s="417">
        <v>2470</v>
      </c>
      <c r="E11" s="234">
        <f>mvalloc!F7</f>
        <v>2451</v>
      </c>
    </row>
    <row r="12" spans="2:5" ht="15.75">
      <c r="B12" s="274" t="s">
        <v>263</v>
      </c>
      <c r="C12" s="417">
        <v>22570</v>
      </c>
      <c r="D12" s="417">
        <v>21021</v>
      </c>
      <c r="E12" s="234">
        <f>mvalloc!G7</f>
        <v>10073</v>
      </c>
    </row>
    <row r="13" spans="2:5" ht="15.75">
      <c r="B13" s="272" t="s">
        <v>265</v>
      </c>
      <c r="C13" s="417">
        <v>68454</v>
      </c>
      <c r="D13" s="417">
        <v>41382</v>
      </c>
      <c r="E13" s="234">
        <f>inputOth!E11</f>
        <v>24674</v>
      </c>
    </row>
    <row r="14" spans="2:5" ht="15.75">
      <c r="B14" s="272" t="s">
        <v>314</v>
      </c>
      <c r="C14" s="417"/>
      <c r="D14" s="417"/>
      <c r="E14" s="234">
        <f>inputOth!E18</f>
        <v>0</v>
      </c>
    </row>
    <row r="15" spans="2:5" ht="15.75">
      <c r="B15" s="272" t="s">
        <v>315</v>
      </c>
      <c r="C15" s="417"/>
      <c r="D15" s="417"/>
      <c r="E15" s="234">
        <f>inputOth!E19</f>
        <v>0</v>
      </c>
    </row>
    <row r="16" spans="2:5" ht="15.75">
      <c r="B16" s="276" t="s">
        <v>164</v>
      </c>
      <c r="C16" s="417"/>
      <c r="D16" s="417"/>
      <c r="E16" s="275"/>
    </row>
    <row r="17" spans="2:5" ht="15.75">
      <c r="B17" s="276" t="s">
        <v>162</v>
      </c>
      <c r="C17" s="417">
        <v>3032</v>
      </c>
      <c r="D17" s="417"/>
      <c r="E17" s="275"/>
    </row>
    <row r="18" spans="2:5" ht="15.75">
      <c r="B18" s="276" t="s">
        <v>651</v>
      </c>
      <c r="C18" s="417"/>
      <c r="D18" s="417"/>
      <c r="E18" s="275"/>
    </row>
    <row r="19" spans="2:5" ht="15.75">
      <c r="B19" s="277" t="s">
        <v>652</v>
      </c>
      <c r="C19" s="417"/>
      <c r="D19" s="417"/>
      <c r="E19" s="275"/>
    </row>
    <row r="20" spans="2:5" ht="15.75">
      <c r="B20" s="774" t="s">
        <v>989</v>
      </c>
      <c r="C20" s="417">
        <v>872</v>
      </c>
      <c r="D20" s="417">
        <v>550</v>
      </c>
      <c r="E20" s="417">
        <v>550</v>
      </c>
    </row>
    <row r="21" spans="2:5" ht="15.75">
      <c r="B21" s="774" t="s">
        <v>990</v>
      </c>
      <c r="C21" s="417">
        <v>96035</v>
      </c>
      <c r="D21" s="417">
        <v>50000</v>
      </c>
      <c r="E21" s="417">
        <v>50000</v>
      </c>
    </row>
    <row r="22" spans="2:5" ht="15.75">
      <c r="B22" s="775" t="s">
        <v>991</v>
      </c>
      <c r="C22" s="417">
        <v>21606</v>
      </c>
      <c r="D22" s="417">
        <v>20000</v>
      </c>
      <c r="E22" s="417">
        <v>20000</v>
      </c>
    </row>
    <row r="23" spans="2:5" ht="15.75">
      <c r="B23" s="775" t="s">
        <v>992</v>
      </c>
      <c r="C23" s="417">
        <v>31534</v>
      </c>
      <c r="D23" s="417">
        <v>15000</v>
      </c>
      <c r="E23" s="417">
        <v>15000</v>
      </c>
    </row>
    <row r="24" spans="2:5" ht="15.75">
      <c r="B24" s="775" t="s">
        <v>993</v>
      </c>
      <c r="C24" s="417">
        <v>260</v>
      </c>
      <c r="D24" s="417">
        <v>200</v>
      </c>
      <c r="E24" s="417">
        <v>200</v>
      </c>
    </row>
    <row r="25" spans="2:5" ht="15.75">
      <c r="B25" s="775" t="s">
        <v>994</v>
      </c>
      <c r="C25" s="417"/>
      <c r="D25" s="417">
        <v>3000</v>
      </c>
      <c r="E25" s="417">
        <v>3000</v>
      </c>
    </row>
    <row r="26" spans="2:5" ht="15.75">
      <c r="B26" s="775" t="s">
        <v>995</v>
      </c>
      <c r="C26" s="417">
        <v>15516</v>
      </c>
      <c r="D26" s="417">
        <v>6000</v>
      </c>
      <c r="E26" s="417">
        <v>6000</v>
      </c>
    </row>
    <row r="27" spans="2:5" ht="15.75">
      <c r="B27" s="775" t="s">
        <v>996</v>
      </c>
      <c r="C27" s="417">
        <v>4307</v>
      </c>
      <c r="D27" s="417"/>
      <c r="E27" s="417"/>
    </row>
    <row r="28" spans="2:5" ht="15.75">
      <c r="B28" s="775" t="s">
        <v>997</v>
      </c>
      <c r="C28" s="417">
        <v>240</v>
      </c>
      <c r="D28" s="417"/>
      <c r="E28" s="417"/>
    </row>
    <row r="29" spans="2:5" ht="15.75">
      <c r="B29" s="775" t="s">
        <v>998</v>
      </c>
      <c r="C29" s="417">
        <v>43345</v>
      </c>
      <c r="D29" s="417">
        <v>15000</v>
      </c>
      <c r="E29" s="417">
        <v>15000</v>
      </c>
    </row>
    <row r="30" spans="2:5" ht="15.75">
      <c r="B30" s="775" t="s">
        <v>999</v>
      </c>
      <c r="C30" s="417"/>
      <c r="D30" s="417">
        <v>1000</v>
      </c>
      <c r="E30" s="417">
        <v>1000</v>
      </c>
    </row>
    <row r="31" spans="2:5" ht="15.75">
      <c r="B31" s="775" t="s">
        <v>1000</v>
      </c>
      <c r="C31" s="417"/>
      <c r="D31" s="417">
        <v>3100</v>
      </c>
      <c r="E31" s="417">
        <v>3100</v>
      </c>
    </row>
    <row r="32" spans="2:5" ht="15.75">
      <c r="B32" s="775" t="s">
        <v>1001</v>
      </c>
      <c r="C32" s="417"/>
      <c r="D32" s="417"/>
      <c r="E32" s="417"/>
    </row>
    <row r="33" spans="2:5" ht="15.75">
      <c r="B33" s="775" t="s">
        <v>1002</v>
      </c>
      <c r="C33" s="417">
        <v>13832</v>
      </c>
      <c r="D33" s="417">
        <v>5000</v>
      </c>
      <c r="E33" s="417">
        <v>5000</v>
      </c>
    </row>
    <row r="34" spans="2:5" ht="15.75">
      <c r="B34" s="775" t="s">
        <v>1003</v>
      </c>
      <c r="C34" s="417"/>
      <c r="D34" s="417"/>
      <c r="E34" s="275"/>
    </row>
    <row r="35" spans="2:5" ht="15.75">
      <c r="B35" s="276" t="s">
        <v>1004</v>
      </c>
      <c r="C35" s="417">
        <v>11806</v>
      </c>
      <c r="D35" s="417"/>
      <c r="E35" s="275"/>
    </row>
    <row r="36" spans="2:5" ht="15.75">
      <c r="B36" s="775" t="s">
        <v>1005</v>
      </c>
      <c r="C36" s="417"/>
      <c r="D36" s="417"/>
      <c r="E36" s="275"/>
    </row>
    <row r="37" spans="2:5" ht="15.75">
      <c r="B37" s="775" t="s">
        <v>1006</v>
      </c>
      <c r="C37" s="417">
        <v>120</v>
      </c>
      <c r="D37" s="417"/>
      <c r="E37" s="275"/>
    </row>
    <row r="38" spans="2:5" ht="15.75">
      <c r="B38" s="276" t="s">
        <v>1007</v>
      </c>
      <c r="C38" s="417"/>
      <c r="D38" s="417"/>
      <c r="E38" s="275"/>
    </row>
    <row r="39" spans="2:5" ht="15.75">
      <c r="B39" s="276" t="s">
        <v>313</v>
      </c>
      <c r="C39" s="417"/>
      <c r="D39" s="417"/>
      <c r="E39" s="275"/>
    </row>
    <row r="40" spans="2:5" ht="15.75">
      <c r="B40" s="276" t="s">
        <v>1008</v>
      </c>
      <c r="C40" s="417"/>
      <c r="D40" s="417"/>
      <c r="E40" s="275"/>
    </row>
    <row r="41" spans="2:5" ht="15.75">
      <c r="B41" s="276"/>
      <c r="C41" s="417"/>
      <c r="D41" s="417"/>
      <c r="E41" s="275"/>
    </row>
    <row r="42" spans="2:5" ht="15.75">
      <c r="B42" s="276"/>
      <c r="C42" s="417"/>
      <c r="D42" s="417"/>
      <c r="E42" s="275"/>
    </row>
    <row r="43" spans="2:5" ht="15.75">
      <c r="B43" s="276"/>
      <c r="C43" s="417"/>
      <c r="D43" s="417"/>
      <c r="E43" s="275"/>
    </row>
    <row r="44" spans="2:5" ht="15.75">
      <c r="B44" s="276"/>
      <c r="C44" s="417"/>
      <c r="D44" s="417"/>
      <c r="E44" s="275"/>
    </row>
    <row r="45" spans="2:5" ht="15.75">
      <c r="B45" s="276"/>
      <c r="C45" s="417"/>
      <c r="D45" s="417"/>
      <c r="E45" s="275"/>
    </row>
    <row r="46" spans="2:5" ht="15.75">
      <c r="B46" s="276"/>
      <c r="C46" s="417"/>
      <c r="D46" s="417"/>
      <c r="E46" s="275"/>
    </row>
    <row r="47" spans="2:5" ht="15.75">
      <c r="B47" s="276"/>
      <c r="C47" s="417"/>
      <c r="D47" s="417"/>
      <c r="E47" s="275"/>
    </row>
    <row r="48" spans="2:5" ht="15.75">
      <c r="B48" s="276"/>
      <c r="C48" s="417"/>
      <c r="D48" s="417"/>
      <c r="E48" s="275"/>
    </row>
    <row r="49" spans="2:5" ht="15.75">
      <c r="B49" s="276"/>
      <c r="C49" s="417"/>
      <c r="D49" s="417"/>
      <c r="E49" s="275"/>
    </row>
    <row r="50" spans="2:5" ht="15.75">
      <c r="B50" s="276" t="s">
        <v>163</v>
      </c>
      <c r="C50" s="417">
        <v>402</v>
      </c>
      <c r="D50" s="417"/>
      <c r="E50" s="275"/>
    </row>
    <row r="51" spans="2:5" ht="15.75">
      <c r="B51" s="277" t="s">
        <v>165</v>
      </c>
      <c r="C51" s="417">
        <v>68784</v>
      </c>
      <c r="D51" s="417">
        <v>30000</v>
      </c>
      <c r="E51" s="275">
        <v>30000</v>
      </c>
    </row>
    <row r="52" spans="2:5" ht="15.75">
      <c r="B52" s="278" t="s">
        <v>72</v>
      </c>
      <c r="C52" s="417"/>
      <c r="D52" s="417"/>
      <c r="E52" s="275"/>
    </row>
    <row r="53" spans="2:5" ht="15.75">
      <c r="B53" s="278" t="s">
        <v>654</v>
      </c>
      <c r="C53" s="418">
        <f>IF(C54*0.1&lt;C52,"Exceed 10% Rule","")</f>
      </c>
      <c r="D53" s="418">
        <f>IF(D54*0.1&lt;D52,"Exceed 10% Rule","")</f>
      </c>
      <c r="E53" s="313">
        <f>IF(E54*0.1+E122&lt;E52,"Exceed 10% Rule","")</f>
      </c>
    </row>
    <row r="54" spans="2:5" ht="15.75">
      <c r="B54" s="280" t="s">
        <v>166</v>
      </c>
      <c r="C54" s="419">
        <f>SUM(C8:C52)</f>
        <v>2191481</v>
      </c>
      <c r="D54" s="419">
        <f>SUM(D8:D52)</f>
        <v>2201263</v>
      </c>
      <c r="E54" s="321">
        <f>SUM(E9:E52)</f>
        <v>354733</v>
      </c>
    </row>
    <row r="55" spans="2:5" ht="15.75">
      <c r="B55" s="280" t="s">
        <v>167</v>
      </c>
      <c r="C55" s="419">
        <f>C6+C54</f>
        <v>3633228</v>
      </c>
      <c r="D55" s="419">
        <f>D6+D54</f>
        <v>3748675</v>
      </c>
      <c r="E55" s="321">
        <f>E6+E54</f>
        <v>1241946</v>
      </c>
    </row>
    <row r="56" spans="2:5" ht="15.75">
      <c r="B56" s="62"/>
      <c r="C56" s="201"/>
      <c r="D56" s="201"/>
      <c r="E56" s="201"/>
    </row>
    <row r="57" spans="2:5" ht="15.75">
      <c r="B57" s="829" t="s">
        <v>282</v>
      </c>
      <c r="C57" s="829"/>
      <c r="D57" s="829"/>
      <c r="E57" s="829"/>
    </row>
    <row r="58" spans="2:5" ht="15.75">
      <c r="B58" s="201" t="str">
        <f>inputPrYr!C2</f>
        <v>Marshall County</v>
      </c>
      <c r="C58" s="201"/>
      <c r="D58" s="201"/>
      <c r="E58" s="255">
        <f>inputPrYr!C4</f>
        <v>2015</v>
      </c>
    </row>
    <row r="59" spans="2:5" ht="15.75">
      <c r="B59" s="62"/>
      <c r="C59" s="201"/>
      <c r="D59" s="201"/>
      <c r="E59" s="208"/>
    </row>
    <row r="60" spans="2:5" ht="15.75">
      <c r="B60" s="282" t="s">
        <v>235</v>
      </c>
      <c r="C60" s="283"/>
      <c r="D60" s="283"/>
      <c r="E60" s="283"/>
    </row>
    <row r="61" spans="2:5" ht="15.75">
      <c r="B61" s="62" t="s">
        <v>157</v>
      </c>
      <c r="C61" s="666" t="s">
        <v>812</v>
      </c>
      <c r="D61" s="667" t="s">
        <v>813</v>
      </c>
      <c r="E61" s="188" t="s">
        <v>814</v>
      </c>
    </row>
    <row r="62" spans="2:5" ht="15.75">
      <c r="B62" s="89" t="s">
        <v>169</v>
      </c>
      <c r="C62" s="420" t="str">
        <f>CONCATENATE("Actual for ",E58-2,"")</f>
        <v>Actual for 2013</v>
      </c>
      <c r="D62" s="420" t="str">
        <f>CONCATENATE("Estimate for ",E58-1,"")</f>
        <v>Estimate for 2014</v>
      </c>
      <c r="E62" s="271" t="str">
        <f>CONCATENATE("Year for ",E58,"")</f>
        <v>Year for 2015</v>
      </c>
    </row>
    <row r="63" spans="2:5" ht="15.75">
      <c r="B63" s="280" t="s">
        <v>167</v>
      </c>
      <c r="C63" s="421">
        <f>C55</f>
        <v>3633228</v>
      </c>
      <c r="D63" s="421">
        <f>D55</f>
        <v>3748675</v>
      </c>
      <c r="E63" s="234">
        <f>E55</f>
        <v>1241946</v>
      </c>
    </row>
    <row r="64" spans="2:5" ht="15.75">
      <c r="B64" s="272" t="s">
        <v>170</v>
      </c>
      <c r="C64" s="421"/>
      <c r="D64" s="421"/>
      <c r="E64" s="234"/>
    </row>
    <row r="65" spans="2:5" ht="15.75">
      <c r="B65" s="274" t="str">
        <f>'gen-detail'!A7</f>
        <v>County Commissioners</v>
      </c>
      <c r="C65" s="421">
        <f>'gen-detail'!B13</f>
        <v>92677</v>
      </c>
      <c r="D65" s="421">
        <f>'gen-detail'!C13</f>
        <v>111900</v>
      </c>
      <c r="E65" s="234">
        <f>'gen-detail'!D13</f>
        <v>128700</v>
      </c>
    </row>
    <row r="66" spans="2:5" ht="15.75">
      <c r="B66" s="274" t="str">
        <f>'gen-detail'!A14</f>
        <v>County Clerk </v>
      </c>
      <c r="C66" s="421">
        <f>'gen-detail'!B19</f>
        <v>124767</v>
      </c>
      <c r="D66" s="421">
        <f>'gen-detail'!C19</f>
        <v>135397</v>
      </c>
      <c r="E66" s="234">
        <f>'gen-detail'!D19</f>
        <v>139547</v>
      </c>
    </row>
    <row r="67" spans="2:5" ht="15.75">
      <c r="B67" s="274" t="str">
        <f>'gen-detail'!A20</f>
        <v>County Treasurer</v>
      </c>
      <c r="C67" s="421">
        <f>'gen-detail'!B25</f>
        <v>115583</v>
      </c>
      <c r="D67" s="421">
        <f>'gen-detail'!C25</f>
        <v>115585</v>
      </c>
      <c r="E67" s="234">
        <f>'gen-detail'!D25</f>
        <v>115360</v>
      </c>
    </row>
    <row r="68" spans="2:5" ht="15.75">
      <c r="B68" s="274" t="str">
        <f>'gen-detail'!A26</f>
        <v>County Building and Equipment</v>
      </c>
      <c r="C68" s="421">
        <f>'gen-detail'!B31</f>
        <v>30107</v>
      </c>
      <c r="D68" s="421">
        <f>'gen-detail'!C31</f>
        <v>175000</v>
      </c>
      <c r="E68" s="234">
        <f>'gen-detail'!D31</f>
        <v>175000</v>
      </c>
    </row>
    <row r="69" spans="2:5" ht="15.75">
      <c r="B69" s="274" t="str">
        <f>'gen-detail'!A32</f>
        <v>County Attorney/Counselor</v>
      </c>
      <c r="C69" s="421">
        <f>'gen-detail'!B37</f>
        <v>145408</v>
      </c>
      <c r="D69" s="421">
        <f>'gen-detail'!C37</f>
        <v>179650</v>
      </c>
      <c r="E69" s="234">
        <f>'gen-detail'!D37</f>
        <v>182050</v>
      </c>
    </row>
    <row r="70" spans="2:5" ht="15.75">
      <c r="B70" s="274" t="str">
        <f>'gen-detail'!A38</f>
        <v>Register of Deeds</v>
      </c>
      <c r="C70" s="421">
        <f>'gen-detail'!B43</f>
        <v>85557</v>
      </c>
      <c r="D70" s="421">
        <f>'gen-detail'!C43</f>
        <v>91408</v>
      </c>
      <c r="E70" s="234">
        <f>'gen-detail'!D43</f>
        <v>93208</v>
      </c>
    </row>
    <row r="71" spans="2:5" ht="15.75">
      <c r="B71" s="274" t="str">
        <f>'gen-detail'!A44</f>
        <v>Sheriff</v>
      </c>
      <c r="C71" s="421">
        <f>'gen-detail'!B49</f>
        <v>995729</v>
      </c>
      <c r="D71" s="421">
        <f>'gen-detail'!C49</f>
        <v>1068394</v>
      </c>
      <c r="E71" s="234">
        <f>'gen-detail'!D49</f>
        <v>1080394</v>
      </c>
    </row>
    <row r="72" spans="2:5" ht="15.75">
      <c r="B72" s="274" t="str">
        <f>'gen-detail'!A50</f>
        <v>District Court</v>
      </c>
      <c r="C72" s="421">
        <f>'gen-detail'!B55</f>
        <v>115347</v>
      </c>
      <c r="D72" s="421">
        <f>'gen-detail'!C55</f>
        <v>113427</v>
      </c>
      <c r="E72" s="234">
        <f>'gen-detail'!D55</f>
        <v>120500</v>
      </c>
    </row>
    <row r="73" spans="2:5" ht="15.75">
      <c r="B73" s="274" t="str">
        <f>'gen-detail'!A67</f>
        <v>County General</v>
      </c>
      <c r="C73" s="421">
        <f>'gen-detail'!B72</f>
        <v>87300</v>
      </c>
      <c r="D73" s="421">
        <f>'gen-detail'!C72</f>
        <v>540000</v>
      </c>
      <c r="E73" s="234">
        <f>'gen-detail'!D72</f>
        <v>540000</v>
      </c>
    </row>
    <row r="74" spans="2:5" ht="15.75">
      <c r="B74" s="274" t="str">
        <f>'gen-detail'!A73</f>
        <v>Emergency Management</v>
      </c>
      <c r="C74" s="421">
        <f>'gen-detail'!B78</f>
        <v>67339</v>
      </c>
      <c r="D74" s="421">
        <f>'gen-detail'!C78</f>
        <v>88556</v>
      </c>
      <c r="E74" s="234">
        <f>'gen-detail'!D78</f>
        <v>91756</v>
      </c>
    </row>
    <row r="75" spans="2:5" ht="15.75">
      <c r="B75" s="274" t="str">
        <f>'gen-detail'!A79</f>
        <v>District Coroner</v>
      </c>
      <c r="C75" s="421">
        <f>'gen-detail'!B84</f>
        <v>14370</v>
      </c>
      <c r="D75" s="421">
        <f>'gen-detail'!C84</f>
        <v>26000</v>
      </c>
      <c r="E75" s="234">
        <f>'gen-detail'!D84</f>
        <v>26000</v>
      </c>
    </row>
    <row r="76" spans="2:5" ht="15.75">
      <c r="B76" s="274" t="str">
        <f>'gen-detail'!A85</f>
        <v>Janitor</v>
      </c>
      <c r="C76" s="421">
        <f>'gen-detail'!B90</f>
        <v>34086</v>
      </c>
      <c r="D76" s="421">
        <f>'gen-detail'!C90</f>
        <v>42570</v>
      </c>
      <c r="E76" s="234">
        <f>'gen-detail'!D90</f>
        <v>43770</v>
      </c>
    </row>
    <row r="77" spans="2:5" ht="15.75">
      <c r="B77" s="274" t="str">
        <f>'gen-detail'!A91</f>
        <v>Computer</v>
      </c>
      <c r="C77" s="421">
        <f>'gen-detail'!B96</f>
        <v>49404</v>
      </c>
      <c r="D77" s="421">
        <f>'gen-detail'!C96</f>
        <v>50000</v>
      </c>
      <c r="E77" s="234">
        <f>'gen-detail'!D96</f>
        <v>55000</v>
      </c>
    </row>
    <row r="78" spans="2:5" ht="15.75">
      <c r="B78" s="274" t="str">
        <f>'gen-detail'!A97</f>
        <v>Juvenile Dentention </v>
      </c>
      <c r="C78" s="421">
        <f>'gen-detail'!B102</f>
        <v>13297</v>
      </c>
      <c r="D78" s="421">
        <f>'gen-detail'!C102</f>
        <v>30000</v>
      </c>
      <c r="E78" s="234">
        <f>'gen-detail'!D102</f>
        <v>30000</v>
      </c>
    </row>
    <row r="79" spans="2:5" ht="15.75">
      <c r="B79" s="274" t="str">
        <f>'gen-detail'!A103</f>
        <v>Appropriations</v>
      </c>
      <c r="C79" s="421">
        <f>'gen-detail'!B108</f>
        <v>30250</v>
      </c>
      <c r="D79" s="421">
        <f>'gen-detail'!C108</f>
        <v>29434</v>
      </c>
      <c r="E79" s="234">
        <f>'gen-detail'!D108</f>
        <v>31934</v>
      </c>
    </row>
    <row r="80" spans="2:5" ht="15.75">
      <c r="B80" s="274" t="str">
        <f>'gen-detail'!A109</f>
        <v>Appropriations cont….</v>
      </c>
      <c r="C80" s="421">
        <f>'gen-detail'!B114</f>
        <v>84595</v>
      </c>
      <c r="D80" s="421">
        <f>'gen-detail'!C114</f>
        <v>30000</v>
      </c>
      <c r="E80" s="234">
        <f>'gen-detail'!D114</f>
        <v>5000</v>
      </c>
    </row>
    <row r="81" spans="2:5" ht="15.75">
      <c r="B81" s="274">
        <f>'gen-detail'!A125</f>
        <v>0</v>
      </c>
      <c r="C81" s="421">
        <f>'gen-detail'!B132</f>
        <v>0</v>
      </c>
      <c r="D81" s="421">
        <f>'gen-detail'!C132</f>
        <v>0</v>
      </c>
      <c r="E81" s="234">
        <f>'gen-detail'!D132</f>
        <v>0</v>
      </c>
    </row>
    <row r="82" spans="2:5" ht="15.75">
      <c r="B82" s="274">
        <f>'gen-detail'!A133</f>
        <v>0</v>
      </c>
      <c r="C82" s="421">
        <f>'gen-detail'!B138</f>
        <v>0</v>
      </c>
      <c r="D82" s="421">
        <f>'gen-detail'!C138</f>
        <v>0</v>
      </c>
      <c r="E82" s="234">
        <f>'gen-detail'!D138</f>
        <v>0</v>
      </c>
    </row>
    <row r="83" spans="2:5" ht="15.75">
      <c r="B83" s="274">
        <f>'gen-detail'!A139</f>
        <v>0</v>
      </c>
      <c r="C83" s="421">
        <f>'gen-detail'!B144</f>
        <v>0</v>
      </c>
      <c r="D83" s="421">
        <f>'gen-detail'!C144</f>
        <v>0</v>
      </c>
      <c r="E83" s="234">
        <f>'gen-detail'!D144</f>
        <v>0</v>
      </c>
    </row>
    <row r="84" spans="2:5" ht="15.75">
      <c r="B84" s="274">
        <f>'gen-detail'!A145</f>
        <v>0</v>
      </c>
      <c r="C84" s="421">
        <f>'gen-detail'!B150</f>
        <v>0</v>
      </c>
      <c r="D84" s="421">
        <f>'gen-detail'!C150</f>
        <v>0</v>
      </c>
      <c r="E84" s="234">
        <f>'gen-detail'!D150</f>
        <v>0</v>
      </c>
    </row>
    <row r="85" spans="2:5" ht="15.75">
      <c r="B85" s="274">
        <f>'gen-detail'!A151</f>
        <v>0</v>
      </c>
      <c r="C85" s="421">
        <f>'gen-detail'!B156</f>
        <v>0</v>
      </c>
      <c r="D85" s="421">
        <f>'gen-detail'!C156</f>
        <v>0</v>
      </c>
      <c r="E85" s="234">
        <f>'gen-detail'!D156</f>
        <v>0</v>
      </c>
    </row>
    <row r="86" spans="2:5" ht="15.75">
      <c r="B86" s="274">
        <f>'gen-detail'!A157</f>
        <v>0</v>
      </c>
      <c r="C86" s="421">
        <f>'gen-detail'!B162</f>
        <v>0</v>
      </c>
      <c r="D86" s="421">
        <f>'gen-detail'!C162</f>
        <v>0</v>
      </c>
      <c r="E86" s="234">
        <f>'gen-detail'!D162</f>
        <v>0</v>
      </c>
    </row>
    <row r="87" spans="2:5" ht="15.75">
      <c r="B87" s="274">
        <f>'gen-detail'!A163</f>
        <v>0</v>
      </c>
      <c r="C87" s="421">
        <f>'gen-detail'!B168</f>
        <v>0</v>
      </c>
      <c r="D87" s="421">
        <f>'gen-detail'!C168</f>
        <v>0</v>
      </c>
      <c r="E87" s="234">
        <f>'gen-detail'!D168</f>
        <v>0</v>
      </c>
    </row>
    <row r="88" spans="2:5" ht="15.75">
      <c r="B88" s="274">
        <f>'gen-detail'!A169</f>
        <v>0</v>
      </c>
      <c r="C88" s="421">
        <f>'gen-detail'!B174</f>
        <v>0</v>
      </c>
      <c r="D88" s="421">
        <f>'gen-detail'!C174</f>
        <v>0</v>
      </c>
      <c r="E88" s="234">
        <f>'gen-detail'!D174</f>
        <v>0</v>
      </c>
    </row>
    <row r="89" spans="2:5" ht="15.75">
      <c r="B89" s="274">
        <f>'gen-detail'!A185</f>
        <v>0</v>
      </c>
      <c r="C89" s="421">
        <f>'gen-detail'!B190</f>
        <v>0</v>
      </c>
      <c r="D89" s="421">
        <f>'gen-detail'!C190</f>
        <v>0</v>
      </c>
      <c r="E89" s="234">
        <f>'gen-detail'!D190</f>
        <v>0</v>
      </c>
    </row>
    <row r="90" spans="2:5" ht="15.75">
      <c r="B90" s="274">
        <f>'gen-detail'!A191</f>
        <v>0</v>
      </c>
      <c r="C90" s="421">
        <f>'gen-detail'!B196</f>
        <v>0</v>
      </c>
      <c r="D90" s="421">
        <f>'gen-detail'!C196</f>
        <v>0</v>
      </c>
      <c r="E90" s="234">
        <f>'gen-detail'!D196</f>
        <v>0</v>
      </c>
    </row>
    <row r="91" spans="2:5" ht="15.75">
      <c r="B91" s="274">
        <f>'gen-detail'!A197</f>
        <v>0</v>
      </c>
      <c r="C91" s="421">
        <f>'gen-detail'!B202</f>
        <v>0</v>
      </c>
      <c r="D91" s="421">
        <f>'gen-detail'!C202</f>
        <v>0</v>
      </c>
      <c r="E91" s="234">
        <f>'gen-detail'!D202</f>
        <v>0</v>
      </c>
    </row>
    <row r="92" spans="2:5" ht="15.75">
      <c r="B92" s="274">
        <f>'gen-detail'!A203</f>
        <v>0</v>
      </c>
      <c r="C92" s="421">
        <f>'gen-detail'!B208</f>
        <v>0</v>
      </c>
      <c r="D92" s="421">
        <f>'gen-detail'!C208</f>
        <v>0</v>
      </c>
      <c r="E92" s="234">
        <f>'gen-detail'!D208</f>
        <v>0</v>
      </c>
    </row>
    <row r="93" spans="2:5" ht="15.75">
      <c r="B93" s="274">
        <f>'gen-detail'!A209</f>
        <v>0</v>
      </c>
      <c r="C93" s="421">
        <f>'gen-detail'!B214</f>
        <v>0</v>
      </c>
      <c r="D93" s="421">
        <f>'gen-detail'!C214</f>
        <v>0</v>
      </c>
      <c r="E93" s="234">
        <f>'gen-detail'!D214</f>
        <v>0</v>
      </c>
    </row>
    <row r="94" spans="2:5" ht="15.75">
      <c r="B94" s="274">
        <f>'gen-detail'!A215</f>
        <v>0</v>
      </c>
      <c r="C94" s="421">
        <f>'gen-detail'!B220</f>
        <v>0</v>
      </c>
      <c r="D94" s="421">
        <f>'gen-detail'!C220</f>
        <v>0</v>
      </c>
      <c r="E94" s="234">
        <f>'gen-detail'!D220</f>
        <v>0</v>
      </c>
    </row>
    <row r="95" spans="2:5" ht="15.75">
      <c r="B95" s="274">
        <f>'gen-detail'!A221</f>
        <v>0</v>
      </c>
      <c r="C95" s="421">
        <f>'gen-detail'!B222</f>
        <v>0</v>
      </c>
      <c r="D95" s="421">
        <f>'gen-detail'!C222</f>
        <v>0</v>
      </c>
      <c r="E95" s="234">
        <f>'gen-detail'!D222</f>
        <v>0</v>
      </c>
    </row>
    <row r="96" spans="2:5" ht="15.75">
      <c r="B96" s="274">
        <f>'gen-detail'!A224</f>
        <v>0</v>
      </c>
      <c r="C96" s="421">
        <f>'gen-detail'!B229</f>
        <v>0</v>
      </c>
      <c r="D96" s="421">
        <f>'gen-detail'!C229</f>
        <v>0</v>
      </c>
      <c r="E96" s="234">
        <f>'gen-detail'!D229</f>
        <v>0</v>
      </c>
    </row>
    <row r="97" spans="2:5" ht="15.75">
      <c r="B97" s="274">
        <f>'gen-detail'!A230</f>
        <v>0</v>
      </c>
      <c r="C97" s="421">
        <f>'gen-detail'!B235</f>
        <v>0</v>
      </c>
      <c r="D97" s="421">
        <f>'gen-detail'!C235</f>
        <v>0</v>
      </c>
      <c r="E97" s="234">
        <f>'gen-detail'!D235</f>
        <v>0</v>
      </c>
    </row>
    <row r="98" spans="2:5" ht="15.75">
      <c r="B98" s="274">
        <f>'gen-detail'!A246</f>
        <v>0</v>
      </c>
      <c r="C98" s="421">
        <f>'gen-detail'!B251</f>
        <v>0</v>
      </c>
      <c r="D98" s="421">
        <f>'gen-detail'!C251</f>
        <v>0</v>
      </c>
      <c r="E98" s="234">
        <f>'gen-detail'!D251</f>
        <v>0</v>
      </c>
    </row>
    <row r="99" spans="2:5" ht="15.75">
      <c r="B99" s="274">
        <f>'gen-detail'!A252</f>
        <v>0</v>
      </c>
      <c r="C99" s="421">
        <f>'gen-detail'!B257</f>
        <v>0</v>
      </c>
      <c r="D99" s="421">
        <f>'gen-detail'!C257</f>
        <v>0</v>
      </c>
      <c r="E99" s="234">
        <f>'gen-detail'!D257</f>
        <v>0</v>
      </c>
    </row>
    <row r="100" spans="2:5" ht="15.75">
      <c r="B100" s="274">
        <f>'gen-detail'!A258</f>
        <v>0</v>
      </c>
      <c r="C100" s="421">
        <f>'gen-detail'!B263</f>
        <v>0</v>
      </c>
      <c r="D100" s="421">
        <f>'gen-detail'!C263</f>
        <v>0</v>
      </c>
      <c r="E100" s="234">
        <f>'gen-detail'!D263</f>
        <v>0</v>
      </c>
    </row>
    <row r="101" spans="2:5" ht="15.75">
      <c r="B101" s="274">
        <f>'gen-detail'!A264</f>
        <v>0</v>
      </c>
      <c r="C101" s="421">
        <f>'gen-detail'!B269</f>
        <v>0</v>
      </c>
      <c r="D101" s="421">
        <f>'gen-detail'!C269</f>
        <v>0</v>
      </c>
      <c r="E101" s="234">
        <f>'gen-detail'!D269</f>
        <v>0</v>
      </c>
    </row>
    <row r="102" spans="2:5" ht="15.75">
      <c r="B102" s="274">
        <f>'gen-detail'!A270</f>
        <v>0</v>
      </c>
      <c r="C102" s="421">
        <f>'gen-detail'!B273</f>
        <v>0</v>
      </c>
      <c r="D102" s="421">
        <f>'gen-detail'!C273</f>
        <v>0</v>
      </c>
      <c r="E102" s="234">
        <f>'gen-detail'!D273</f>
        <v>0</v>
      </c>
    </row>
    <row r="103" spans="2:5" ht="15.75">
      <c r="B103" s="274">
        <f>'gen-detail'!A274</f>
        <v>0</v>
      </c>
      <c r="C103" s="421">
        <f>'gen-detail'!B279</f>
        <v>0</v>
      </c>
      <c r="D103" s="421">
        <f>'gen-detail'!C279</f>
        <v>0</v>
      </c>
      <c r="E103" s="234">
        <f>'gen-detail'!D279</f>
        <v>0</v>
      </c>
    </row>
    <row r="104" spans="2:5" ht="15.75">
      <c r="B104" s="274">
        <f>'gen-detail'!A280</f>
        <v>0</v>
      </c>
      <c r="C104" s="421">
        <f>'gen-detail'!B285</f>
        <v>0</v>
      </c>
      <c r="D104" s="421">
        <f>'gen-detail'!C285</f>
        <v>0</v>
      </c>
      <c r="E104" s="234">
        <f>'gen-detail'!D285</f>
        <v>0</v>
      </c>
    </row>
    <row r="105" spans="2:5" ht="15.75">
      <c r="B105" s="285" t="s">
        <v>30</v>
      </c>
      <c r="C105" s="448">
        <f>SUM(C65:C104)</f>
        <v>2085816</v>
      </c>
      <c r="D105" s="448">
        <f>SUM(D65:D104)</f>
        <v>2827321</v>
      </c>
      <c r="E105" s="317">
        <f>SUM(E65:E104)</f>
        <v>2858219</v>
      </c>
    </row>
    <row r="106" spans="2:5" ht="15.75">
      <c r="B106" s="287"/>
      <c r="C106" s="417"/>
      <c r="D106" s="417"/>
      <c r="E106" s="87"/>
    </row>
    <row r="107" spans="2:10" ht="15.75">
      <c r="B107" s="287"/>
      <c r="C107" s="417"/>
      <c r="D107" s="417"/>
      <c r="E107" s="87"/>
      <c r="G107" s="832" t="str">
        <f>CONCATENATE("Desired Carryover Into ",E1+1,"")</f>
        <v>Desired Carryover Into 2016</v>
      </c>
      <c r="H107" s="833"/>
      <c r="I107" s="833"/>
      <c r="J107" s="804"/>
    </row>
    <row r="108" spans="2:10" ht="15.75">
      <c r="B108" s="287"/>
      <c r="C108" s="417"/>
      <c r="D108" s="417"/>
      <c r="E108" s="87"/>
      <c r="G108" s="613"/>
      <c r="H108" s="614"/>
      <c r="I108" s="615"/>
      <c r="J108" s="616"/>
    </row>
    <row r="109" spans="2:10" ht="15.75">
      <c r="B109" s="287"/>
      <c r="C109" s="417"/>
      <c r="D109" s="417"/>
      <c r="E109" s="87"/>
      <c r="G109" s="617" t="s">
        <v>660</v>
      </c>
      <c r="H109" s="615"/>
      <c r="I109" s="615"/>
      <c r="J109" s="618">
        <v>0</v>
      </c>
    </row>
    <row r="110" spans="2:10" ht="15.75">
      <c r="B110" s="287"/>
      <c r="C110" s="417"/>
      <c r="D110" s="417"/>
      <c r="E110" s="87"/>
      <c r="G110" s="613" t="s">
        <v>661</v>
      </c>
      <c r="H110" s="614"/>
      <c r="I110" s="614"/>
      <c r="J110" s="619">
        <f>IF(J109=0,"",ROUND((J109+E122-G122)/inputOth!E6*1000,3)-G127)</f>
      </c>
    </row>
    <row r="111" spans="2:10" ht="15.75">
      <c r="B111" s="287"/>
      <c r="C111" s="417"/>
      <c r="D111" s="417"/>
      <c r="E111" s="87"/>
      <c r="G111" s="620" t="str">
        <f>CONCATENATE("",E1," Tot Exp/Non-Appr Must Be:")</f>
        <v>2015 Tot Exp/Non-Appr Must Be:</v>
      </c>
      <c r="H111" s="621"/>
      <c r="I111" s="622"/>
      <c r="J111" s="623">
        <f>IF(J109&gt;0,IF(E119&lt;E55,IF(J109=G122,E119,((J109-G122)*(1-D121))+E55),E119+(J109-G122)),0)</f>
        <v>0</v>
      </c>
    </row>
    <row r="112" spans="2:10" ht="15.75">
      <c r="B112" s="278" t="s">
        <v>74</v>
      </c>
      <c r="C112" s="417"/>
      <c r="D112" s="417">
        <v>34141</v>
      </c>
      <c r="E112" s="95">
        <f>Nhood!$E6</f>
        <v>25457</v>
      </c>
      <c r="G112" s="624" t="s">
        <v>810</v>
      </c>
      <c r="H112" s="625"/>
      <c r="I112" s="625"/>
      <c r="J112" s="626">
        <f>IF(J109&gt;0,J111-E119,0)</f>
        <v>0</v>
      </c>
    </row>
    <row r="113" spans="2:5" ht="15.75">
      <c r="B113" s="278" t="s">
        <v>72</v>
      </c>
      <c r="C113" s="417"/>
      <c r="D113" s="417"/>
      <c r="E113" s="87"/>
    </row>
    <row r="114" spans="2:10" ht="15.75">
      <c r="B114" s="278" t="s">
        <v>653</v>
      </c>
      <c r="C114" s="418">
        <f>IF(C115*0.1&lt;C113,"Exceed 10% Rule","")</f>
      </c>
      <c r="D114" s="418">
        <f>IF(D115*0.1&lt;D113,"Exceed 10% Rule","")</f>
      </c>
      <c r="E114" s="313">
        <f>IF(E115*0.1&lt;E113,"Exceed 10% Rule","")</f>
      </c>
      <c r="G114" s="826" t="str">
        <f>CONCATENATE("Projected Carryover Into ",E1+1,"")</f>
        <v>Projected Carryover Into 2016</v>
      </c>
      <c r="H114" s="827"/>
      <c r="I114" s="827"/>
      <c r="J114" s="828"/>
    </row>
    <row r="115" spans="2:10" ht="15.75">
      <c r="B115" s="280" t="s">
        <v>171</v>
      </c>
      <c r="C115" s="419">
        <f>SUM(C105:C113)</f>
        <v>2085816</v>
      </c>
      <c r="D115" s="419">
        <f>SUM(D105:D113)</f>
        <v>2861462</v>
      </c>
      <c r="E115" s="321">
        <f>SUM(E105:E113)</f>
        <v>2883676</v>
      </c>
      <c r="G115" s="480"/>
      <c r="H115" s="479"/>
      <c r="I115" s="479"/>
      <c r="J115" s="481"/>
    </row>
    <row r="116" spans="2:10" ht="15.75">
      <c r="B116" s="123" t="s">
        <v>273</v>
      </c>
      <c r="C116" s="422">
        <f>C55-C115</f>
        <v>1547412</v>
      </c>
      <c r="D116" s="422">
        <f>D55-D115</f>
        <v>887213</v>
      </c>
      <c r="E116" s="194" t="s">
        <v>145</v>
      </c>
      <c r="G116" s="466">
        <f>D116</f>
        <v>887213</v>
      </c>
      <c r="H116" s="464" t="str">
        <f>CONCATENATE("",E1-1," Ending Cash Balance (est.)")</f>
        <v>2014 Ending Cash Balance (est.)</v>
      </c>
      <c r="I116" s="463"/>
      <c r="J116" s="481"/>
    </row>
    <row r="117" spans="2:10" ht="15.75">
      <c r="B117" s="270" t="str">
        <f>CONCATENATE("",E1-2,"/",E1-1,"/",E1," Budget Authority Amount:")</f>
        <v>2013/2014/2015 Budget Authority Amount:</v>
      </c>
      <c r="C117" s="308">
        <f>inputOth!$B30</f>
        <v>2776801</v>
      </c>
      <c r="D117" s="308">
        <f>inputPrYr!$D16</f>
        <v>2861462</v>
      </c>
      <c r="E117" s="234">
        <f>E115</f>
        <v>2883676</v>
      </c>
      <c r="F117" s="289"/>
      <c r="G117" s="466">
        <f>E54</f>
        <v>354733</v>
      </c>
      <c r="H117" s="462" t="str">
        <f>CONCATENATE("",E1," Non-AV Receipts (est.)")</f>
        <v>2015 Non-AV Receipts (est.)</v>
      </c>
      <c r="I117" s="463"/>
      <c r="J117" s="481"/>
    </row>
    <row r="118" spans="2:11" ht="15.75">
      <c r="B118" s="256"/>
      <c r="C118" s="822" t="s">
        <v>657</v>
      </c>
      <c r="D118" s="823"/>
      <c r="E118" s="87"/>
      <c r="F118" s="465">
        <f>IF(E115/0.95-E115&lt;E118,"Exceeds 5%","")</f>
      </c>
      <c r="G118" s="461">
        <f>IF(E121&gt;0,E120,E122)</f>
        <v>1641730</v>
      </c>
      <c r="H118" s="462" t="str">
        <f>CONCATENATE("",E1," Ad Valorem Tax (est.)")</f>
        <v>2015 Ad Valorem Tax (est.)</v>
      </c>
      <c r="I118" s="463"/>
      <c r="J118" s="481"/>
      <c r="K118" s="629">
        <f>IF(G118=E122,"","Note: Does not include Delinquent Taxes")</f>
      </c>
    </row>
    <row r="119" spans="2:10" ht="15.75">
      <c r="B119" s="469" t="str">
        <f>CONCATENATE(C134,"     ",D134)</f>
        <v>     </v>
      </c>
      <c r="C119" s="824" t="s">
        <v>658</v>
      </c>
      <c r="D119" s="825"/>
      <c r="E119" s="234">
        <f>E115+E118</f>
        <v>2883676</v>
      </c>
      <c r="G119" s="466">
        <f>SUM(G116:G118)</f>
        <v>2883676</v>
      </c>
      <c r="H119" s="462" t="str">
        <f>CONCATENATE("Total ",E1," Resources Available")</f>
        <v>Total 2015 Resources Available</v>
      </c>
      <c r="I119" s="463"/>
      <c r="J119" s="481"/>
    </row>
    <row r="120" spans="2:10" ht="15.75">
      <c r="B120" s="469" t="str">
        <f>CONCATENATE(C135,"     ",D135)</f>
        <v>     </v>
      </c>
      <c r="C120" s="290"/>
      <c r="D120" s="208" t="s">
        <v>172</v>
      </c>
      <c r="E120" s="95">
        <f>IF(E119-E55&gt;0,E119-E55,0)</f>
        <v>1641730</v>
      </c>
      <c r="G120" s="460"/>
      <c r="H120" s="462"/>
      <c r="I120" s="462"/>
      <c r="J120" s="481"/>
    </row>
    <row r="121" spans="2:10" ht="15.75">
      <c r="B121" s="256"/>
      <c r="C121" s="467" t="s">
        <v>659</v>
      </c>
      <c r="D121" s="612">
        <f>inputOth!$E$23</f>
        <v>0</v>
      </c>
      <c r="E121" s="234">
        <f>IF(D121&gt;0,(E120*D121),0)</f>
        <v>0</v>
      </c>
      <c r="G121" s="461">
        <f>C115*0.05+C115</f>
        <v>2190106.8</v>
      </c>
      <c r="H121" s="462" t="str">
        <f>CONCATENATE("Less ",E1-2," Expenditures + 5%")</f>
        <v>Less 2013 Expenditures + 5%</v>
      </c>
      <c r="I121" s="463"/>
      <c r="J121" s="481"/>
    </row>
    <row r="122" spans="2:10" ht="15.75">
      <c r="B122" s="62"/>
      <c r="C122" s="830" t="str">
        <f>CONCATENATE("Amount of  ",$E$1-1," Ad Valorem Tax")</f>
        <v>Amount of  2014 Ad Valorem Tax</v>
      </c>
      <c r="D122" s="831"/>
      <c r="E122" s="317">
        <f>E120+E121</f>
        <v>1641730</v>
      </c>
      <c r="G122" s="459">
        <f>G119-G121</f>
        <v>693569.2000000002</v>
      </c>
      <c r="H122" s="458" t="str">
        <f>CONCATENATE("Projected ",E1," Carryover (est.)")</f>
        <v>Projected 2015 Carryover (est.)</v>
      </c>
      <c r="I122" s="439"/>
      <c r="J122" s="438"/>
    </row>
    <row r="123" spans="2:10" ht="15.75">
      <c r="B123" s="62"/>
      <c r="C123" s="62"/>
      <c r="D123" s="62"/>
      <c r="E123" s="62"/>
      <c r="G123" s="476"/>
      <c r="H123" s="476"/>
      <c r="I123" s="476"/>
      <c r="J123" s="476"/>
    </row>
    <row r="124" spans="2:10" ht="15.75">
      <c r="B124" s="829" t="s">
        <v>283</v>
      </c>
      <c r="C124" s="829"/>
      <c r="D124" s="829"/>
      <c r="E124" s="829"/>
      <c r="G124" s="834" t="s">
        <v>811</v>
      </c>
      <c r="H124" s="835"/>
      <c r="I124" s="835"/>
      <c r="J124" s="836"/>
    </row>
    <row r="125" spans="7:10" ht="15.75">
      <c r="G125" s="631"/>
      <c r="H125" s="632"/>
      <c r="I125" s="633"/>
      <c r="J125" s="634"/>
    </row>
    <row r="126" spans="7:10" ht="15.75">
      <c r="G126" s="635">
        <f>summ!H16</f>
        <v>12.624</v>
      </c>
      <c r="H126" s="632" t="str">
        <f>CONCATENATE("",E1," Fund Mill Rate")</f>
        <v>2015 Fund Mill Rate</v>
      </c>
      <c r="I126" s="633"/>
      <c r="J126" s="634"/>
    </row>
    <row r="127" spans="7:10" ht="15.75">
      <c r="G127" s="636">
        <f>summ!E16</f>
        <v>14.841</v>
      </c>
      <c r="H127" s="632" t="str">
        <f>CONCATENATE("",E1-1," Fund Mill Rate")</f>
        <v>2014 Fund Mill Rate</v>
      </c>
      <c r="I127" s="633"/>
      <c r="J127" s="634"/>
    </row>
    <row r="128" spans="7:10" ht="15.75">
      <c r="G128" s="637">
        <f>summ!H61</f>
        <v>51.98700000000003</v>
      </c>
      <c r="H128" s="632" t="str">
        <f>CONCATENATE("Total ",E1," Mill Rate")</f>
        <v>Total 2015 Mill Rate</v>
      </c>
      <c r="I128" s="633"/>
      <c r="J128" s="634"/>
    </row>
    <row r="129" spans="7:10" ht="15.75">
      <c r="G129" s="636">
        <f>summ!E61</f>
        <v>51.56499999999999</v>
      </c>
      <c r="H129" s="638" t="str">
        <f>CONCATENATE("Total ",E1-1," Mill Rate")</f>
        <v>Total 2014 Mill Rate</v>
      </c>
      <c r="I129" s="639"/>
      <c r="J129" s="640"/>
    </row>
    <row r="130" spans="7:10" ht="15.75">
      <c r="G130" s="673"/>
      <c r="H130" s="482"/>
      <c r="I130" s="671"/>
      <c r="J130" s="672"/>
    </row>
    <row r="131" spans="7:9" ht="15.75">
      <c r="G131" s="723" t="s">
        <v>886</v>
      </c>
      <c r="H131" s="692"/>
      <c r="I131" s="691" t="str">
        <f>cert!E69</f>
        <v>Yes</v>
      </c>
    </row>
    <row r="134" spans="3:4" ht="15.75" hidden="1">
      <c r="C134" s="50">
        <f>IF(C115&gt;C117,"See Tab A","")</f>
      </c>
      <c r="D134" s="50">
        <f>IF(D115&gt;D117,"See Tab C","")</f>
      </c>
    </row>
    <row r="135" spans="3:4" ht="15.75" hidden="1">
      <c r="C135" s="50">
        <f>IF(C116&lt;0,"See Tab B","")</f>
      </c>
      <c r="D135" s="50">
        <f>IF(D116&lt;0,"See Tab D","")</f>
      </c>
    </row>
  </sheetData>
  <sheetProtection sheet="1"/>
  <mergeCells count="8">
    <mergeCell ref="C118:D118"/>
    <mergeCell ref="C119:D119"/>
    <mergeCell ref="G114:J114"/>
    <mergeCell ref="B57:E57"/>
    <mergeCell ref="B124:E124"/>
    <mergeCell ref="C122:D122"/>
    <mergeCell ref="G107:J107"/>
    <mergeCell ref="G124:J124"/>
  </mergeCells>
  <conditionalFormatting sqref="E113">
    <cfRule type="cellIs" priority="2" dxfId="408" operator="greaterThan" stopIfTrue="1">
      <formula>$E$115*0.1</formula>
    </cfRule>
  </conditionalFormatting>
  <conditionalFormatting sqref="E118">
    <cfRule type="cellIs" priority="3" dxfId="408" operator="greaterThan" stopIfTrue="1">
      <formula>$E$115/0.95-$E$115</formula>
    </cfRule>
  </conditionalFormatting>
  <conditionalFormatting sqref="D113">
    <cfRule type="cellIs" priority="4" dxfId="2" operator="greaterThan" stopIfTrue="1">
      <formula>$D$115*0.1</formula>
    </cfRule>
  </conditionalFormatting>
  <conditionalFormatting sqref="C113">
    <cfRule type="cellIs" priority="5" dxfId="2" operator="greaterThan" stopIfTrue="1">
      <formula>$C$115*0.1</formula>
    </cfRule>
  </conditionalFormatting>
  <conditionalFormatting sqref="C116">
    <cfRule type="cellIs" priority="6" dxfId="2" operator="lessThan" stopIfTrue="1">
      <formula>0</formula>
    </cfRule>
  </conditionalFormatting>
  <conditionalFormatting sqref="D115">
    <cfRule type="cellIs" priority="7" dxfId="2" operator="greaterThan" stopIfTrue="1">
      <formula>$D$117</formula>
    </cfRule>
  </conditionalFormatting>
  <conditionalFormatting sqref="C115">
    <cfRule type="cellIs" priority="8" dxfId="2" operator="greaterThan" stopIfTrue="1">
      <formula>$C$117</formula>
    </cfRule>
  </conditionalFormatting>
  <conditionalFormatting sqref="D52">
    <cfRule type="cellIs" priority="9" dxfId="2" operator="greaterThan" stopIfTrue="1">
      <formula>$D$54*0.1</formula>
    </cfRule>
  </conditionalFormatting>
  <conditionalFormatting sqref="C52">
    <cfRule type="cellIs" priority="10" dxfId="2" operator="greaterThan" stopIfTrue="1">
      <formula>$C$54*0.1</formula>
    </cfRule>
  </conditionalFormatting>
  <conditionalFormatting sqref="E52">
    <cfRule type="cellIs" priority="11" dxfId="408" operator="greaterThan" stopIfTrue="1">
      <formula>$E$54*0.1+E122</formula>
    </cfRule>
  </conditionalFormatting>
  <conditionalFormatting sqref="D116">
    <cfRule type="cellIs" priority="1" dxfId="0" operator="lessThan" stopIfTrue="1">
      <formula>0</formula>
    </cfRule>
  </conditionalFormatting>
  <printOptions/>
  <pageMargins left="1" right="0.5" top="0.81" bottom="0.36" header="0.5" footer="0"/>
  <pageSetup blackAndWhite="1" fitToHeight="2" horizontalDpi="120" verticalDpi="120" orientation="portrait" scale="65" r:id="rId1"/>
  <headerFooter alignWithMargins="0">
    <oddHeader>&amp;RState of Kansas
County
</oddHeader>
  </headerFooter>
  <rowBreaks count="1" manualBreakCount="1">
    <brk id="57" max="255" man="1"/>
  </rowBreaks>
  <colBreaks count="1" manualBreakCount="1">
    <brk id="5" max="65535" man="1"/>
  </colBreaks>
</worksheet>
</file>

<file path=xl/worksheets/sheet14.xml><?xml version="1.0" encoding="utf-8"?>
<worksheet xmlns="http://schemas.openxmlformats.org/spreadsheetml/2006/main" xmlns:r="http://schemas.openxmlformats.org/officeDocument/2006/relationships">
  <dimension ref="A1:D402"/>
  <sheetViews>
    <sheetView zoomScalePageLayoutView="0" workbookViewId="0" topLeftCell="A100">
      <selection activeCell="D93" sqref="D93"/>
    </sheetView>
  </sheetViews>
  <sheetFormatPr defaultColWidth="8.796875" defaultRowHeight="15"/>
  <cols>
    <col min="1" max="1" width="30.796875" style="50" customWidth="1"/>
    <col min="2" max="3" width="15.796875" style="50" customWidth="1"/>
    <col min="4" max="4" width="16.09765625" style="50" customWidth="1"/>
    <col min="5" max="16384" width="8.8984375" style="50" customWidth="1"/>
  </cols>
  <sheetData>
    <row r="1" spans="1:4" ht="15.75">
      <c r="A1" s="201" t="str">
        <f>inputPrYr!C2</f>
        <v>Marshall County</v>
      </c>
      <c r="B1" s="62"/>
      <c r="C1" s="270"/>
      <c r="D1" s="62">
        <f>inputPrYr!C4</f>
        <v>2015</v>
      </c>
    </row>
    <row r="2" spans="1:4" ht="15.75">
      <c r="A2" s="62"/>
      <c r="B2" s="62"/>
      <c r="C2" s="62"/>
      <c r="D2" s="270"/>
    </row>
    <row r="3" spans="1:4" ht="15.75">
      <c r="A3" s="127" t="s">
        <v>236</v>
      </c>
      <c r="B3" s="283"/>
      <c r="C3" s="283"/>
      <c r="D3" s="283"/>
    </row>
    <row r="4" spans="1:4" ht="15.75">
      <c r="A4" s="270" t="s">
        <v>157</v>
      </c>
      <c r="B4" s="666" t="s">
        <v>812</v>
      </c>
      <c r="C4" s="667" t="s">
        <v>813</v>
      </c>
      <c r="D4" s="188" t="s">
        <v>814</v>
      </c>
    </row>
    <row r="5" spans="1:4" ht="15.75">
      <c r="A5" s="444" t="s">
        <v>656</v>
      </c>
      <c r="B5" s="420" t="str">
        <f>CONCATENATE("Actual for ",D1-2,"")</f>
        <v>Actual for 2013</v>
      </c>
      <c r="C5" s="420" t="str">
        <f>CONCATENATE("Estimate for ",D1-1,"")</f>
        <v>Estimate for 2014</v>
      </c>
      <c r="D5" s="271" t="str">
        <f>CONCATENATE("Year for ",D1,"")</f>
        <v>Year for 2015</v>
      </c>
    </row>
    <row r="6" spans="1:4" ht="15.75">
      <c r="A6" s="231" t="s">
        <v>170</v>
      </c>
      <c r="B6" s="102"/>
      <c r="C6" s="102"/>
      <c r="D6" s="102"/>
    </row>
    <row r="7" spans="1:4" ht="15.75">
      <c r="A7" s="293" t="s">
        <v>1009</v>
      </c>
      <c r="B7" s="102"/>
      <c r="C7" s="102"/>
      <c r="D7" s="102"/>
    </row>
    <row r="8" spans="1:4" ht="15.75">
      <c r="A8" s="85" t="s">
        <v>175</v>
      </c>
      <c r="B8" s="275">
        <v>63952</v>
      </c>
      <c r="C8" s="275">
        <v>65850</v>
      </c>
      <c r="D8" s="275">
        <v>67650</v>
      </c>
    </row>
    <row r="9" spans="1:4" ht="15.75">
      <c r="A9" s="85" t="s">
        <v>176</v>
      </c>
      <c r="B9" s="275">
        <v>26029</v>
      </c>
      <c r="C9" s="275">
        <v>42500</v>
      </c>
      <c r="D9" s="275">
        <v>57500</v>
      </c>
    </row>
    <row r="10" spans="1:4" ht="15.75">
      <c r="A10" s="85" t="s">
        <v>177</v>
      </c>
      <c r="B10" s="275">
        <v>2696</v>
      </c>
      <c r="C10" s="275">
        <v>3300</v>
      </c>
      <c r="D10" s="275">
        <v>3300</v>
      </c>
    </row>
    <row r="11" spans="1:4" ht="15.75">
      <c r="A11" s="85" t="s">
        <v>178</v>
      </c>
      <c r="B11" s="275"/>
      <c r="C11" s="275">
        <v>250</v>
      </c>
      <c r="D11" s="275">
        <v>250</v>
      </c>
    </row>
    <row r="12" spans="1:4" ht="15.75">
      <c r="A12" s="262"/>
      <c r="B12" s="275"/>
      <c r="C12" s="275"/>
      <c r="D12" s="275"/>
    </row>
    <row r="13" spans="1:4" ht="15.75">
      <c r="A13" s="270" t="s">
        <v>129</v>
      </c>
      <c r="B13" s="294">
        <f>SUM(B8:B12)</f>
        <v>92677</v>
      </c>
      <c r="C13" s="294">
        <f>SUM(C8:C12)</f>
        <v>111900</v>
      </c>
      <c r="D13" s="294">
        <f>SUM(D8:D12)</f>
        <v>128700</v>
      </c>
    </row>
    <row r="14" spans="1:4" ht="15.75">
      <c r="A14" s="293" t="s">
        <v>1010</v>
      </c>
      <c r="B14" s="102"/>
      <c r="C14" s="102"/>
      <c r="D14" s="102"/>
    </row>
    <row r="15" spans="1:4" ht="15.75">
      <c r="A15" s="85" t="s">
        <v>175</v>
      </c>
      <c r="B15" s="275">
        <v>119289</v>
      </c>
      <c r="C15" s="275">
        <v>124647</v>
      </c>
      <c r="D15" s="275">
        <v>127047</v>
      </c>
    </row>
    <row r="16" spans="1:4" ht="15.75">
      <c r="A16" s="85" t="s">
        <v>176</v>
      </c>
      <c r="B16" s="275">
        <v>3426</v>
      </c>
      <c r="C16" s="275">
        <v>3250</v>
      </c>
      <c r="D16" s="275">
        <v>5000</v>
      </c>
    </row>
    <row r="17" spans="1:4" ht="15.75">
      <c r="A17" s="85" t="s">
        <v>177</v>
      </c>
      <c r="B17" s="275">
        <v>2052</v>
      </c>
      <c r="C17" s="275">
        <v>5000</v>
      </c>
      <c r="D17" s="275">
        <v>5000</v>
      </c>
    </row>
    <row r="18" spans="1:4" ht="15.75">
      <c r="A18" s="85" t="s">
        <v>178</v>
      </c>
      <c r="B18" s="275"/>
      <c r="C18" s="275">
        <v>2500</v>
      </c>
      <c r="D18" s="275">
        <v>2500</v>
      </c>
    </row>
    <row r="19" spans="1:4" ht="15.75">
      <c r="A19" s="270" t="s">
        <v>129</v>
      </c>
      <c r="B19" s="294">
        <f>SUM(B15:B18)</f>
        <v>124767</v>
      </c>
      <c r="C19" s="294">
        <f>SUM(C15:C18)</f>
        <v>135397</v>
      </c>
      <c r="D19" s="294">
        <f>SUM(D15:D18)</f>
        <v>139547</v>
      </c>
    </row>
    <row r="20" spans="1:4" ht="15.75">
      <c r="A20" s="293" t="s">
        <v>181</v>
      </c>
      <c r="B20" s="102"/>
      <c r="C20" s="102"/>
      <c r="D20" s="102"/>
    </row>
    <row r="21" spans="1:4" ht="15.75">
      <c r="A21" s="85" t="s">
        <v>175</v>
      </c>
      <c r="B21" s="275">
        <v>101651</v>
      </c>
      <c r="C21" s="275">
        <v>99085</v>
      </c>
      <c r="D21" s="275">
        <v>98560</v>
      </c>
    </row>
    <row r="22" spans="1:4" ht="15.75">
      <c r="A22" s="85" t="s">
        <v>176</v>
      </c>
      <c r="B22" s="275">
        <v>8835</v>
      </c>
      <c r="C22" s="275">
        <v>10500</v>
      </c>
      <c r="D22" s="275">
        <v>10800</v>
      </c>
    </row>
    <row r="23" spans="1:4" ht="15.75">
      <c r="A23" s="85" t="s">
        <v>177</v>
      </c>
      <c r="B23" s="275">
        <v>4538</v>
      </c>
      <c r="C23" s="275">
        <v>4000</v>
      </c>
      <c r="D23" s="275">
        <v>4000</v>
      </c>
    </row>
    <row r="24" spans="1:4" ht="15.75">
      <c r="A24" s="85" t="s">
        <v>178</v>
      </c>
      <c r="B24" s="275">
        <v>559</v>
      </c>
      <c r="C24" s="275">
        <v>2000</v>
      </c>
      <c r="D24" s="275">
        <v>2000</v>
      </c>
    </row>
    <row r="25" spans="1:4" ht="15.75">
      <c r="A25" s="270" t="s">
        <v>129</v>
      </c>
      <c r="B25" s="294">
        <f>SUM(B21:B24)</f>
        <v>115583</v>
      </c>
      <c r="C25" s="294">
        <f>SUM(C21:C24)</f>
        <v>115585</v>
      </c>
      <c r="D25" s="294">
        <f>SUM(D21:D24)</f>
        <v>115360</v>
      </c>
    </row>
    <row r="26" spans="1:4" ht="15.75">
      <c r="A26" s="293" t="s">
        <v>1011</v>
      </c>
      <c r="B26" s="102"/>
      <c r="C26" s="102"/>
      <c r="D26" s="102"/>
    </row>
    <row r="27" spans="1:4" ht="15.75">
      <c r="A27" s="85" t="s">
        <v>1030</v>
      </c>
      <c r="B27" s="275">
        <v>30107</v>
      </c>
      <c r="C27" s="275">
        <v>175000</v>
      </c>
      <c r="D27" s="275">
        <v>175000</v>
      </c>
    </row>
    <row r="28" spans="1:4" ht="15.75">
      <c r="A28" s="85"/>
      <c r="B28" s="275"/>
      <c r="C28" s="275"/>
      <c r="D28" s="275"/>
    </row>
    <row r="29" spans="1:4" ht="15.75">
      <c r="A29" s="85"/>
      <c r="B29" s="275"/>
      <c r="C29" s="275"/>
      <c r="D29" s="275"/>
    </row>
    <row r="30" spans="1:4" ht="15.75">
      <c r="A30" s="85"/>
      <c r="B30" s="275"/>
      <c r="C30" s="275"/>
      <c r="D30" s="275"/>
    </row>
    <row r="31" spans="1:4" ht="15.75">
      <c r="A31" s="270" t="s">
        <v>129</v>
      </c>
      <c r="B31" s="294">
        <f>SUM(B27:B30)</f>
        <v>30107</v>
      </c>
      <c r="C31" s="294">
        <f>SUM(C27:C30)</f>
        <v>175000</v>
      </c>
      <c r="D31" s="294">
        <f>SUM(D27:D30)</f>
        <v>175000</v>
      </c>
    </row>
    <row r="32" spans="1:4" ht="15.75">
      <c r="A32" s="293" t="s">
        <v>180</v>
      </c>
      <c r="B32" s="102"/>
      <c r="C32" s="102"/>
      <c r="D32" s="102"/>
    </row>
    <row r="33" spans="1:4" ht="15.75">
      <c r="A33" s="85" t="s">
        <v>175</v>
      </c>
      <c r="B33" s="275">
        <v>136208</v>
      </c>
      <c r="C33" s="275">
        <v>148450</v>
      </c>
      <c r="D33" s="275">
        <v>150850</v>
      </c>
    </row>
    <row r="34" spans="1:4" ht="15.75">
      <c r="A34" s="85" t="s">
        <v>176</v>
      </c>
      <c r="B34" s="275">
        <v>6495</v>
      </c>
      <c r="C34" s="275">
        <v>25200</v>
      </c>
      <c r="D34" s="275">
        <v>25200</v>
      </c>
    </row>
    <row r="35" spans="1:4" ht="15.75">
      <c r="A35" s="85" t="s">
        <v>177</v>
      </c>
      <c r="B35" s="275">
        <v>2705</v>
      </c>
      <c r="C35" s="275">
        <v>4500</v>
      </c>
      <c r="D35" s="275">
        <v>4500</v>
      </c>
    </row>
    <row r="36" spans="1:4" ht="15.75">
      <c r="A36" s="277" t="s">
        <v>178</v>
      </c>
      <c r="B36" s="275"/>
      <c r="C36" s="275">
        <v>1500</v>
      </c>
      <c r="D36" s="275">
        <v>1500</v>
      </c>
    </row>
    <row r="37" spans="1:4" ht="15.75">
      <c r="A37" s="270" t="s">
        <v>129</v>
      </c>
      <c r="B37" s="294">
        <f>SUM(B33:B36)</f>
        <v>145408</v>
      </c>
      <c r="C37" s="294">
        <f>SUM(C33:C36)</f>
        <v>179650</v>
      </c>
      <c r="D37" s="294">
        <f>SUM(D33:D36)</f>
        <v>182050</v>
      </c>
    </row>
    <row r="38" spans="1:4" ht="15.75">
      <c r="A38" s="293" t="s">
        <v>187</v>
      </c>
      <c r="B38" s="102"/>
      <c r="C38" s="102"/>
      <c r="D38" s="102"/>
    </row>
    <row r="39" spans="1:4" ht="15.75">
      <c r="A39" s="85" t="s">
        <v>175</v>
      </c>
      <c r="B39" s="275">
        <v>77737</v>
      </c>
      <c r="C39" s="275">
        <v>84013</v>
      </c>
      <c r="D39" s="275">
        <v>84368</v>
      </c>
    </row>
    <row r="40" spans="1:4" ht="15.75">
      <c r="A40" s="85" t="s">
        <v>176</v>
      </c>
      <c r="B40" s="275">
        <v>4563</v>
      </c>
      <c r="C40" s="275">
        <v>5025</v>
      </c>
      <c r="D40" s="275">
        <v>6470</v>
      </c>
    </row>
    <row r="41" spans="1:4" ht="15.75">
      <c r="A41" s="85" t="s">
        <v>177</v>
      </c>
      <c r="B41" s="275">
        <v>1592</v>
      </c>
      <c r="C41" s="275">
        <v>1170</v>
      </c>
      <c r="D41" s="275">
        <v>1170</v>
      </c>
    </row>
    <row r="42" spans="1:4" ht="15.75">
      <c r="A42" s="85" t="s">
        <v>178</v>
      </c>
      <c r="B42" s="275">
        <v>1665</v>
      </c>
      <c r="C42" s="275">
        <v>1200</v>
      </c>
      <c r="D42" s="275">
        <v>1200</v>
      </c>
    </row>
    <row r="43" spans="1:4" ht="15.75">
      <c r="A43" s="270" t="s">
        <v>129</v>
      </c>
      <c r="B43" s="294">
        <f>SUM(B39:B42)</f>
        <v>85557</v>
      </c>
      <c r="C43" s="294">
        <f>SUM(C39:C42)</f>
        <v>91408</v>
      </c>
      <c r="D43" s="294">
        <f>SUM(D39:D42)</f>
        <v>93208</v>
      </c>
    </row>
    <row r="44" spans="1:4" ht="15.75">
      <c r="A44" s="293" t="s">
        <v>1012</v>
      </c>
      <c r="B44" s="102"/>
      <c r="C44" s="102"/>
      <c r="D44" s="102"/>
    </row>
    <row r="45" spans="1:4" ht="15.75">
      <c r="A45" s="85" t="s">
        <v>175</v>
      </c>
      <c r="B45" s="275">
        <v>693609</v>
      </c>
      <c r="C45" s="275">
        <v>756494</v>
      </c>
      <c r="D45" s="275">
        <v>757222</v>
      </c>
    </row>
    <row r="46" spans="1:4" ht="15.75">
      <c r="A46" s="85" t="s">
        <v>176</v>
      </c>
      <c r="B46" s="275">
        <v>157697</v>
      </c>
      <c r="C46" s="275">
        <v>145500</v>
      </c>
      <c r="D46" s="275">
        <v>145500</v>
      </c>
    </row>
    <row r="47" spans="1:4" ht="15.75">
      <c r="A47" s="85" t="s">
        <v>177</v>
      </c>
      <c r="B47" s="275">
        <v>127069</v>
      </c>
      <c r="C47" s="275">
        <v>144000</v>
      </c>
      <c r="D47" s="275">
        <v>139000</v>
      </c>
    </row>
    <row r="48" spans="1:4" ht="15.75">
      <c r="A48" s="85" t="s">
        <v>178</v>
      </c>
      <c r="B48" s="275">
        <v>17354</v>
      </c>
      <c r="C48" s="275">
        <v>22400</v>
      </c>
      <c r="D48" s="275">
        <v>38672</v>
      </c>
    </row>
    <row r="49" spans="1:4" ht="15.75">
      <c r="A49" s="270" t="s">
        <v>129</v>
      </c>
      <c r="B49" s="294">
        <f>SUM(B45:B48)</f>
        <v>995729</v>
      </c>
      <c r="C49" s="294">
        <f>SUM(C45:C48)</f>
        <v>1068394</v>
      </c>
      <c r="D49" s="294">
        <f>SUM(D45:D48)</f>
        <v>1080394</v>
      </c>
    </row>
    <row r="50" spans="1:4" ht="15.75">
      <c r="A50" s="293" t="s">
        <v>156</v>
      </c>
      <c r="B50" s="102"/>
      <c r="C50" s="102"/>
      <c r="D50" s="102"/>
    </row>
    <row r="51" spans="1:4" ht="15.75">
      <c r="A51" s="85"/>
      <c r="B51" s="275"/>
      <c r="C51" s="275"/>
      <c r="D51" s="275"/>
    </row>
    <row r="52" spans="1:4" ht="15.75">
      <c r="A52" s="85" t="s">
        <v>176</v>
      </c>
      <c r="B52" s="275">
        <v>104524</v>
      </c>
      <c r="C52" s="275">
        <v>99177</v>
      </c>
      <c r="D52" s="275">
        <v>107500</v>
      </c>
    </row>
    <row r="53" spans="1:4" ht="15.75">
      <c r="A53" s="85" t="s">
        <v>177</v>
      </c>
      <c r="B53" s="275">
        <v>5743</v>
      </c>
      <c r="C53" s="275">
        <v>5750</v>
      </c>
      <c r="D53" s="275">
        <v>5500</v>
      </c>
    </row>
    <row r="54" spans="1:4" ht="15.75">
      <c r="A54" s="85" t="s">
        <v>178</v>
      </c>
      <c r="B54" s="275">
        <v>5080</v>
      </c>
      <c r="C54" s="275">
        <v>8500</v>
      </c>
      <c r="D54" s="275">
        <v>7500</v>
      </c>
    </row>
    <row r="55" spans="1:4" ht="15.75">
      <c r="A55" s="270" t="s">
        <v>129</v>
      </c>
      <c r="B55" s="288">
        <f>SUM(B51:B54)</f>
        <v>115347</v>
      </c>
      <c r="C55" s="288">
        <f>SUM(C51:C54)</f>
        <v>113427</v>
      </c>
      <c r="D55" s="288">
        <f>SUM(D51:D54)</f>
        <v>120500</v>
      </c>
    </row>
    <row r="56" spans="1:4" ht="15.75">
      <c r="A56" s="62"/>
      <c r="B56" s="102"/>
      <c r="C56" s="102"/>
      <c r="D56" s="102"/>
    </row>
    <row r="57" spans="1:4" ht="15.75">
      <c r="A57" s="270" t="s">
        <v>292</v>
      </c>
      <c r="B57" s="281">
        <f>B13+B19+B25+B31+B37+B43+B49+B55</f>
        <v>1705175</v>
      </c>
      <c r="C57" s="281">
        <f>C13+C19+C25+C31+C37+C43+C49+C55</f>
        <v>1990761</v>
      </c>
      <c r="D57" s="281">
        <f>D13+D19+D25+D31+D37+D43+D49+D55</f>
        <v>2034759</v>
      </c>
    </row>
    <row r="58" spans="1:4" ht="15.75">
      <c r="A58" s="62"/>
      <c r="B58" s="201"/>
      <c r="C58" s="201"/>
      <c r="D58" s="201"/>
    </row>
    <row r="59" spans="1:4" ht="15.75">
      <c r="A59" s="837" t="s">
        <v>284</v>
      </c>
      <c r="B59" s="837"/>
      <c r="C59" s="837"/>
      <c r="D59" s="837"/>
    </row>
    <row r="60" spans="1:4" ht="15.75">
      <c r="A60" s="62"/>
      <c r="B60" s="201"/>
      <c r="C60" s="201"/>
      <c r="D60" s="201"/>
    </row>
    <row r="61" spans="1:4" ht="15.75">
      <c r="A61" s="201" t="str">
        <f>inputPrYr!C2</f>
        <v>Marshall County</v>
      </c>
      <c r="B61" s="201"/>
      <c r="C61" s="61"/>
      <c r="D61" s="295">
        <f>D1</f>
        <v>2015</v>
      </c>
    </row>
    <row r="62" spans="1:4" ht="15.75">
      <c r="A62" s="62"/>
      <c r="B62" s="201"/>
      <c r="C62" s="201"/>
      <c r="D62" s="61"/>
    </row>
    <row r="63" spans="1:4" ht="15.75">
      <c r="A63" s="282" t="s">
        <v>235</v>
      </c>
      <c r="B63" s="296"/>
      <c r="C63" s="296"/>
      <c r="D63" s="296"/>
    </row>
    <row r="64" spans="1:4" ht="15.75">
      <c r="A64" s="62" t="s">
        <v>157</v>
      </c>
      <c r="B64" s="292" t="str">
        <f aca="true" t="shared" si="0" ref="B64:D65">B4</f>
        <v>Prior Year </v>
      </c>
      <c r="C64" s="188" t="str">
        <f t="shared" si="0"/>
        <v>Current Year </v>
      </c>
      <c r="D64" s="188" t="str">
        <f t="shared" si="0"/>
        <v>Proposed Budget </v>
      </c>
    </row>
    <row r="65" spans="1:4" ht="15.75">
      <c r="A65" s="89" t="s">
        <v>174</v>
      </c>
      <c r="B65" s="284" t="str">
        <f t="shared" si="0"/>
        <v>Actual for 2013</v>
      </c>
      <c r="C65" s="284" t="str">
        <f t="shared" si="0"/>
        <v>Estimate for 2014</v>
      </c>
      <c r="D65" s="284" t="str">
        <f t="shared" si="0"/>
        <v>Year for 2015</v>
      </c>
    </row>
    <row r="66" spans="1:4" ht="15.75">
      <c r="A66" s="270" t="s">
        <v>170</v>
      </c>
      <c r="B66" s="102"/>
      <c r="C66" s="102"/>
      <c r="D66" s="102"/>
    </row>
    <row r="67" spans="1:4" ht="15.75">
      <c r="A67" s="293" t="s">
        <v>1013</v>
      </c>
      <c r="B67" s="102"/>
      <c r="C67" s="102"/>
      <c r="D67" s="102"/>
    </row>
    <row r="68" spans="1:4" ht="15.75">
      <c r="A68" s="85"/>
      <c r="B68" s="275"/>
      <c r="C68" s="275"/>
      <c r="D68" s="275"/>
    </row>
    <row r="69" spans="1:4" ht="15.75">
      <c r="A69" s="85" t="s">
        <v>176</v>
      </c>
      <c r="B69" s="275"/>
      <c r="C69" s="275">
        <v>150000</v>
      </c>
      <c r="D69" s="275">
        <v>150000</v>
      </c>
    </row>
    <row r="70" spans="1:4" ht="15.75">
      <c r="A70" s="85" t="s">
        <v>177</v>
      </c>
      <c r="B70" s="275">
        <v>84044</v>
      </c>
      <c r="C70" s="275">
        <v>15000</v>
      </c>
      <c r="D70" s="275">
        <v>15000</v>
      </c>
    </row>
    <row r="71" spans="1:4" ht="15.75">
      <c r="A71" s="85" t="s">
        <v>178</v>
      </c>
      <c r="B71" s="275">
        <v>3256</v>
      </c>
      <c r="C71" s="275">
        <v>375000</v>
      </c>
      <c r="D71" s="275">
        <v>375000</v>
      </c>
    </row>
    <row r="72" spans="1:4" ht="15.75">
      <c r="A72" s="297" t="s">
        <v>129</v>
      </c>
      <c r="B72" s="294">
        <f>SUM(B68:B71)</f>
        <v>87300</v>
      </c>
      <c r="C72" s="294">
        <f>SUM(C68:C71)</f>
        <v>540000</v>
      </c>
      <c r="D72" s="294">
        <f>SUM(D68:D71)</f>
        <v>540000</v>
      </c>
    </row>
    <row r="73" spans="1:4" ht="15.75">
      <c r="A73" s="293" t="s">
        <v>1014</v>
      </c>
      <c r="B73" s="102"/>
      <c r="C73" s="102"/>
      <c r="D73" s="102"/>
    </row>
    <row r="74" spans="1:4" ht="15.75">
      <c r="A74" s="85" t="s">
        <v>175</v>
      </c>
      <c r="B74" s="275">
        <v>55517</v>
      </c>
      <c r="C74" s="275">
        <v>54816</v>
      </c>
      <c r="D74" s="275">
        <v>58016</v>
      </c>
    </row>
    <row r="75" spans="1:4" ht="15.75">
      <c r="A75" s="85" t="s">
        <v>176</v>
      </c>
      <c r="B75" s="275">
        <v>7574</v>
      </c>
      <c r="C75" s="275">
        <v>12990</v>
      </c>
      <c r="D75" s="275">
        <v>12990</v>
      </c>
    </row>
    <row r="76" spans="1:4" ht="15.75">
      <c r="A76" s="85" t="s">
        <v>177</v>
      </c>
      <c r="B76" s="275">
        <v>3898</v>
      </c>
      <c r="C76" s="275">
        <v>17750</v>
      </c>
      <c r="D76" s="275">
        <v>17750</v>
      </c>
    </row>
    <row r="77" spans="1:4" ht="15.75">
      <c r="A77" s="85" t="s">
        <v>178</v>
      </c>
      <c r="B77" s="275">
        <v>350</v>
      </c>
      <c r="C77" s="275">
        <v>3000</v>
      </c>
      <c r="D77" s="275">
        <v>3000</v>
      </c>
    </row>
    <row r="78" spans="1:4" ht="15.75">
      <c r="A78" s="270" t="s">
        <v>129</v>
      </c>
      <c r="B78" s="288">
        <f>SUM(B74:B77)</f>
        <v>67339</v>
      </c>
      <c r="C78" s="288">
        <f>SUM(C74:C77)</f>
        <v>88556</v>
      </c>
      <c r="D78" s="288">
        <f>SUM(D74:D77)</f>
        <v>91756</v>
      </c>
    </row>
    <row r="79" spans="1:4" ht="15.75">
      <c r="A79" s="293" t="s">
        <v>1015</v>
      </c>
      <c r="B79" s="102"/>
      <c r="C79" s="102"/>
      <c r="D79" s="102"/>
    </row>
    <row r="80" spans="1:4" ht="15.75">
      <c r="A80" s="85" t="s">
        <v>175</v>
      </c>
      <c r="B80" s="275">
        <v>4000</v>
      </c>
      <c r="C80" s="275">
        <v>6000</v>
      </c>
      <c r="D80" s="275">
        <v>6000</v>
      </c>
    </row>
    <row r="81" spans="1:4" ht="15.75">
      <c r="A81" s="85" t="s">
        <v>1016</v>
      </c>
      <c r="B81" s="275">
        <v>10370</v>
      </c>
      <c r="C81" s="275">
        <v>20000</v>
      </c>
      <c r="D81" s="275">
        <v>20000</v>
      </c>
    </row>
    <row r="82" spans="1:4" ht="15.75">
      <c r="A82" s="85" t="s">
        <v>1017</v>
      </c>
      <c r="B82" s="275"/>
      <c r="C82" s="275"/>
      <c r="D82" s="275"/>
    </row>
    <row r="83" spans="1:4" ht="15.75">
      <c r="A83" s="85" t="s">
        <v>1017</v>
      </c>
      <c r="B83" s="275"/>
      <c r="C83" s="275"/>
      <c r="D83" s="275"/>
    </row>
    <row r="84" spans="1:4" ht="15.75">
      <c r="A84" s="270" t="s">
        <v>129</v>
      </c>
      <c r="B84" s="288">
        <f>SUM(B80:B83)</f>
        <v>14370</v>
      </c>
      <c r="C84" s="288">
        <f>SUM(C80:C83)</f>
        <v>26000</v>
      </c>
      <c r="D84" s="288">
        <f>SUM(D80:D83)</f>
        <v>26000</v>
      </c>
    </row>
    <row r="85" spans="1:4" ht="15.75">
      <c r="A85" s="293" t="s">
        <v>1018</v>
      </c>
      <c r="B85" s="102"/>
      <c r="C85" s="102"/>
      <c r="D85" s="102"/>
    </row>
    <row r="86" spans="1:4" ht="15.75">
      <c r="A86" s="85" t="s">
        <v>175</v>
      </c>
      <c r="B86" s="275">
        <v>26861</v>
      </c>
      <c r="C86" s="275">
        <v>33420</v>
      </c>
      <c r="D86" s="275">
        <v>34620</v>
      </c>
    </row>
    <row r="87" spans="1:4" ht="15.75">
      <c r="A87" s="85" t="s">
        <v>176</v>
      </c>
      <c r="B87" s="275"/>
      <c r="C87" s="275"/>
      <c r="D87" s="275"/>
    </row>
    <row r="88" spans="1:4" ht="15.75">
      <c r="A88" s="85" t="s">
        <v>177</v>
      </c>
      <c r="B88" s="275">
        <v>7225</v>
      </c>
      <c r="C88" s="275">
        <v>9150</v>
      </c>
      <c r="D88" s="275">
        <v>9150</v>
      </c>
    </row>
    <row r="89" spans="1:4" ht="15.75">
      <c r="A89" s="85" t="s">
        <v>178</v>
      </c>
      <c r="B89" s="275"/>
      <c r="C89" s="275"/>
      <c r="D89" s="275"/>
    </row>
    <row r="90" spans="1:4" ht="15.75">
      <c r="A90" s="270" t="s">
        <v>129</v>
      </c>
      <c r="B90" s="288">
        <f>SUM(B86:B89)</f>
        <v>34086</v>
      </c>
      <c r="C90" s="288">
        <f>SUM(C86:C89)</f>
        <v>42570</v>
      </c>
      <c r="D90" s="288">
        <f>SUM(D86:D89)</f>
        <v>43770</v>
      </c>
    </row>
    <row r="91" spans="1:4" ht="15.75">
      <c r="A91" s="293" t="s">
        <v>1067</v>
      </c>
      <c r="B91" s="102"/>
      <c r="C91" s="102"/>
      <c r="D91" s="102"/>
    </row>
    <row r="92" spans="1:4" ht="15.75">
      <c r="A92" s="85" t="s">
        <v>1019</v>
      </c>
      <c r="B92" s="275">
        <v>49404</v>
      </c>
      <c r="C92" s="275">
        <v>50000</v>
      </c>
      <c r="D92" s="275">
        <v>55000</v>
      </c>
    </row>
    <row r="93" spans="1:4" ht="15.75">
      <c r="A93" s="85"/>
      <c r="B93" s="275"/>
      <c r="C93" s="275"/>
      <c r="D93" s="275"/>
    </row>
    <row r="94" spans="1:4" ht="15.75">
      <c r="A94" s="85"/>
      <c r="B94" s="275"/>
      <c r="C94" s="275"/>
      <c r="D94" s="275"/>
    </row>
    <row r="95" spans="1:4" ht="15.75">
      <c r="A95" s="85"/>
      <c r="B95" s="275"/>
      <c r="C95" s="275"/>
      <c r="D95" s="275"/>
    </row>
    <row r="96" spans="1:4" ht="15.75">
      <c r="A96" s="270" t="s">
        <v>129</v>
      </c>
      <c r="B96" s="288">
        <f>SUM(B92:B95)</f>
        <v>49404</v>
      </c>
      <c r="C96" s="288">
        <f>SUM(C92:C95)</f>
        <v>50000</v>
      </c>
      <c r="D96" s="288">
        <f>SUM(D92:D95)</f>
        <v>55000</v>
      </c>
    </row>
    <row r="97" spans="1:4" ht="15.75">
      <c r="A97" s="293" t="s">
        <v>1020</v>
      </c>
      <c r="B97" s="102"/>
      <c r="C97" s="102"/>
      <c r="D97" s="102"/>
    </row>
    <row r="98" spans="1:4" ht="15.75">
      <c r="A98" s="85" t="s">
        <v>175</v>
      </c>
      <c r="B98" s="275"/>
      <c r="C98" s="275"/>
      <c r="D98" s="275"/>
    </row>
    <row r="99" spans="1:4" ht="15.75">
      <c r="A99" s="85" t="s">
        <v>176</v>
      </c>
      <c r="B99" s="275">
        <v>13297</v>
      </c>
      <c r="C99" s="275">
        <v>30000</v>
      </c>
      <c r="D99" s="275">
        <v>30000</v>
      </c>
    </row>
    <row r="100" spans="1:4" ht="15.75">
      <c r="A100" s="85" t="s">
        <v>177</v>
      </c>
      <c r="B100" s="275"/>
      <c r="C100" s="275"/>
      <c r="D100" s="275"/>
    </row>
    <row r="101" spans="1:4" ht="15.75">
      <c r="A101" s="85" t="s">
        <v>178</v>
      </c>
      <c r="B101" s="275"/>
      <c r="C101" s="275"/>
      <c r="D101" s="275"/>
    </row>
    <row r="102" spans="1:4" ht="15.75">
      <c r="A102" s="270" t="s">
        <v>129</v>
      </c>
      <c r="B102" s="288">
        <f>SUM(B98:B101)</f>
        <v>13297</v>
      </c>
      <c r="C102" s="288">
        <f>SUM(C98:C101)</f>
        <v>30000</v>
      </c>
      <c r="D102" s="288">
        <f>SUM(D98:D101)</f>
        <v>30000</v>
      </c>
    </row>
    <row r="103" spans="1:4" ht="15.75">
      <c r="A103" s="293" t="s">
        <v>1021</v>
      </c>
      <c r="B103" s="102"/>
      <c r="C103" s="102"/>
      <c r="D103" s="102"/>
    </row>
    <row r="104" spans="1:4" ht="15.75">
      <c r="A104" s="85" t="s">
        <v>1022</v>
      </c>
      <c r="B104" s="275">
        <v>1934</v>
      </c>
      <c r="C104" s="275">
        <v>1934</v>
      </c>
      <c r="D104" s="275">
        <v>1934</v>
      </c>
    </row>
    <row r="105" spans="1:4" ht="15.75">
      <c r="A105" s="85" t="s">
        <v>1023</v>
      </c>
      <c r="B105" s="275">
        <v>10000</v>
      </c>
      <c r="C105" s="275">
        <v>10000</v>
      </c>
      <c r="D105" s="275">
        <v>10000</v>
      </c>
    </row>
    <row r="106" spans="1:4" ht="15.75">
      <c r="A106" s="85" t="s">
        <v>1024</v>
      </c>
      <c r="B106" s="275">
        <v>15000</v>
      </c>
      <c r="C106" s="275">
        <v>15000</v>
      </c>
      <c r="D106" s="275">
        <v>15000</v>
      </c>
    </row>
    <row r="107" spans="1:4" ht="15.75">
      <c r="A107" s="85" t="s">
        <v>1025</v>
      </c>
      <c r="B107" s="275">
        <v>3316</v>
      </c>
      <c r="C107" s="275">
        <v>2500</v>
      </c>
      <c r="D107" s="275">
        <v>5000</v>
      </c>
    </row>
    <row r="108" spans="1:4" ht="15.75">
      <c r="A108" s="270" t="s">
        <v>129</v>
      </c>
      <c r="B108" s="288">
        <f>SUM(B104:B107)</f>
        <v>30250</v>
      </c>
      <c r="C108" s="288">
        <f>SUM(C104:C107)</f>
        <v>29434</v>
      </c>
      <c r="D108" s="288">
        <f>SUM(D104:D107)</f>
        <v>31934</v>
      </c>
    </row>
    <row r="109" spans="1:4" ht="15.75">
      <c r="A109" s="293" t="s">
        <v>1026</v>
      </c>
      <c r="B109" s="102"/>
      <c r="C109" s="102"/>
      <c r="D109" s="102"/>
    </row>
    <row r="110" spans="1:4" ht="15.75">
      <c r="A110" s="85" t="s">
        <v>1027</v>
      </c>
      <c r="B110" s="275">
        <v>36114</v>
      </c>
      <c r="C110" s="275">
        <v>30000</v>
      </c>
      <c r="D110" s="275">
        <v>5000</v>
      </c>
    </row>
    <row r="111" spans="1:4" ht="15.75">
      <c r="A111" s="85" t="s">
        <v>1028</v>
      </c>
      <c r="B111" s="275">
        <v>51000</v>
      </c>
      <c r="C111" s="275"/>
      <c r="D111" s="275"/>
    </row>
    <row r="112" spans="1:4" ht="15.75">
      <c r="A112" s="85" t="s">
        <v>1029</v>
      </c>
      <c r="B112" s="275">
        <v>-2519</v>
      </c>
      <c r="C112" s="275"/>
      <c r="D112" s="275"/>
    </row>
    <row r="113" spans="1:4" ht="15.75">
      <c r="A113" s="85"/>
      <c r="B113" s="275"/>
      <c r="C113" s="275"/>
      <c r="D113" s="275"/>
    </row>
    <row r="114" spans="1:4" ht="15.75">
      <c r="A114" s="270" t="s">
        <v>129</v>
      </c>
      <c r="B114" s="288">
        <f>SUM(B110:B113)</f>
        <v>84595</v>
      </c>
      <c r="C114" s="288">
        <f>SUM(C110:C113)</f>
        <v>30000</v>
      </c>
      <c r="D114" s="288">
        <f>SUM(D110:D113)</f>
        <v>5000</v>
      </c>
    </row>
    <row r="115" spans="1:4" ht="15.75">
      <c r="A115" s="62"/>
      <c r="B115" s="102"/>
      <c r="C115" s="102"/>
      <c r="D115" s="102"/>
    </row>
    <row r="116" spans="1:4" ht="15.75">
      <c r="A116" s="270" t="s">
        <v>293</v>
      </c>
      <c r="B116" s="281">
        <f>B72+B78+B84+B90+B96+B102+B108+B114</f>
        <v>380641</v>
      </c>
      <c r="C116" s="281">
        <f>C72+C78+C84+C90+C96+C102+C108+C114</f>
        <v>836560</v>
      </c>
      <c r="D116" s="281">
        <f>D72+D78+D84+D90+D96+D102+D108+D114</f>
        <v>823460</v>
      </c>
    </row>
    <row r="117" spans="1:4" ht="15.75">
      <c r="A117" s="62"/>
      <c r="B117" s="201"/>
      <c r="C117" s="201"/>
      <c r="D117" s="201"/>
    </row>
    <row r="118" spans="1:4" ht="15.75">
      <c r="A118" s="837" t="s">
        <v>285</v>
      </c>
      <c r="B118" s="837"/>
      <c r="C118" s="837"/>
      <c r="D118" s="837"/>
    </row>
    <row r="119" spans="1:4" ht="15.75">
      <c r="A119" s="201" t="str">
        <f>inputPrYr!C2</f>
        <v>Marshall County</v>
      </c>
      <c r="B119" s="201"/>
      <c r="C119" s="61"/>
      <c r="D119" s="295">
        <f>D1</f>
        <v>2015</v>
      </c>
    </row>
    <row r="120" spans="1:4" ht="15.75">
      <c r="A120" s="62"/>
      <c r="B120" s="201"/>
      <c r="C120" s="201"/>
      <c r="D120" s="61"/>
    </row>
    <row r="121" spans="1:4" ht="15.75">
      <c r="A121" s="282" t="s">
        <v>235</v>
      </c>
      <c r="B121" s="296"/>
      <c r="C121" s="296"/>
      <c r="D121" s="296"/>
    </row>
    <row r="122" spans="1:4" ht="15.75">
      <c r="A122" s="62" t="s">
        <v>157</v>
      </c>
      <c r="B122" s="292" t="str">
        <f aca="true" t="shared" si="1" ref="B122:D123">B4</f>
        <v>Prior Year </v>
      </c>
      <c r="C122" s="188" t="str">
        <f t="shared" si="1"/>
        <v>Current Year </v>
      </c>
      <c r="D122" s="188" t="str">
        <f t="shared" si="1"/>
        <v>Proposed Budget </v>
      </c>
    </row>
    <row r="123" spans="1:4" ht="15.75">
      <c r="A123" s="89" t="s">
        <v>174</v>
      </c>
      <c r="B123" s="284" t="str">
        <f t="shared" si="1"/>
        <v>Actual for 2013</v>
      </c>
      <c r="C123" s="284" t="str">
        <f t="shared" si="1"/>
        <v>Estimate for 2014</v>
      </c>
      <c r="D123" s="284" t="str">
        <f t="shared" si="1"/>
        <v>Year for 2015</v>
      </c>
    </row>
    <row r="124" spans="1:4" ht="15.75">
      <c r="A124" s="270" t="s">
        <v>170</v>
      </c>
      <c r="B124" s="102"/>
      <c r="C124" s="102"/>
      <c r="D124" s="102"/>
    </row>
    <row r="125" spans="1:4" ht="15.75">
      <c r="A125" s="293"/>
      <c r="B125" s="102"/>
      <c r="C125" s="102"/>
      <c r="D125" s="102"/>
    </row>
    <row r="126" spans="1:4" ht="15.75">
      <c r="A126" s="85"/>
      <c r="B126" s="275"/>
      <c r="C126" s="275"/>
      <c r="D126" s="275"/>
    </row>
    <row r="127" spans="1:4" ht="15.75">
      <c r="A127" s="85"/>
      <c r="B127" s="275"/>
      <c r="C127" s="275"/>
      <c r="D127" s="275"/>
    </row>
    <row r="128" spans="1:4" ht="15.75">
      <c r="A128" s="85"/>
      <c r="B128" s="275"/>
      <c r="C128" s="275"/>
      <c r="D128" s="275"/>
    </row>
    <row r="129" spans="1:4" ht="15.75">
      <c r="A129" s="85"/>
      <c r="B129" s="275"/>
      <c r="C129" s="275"/>
      <c r="D129" s="275"/>
    </row>
    <row r="130" spans="1:4" ht="15.75">
      <c r="A130" s="85"/>
      <c r="B130" s="275"/>
      <c r="C130" s="275"/>
      <c r="D130" s="275"/>
    </row>
    <row r="131" spans="1:4" ht="15.75">
      <c r="A131" s="85"/>
      <c r="B131" s="275"/>
      <c r="C131" s="275"/>
      <c r="D131" s="275"/>
    </row>
    <row r="132" spans="1:4" ht="15.75">
      <c r="A132" s="270" t="s">
        <v>129</v>
      </c>
      <c r="B132" s="288">
        <f>SUM(B126:B131)</f>
        <v>0</v>
      </c>
      <c r="C132" s="288">
        <f>SUM(C126:C131)</f>
        <v>0</v>
      </c>
      <c r="D132" s="288">
        <f>SUM(D126:D131)</f>
        <v>0</v>
      </c>
    </row>
    <row r="133" spans="1:4" ht="15.75">
      <c r="A133" s="293"/>
      <c r="B133" s="102"/>
      <c r="C133" s="102"/>
      <c r="D133" s="102"/>
    </row>
    <row r="134" spans="1:4" ht="15.75">
      <c r="A134" s="85"/>
      <c r="B134" s="275"/>
      <c r="C134" s="275"/>
      <c r="D134" s="275"/>
    </row>
    <row r="135" spans="1:4" ht="15.75">
      <c r="A135" s="85"/>
      <c r="B135" s="275"/>
      <c r="C135" s="275"/>
      <c r="D135" s="275"/>
    </row>
    <row r="136" spans="1:4" ht="15.75">
      <c r="A136" s="85"/>
      <c r="B136" s="275"/>
      <c r="C136" s="275"/>
      <c r="D136" s="275"/>
    </row>
    <row r="137" spans="1:4" ht="15.75">
      <c r="A137" s="85"/>
      <c r="B137" s="275"/>
      <c r="C137" s="275"/>
      <c r="D137" s="275"/>
    </row>
    <row r="138" spans="1:4" ht="15.75">
      <c r="A138" s="270" t="s">
        <v>129</v>
      </c>
      <c r="B138" s="288">
        <f>SUM(B134:B137)</f>
        <v>0</v>
      </c>
      <c r="C138" s="288">
        <f>SUM(C134:C137)</f>
        <v>0</v>
      </c>
      <c r="D138" s="288">
        <f>SUM(D134:D137)</f>
        <v>0</v>
      </c>
    </row>
    <row r="139" spans="1:4" ht="15.75">
      <c r="A139" s="293"/>
      <c r="B139" s="102"/>
      <c r="C139" s="102"/>
      <c r="D139" s="102"/>
    </row>
    <row r="140" spans="1:4" ht="15.75">
      <c r="A140" s="85"/>
      <c r="B140" s="275"/>
      <c r="C140" s="275"/>
      <c r="D140" s="275"/>
    </row>
    <row r="141" spans="1:4" ht="15.75">
      <c r="A141" s="85"/>
      <c r="B141" s="275"/>
      <c r="C141" s="275"/>
      <c r="D141" s="275"/>
    </row>
    <row r="142" spans="1:4" ht="15.75">
      <c r="A142" s="85"/>
      <c r="B142" s="275"/>
      <c r="C142" s="275"/>
      <c r="D142" s="275"/>
    </row>
    <row r="143" spans="1:4" ht="15.75">
      <c r="A143" s="85"/>
      <c r="B143" s="275"/>
      <c r="C143" s="275"/>
      <c r="D143" s="275"/>
    </row>
    <row r="144" spans="1:4" ht="15.75">
      <c r="A144" s="270" t="s">
        <v>129</v>
      </c>
      <c r="B144" s="288">
        <f>SUM(B140:B143)</f>
        <v>0</v>
      </c>
      <c r="C144" s="288">
        <f>SUM(C140:C143)</f>
        <v>0</v>
      </c>
      <c r="D144" s="288">
        <f>SUM(D140:D143)</f>
        <v>0</v>
      </c>
    </row>
    <row r="145" spans="1:4" ht="15.75">
      <c r="A145" s="293"/>
      <c r="B145" s="102"/>
      <c r="C145" s="102"/>
      <c r="D145" s="102"/>
    </row>
    <row r="146" spans="1:4" ht="15.75">
      <c r="A146" s="85"/>
      <c r="B146" s="275"/>
      <c r="C146" s="275"/>
      <c r="D146" s="275"/>
    </row>
    <row r="147" spans="1:4" ht="15.75">
      <c r="A147" s="85"/>
      <c r="B147" s="275"/>
      <c r="C147" s="275"/>
      <c r="D147" s="275"/>
    </row>
    <row r="148" spans="1:4" ht="15.75">
      <c r="A148" s="85"/>
      <c r="B148" s="275"/>
      <c r="C148" s="275"/>
      <c r="D148" s="275"/>
    </row>
    <row r="149" spans="1:4" ht="15.75">
      <c r="A149" s="85"/>
      <c r="B149" s="275"/>
      <c r="C149" s="275"/>
      <c r="D149" s="275"/>
    </row>
    <row r="150" spans="1:4" ht="15.75">
      <c r="A150" s="270" t="s">
        <v>129</v>
      </c>
      <c r="B150" s="288">
        <f>SUM(B146:B149)</f>
        <v>0</v>
      </c>
      <c r="C150" s="288">
        <f>SUM(C146:C149)</f>
        <v>0</v>
      </c>
      <c r="D150" s="288">
        <f>SUM(D146:D149)</f>
        <v>0</v>
      </c>
    </row>
    <row r="151" spans="1:4" ht="15.75">
      <c r="A151" s="293"/>
      <c r="B151" s="102"/>
      <c r="C151" s="102"/>
      <c r="D151" s="102"/>
    </row>
    <row r="152" spans="1:4" ht="15.75">
      <c r="A152" s="85"/>
      <c r="B152" s="275"/>
      <c r="C152" s="275"/>
      <c r="D152" s="275"/>
    </row>
    <row r="153" spans="1:4" ht="15.75">
      <c r="A153" s="85"/>
      <c r="B153" s="275"/>
      <c r="C153" s="275"/>
      <c r="D153" s="275"/>
    </row>
    <row r="154" spans="1:4" ht="15.75">
      <c r="A154" s="85"/>
      <c r="B154" s="275"/>
      <c r="C154" s="275"/>
      <c r="D154" s="275"/>
    </row>
    <row r="155" spans="1:4" ht="15.75">
      <c r="A155" s="85"/>
      <c r="B155" s="275"/>
      <c r="C155" s="275"/>
      <c r="D155" s="275"/>
    </row>
    <row r="156" spans="1:4" ht="15.75">
      <c r="A156" s="270" t="s">
        <v>129</v>
      </c>
      <c r="B156" s="288">
        <f>SUM(B152:B155)</f>
        <v>0</v>
      </c>
      <c r="C156" s="288">
        <f>SUM(C152:C155)</f>
        <v>0</v>
      </c>
      <c r="D156" s="288">
        <f>SUM(D152:D155)</f>
        <v>0</v>
      </c>
    </row>
    <row r="157" spans="1:4" ht="15.75">
      <c r="A157" s="293"/>
      <c r="B157" s="102"/>
      <c r="C157" s="102"/>
      <c r="D157" s="102"/>
    </row>
    <row r="158" spans="1:4" ht="15.75">
      <c r="A158" s="85"/>
      <c r="B158" s="275"/>
      <c r="C158" s="275"/>
      <c r="D158" s="275"/>
    </row>
    <row r="159" spans="1:4" ht="15.75">
      <c r="A159" s="85"/>
      <c r="B159" s="275"/>
      <c r="C159" s="275"/>
      <c r="D159" s="275"/>
    </row>
    <row r="160" spans="1:4" ht="15.75">
      <c r="A160" s="85"/>
      <c r="B160" s="275"/>
      <c r="C160" s="275"/>
      <c r="D160" s="275"/>
    </row>
    <row r="161" spans="1:4" ht="15.75">
      <c r="A161" s="85"/>
      <c r="B161" s="416"/>
      <c r="C161" s="416"/>
      <c r="D161" s="416"/>
    </row>
    <row r="162" spans="1:4" ht="15.75">
      <c r="A162" s="270" t="s">
        <v>129</v>
      </c>
      <c r="B162" s="288">
        <f>SUM(B158:B161)</f>
        <v>0</v>
      </c>
      <c r="C162" s="288">
        <f>SUM(C158:C161)</f>
        <v>0</v>
      </c>
      <c r="D162" s="288">
        <f>SUM(D158:D161)</f>
        <v>0</v>
      </c>
    </row>
    <row r="163" spans="1:4" ht="15.75">
      <c r="A163" s="293"/>
      <c r="B163" s="102"/>
      <c r="C163" s="102"/>
      <c r="D163" s="102"/>
    </row>
    <row r="164" spans="1:4" ht="15.75">
      <c r="A164" s="85"/>
      <c r="B164" s="275"/>
      <c r="C164" s="275"/>
      <c r="D164" s="275"/>
    </row>
    <row r="165" spans="1:4" ht="15.75">
      <c r="A165" s="85"/>
      <c r="B165" s="275"/>
      <c r="C165" s="275"/>
      <c r="D165" s="275"/>
    </row>
    <row r="166" spans="1:4" ht="15.75">
      <c r="A166" s="85"/>
      <c r="B166" s="275"/>
      <c r="C166" s="275"/>
      <c r="D166" s="275"/>
    </row>
    <row r="167" spans="1:4" ht="15.75">
      <c r="A167" s="85"/>
      <c r="B167" s="275"/>
      <c r="C167" s="275"/>
      <c r="D167" s="275"/>
    </row>
    <row r="168" spans="1:4" ht="15.75">
      <c r="A168" s="270" t="s">
        <v>129</v>
      </c>
      <c r="B168" s="288">
        <f>SUM(B164:B167)</f>
        <v>0</v>
      </c>
      <c r="C168" s="288">
        <f>SUM(C164:C167)</f>
        <v>0</v>
      </c>
      <c r="D168" s="288">
        <f>SUM(D164:D167)</f>
        <v>0</v>
      </c>
    </row>
    <row r="169" spans="1:4" ht="15.75">
      <c r="A169" s="293"/>
      <c r="B169" s="102"/>
      <c r="C169" s="102"/>
      <c r="D169" s="102"/>
    </row>
    <row r="170" spans="1:4" ht="15.75">
      <c r="A170" s="85"/>
      <c r="B170" s="275"/>
      <c r="C170" s="275"/>
      <c r="D170" s="275"/>
    </row>
    <row r="171" spans="1:4" ht="15.75">
      <c r="A171" s="85"/>
      <c r="B171" s="275"/>
      <c r="C171" s="275"/>
      <c r="D171" s="275"/>
    </row>
    <row r="172" spans="1:4" ht="15.75">
      <c r="A172" s="85"/>
      <c r="B172" s="275"/>
      <c r="C172" s="275"/>
      <c r="D172" s="275"/>
    </row>
    <row r="173" spans="1:4" ht="15.75">
      <c r="A173" s="85"/>
      <c r="B173" s="275"/>
      <c r="C173" s="275"/>
      <c r="D173" s="275"/>
    </row>
    <row r="174" spans="1:4" ht="15.75">
      <c r="A174" s="270" t="s">
        <v>129</v>
      </c>
      <c r="B174" s="288">
        <f>SUM(B170:B173)</f>
        <v>0</v>
      </c>
      <c r="C174" s="288">
        <f>SUM(C170:C173)</f>
        <v>0</v>
      </c>
      <c r="D174" s="288">
        <f>SUM(D170:D173)</f>
        <v>0</v>
      </c>
    </row>
    <row r="175" spans="1:4" ht="15.75">
      <c r="A175" s="270"/>
      <c r="B175" s="102"/>
      <c r="C175" s="102"/>
      <c r="D175" s="102"/>
    </row>
    <row r="176" spans="1:4" ht="15.75">
      <c r="A176" s="270" t="s">
        <v>294</v>
      </c>
      <c r="B176" s="281">
        <f>B132+B138+B144+B150+B156+B162+B168+B174</f>
        <v>0</v>
      </c>
      <c r="C176" s="281">
        <f>C132+C138+C144+C150+C156+C162+C168+C174</f>
        <v>0</v>
      </c>
      <c r="D176" s="281">
        <f>D132+D138+D144+D150+D156+D162+D168+D174</f>
        <v>0</v>
      </c>
    </row>
    <row r="177" spans="1:4" ht="15.75">
      <c r="A177" s="62"/>
      <c r="B177" s="201"/>
      <c r="C177" s="201"/>
      <c r="D177" s="201"/>
    </row>
    <row r="178" spans="1:4" ht="15.75">
      <c r="A178" s="837" t="s">
        <v>286</v>
      </c>
      <c r="B178" s="837"/>
      <c r="C178" s="837"/>
      <c r="D178" s="837"/>
    </row>
    <row r="179" spans="1:4" ht="15.75">
      <c r="A179" s="201" t="str">
        <f>inputPrYr!C2</f>
        <v>Marshall County</v>
      </c>
      <c r="B179" s="201"/>
      <c r="C179" s="61"/>
      <c r="D179" s="295">
        <f>D1</f>
        <v>2015</v>
      </c>
    </row>
    <row r="180" spans="1:4" ht="15.75">
      <c r="A180" s="62"/>
      <c r="B180" s="201"/>
      <c r="C180" s="201"/>
      <c r="D180" s="61"/>
    </row>
    <row r="181" spans="1:4" ht="15.75">
      <c r="A181" s="282" t="s">
        <v>235</v>
      </c>
      <c r="B181" s="296"/>
      <c r="C181" s="296"/>
      <c r="D181" s="296"/>
    </row>
    <row r="182" spans="1:4" ht="15.75">
      <c r="A182" s="62" t="s">
        <v>157</v>
      </c>
      <c r="B182" s="292" t="str">
        <f aca="true" t="shared" si="2" ref="B182:D183">B4</f>
        <v>Prior Year </v>
      </c>
      <c r="C182" s="188" t="str">
        <f t="shared" si="2"/>
        <v>Current Year </v>
      </c>
      <c r="D182" s="188" t="str">
        <f t="shared" si="2"/>
        <v>Proposed Budget </v>
      </c>
    </row>
    <row r="183" spans="1:4" ht="15.75">
      <c r="A183" s="89" t="s">
        <v>174</v>
      </c>
      <c r="B183" s="284" t="str">
        <f t="shared" si="2"/>
        <v>Actual for 2013</v>
      </c>
      <c r="C183" s="284" t="str">
        <f t="shared" si="2"/>
        <v>Estimate for 2014</v>
      </c>
      <c r="D183" s="284" t="str">
        <f t="shared" si="2"/>
        <v>Year for 2015</v>
      </c>
    </row>
    <row r="184" spans="1:4" ht="15.75">
      <c r="A184" s="270" t="s">
        <v>170</v>
      </c>
      <c r="B184" s="102"/>
      <c r="C184" s="102"/>
      <c r="D184" s="102"/>
    </row>
    <row r="185" spans="1:4" ht="15.75">
      <c r="A185" s="293"/>
      <c r="B185" s="102"/>
      <c r="C185" s="102"/>
      <c r="D185" s="102"/>
    </row>
    <row r="186" spans="1:4" ht="15.75">
      <c r="A186" s="85"/>
      <c r="B186" s="275"/>
      <c r="C186" s="275"/>
      <c r="D186" s="275"/>
    </row>
    <row r="187" spans="1:4" ht="15.75">
      <c r="A187" s="85"/>
      <c r="B187" s="275"/>
      <c r="C187" s="275"/>
      <c r="D187" s="275"/>
    </row>
    <row r="188" spans="1:4" ht="15.75">
      <c r="A188" s="85"/>
      <c r="B188" s="275"/>
      <c r="C188" s="275"/>
      <c r="D188" s="275"/>
    </row>
    <row r="189" spans="1:4" ht="15.75">
      <c r="A189" s="85"/>
      <c r="B189" s="275"/>
      <c r="C189" s="275"/>
      <c r="D189" s="275"/>
    </row>
    <row r="190" spans="1:4" ht="15.75">
      <c r="A190" s="270" t="s">
        <v>129</v>
      </c>
      <c r="B190" s="288">
        <f>SUM(B186:B189)</f>
        <v>0</v>
      </c>
      <c r="C190" s="288">
        <f>SUM(C186:C189)</f>
        <v>0</v>
      </c>
      <c r="D190" s="288">
        <f>SUM(D186:D189)</f>
        <v>0</v>
      </c>
    </row>
    <row r="191" spans="1:4" ht="15.75">
      <c r="A191" s="293"/>
      <c r="B191" s="102"/>
      <c r="C191" s="102"/>
      <c r="D191" s="102"/>
    </row>
    <row r="192" spans="1:4" ht="15.75">
      <c r="A192" s="85"/>
      <c r="B192" s="275"/>
      <c r="C192" s="275"/>
      <c r="D192" s="275"/>
    </row>
    <row r="193" spans="1:4" ht="15.75">
      <c r="A193" s="85"/>
      <c r="B193" s="275"/>
      <c r="C193" s="275"/>
      <c r="D193" s="275"/>
    </row>
    <row r="194" spans="1:4" ht="15.75">
      <c r="A194" s="85"/>
      <c r="B194" s="275"/>
      <c r="C194" s="275"/>
      <c r="D194" s="275"/>
    </row>
    <row r="195" spans="1:4" ht="15.75">
      <c r="A195" s="85"/>
      <c r="B195" s="275"/>
      <c r="C195" s="275"/>
      <c r="D195" s="275"/>
    </row>
    <row r="196" spans="1:4" ht="15.75">
      <c r="A196" s="270" t="s">
        <v>129</v>
      </c>
      <c r="B196" s="102">
        <f>SUM(B192:B195)</f>
        <v>0</v>
      </c>
      <c r="C196" s="102">
        <f>SUM(C192:C195)</f>
        <v>0</v>
      </c>
      <c r="D196" s="102">
        <f>SUM(D192:D195)</f>
        <v>0</v>
      </c>
    </row>
    <row r="197" spans="1:4" ht="15.75">
      <c r="A197" s="293"/>
      <c r="B197" s="102"/>
      <c r="C197" s="102"/>
      <c r="D197" s="102"/>
    </row>
    <row r="198" spans="1:4" ht="15.75">
      <c r="A198" s="85"/>
      <c r="B198" s="275"/>
      <c r="C198" s="275"/>
      <c r="D198" s="275"/>
    </row>
    <row r="199" spans="1:4" ht="15.75">
      <c r="A199" s="85"/>
      <c r="B199" s="275"/>
      <c r="C199" s="275"/>
      <c r="D199" s="275"/>
    </row>
    <row r="200" spans="1:4" ht="15.75">
      <c r="A200" s="85"/>
      <c r="B200" s="275"/>
      <c r="C200" s="275"/>
      <c r="D200" s="275"/>
    </row>
    <row r="201" spans="1:4" ht="15.75">
      <c r="A201" s="85"/>
      <c r="B201" s="275"/>
      <c r="C201" s="275"/>
      <c r="D201" s="275"/>
    </row>
    <row r="202" spans="1:4" ht="15.75">
      <c r="A202" s="270" t="s">
        <v>129</v>
      </c>
      <c r="B202" s="288">
        <f>SUM(B198:B201)</f>
        <v>0</v>
      </c>
      <c r="C202" s="288">
        <f>SUM(C198:C201)</f>
        <v>0</v>
      </c>
      <c r="D202" s="288">
        <f>SUM(D198:D201)</f>
        <v>0</v>
      </c>
    </row>
    <row r="203" spans="1:4" ht="15.75">
      <c r="A203" s="293"/>
      <c r="B203" s="102"/>
      <c r="C203" s="102"/>
      <c r="D203" s="102"/>
    </row>
    <row r="204" spans="1:4" ht="15.75">
      <c r="A204" s="85"/>
      <c r="B204" s="275"/>
      <c r="C204" s="275"/>
      <c r="D204" s="275"/>
    </row>
    <row r="205" spans="1:4" ht="15.75">
      <c r="A205" s="85"/>
      <c r="B205" s="275"/>
      <c r="C205" s="275"/>
      <c r="D205" s="275"/>
    </row>
    <row r="206" spans="1:4" ht="15.75">
      <c r="A206" s="85"/>
      <c r="B206" s="275"/>
      <c r="C206" s="275"/>
      <c r="D206" s="275"/>
    </row>
    <row r="207" spans="1:4" ht="15.75">
      <c r="A207" s="85"/>
      <c r="B207" s="275"/>
      <c r="C207" s="275"/>
      <c r="D207" s="275"/>
    </row>
    <row r="208" spans="1:4" ht="15.75">
      <c r="A208" s="270" t="s">
        <v>129</v>
      </c>
      <c r="B208" s="102">
        <f>SUM(B204:B207)</f>
        <v>0</v>
      </c>
      <c r="C208" s="102">
        <f>SUM(C204:C207)</f>
        <v>0</v>
      </c>
      <c r="D208" s="102">
        <f>SUM(D204:D207)</f>
        <v>0</v>
      </c>
    </row>
    <row r="209" spans="1:4" ht="15.75">
      <c r="A209" s="293"/>
      <c r="B209" s="102"/>
      <c r="C209" s="102"/>
      <c r="D209" s="102"/>
    </row>
    <row r="210" spans="1:4" ht="15.75">
      <c r="A210" s="85"/>
      <c r="B210" s="275"/>
      <c r="C210" s="275"/>
      <c r="D210" s="275"/>
    </row>
    <row r="211" spans="1:4" ht="15.75">
      <c r="A211" s="85"/>
      <c r="B211" s="275"/>
      <c r="C211" s="275"/>
      <c r="D211" s="275"/>
    </row>
    <row r="212" spans="1:4" ht="15.75">
      <c r="A212" s="85"/>
      <c r="B212" s="275"/>
      <c r="C212" s="275"/>
      <c r="D212" s="275"/>
    </row>
    <row r="213" spans="1:4" ht="15.75">
      <c r="A213" s="85"/>
      <c r="B213" s="275"/>
      <c r="C213" s="275"/>
      <c r="D213" s="275"/>
    </row>
    <row r="214" spans="1:4" ht="15.75">
      <c r="A214" s="270" t="s">
        <v>129</v>
      </c>
      <c r="B214" s="288">
        <f>SUM(B210:B213)</f>
        <v>0</v>
      </c>
      <c r="C214" s="288">
        <f>SUM(C210:C213)</f>
        <v>0</v>
      </c>
      <c r="D214" s="288">
        <f>SUM(D210:D213)</f>
        <v>0</v>
      </c>
    </row>
    <row r="215" spans="1:4" ht="15.75">
      <c r="A215" s="293"/>
      <c r="B215" s="102"/>
      <c r="C215" s="102"/>
      <c r="D215" s="102"/>
    </row>
    <row r="216" spans="1:4" ht="15.75">
      <c r="A216" s="85"/>
      <c r="B216" s="275"/>
      <c r="C216" s="275"/>
      <c r="D216" s="275"/>
    </row>
    <row r="217" spans="1:4" ht="15.75">
      <c r="A217" s="85"/>
      <c r="B217" s="275"/>
      <c r="C217" s="275"/>
      <c r="D217" s="275"/>
    </row>
    <row r="218" spans="1:4" ht="15.75">
      <c r="A218" s="85"/>
      <c r="B218" s="275"/>
      <c r="C218" s="275"/>
      <c r="D218" s="275"/>
    </row>
    <row r="219" spans="1:4" ht="15.75">
      <c r="A219" s="85"/>
      <c r="B219" s="275"/>
      <c r="C219" s="275"/>
      <c r="D219" s="275"/>
    </row>
    <row r="220" spans="1:4" ht="15.75">
      <c r="A220" s="270" t="s">
        <v>129</v>
      </c>
      <c r="B220" s="288">
        <f>SUM(B216:B219)</f>
        <v>0</v>
      </c>
      <c r="C220" s="288">
        <f>SUM(C216:C219)</f>
        <v>0</v>
      </c>
      <c r="D220" s="288">
        <f>SUM(D216:D219)</f>
        <v>0</v>
      </c>
    </row>
    <row r="221" spans="1:4" ht="15.75">
      <c r="A221" s="293"/>
      <c r="B221" s="102"/>
      <c r="C221" s="102"/>
      <c r="D221" s="102"/>
    </row>
    <row r="222" spans="1:4" ht="15.75">
      <c r="A222" s="85"/>
      <c r="B222" s="275"/>
      <c r="C222" s="275"/>
      <c r="D222" s="275"/>
    </row>
    <row r="223" spans="1:4" ht="15.75">
      <c r="A223" s="270" t="s">
        <v>129</v>
      </c>
      <c r="B223" s="288">
        <f>B222</f>
        <v>0</v>
      </c>
      <c r="C223" s="288">
        <f>C222</f>
        <v>0</v>
      </c>
      <c r="D223" s="288">
        <f>D222</f>
        <v>0</v>
      </c>
    </row>
    <row r="224" spans="1:4" ht="15.75">
      <c r="A224" s="293"/>
      <c r="B224" s="102"/>
      <c r="C224" s="102"/>
      <c r="D224" s="102"/>
    </row>
    <row r="225" spans="1:4" ht="15.75">
      <c r="A225" s="85"/>
      <c r="B225" s="275"/>
      <c r="C225" s="275"/>
      <c r="D225" s="275"/>
    </row>
    <row r="226" spans="1:4" ht="15.75">
      <c r="A226" s="85"/>
      <c r="B226" s="275"/>
      <c r="C226" s="275"/>
      <c r="D226" s="275"/>
    </row>
    <row r="227" spans="1:4" ht="15.75">
      <c r="A227" s="85"/>
      <c r="B227" s="275"/>
      <c r="C227" s="275"/>
      <c r="D227" s="275"/>
    </row>
    <row r="228" spans="1:4" ht="15.75">
      <c r="A228" s="85"/>
      <c r="B228" s="275"/>
      <c r="C228" s="275"/>
      <c r="D228" s="275"/>
    </row>
    <row r="229" spans="1:4" ht="15.75">
      <c r="A229" s="270" t="s">
        <v>129</v>
      </c>
      <c r="B229" s="288">
        <f>SUM(B225:B228)</f>
        <v>0</v>
      </c>
      <c r="C229" s="288">
        <f>SUM(C225:C228)</f>
        <v>0</v>
      </c>
      <c r="D229" s="288">
        <f>SUM(D225:D228)</f>
        <v>0</v>
      </c>
    </row>
    <row r="230" spans="1:4" ht="15.75">
      <c r="A230" s="293"/>
      <c r="B230" s="102"/>
      <c r="C230" s="102"/>
      <c r="D230" s="102"/>
    </row>
    <row r="231" spans="1:4" ht="15.75">
      <c r="A231" s="85"/>
      <c r="B231" s="275"/>
      <c r="C231" s="275"/>
      <c r="D231" s="275"/>
    </row>
    <row r="232" spans="1:4" ht="15.75">
      <c r="A232" s="85"/>
      <c r="B232" s="275"/>
      <c r="C232" s="275"/>
      <c r="D232" s="275"/>
    </row>
    <row r="233" spans="1:4" ht="15.75">
      <c r="A233" s="85"/>
      <c r="B233" s="275"/>
      <c r="C233" s="275"/>
      <c r="D233" s="275"/>
    </row>
    <row r="234" spans="1:4" ht="15.75">
      <c r="A234" s="85"/>
      <c r="B234" s="275"/>
      <c r="C234" s="275"/>
      <c r="D234" s="275"/>
    </row>
    <row r="235" spans="1:4" ht="15.75">
      <c r="A235" s="270" t="s">
        <v>129</v>
      </c>
      <c r="B235" s="288">
        <f>SUM(B231:B234)</f>
        <v>0</v>
      </c>
      <c r="C235" s="288">
        <f>SUM(C231:C234)</f>
        <v>0</v>
      </c>
      <c r="D235" s="288">
        <f>SUM(D231:D234)</f>
        <v>0</v>
      </c>
    </row>
    <row r="236" spans="1:4" ht="15.75">
      <c r="A236" s="270"/>
      <c r="B236" s="288"/>
      <c r="C236" s="288"/>
      <c r="D236" s="288"/>
    </row>
    <row r="237" spans="1:4" ht="15.75">
      <c r="A237" s="270" t="s">
        <v>295</v>
      </c>
      <c r="B237" s="281">
        <f>B190+B196+B202+B208+B214+B220+B222+B229+B235</f>
        <v>0</v>
      </c>
      <c r="C237" s="281">
        <f>C190+C196+C202+C208+C214+C220+C222+C229+C235</f>
        <v>0</v>
      </c>
      <c r="D237" s="281">
        <f>D190+D196+D202+D208+D214+D220+D222+D229+D235</f>
        <v>0</v>
      </c>
    </row>
    <row r="238" spans="1:4" ht="15.75">
      <c r="A238" s="62"/>
      <c r="B238" s="201"/>
      <c r="C238" s="201"/>
      <c r="D238" s="201"/>
    </row>
    <row r="239" spans="1:4" ht="15.75">
      <c r="A239" s="837" t="s">
        <v>287</v>
      </c>
      <c r="B239" s="837"/>
      <c r="C239" s="837"/>
      <c r="D239" s="837"/>
    </row>
    <row r="240" spans="1:4" ht="15.75">
      <c r="A240" s="201" t="str">
        <f>inputPrYr!C2</f>
        <v>Marshall County</v>
      </c>
      <c r="B240" s="201"/>
      <c r="C240" s="61"/>
      <c r="D240" s="295">
        <f>D1</f>
        <v>2015</v>
      </c>
    </row>
    <row r="241" spans="1:4" ht="15.75">
      <c r="A241" s="62"/>
      <c r="B241" s="201"/>
      <c r="C241" s="201"/>
      <c r="D241" s="61"/>
    </row>
    <row r="242" spans="1:4" ht="15.75">
      <c r="A242" s="282" t="s">
        <v>235</v>
      </c>
      <c r="B242" s="296"/>
      <c r="C242" s="296"/>
      <c r="D242" s="296"/>
    </row>
    <row r="243" spans="1:4" ht="15.75">
      <c r="A243" s="62" t="s">
        <v>157</v>
      </c>
      <c r="B243" s="292" t="str">
        <f aca="true" t="shared" si="3" ref="B243:D244">B4</f>
        <v>Prior Year </v>
      </c>
      <c r="C243" s="188" t="str">
        <f t="shared" si="3"/>
        <v>Current Year </v>
      </c>
      <c r="D243" s="188" t="str">
        <f t="shared" si="3"/>
        <v>Proposed Budget </v>
      </c>
    </row>
    <row r="244" spans="1:4" ht="15.75">
      <c r="A244" s="89" t="s">
        <v>174</v>
      </c>
      <c r="B244" s="284" t="str">
        <f t="shared" si="3"/>
        <v>Actual for 2013</v>
      </c>
      <c r="C244" s="284" t="str">
        <f t="shared" si="3"/>
        <v>Estimate for 2014</v>
      </c>
      <c r="D244" s="284" t="str">
        <f t="shared" si="3"/>
        <v>Year for 2015</v>
      </c>
    </row>
    <row r="245" spans="1:4" ht="15.75">
      <c r="A245" s="231" t="s">
        <v>170</v>
      </c>
      <c r="B245" s="102"/>
      <c r="C245" s="102"/>
      <c r="D245" s="102"/>
    </row>
    <row r="246" spans="1:4" ht="15.75">
      <c r="A246" s="293"/>
      <c r="B246" s="102"/>
      <c r="C246" s="102"/>
      <c r="D246" s="102"/>
    </row>
    <row r="247" spans="1:4" ht="15.75">
      <c r="A247" s="85"/>
      <c r="B247" s="275"/>
      <c r="C247" s="275"/>
      <c r="D247" s="275"/>
    </row>
    <row r="248" spans="1:4" ht="15.75">
      <c r="A248" s="85"/>
      <c r="B248" s="275"/>
      <c r="C248" s="275"/>
      <c r="D248" s="275"/>
    </row>
    <row r="249" spans="1:4" ht="15.75">
      <c r="A249" s="85"/>
      <c r="B249" s="275"/>
      <c r="C249" s="275"/>
      <c r="D249" s="275"/>
    </row>
    <row r="250" spans="1:4" ht="15.75">
      <c r="A250" s="85"/>
      <c r="B250" s="275"/>
      <c r="C250" s="275"/>
      <c r="D250" s="275"/>
    </row>
    <row r="251" spans="1:4" ht="15.75">
      <c r="A251" s="270" t="s">
        <v>129</v>
      </c>
      <c r="B251" s="288">
        <f>SUM(B247:B250)</f>
        <v>0</v>
      </c>
      <c r="C251" s="288">
        <f>SUM(C247:C250)</f>
        <v>0</v>
      </c>
      <c r="D251" s="288">
        <f>SUM(D247:D250)</f>
        <v>0</v>
      </c>
    </row>
    <row r="252" spans="1:4" ht="15.75">
      <c r="A252" s="293"/>
      <c r="B252" s="102"/>
      <c r="C252" s="102"/>
      <c r="D252" s="102"/>
    </row>
    <row r="253" spans="1:4" ht="15.75">
      <c r="A253" s="85"/>
      <c r="B253" s="275"/>
      <c r="C253" s="275"/>
      <c r="D253" s="275"/>
    </row>
    <row r="254" spans="1:4" ht="15.75">
      <c r="A254" s="85"/>
      <c r="B254" s="275"/>
      <c r="C254" s="275"/>
      <c r="D254" s="275"/>
    </row>
    <row r="255" spans="1:4" ht="15.75">
      <c r="A255" s="85"/>
      <c r="B255" s="275"/>
      <c r="C255" s="275"/>
      <c r="D255" s="275"/>
    </row>
    <row r="256" spans="1:4" ht="15.75">
      <c r="A256" s="85"/>
      <c r="B256" s="275"/>
      <c r="C256" s="275"/>
      <c r="D256" s="275"/>
    </row>
    <row r="257" spans="1:4" ht="15.75">
      <c r="A257" s="270" t="s">
        <v>129</v>
      </c>
      <c r="B257" s="288">
        <f>SUM(B253:B256)</f>
        <v>0</v>
      </c>
      <c r="C257" s="288">
        <f>SUM(C253:C256)</f>
        <v>0</v>
      </c>
      <c r="D257" s="288">
        <f>SUM(D253:D256)</f>
        <v>0</v>
      </c>
    </row>
    <row r="258" spans="1:4" ht="15.75">
      <c r="A258" s="293"/>
      <c r="B258" s="102"/>
      <c r="C258" s="102"/>
      <c r="D258" s="102"/>
    </row>
    <row r="259" spans="1:4" ht="15.75">
      <c r="A259" s="85"/>
      <c r="B259" s="275"/>
      <c r="C259" s="275"/>
      <c r="D259" s="275"/>
    </row>
    <row r="260" spans="1:4" ht="15.75">
      <c r="A260" s="85"/>
      <c r="B260" s="275"/>
      <c r="C260" s="275"/>
      <c r="D260" s="275"/>
    </row>
    <row r="261" spans="1:4" ht="15.75">
      <c r="A261" s="85"/>
      <c r="B261" s="275"/>
      <c r="C261" s="275"/>
      <c r="D261" s="275"/>
    </row>
    <row r="262" spans="1:4" ht="15.75">
      <c r="A262" s="85"/>
      <c r="B262" s="275"/>
      <c r="C262" s="275"/>
      <c r="D262" s="275"/>
    </row>
    <row r="263" spans="1:4" ht="15.75">
      <c r="A263" s="270" t="s">
        <v>129</v>
      </c>
      <c r="B263" s="288">
        <f>SUM(B259:B262)</f>
        <v>0</v>
      </c>
      <c r="C263" s="288">
        <f>SUM(C259:C262)</f>
        <v>0</v>
      </c>
      <c r="D263" s="288">
        <f>SUM(D259:D262)</f>
        <v>0</v>
      </c>
    </row>
    <row r="264" spans="1:4" ht="15.75">
      <c r="A264" s="293"/>
      <c r="B264" s="102"/>
      <c r="C264" s="102"/>
      <c r="D264" s="102"/>
    </row>
    <row r="265" spans="1:4" ht="15.75">
      <c r="A265" s="85"/>
      <c r="B265" s="275"/>
      <c r="C265" s="275"/>
      <c r="D265" s="275"/>
    </row>
    <row r="266" spans="1:4" ht="15.75">
      <c r="A266" s="85"/>
      <c r="B266" s="275"/>
      <c r="C266" s="275"/>
      <c r="D266" s="275"/>
    </row>
    <row r="267" spans="1:4" ht="15.75">
      <c r="A267" s="85"/>
      <c r="B267" s="275"/>
      <c r="C267" s="275"/>
      <c r="D267" s="275"/>
    </row>
    <row r="268" spans="1:4" ht="15.75">
      <c r="A268" s="85"/>
      <c r="B268" s="275"/>
      <c r="C268" s="275"/>
      <c r="D268" s="275"/>
    </row>
    <row r="269" spans="1:4" ht="15.75">
      <c r="A269" s="270" t="s">
        <v>129</v>
      </c>
      <c r="B269" s="288">
        <f>SUM(B265:B268)</f>
        <v>0</v>
      </c>
      <c r="C269" s="288">
        <f>SUM(C265:C268)</f>
        <v>0</v>
      </c>
      <c r="D269" s="288">
        <f>SUM(D265:D268)</f>
        <v>0</v>
      </c>
    </row>
    <row r="270" spans="1:4" ht="15.75">
      <c r="A270" s="293"/>
      <c r="B270" s="102"/>
      <c r="C270" s="102"/>
      <c r="D270" s="102"/>
    </row>
    <row r="271" spans="1:4" ht="15.75">
      <c r="A271" s="85"/>
      <c r="B271" s="275"/>
      <c r="C271" s="275"/>
      <c r="D271" s="275"/>
    </row>
    <row r="272" spans="1:4" ht="15.75">
      <c r="A272" s="85"/>
      <c r="B272" s="275"/>
      <c r="C272" s="275"/>
      <c r="D272" s="275"/>
    </row>
    <row r="273" spans="1:4" ht="15.75">
      <c r="A273" s="270" t="s">
        <v>129</v>
      </c>
      <c r="B273" s="288">
        <f>SUM(B271:B272)</f>
        <v>0</v>
      </c>
      <c r="C273" s="288">
        <f>SUM(C271:C272)</f>
        <v>0</v>
      </c>
      <c r="D273" s="288">
        <f>SUM(D271:D272)</f>
        <v>0</v>
      </c>
    </row>
    <row r="274" spans="1:4" ht="15.75">
      <c r="A274" s="293"/>
      <c r="B274" s="102"/>
      <c r="C274" s="102"/>
      <c r="D274" s="102"/>
    </row>
    <row r="275" spans="1:4" ht="15.75">
      <c r="A275" s="85"/>
      <c r="B275" s="275"/>
      <c r="C275" s="275"/>
      <c r="D275" s="275"/>
    </row>
    <row r="276" spans="1:4" ht="15.75">
      <c r="A276" s="85"/>
      <c r="B276" s="275"/>
      <c r="C276" s="275"/>
      <c r="D276" s="275"/>
    </row>
    <row r="277" spans="1:4" ht="15.75">
      <c r="A277" s="85"/>
      <c r="B277" s="275"/>
      <c r="C277" s="275"/>
      <c r="D277" s="275"/>
    </row>
    <row r="278" spans="1:4" ht="15.75">
      <c r="A278" s="85"/>
      <c r="B278" s="275"/>
      <c r="C278" s="275"/>
      <c r="D278" s="275"/>
    </row>
    <row r="279" spans="1:4" ht="15.75">
      <c r="A279" s="270" t="s">
        <v>129</v>
      </c>
      <c r="B279" s="288">
        <f>SUM(B275:B278)</f>
        <v>0</v>
      </c>
      <c r="C279" s="288">
        <f>SUM(C275:C278)</f>
        <v>0</v>
      </c>
      <c r="D279" s="288">
        <f>SUM(D275:D278)</f>
        <v>0</v>
      </c>
    </row>
    <row r="280" spans="1:4" ht="15.75">
      <c r="A280" s="293"/>
      <c r="B280" s="102"/>
      <c r="C280" s="102"/>
      <c r="D280" s="102"/>
    </row>
    <row r="281" spans="1:4" ht="15.75">
      <c r="A281" s="85"/>
      <c r="B281" s="275"/>
      <c r="C281" s="275"/>
      <c r="D281" s="275"/>
    </row>
    <row r="282" spans="1:4" ht="15.75">
      <c r="A282" s="85"/>
      <c r="B282" s="275"/>
      <c r="C282" s="275"/>
      <c r="D282" s="275"/>
    </row>
    <row r="283" spans="1:4" ht="15.75">
      <c r="A283" s="85"/>
      <c r="B283" s="275"/>
      <c r="C283" s="275"/>
      <c r="D283" s="275"/>
    </row>
    <row r="284" spans="1:4" ht="15.75">
      <c r="A284" s="85"/>
      <c r="B284" s="275"/>
      <c r="C284" s="275"/>
      <c r="D284" s="275"/>
    </row>
    <row r="285" spans="1:4" ht="15.75">
      <c r="A285" s="270" t="s">
        <v>129</v>
      </c>
      <c r="B285" s="288">
        <f>SUM(B281:B284)</f>
        <v>0</v>
      </c>
      <c r="C285" s="288">
        <f>SUM(C281:C284)</f>
        <v>0</v>
      </c>
      <c r="D285" s="288">
        <f>SUM(D281:D284)</f>
        <v>0</v>
      </c>
    </row>
    <row r="286" spans="1:4" ht="15.75">
      <c r="A286" s="270"/>
      <c r="B286" s="102"/>
      <c r="C286" s="102"/>
      <c r="D286" s="102"/>
    </row>
    <row r="287" spans="1:4" ht="15.75">
      <c r="A287" s="270" t="s">
        <v>296</v>
      </c>
      <c r="B287" s="288">
        <f>B251+B257+B263+B269+B273+B279+B285</f>
        <v>0</v>
      </c>
      <c r="C287" s="288">
        <f>C251+C257+C263+C269+C273+C279+C285</f>
        <v>0</v>
      </c>
      <c r="D287" s="288">
        <f>D251+D257+D263+D269+D273+D279+D285</f>
        <v>0</v>
      </c>
    </row>
    <row r="288" spans="1:4" ht="15.75">
      <c r="A288" s="270"/>
      <c r="B288" s="102"/>
      <c r="C288" s="102"/>
      <c r="D288" s="102"/>
    </row>
    <row r="289" spans="1:4" ht="15.75">
      <c r="A289" s="270" t="s">
        <v>297</v>
      </c>
      <c r="B289" s="288">
        <f>B57</f>
        <v>1705175</v>
      </c>
      <c r="C289" s="288">
        <f>C57</f>
        <v>1990761</v>
      </c>
      <c r="D289" s="288">
        <f>D57</f>
        <v>2034759</v>
      </c>
    </row>
    <row r="290" spans="1:4" ht="15.75">
      <c r="A290" s="62"/>
      <c r="B290" s="102"/>
      <c r="C290" s="102"/>
      <c r="D290" s="102"/>
    </row>
    <row r="291" spans="1:4" ht="15.75">
      <c r="A291" s="270" t="s">
        <v>298</v>
      </c>
      <c r="B291" s="288">
        <f>B116</f>
        <v>380641</v>
      </c>
      <c r="C291" s="288">
        <f>C116</f>
        <v>836560</v>
      </c>
      <c r="D291" s="288">
        <f>D116</f>
        <v>823460</v>
      </c>
    </row>
    <row r="292" spans="1:4" ht="15.75">
      <c r="A292" s="62"/>
      <c r="B292" s="102"/>
      <c r="C292" s="102"/>
      <c r="D292" s="102"/>
    </row>
    <row r="293" spans="1:4" ht="15.75">
      <c r="A293" s="270" t="s">
        <v>294</v>
      </c>
      <c r="B293" s="288">
        <f>B176</f>
        <v>0</v>
      </c>
      <c r="C293" s="288">
        <f>C176</f>
        <v>0</v>
      </c>
      <c r="D293" s="288">
        <f>D176</f>
        <v>0</v>
      </c>
    </row>
    <row r="294" spans="1:4" ht="15.75">
      <c r="A294" s="62"/>
      <c r="B294" s="102"/>
      <c r="C294" s="102"/>
      <c r="D294" s="102"/>
    </row>
    <row r="295" spans="1:4" ht="15.75">
      <c r="A295" s="270" t="s">
        <v>295</v>
      </c>
      <c r="B295" s="288">
        <f>B237</f>
        <v>0</v>
      </c>
      <c r="C295" s="288">
        <f>C237</f>
        <v>0</v>
      </c>
      <c r="D295" s="288">
        <f>D237</f>
        <v>0</v>
      </c>
    </row>
    <row r="296" spans="1:4" ht="15.75">
      <c r="A296" s="62"/>
      <c r="B296" s="102"/>
      <c r="C296" s="102"/>
      <c r="D296" s="102"/>
    </row>
    <row r="297" spans="1:4" ht="16.5" thickBot="1">
      <c r="A297" s="231" t="s">
        <v>31</v>
      </c>
      <c r="B297" s="298">
        <f>SUM(B287:B296)</f>
        <v>2085816</v>
      </c>
      <c r="C297" s="298">
        <f>SUM(C287:C296)</f>
        <v>2827321</v>
      </c>
      <c r="D297" s="298">
        <f>SUM(D287:D296)</f>
        <v>2858219</v>
      </c>
    </row>
    <row r="298" spans="1:4" ht="16.5" thickTop="1">
      <c r="A298" s="299" t="s">
        <v>32</v>
      </c>
      <c r="B298" s="300"/>
      <c r="C298" s="300"/>
      <c r="D298" s="300"/>
    </row>
    <row r="299" spans="1:4" ht="15.75">
      <c r="A299" s="837" t="s">
        <v>299</v>
      </c>
      <c r="B299" s="837"/>
      <c r="C299" s="837"/>
      <c r="D299" s="837"/>
    </row>
    <row r="300" spans="2:4" ht="15.75">
      <c r="B300" s="301"/>
      <c r="C300" s="301"/>
      <c r="D300" s="301"/>
    </row>
    <row r="301" spans="2:4" ht="15.75">
      <c r="B301" s="301"/>
      <c r="C301" s="301"/>
      <c r="D301" s="301"/>
    </row>
    <row r="302" spans="2:4" ht="15.75">
      <c r="B302" s="301"/>
      <c r="C302" s="301"/>
      <c r="D302" s="301"/>
    </row>
    <row r="303" spans="2:4" ht="15.75">
      <c r="B303" s="301"/>
      <c r="C303" s="301"/>
      <c r="D303" s="301"/>
    </row>
    <row r="304" spans="2:4" ht="15.75">
      <c r="B304" s="301"/>
      <c r="C304" s="301"/>
      <c r="D304" s="301"/>
    </row>
    <row r="305" spans="2:4" ht="15.75">
      <c r="B305" s="301"/>
      <c r="C305" s="301"/>
      <c r="D305" s="301"/>
    </row>
    <row r="306" spans="2:4" ht="15.75">
      <c r="B306" s="301"/>
      <c r="C306" s="301"/>
      <c r="D306" s="301"/>
    </row>
    <row r="307" spans="2:4" ht="15.75">
      <c r="B307" s="301"/>
      <c r="C307" s="301"/>
      <c r="D307" s="301"/>
    </row>
    <row r="308" spans="2:4" ht="15.75">
      <c r="B308" s="301"/>
      <c r="C308" s="301"/>
      <c r="D308" s="301"/>
    </row>
    <row r="309" spans="2:4" ht="15.75">
      <c r="B309" s="301"/>
      <c r="C309" s="301"/>
      <c r="D309" s="301"/>
    </row>
    <row r="310" spans="2:4" ht="15.75">
      <c r="B310" s="301"/>
      <c r="C310" s="301"/>
      <c r="D310" s="301"/>
    </row>
    <row r="311" spans="2:4" ht="15.75">
      <c r="B311" s="301"/>
      <c r="C311" s="301"/>
      <c r="D311" s="301"/>
    </row>
    <row r="312" spans="2:4" ht="15.75">
      <c r="B312" s="301"/>
      <c r="C312" s="301"/>
      <c r="D312" s="301"/>
    </row>
    <row r="313" spans="2:4" ht="15.75">
      <c r="B313" s="301"/>
      <c r="C313" s="301"/>
      <c r="D313" s="301"/>
    </row>
    <row r="314" spans="2:4" ht="15.75">
      <c r="B314" s="301"/>
      <c r="C314" s="301"/>
      <c r="D314" s="301"/>
    </row>
    <row r="315" spans="2:4" ht="15.75">
      <c r="B315" s="301"/>
      <c r="C315" s="301"/>
      <c r="D315" s="301"/>
    </row>
    <row r="316" spans="2:4" ht="15.75">
      <c r="B316" s="301"/>
      <c r="C316" s="301"/>
      <c r="D316" s="301"/>
    </row>
    <row r="317" spans="2:4" ht="15.75">
      <c r="B317" s="301"/>
      <c r="C317" s="301"/>
      <c r="D317" s="301"/>
    </row>
    <row r="318" spans="2:4" ht="15.75">
      <c r="B318" s="301"/>
      <c r="C318" s="301"/>
      <c r="D318" s="301"/>
    </row>
    <row r="319" spans="2:4" ht="15.75">
      <c r="B319" s="301"/>
      <c r="C319" s="301"/>
      <c r="D319" s="301"/>
    </row>
    <row r="320" spans="2:4" ht="15.75">
      <c r="B320" s="301"/>
      <c r="C320" s="301"/>
      <c r="D320" s="301"/>
    </row>
    <row r="321" spans="2:4" ht="15.75">
      <c r="B321" s="301"/>
      <c r="C321" s="301"/>
      <c r="D321" s="301"/>
    </row>
    <row r="322" spans="2:4" ht="15.75">
      <c r="B322" s="301"/>
      <c r="C322" s="301"/>
      <c r="D322" s="301"/>
    </row>
    <row r="323" spans="2:4" ht="15.75">
      <c r="B323" s="301"/>
      <c r="C323" s="301"/>
      <c r="D323" s="301"/>
    </row>
    <row r="324" spans="2:4" ht="15.75">
      <c r="B324" s="301"/>
      <c r="C324" s="301"/>
      <c r="D324" s="301"/>
    </row>
    <row r="325" spans="2:4" ht="15.75">
      <c r="B325" s="301"/>
      <c r="C325" s="301"/>
      <c r="D325" s="301"/>
    </row>
    <row r="326" spans="2:4" ht="15.75">
      <c r="B326" s="301"/>
      <c r="C326" s="301"/>
      <c r="D326" s="301"/>
    </row>
    <row r="327" spans="2:4" ht="15.75">
      <c r="B327" s="301"/>
      <c r="C327" s="301"/>
      <c r="D327" s="301"/>
    </row>
    <row r="328" spans="2:4" ht="15.75">
      <c r="B328" s="301"/>
      <c r="C328" s="301"/>
      <c r="D328" s="301"/>
    </row>
    <row r="329" spans="2:4" ht="15.75">
      <c r="B329" s="301"/>
      <c r="C329" s="301"/>
      <c r="D329" s="301"/>
    </row>
    <row r="330" spans="2:4" ht="15.75">
      <c r="B330" s="301"/>
      <c r="C330" s="301"/>
      <c r="D330" s="301"/>
    </row>
    <row r="331" spans="2:4" ht="15.75">
      <c r="B331" s="301"/>
      <c r="C331" s="301"/>
      <c r="D331" s="301"/>
    </row>
    <row r="332" spans="2:4" ht="15.75">
      <c r="B332" s="301"/>
      <c r="C332" s="301"/>
      <c r="D332" s="301"/>
    </row>
    <row r="333" spans="2:4" ht="15.75">
      <c r="B333" s="301"/>
      <c r="C333" s="301"/>
      <c r="D333" s="301"/>
    </row>
    <row r="334" spans="2:4" ht="15.75">
      <c r="B334" s="301"/>
      <c r="C334" s="301"/>
      <c r="D334" s="301"/>
    </row>
    <row r="335" spans="2:4" ht="15.75">
      <c r="B335" s="301"/>
      <c r="C335" s="301"/>
      <c r="D335" s="301"/>
    </row>
    <row r="336" spans="2:4" ht="15.75">
      <c r="B336" s="301"/>
      <c r="C336" s="301"/>
      <c r="D336" s="301"/>
    </row>
    <row r="337" spans="2:4" ht="15.75">
      <c r="B337" s="301"/>
      <c r="C337" s="301"/>
      <c r="D337" s="301"/>
    </row>
    <row r="338" spans="2:4" ht="15.75">
      <c r="B338" s="301"/>
      <c r="C338" s="301"/>
      <c r="D338" s="301"/>
    </row>
    <row r="339" spans="2:4" ht="15.75">
      <c r="B339" s="301"/>
      <c r="C339" s="301"/>
      <c r="D339" s="301"/>
    </row>
    <row r="340" spans="2:4" ht="15.75">
      <c r="B340" s="301"/>
      <c r="C340" s="301"/>
      <c r="D340" s="301"/>
    </row>
    <row r="341" spans="2:4" ht="15.75">
      <c r="B341" s="301"/>
      <c r="C341" s="301"/>
      <c r="D341" s="301"/>
    </row>
    <row r="342" spans="2:4" ht="15.75">
      <c r="B342" s="301"/>
      <c r="C342" s="301"/>
      <c r="D342" s="301"/>
    </row>
    <row r="343" spans="2:4" ht="15.75">
      <c r="B343" s="301"/>
      <c r="C343" s="301"/>
      <c r="D343" s="301"/>
    </row>
    <row r="344" spans="2:4" ht="15.75">
      <c r="B344" s="301"/>
      <c r="C344" s="301"/>
      <c r="D344" s="301"/>
    </row>
    <row r="345" spans="2:4" ht="15.75">
      <c r="B345" s="301"/>
      <c r="C345" s="301"/>
      <c r="D345" s="301"/>
    </row>
    <row r="346" spans="2:4" ht="15.75">
      <c r="B346" s="301"/>
      <c r="C346" s="301"/>
      <c r="D346" s="301"/>
    </row>
    <row r="347" spans="2:4" ht="15.75">
      <c r="B347" s="301"/>
      <c r="C347" s="301"/>
      <c r="D347" s="301"/>
    </row>
    <row r="348" spans="2:4" ht="15.75">
      <c r="B348" s="301"/>
      <c r="C348" s="301"/>
      <c r="D348" s="301"/>
    </row>
    <row r="349" spans="2:4" ht="15.75">
      <c r="B349" s="301"/>
      <c r="C349" s="301"/>
      <c r="D349" s="301"/>
    </row>
    <row r="350" spans="2:4" ht="15.75">
      <c r="B350" s="301"/>
      <c r="C350" s="301"/>
      <c r="D350" s="301"/>
    </row>
    <row r="351" spans="2:4" ht="15.75">
      <c r="B351" s="301"/>
      <c r="C351" s="301"/>
      <c r="D351" s="301"/>
    </row>
    <row r="352" spans="2:4" ht="15.75">
      <c r="B352" s="301"/>
      <c r="C352" s="301"/>
      <c r="D352" s="301"/>
    </row>
    <row r="353" spans="2:4" ht="15.75">
      <c r="B353" s="301"/>
      <c r="C353" s="301"/>
      <c r="D353" s="301"/>
    </row>
    <row r="354" spans="2:4" ht="15.75">
      <c r="B354" s="301"/>
      <c r="C354" s="301"/>
      <c r="D354" s="301"/>
    </row>
    <row r="355" spans="2:4" ht="15.75">
      <c r="B355" s="301"/>
      <c r="C355" s="301"/>
      <c r="D355" s="301"/>
    </row>
    <row r="356" spans="2:4" ht="15.75">
      <c r="B356" s="301"/>
      <c r="C356" s="301"/>
      <c r="D356" s="301"/>
    </row>
    <row r="357" spans="2:4" ht="15.75">
      <c r="B357" s="301"/>
      <c r="C357" s="301"/>
      <c r="D357" s="301"/>
    </row>
    <row r="358" spans="2:4" ht="15.75">
      <c r="B358" s="301"/>
      <c r="C358" s="301"/>
      <c r="D358" s="301"/>
    </row>
    <row r="359" spans="2:4" ht="15.75">
      <c r="B359" s="301"/>
      <c r="C359" s="301"/>
      <c r="D359" s="301"/>
    </row>
    <row r="360" spans="2:4" ht="15.75">
      <c r="B360" s="301"/>
      <c r="C360" s="301"/>
      <c r="D360" s="301"/>
    </row>
    <row r="361" spans="2:4" ht="15.75">
      <c r="B361" s="301"/>
      <c r="C361" s="301"/>
      <c r="D361" s="301"/>
    </row>
    <row r="362" spans="2:4" ht="15.75">
      <c r="B362" s="301"/>
      <c r="C362" s="301"/>
      <c r="D362" s="301"/>
    </row>
    <row r="363" spans="2:4" ht="15.75">
      <c r="B363" s="301"/>
      <c r="C363" s="301"/>
      <c r="D363" s="301"/>
    </row>
    <row r="364" spans="2:4" ht="15.75">
      <c r="B364" s="301"/>
      <c r="C364" s="301"/>
      <c r="D364" s="301"/>
    </row>
    <row r="365" spans="2:4" ht="15.75">
      <c r="B365" s="301"/>
      <c r="C365" s="301"/>
      <c r="D365" s="301"/>
    </row>
    <row r="366" spans="2:4" ht="15.75">
      <c r="B366" s="301"/>
      <c r="C366" s="301"/>
      <c r="D366" s="301"/>
    </row>
    <row r="367" spans="2:4" ht="15.75">
      <c r="B367" s="301"/>
      <c r="C367" s="301"/>
      <c r="D367" s="301"/>
    </row>
    <row r="368" spans="2:4" ht="15.75">
      <c r="B368" s="301"/>
      <c r="C368" s="301"/>
      <c r="D368" s="301"/>
    </row>
    <row r="369" spans="2:4" ht="15.75">
      <c r="B369" s="301"/>
      <c r="C369" s="301"/>
      <c r="D369" s="301"/>
    </row>
    <row r="370" spans="2:4" ht="15.75">
      <c r="B370" s="301"/>
      <c r="C370" s="301"/>
      <c r="D370" s="301"/>
    </row>
    <row r="371" spans="2:4" ht="15.75">
      <c r="B371" s="301"/>
      <c r="C371" s="301"/>
      <c r="D371" s="301"/>
    </row>
    <row r="372" spans="2:4" ht="15.75">
      <c r="B372" s="301"/>
      <c r="C372" s="301"/>
      <c r="D372" s="301"/>
    </row>
    <row r="373" spans="2:4" ht="15.75">
      <c r="B373" s="301"/>
      <c r="C373" s="301"/>
      <c r="D373" s="301"/>
    </row>
    <row r="374" spans="2:4" ht="15.75">
      <c r="B374" s="301"/>
      <c r="C374" s="301"/>
      <c r="D374" s="301"/>
    </row>
    <row r="375" spans="2:4" ht="15.75">
      <c r="B375" s="301"/>
      <c r="C375" s="301"/>
      <c r="D375" s="301"/>
    </row>
    <row r="376" spans="2:4" ht="15.75">
      <c r="B376" s="301"/>
      <c r="C376" s="301"/>
      <c r="D376" s="301"/>
    </row>
    <row r="377" spans="2:4" ht="15.75">
      <c r="B377" s="301"/>
      <c r="C377" s="301"/>
      <c r="D377" s="301"/>
    </row>
    <row r="378" spans="2:4" ht="15.75">
      <c r="B378" s="301"/>
      <c r="C378" s="301"/>
      <c r="D378" s="301"/>
    </row>
    <row r="379" spans="2:4" ht="15.75">
      <c r="B379" s="301"/>
      <c r="C379" s="301"/>
      <c r="D379" s="301"/>
    </row>
    <row r="380" spans="2:4" ht="15.75">
      <c r="B380" s="301"/>
      <c r="C380" s="301"/>
      <c r="D380" s="301"/>
    </row>
    <row r="381" spans="2:4" ht="15.75">
      <c r="B381" s="301"/>
      <c r="C381" s="301"/>
      <c r="D381" s="301"/>
    </row>
    <row r="382" spans="2:4" ht="15.75">
      <c r="B382" s="301"/>
      <c r="C382" s="301"/>
      <c r="D382" s="301"/>
    </row>
    <row r="383" spans="2:4" ht="15.75">
      <c r="B383" s="301"/>
      <c r="C383" s="301"/>
      <c r="D383" s="301"/>
    </row>
    <row r="384" spans="2:4" ht="15.75">
      <c r="B384" s="301"/>
      <c r="C384" s="301"/>
      <c r="D384" s="301"/>
    </row>
    <row r="385" spans="2:4" ht="15.75">
      <c r="B385" s="301"/>
      <c r="C385" s="301"/>
      <c r="D385" s="301"/>
    </row>
    <row r="386" spans="2:4" ht="15.75">
      <c r="B386" s="301"/>
      <c r="C386" s="301"/>
      <c r="D386" s="301"/>
    </row>
    <row r="387" spans="2:4" ht="15.75">
      <c r="B387" s="301"/>
      <c r="C387" s="301"/>
      <c r="D387" s="301"/>
    </row>
    <row r="388" spans="2:4" ht="15.75">
      <c r="B388" s="301"/>
      <c r="C388" s="301"/>
      <c r="D388" s="301"/>
    </row>
    <row r="389" spans="2:4" ht="15.75">
      <c r="B389" s="301"/>
      <c r="C389" s="301"/>
      <c r="D389" s="301"/>
    </row>
    <row r="390" spans="2:4" ht="15.75">
      <c r="B390" s="301"/>
      <c r="C390" s="301"/>
      <c r="D390" s="301"/>
    </row>
    <row r="391" spans="2:4" ht="15.75">
      <c r="B391" s="301"/>
      <c r="C391" s="301"/>
      <c r="D391" s="301"/>
    </row>
    <row r="392" spans="2:4" ht="15.75">
      <c r="B392" s="301"/>
      <c r="C392" s="301"/>
      <c r="D392" s="301"/>
    </row>
    <row r="393" spans="2:4" ht="15.75">
      <c r="B393" s="301"/>
      <c r="C393" s="301"/>
      <c r="D393" s="301"/>
    </row>
    <row r="394" spans="2:4" ht="15.75">
      <c r="B394" s="301"/>
      <c r="C394" s="301"/>
      <c r="D394" s="301"/>
    </row>
    <row r="395" spans="2:4" ht="15.75">
      <c r="B395" s="301"/>
      <c r="C395" s="301"/>
      <c r="D395" s="301"/>
    </row>
    <row r="396" spans="2:4" ht="15.75">
      <c r="B396" s="301"/>
      <c r="C396" s="301"/>
      <c r="D396" s="301"/>
    </row>
    <row r="397" spans="2:4" ht="15.75">
      <c r="B397" s="301"/>
      <c r="C397" s="301"/>
      <c r="D397" s="301"/>
    </row>
    <row r="398" spans="2:4" ht="15.75">
      <c r="B398" s="301"/>
      <c r="C398" s="301"/>
      <c r="D398" s="301"/>
    </row>
    <row r="399" spans="2:4" ht="15.75">
      <c r="B399" s="301"/>
      <c r="C399" s="301"/>
      <c r="D399" s="301"/>
    </row>
    <row r="400" spans="2:4" ht="15.75">
      <c r="B400" s="301"/>
      <c r="C400" s="301"/>
      <c r="D400" s="301"/>
    </row>
    <row r="401" spans="2:4" ht="15.75">
      <c r="B401" s="301"/>
      <c r="C401" s="301"/>
      <c r="D401" s="301"/>
    </row>
    <row r="402" spans="2:4" ht="15.75">
      <c r="B402" s="301"/>
      <c r="C402" s="301"/>
      <c r="D402" s="301"/>
    </row>
  </sheetData>
  <sheetProtection sheet="1"/>
  <mergeCells count="5">
    <mergeCell ref="A299:D299"/>
    <mergeCell ref="A59:D59"/>
    <mergeCell ref="A118:D118"/>
    <mergeCell ref="A178:D178"/>
    <mergeCell ref="A239:D239"/>
  </mergeCells>
  <printOptions/>
  <pageMargins left="1.12" right="0.5" top="0.74" bottom="0.34" header="0.5" footer="0"/>
  <pageSetup blackAndWhite="1" horizontalDpi="120" verticalDpi="120" orientation="portrait" scale="71" r:id="rId1"/>
  <headerFooter alignWithMargins="0">
    <oddHeader>&amp;RState of Kansas
County
</oddHeader>
  </headerFooter>
  <rowBreaks count="4" manualBreakCount="4">
    <brk id="59" max="255" man="1"/>
    <brk id="118" max="3" man="1"/>
    <brk id="178" max="255" man="1"/>
    <brk id="239" max="255" man="1"/>
  </rowBreaks>
</worksheet>
</file>

<file path=xl/worksheets/sheet15.xml><?xml version="1.0" encoding="utf-8"?>
<worksheet xmlns="http://schemas.openxmlformats.org/spreadsheetml/2006/main" xmlns:r="http://schemas.openxmlformats.org/officeDocument/2006/relationships">
  <sheetPr>
    <pageSetUpPr fitToPage="1"/>
  </sheetPr>
  <dimension ref="B1:K71"/>
  <sheetViews>
    <sheetView zoomScalePageLayoutView="0" workbookViewId="0" topLeftCell="A25">
      <selection activeCell="C59" sqref="C59"/>
    </sheetView>
  </sheetViews>
  <sheetFormatPr defaultColWidth="8.796875" defaultRowHeight="15"/>
  <cols>
    <col min="1" max="1" width="2.3984375" style="118" customWidth="1"/>
    <col min="2" max="2" width="31.09765625" style="118" customWidth="1"/>
    <col min="3" max="4" width="16.19921875" style="118" customWidth="1"/>
    <col min="5" max="5" width="16.296875" style="118" customWidth="1"/>
    <col min="6" max="6" width="7.3984375" style="118" customWidth="1"/>
    <col min="7" max="7" width="10.19921875" style="118" customWidth="1"/>
    <col min="8" max="8" width="8.8984375" style="118" customWidth="1"/>
    <col min="9" max="9" width="5" style="118" customWidth="1"/>
    <col min="10" max="10" width="10" style="118" customWidth="1"/>
    <col min="11" max="16384" width="8.8984375" style="118" customWidth="1"/>
  </cols>
  <sheetData>
    <row r="1" spans="2:5" ht="15.75">
      <c r="B1" s="201" t="str">
        <f>inputPrYr!C2</f>
        <v>Marshall County</v>
      </c>
      <c r="C1" s="62"/>
      <c r="D1" s="62"/>
      <c r="E1" s="223">
        <f>inputPrYr!$C$4</f>
        <v>2015</v>
      </c>
    </row>
    <row r="2" spans="2:5" ht="15.75">
      <c r="B2" s="62"/>
      <c r="C2" s="62"/>
      <c r="D2" s="62"/>
      <c r="E2" s="208"/>
    </row>
    <row r="3" spans="2:5" ht="15.75">
      <c r="B3" s="127" t="s">
        <v>239</v>
      </c>
      <c r="C3" s="302"/>
      <c r="D3" s="302"/>
      <c r="E3" s="303"/>
    </row>
    <row r="4" spans="2:5" ht="15.75">
      <c r="B4" s="62"/>
      <c r="C4" s="296"/>
      <c r="D4" s="296"/>
      <c r="E4" s="296"/>
    </row>
    <row r="5" spans="2:5" ht="15.75">
      <c r="B5" s="61" t="s">
        <v>157</v>
      </c>
      <c r="C5" s="666" t="s">
        <v>812</v>
      </c>
      <c r="D5" s="667" t="s">
        <v>813</v>
      </c>
      <c r="E5" s="188" t="s">
        <v>814</v>
      </c>
    </row>
    <row r="6" spans="2:5" ht="15.75">
      <c r="B6" s="447" t="str">
        <f>inputPrYr!B17</f>
        <v>Debt Service</v>
      </c>
      <c r="C6" s="420" t="str">
        <f>CONCATENATE("Actual for ",E1-2,"")</f>
        <v>Actual for 2013</v>
      </c>
      <c r="D6" s="420" t="str">
        <f>CONCATENATE("Estimate for ",E1-1,"")</f>
        <v>Estimate for 2014</v>
      </c>
      <c r="E6" s="271" t="str">
        <f>CONCATENATE("Year for ",E1,"")</f>
        <v>Year for 2015</v>
      </c>
    </row>
    <row r="7" spans="2:5" ht="15.75">
      <c r="B7" s="123" t="s">
        <v>272</v>
      </c>
      <c r="C7" s="424">
        <v>10750</v>
      </c>
      <c r="D7" s="426">
        <f>C51</f>
        <v>22383</v>
      </c>
      <c r="E7" s="304">
        <f>D51</f>
        <v>11782</v>
      </c>
    </row>
    <row r="8" spans="2:5" ht="15.75">
      <c r="B8" s="305" t="s">
        <v>274</v>
      </c>
      <c r="C8" s="425"/>
      <c r="D8" s="426"/>
      <c r="E8" s="304"/>
    </row>
    <row r="9" spans="2:5" ht="15.75">
      <c r="B9" s="123" t="s">
        <v>158</v>
      </c>
      <c r="C9" s="417">
        <v>8247</v>
      </c>
      <c r="D9" s="423">
        <f>IF(inputPrYr!H17&gt;0,inputPrYr!H17,inputPrYr!E17)</f>
        <v>3557</v>
      </c>
      <c r="E9" s="306" t="s">
        <v>145</v>
      </c>
    </row>
    <row r="10" spans="2:5" ht="15.75">
      <c r="B10" s="123" t="s">
        <v>159</v>
      </c>
      <c r="C10" s="417">
        <v>227</v>
      </c>
      <c r="D10" s="417"/>
      <c r="E10" s="307"/>
    </row>
    <row r="11" spans="2:5" ht="15.75">
      <c r="B11" s="123" t="s">
        <v>160</v>
      </c>
      <c r="C11" s="417">
        <v>2475</v>
      </c>
      <c r="D11" s="417">
        <v>786</v>
      </c>
      <c r="E11" s="308">
        <f>mvalloc!E8</f>
        <v>327</v>
      </c>
    </row>
    <row r="12" spans="2:5" ht="15.75">
      <c r="B12" s="123" t="s">
        <v>161</v>
      </c>
      <c r="C12" s="417">
        <v>34</v>
      </c>
      <c r="D12" s="417">
        <v>13</v>
      </c>
      <c r="E12" s="308">
        <f>mvalloc!F8</f>
        <v>5</v>
      </c>
    </row>
    <row r="13" spans="2:5" ht="15.75">
      <c r="B13" s="309" t="s">
        <v>263</v>
      </c>
      <c r="C13" s="417">
        <v>833</v>
      </c>
      <c r="D13" s="417">
        <v>109</v>
      </c>
      <c r="E13" s="308">
        <f>mvalloc!G8</f>
        <v>20</v>
      </c>
    </row>
    <row r="14" spans="2:5" ht="15.75">
      <c r="B14" s="310"/>
      <c r="C14" s="417"/>
      <c r="D14" s="417"/>
      <c r="E14" s="311"/>
    </row>
    <row r="15" spans="2:5" ht="15.75">
      <c r="B15" s="310"/>
      <c r="C15" s="417"/>
      <c r="D15" s="417"/>
      <c r="E15" s="307"/>
    </row>
    <row r="16" spans="2:5" ht="15.75">
      <c r="B16" s="310"/>
      <c r="C16" s="417"/>
      <c r="D16" s="417"/>
      <c r="E16" s="307"/>
    </row>
    <row r="17" spans="2:5" ht="15.75">
      <c r="B17" s="310"/>
      <c r="C17" s="417"/>
      <c r="D17" s="417"/>
      <c r="E17" s="307"/>
    </row>
    <row r="18" spans="2:5" ht="15.75">
      <c r="B18" s="310"/>
      <c r="C18" s="417"/>
      <c r="D18" s="417"/>
      <c r="E18" s="307"/>
    </row>
    <row r="19" spans="2:5" ht="15.75">
      <c r="B19" s="310"/>
      <c r="C19" s="417"/>
      <c r="D19" s="417"/>
      <c r="E19" s="307"/>
    </row>
    <row r="20" spans="2:5" ht="15.75">
      <c r="B20" s="310"/>
      <c r="C20" s="417"/>
      <c r="D20" s="417"/>
      <c r="E20" s="307"/>
    </row>
    <row r="21" spans="2:5" ht="15.75">
      <c r="B21" s="310"/>
      <c r="C21" s="417"/>
      <c r="D21" s="417"/>
      <c r="E21" s="307"/>
    </row>
    <row r="22" spans="2:5" ht="15.75">
      <c r="B22" s="310" t="s">
        <v>312</v>
      </c>
      <c r="C22" s="417"/>
      <c r="D22" s="417"/>
      <c r="E22" s="307"/>
    </row>
    <row r="23" spans="2:5" ht="15.75">
      <c r="B23" s="312" t="s">
        <v>165</v>
      </c>
      <c r="C23" s="417"/>
      <c r="D23" s="417"/>
      <c r="E23" s="307"/>
    </row>
    <row r="24" spans="2:5" ht="15.75">
      <c r="B24" s="278" t="s">
        <v>72</v>
      </c>
      <c r="C24" s="417"/>
      <c r="D24" s="417"/>
      <c r="E24" s="307"/>
    </row>
    <row r="25" spans="2:5" ht="15.75">
      <c r="B25" s="278" t="s">
        <v>73</v>
      </c>
      <c r="C25" s="418">
        <f>IF(C26*0.1&lt;C24,"Exceed 10% Rule","")</f>
      </c>
      <c r="D25" s="418">
        <f>IF(D26*0.1&lt;D24,"Exceed 10% Rule","")</f>
      </c>
      <c r="E25" s="313">
        <f>IF(E26*0.1+E57&lt;E24,"Exceed 10% Rule","")</f>
      </c>
    </row>
    <row r="26" spans="2:5" ht="15.75">
      <c r="B26" s="280" t="s">
        <v>166</v>
      </c>
      <c r="C26" s="427">
        <f>SUM(C9:C24)</f>
        <v>11816</v>
      </c>
      <c r="D26" s="428">
        <f>SUM(D9:D24)</f>
        <v>4465</v>
      </c>
      <c r="E26" s="314">
        <f>SUM(E9:E24)</f>
        <v>352</v>
      </c>
    </row>
    <row r="27" spans="2:5" ht="15.75">
      <c r="B27" s="280" t="s">
        <v>167</v>
      </c>
      <c r="C27" s="428">
        <f>C7+C26</f>
        <v>22566</v>
      </c>
      <c r="D27" s="428">
        <f>D7+D26</f>
        <v>26848</v>
      </c>
      <c r="E27" s="315">
        <f>E7+E26</f>
        <v>12134</v>
      </c>
    </row>
    <row r="28" spans="2:5" ht="15.75">
      <c r="B28" s="305" t="s">
        <v>170</v>
      </c>
      <c r="C28" s="425"/>
      <c r="D28" s="425"/>
      <c r="E28" s="308"/>
    </row>
    <row r="29" spans="2:5" ht="15.75">
      <c r="B29" s="287" t="s">
        <v>223</v>
      </c>
      <c r="C29" s="417"/>
      <c r="D29" s="417"/>
      <c r="E29" s="307"/>
    </row>
    <row r="30" spans="2:5" ht="15.75">
      <c r="B30" s="287" t="s">
        <v>1031</v>
      </c>
      <c r="C30" s="417"/>
      <c r="D30" s="417"/>
      <c r="E30" s="307"/>
    </row>
    <row r="31" spans="2:5" ht="15.75">
      <c r="B31" s="287" t="s">
        <v>1032</v>
      </c>
      <c r="C31" s="417"/>
      <c r="D31" s="417"/>
      <c r="E31" s="307"/>
    </row>
    <row r="32" spans="2:5" ht="15.75">
      <c r="B32" s="287" t="s">
        <v>1033</v>
      </c>
      <c r="C32" s="417"/>
      <c r="D32" s="417"/>
      <c r="E32" s="307"/>
    </row>
    <row r="33" spans="2:5" ht="15.75">
      <c r="B33" s="287" t="s">
        <v>1034</v>
      </c>
      <c r="C33" s="417"/>
      <c r="D33" s="417">
        <v>15000</v>
      </c>
      <c r="E33" s="307">
        <v>15000</v>
      </c>
    </row>
    <row r="34" spans="2:5" ht="15.75">
      <c r="B34" s="287"/>
      <c r="C34" s="417"/>
      <c r="D34" s="417"/>
      <c r="E34" s="307"/>
    </row>
    <row r="35" spans="2:5" ht="15.75">
      <c r="B35" s="287"/>
      <c r="C35" s="417"/>
      <c r="D35" s="417"/>
      <c r="E35" s="307"/>
    </row>
    <row r="36" spans="2:5" ht="15.75">
      <c r="B36" s="287"/>
      <c r="C36" s="417"/>
      <c r="D36" s="417"/>
      <c r="E36" s="307"/>
    </row>
    <row r="37" spans="2:5" ht="15.75">
      <c r="B37" s="287"/>
      <c r="C37" s="417"/>
      <c r="D37" s="417"/>
      <c r="E37" s="307"/>
    </row>
    <row r="38" spans="2:5" ht="15.75">
      <c r="B38" s="287"/>
      <c r="C38" s="417"/>
      <c r="D38" s="417"/>
      <c r="E38" s="307"/>
    </row>
    <row r="39" spans="2:5" ht="15.75">
      <c r="B39" s="287"/>
      <c r="C39" s="417"/>
      <c r="D39" s="417"/>
      <c r="E39" s="307"/>
    </row>
    <row r="40" spans="2:5" ht="15.75">
      <c r="B40" s="287"/>
      <c r="C40" s="417"/>
      <c r="D40" s="417"/>
      <c r="E40" s="307"/>
    </row>
    <row r="41" spans="2:5" ht="15.75">
      <c r="B41" s="287"/>
      <c r="C41" s="417"/>
      <c r="D41" s="417"/>
      <c r="E41" s="307"/>
    </row>
    <row r="42" spans="2:10" ht="15.75">
      <c r="B42" s="287"/>
      <c r="C42" s="417"/>
      <c r="D42" s="417"/>
      <c r="E42" s="307"/>
      <c r="G42" s="832" t="str">
        <f>CONCATENATE("Desired Carryover Into ",E1+1,"")</f>
        <v>Desired Carryover Into 2016</v>
      </c>
      <c r="H42" s="833"/>
      <c r="I42" s="833"/>
      <c r="J42" s="804"/>
    </row>
    <row r="43" spans="2:10" ht="15.75">
      <c r="B43" s="287"/>
      <c r="C43" s="417"/>
      <c r="D43" s="417"/>
      <c r="E43" s="307"/>
      <c r="G43" s="613"/>
      <c r="H43" s="614"/>
      <c r="I43" s="615"/>
      <c r="J43" s="616"/>
    </row>
    <row r="44" spans="2:10" ht="15.75">
      <c r="B44" s="287"/>
      <c r="C44" s="417"/>
      <c r="D44" s="417"/>
      <c r="E44" s="307"/>
      <c r="G44" s="617" t="s">
        <v>660</v>
      </c>
      <c r="H44" s="615"/>
      <c r="I44" s="615"/>
      <c r="J44" s="618">
        <v>0</v>
      </c>
    </row>
    <row r="45" spans="2:10" ht="15.75">
      <c r="B45" s="287"/>
      <c r="C45" s="417"/>
      <c r="D45" s="417"/>
      <c r="E45" s="307"/>
      <c r="G45" s="613" t="s">
        <v>661</v>
      </c>
      <c r="H45" s="614"/>
      <c r="I45" s="614"/>
      <c r="J45" s="619">
        <f>IF(J44=0,"",ROUND((J44+E57-G57)/inputOth!E6*1000,3)-G62)</f>
      </c>
    </row>
    <row r="46" spans="2:10" ht="15.75">
      <c r="B46" s="287"/>
      <c r="C46" s="417"/>
      <c r="D46" s="417"/>
      <c r="E46" s="307"/>
      <c r="G46" s="620" t="str">
        <f>CONCATENATE("",E1," Tot Exp/Non-Appr Must Be:")</f>
        <v>2015 Tot Exp/Non-Appr Must Be:</v>
      </c>
      <c r="H46" s="621"/>
      <c r="I46" s="622"/>
      <c r="J46" s="623">
        <f>IF(J44&gt;0,IF(E54&lt;E27,IF(J44=G57,E54,((J44-G57)*(1-D56))+E27),E54+(J44-G57)),0)</f>
        <v>0</v>
      </c>
    </row>
    <row r="47" spans="2:10" ht="15.75">
      <c r="B47" s="278" t="s">
        <v>74</v>
      </c>
      <c r="C47" s="417">
        <v>183</v>
      </c>
      <c r="D47" s="417">
        <v>66</v>
      </c>
      <c r="E47" s="288">
        <f>Nhood!E7</f>
        <v>45</v>
      </c>
      <c r="G47" s="624" t="s">
        <v>810</v>
      </c>
      <c r="H47" s="625"/>
      <c r="I47" s="625"/>
      <c r="J47" s="626">
        <f>IF(J44&gt;0,J46-E54,0)</f>
        <v>0</v>
      </c>
    </row>
    <row r="48" spans="2:5" ht="15.75">
      <c r="B48" s="278" t="s">
        <v>72</v>
      </c>
      <c r="C48" s="417"/>
      <c r="D48" s="417"/>
      <c r="E48" s="307"/>
    </row>
    <row r="49" spans="2:10" ht="15.75">
      <c r="B49" s="278" t="s">
        <v>75</v>
      </c>
      <c r="C49" s="418">
        <f>IF(C50*0.1&lt;C48,"Exceed 10% Rule","")</f>
      </c>
      <c r="D49" s="418">
        <f>IF(D50*0.1&lt;D48,"Exceed 10% Rule","")</f>
      </c>
      <c r="E49" s="313">
        <f>IF(E50*0.1&lt;E48,"Exceed 10% Rule","")</f>
      </c>
      <c r="G49" s="826" t="str">
        <f>CONCATENATE("Projected Carryover Into ",E1+1,"")</f>
        <v>Projected Carryover Into 2016</v>
      </c>
      <c r="H49" s="833"/>
      <c r="I49" s="833"/>
      <c r="J49" s="804"/>
    </row>
    <row r="50" spans="2:10" ht="15.75">
      <c r="B50" s="280" t="s">
        <v>171</v>
      </c>
      <c r="C50" s="427">
        <f>SUM(C29:C48)</f>
        <v>183</v>
      </c>
      <c r="D50" s="428">
        <f>SUM(D29:D48)</f>
        <v>15066</v>
      </c>
      <c r="E50" s="314">
        <f>SUM(E29:E48)</f>
        <v>15045</v>
      </c>
      <c r="G50" s="437"/>
      <c r="H50" s="462"/>
      <c r="I50" s="462"/>
      <c r="J50" s="627"/>
    </row>
    <row r="51" spans="2:10" ht="15.75">
      <c r="B51" s="123" t="s">
        <v>273</v>
      </c>
      <c r="C51" s="429">
        <f>C27-C50</f>
        <v>22383</v>
      </c>
      <c r="D51" s="429">
        <f>D27-D50</f>
        <v>11782</v>
      </c>
      <c r="E51" s="306" t="s">
        <v>145</v>
      </c>
      <c r="G51" s="466">
        <f>D51</f>
        <v>11782</v>
      </c>
      <c r="H51" s="464" t="str">
        <f>CONCATENATE("",E1-1," Ending Cash Balance (est.)")</f>
        <v>2014 Ending Cash Balance (est.)</v>
      </c>
      <c r="I51" s="463"/>
      <c r="J51" s="628"/>
    </row>
    <row r="52" spans="2:10" ht="15.75">
      <c r="B52" s="270" t="str">
        <f>CONCATENATE("",E1-2,"/",E1-1,"/",E1," Budget Authority Amount:")</f>
        <v>2013/2014/2015 Budget Authority Amount:</v>
      </c>
      <c r="C52" s="308">
        <f>inputOth!B31</f>
        <v>10000</v>
      </c>
      <c r="D52" s="308">
        <f>inputPrYr!D17</f>
        <v>15066</v>
      </c>
      <c r="E52" s="234">
        <f>E50</f>
        <v>15045</v>
      </c>
      <c r="F52" s="316"/>
      <c r="G52" s="466">
        <f>E26</f>
        <v>352</v>
      </c>
      <c r="H52" s="462" t="str">
        <f>CONCATENATE("",E1," Non-AV Receipts (est.)")</f>
        <v>2015 Non-AV Receipts (est.)</v>
      </c>
      <c r="I52" s="462"/>
      <c r="J52" s="627"/>
    </row>
    <row r="53" spans="2:11" ht="15.75">
      <c r="B53" s="256"/>
      <c r="C53" s="822" t="s">
        <v>657</v>
      </c>
      <c r="D53" s="823"/>
      <c r="E53" s="87"/>
      <c r="F53" s="435">
        <f>IF(E50/0.95-E50&lt;E53,"Exceeds 5%","")</f>
      </c>
      <c r="G53" s="461">
        <f>IF(E56&gt;0,E55,E57)</f>
        <v>2911</v>
      </c>
      <c r="H53" s="462" t="str">
        <f>CONCATENATE("",E1," Ad Valorem Tax (est.)")</f>
        <v>2015 Ad Valorem Tax (est.)</v>
      </c>
      <c r="I53" s="462"/>
      <c r="J53" s="627"/>
      <c r="K53" s="629">
        <f>IF(G53=E57,"","Note: Does not include Delinquent Taxes")</f>
      </c>
    </row>
    <row r="54" spans="2:10" ht="15.75">
      <c r="B54" s="469" t="str">
        <f>CONCATENATE(C70,"     ",D70)</f>
        <v>     </v>
      </c>
      <c r="C54" s="824" t="s">
        <v>658</v>
      </c>
      <c r="D54" s="825"/>
      <c r="E54" s="234">
        <f>E50+E53</f>
        <v>15045</v>
      </c>
      <c r="G54" s="466">
        <f>SUM(G51:G53)</f>
        <v>15045</v>
      </c>
      <c r="H54" s="462" t="str">
        <f>CONCATENATE("Total ",E1," Resources Available")</f>
        <v>Total 2015 Resources Available</v>
      </c>
      <c r="I54" s="463"/>
      <c r="J54" s="628"/>
    </row>
    <row r="55" spans="2:10" ht="15.75">
      <c r="B55" s="469" t="str">
        <f>CONCATENATE(C71,"     ",D71)</f>
        <v>     </v>
      </c>
      <c r="C55" s="290"/>
      <c r="D55" s="208" t="s">
        <v>172</v>
      </c>
      <c r="E55" s="95">
        <f>IF(E54-E27&gt;0,E54-E27,0)</f>
        <v>2911</v>
      </c>
      <c r="G55" s="460"/>
      <c r="H55" s="462"/>
      <c r="I55" s="462"/>
      <c r="J55" s="627"/>
    </row>
    <row r="56" spans="2:10" ht="15.75">
      <c r="B56" s="208"/>
      <c r="C56" s="467" t="s">
        <v>659</v>
      </c>
      <c r="D56" s="612">
        <f>inputOth!$E$23</f>
        <v>0</v>
      </c>
      <c r="E56" s="234">
        <f>ROUND(IF(D56&gt;0,(E55*D56),0),0)</f>
        <v>0</v>
      </c>
      <c r="G56" s="461">
        <f>C50</f>
        <v>183</v>
      </c>
      <c r="H56" s="462" t="str">
        <f>CONCATENATE("Less ",E1-2," Expenditures")</f>
        <v>Less 2013 Expenditures</v>
      </c>
      <c r="I56" s="462"/>
      <c r="J56" s="627"/>
    </row>
    <row r="57" spans="2:10" ht="15.75">
      <c r="B57" s="62"/>
      <c r="C57" s="830" t="str">
        <f>CONCATENATE("Amount of  ",$E$1-1," Ad Valorem Tax")</f>
        <v>Amount of  2014 Ad Valorem Tax</v>
      </c>
      <c r="D57" s="831"/>
      <c r="E57" s="317">
        <f>E55+E56</f>
        <v>2911</v>
      </c>
      <c r="G57" s="662">
        <f>G54-G56</f>
        <v>14862</v>
      </c>
      <c r="H57" s="436" t="str">
        <f>CONCATENATE("Projected ",E1+1," carryover (est.)")</f>
        <v>Projected 2016 carryover (est.)</v>
      </c>
      <c r="I57" s="439"/>
      <c r="J57" s="630"/>
    </row>
    <row r="58" spans="2:5" ht="15.75">
      <c r="B58" s="208"/>
      <c r="C58" s="62"/>
      <c r="D58" s="62"/>
      <c r="E58" s="62"/>
    </row>
    <row r="59" spans="2:10" ht="15.75">
      <c r="B59" s="256" t="s">
        <v>192</v>
      </c>
      <c r="C59" s="318">
        <v>8</v>
      </c>
      <c r="D59" s="62"/>
      <c r="E59" s="62"/>
      <c r="G59" s="834" t="s">
        <v>811</v>
      </c>
      <c r="H59" s="835"/>
      <c r="I59" s="835"/>
      <c r="J59" s="836"/>
    </row>
    <row r="60" spans="7:10" ht="15.75">
      <c r="G60" s="631"/>
      <c r="H60" s="632"/>
      <c r="I60" s="633"/>
      <c r="J60" s="634"/>
    </row>
    <row r="61" spans="7:10" ht="15.75">
      <c r="G61" s="635">
        <f>summ!H17</f>
        <v>0.022</v>
      </c>
      <c r="H61" s="632" t="str">
        <f>CONCATENATE("",E1," Fund Mill Rate")</f>
        <v>2015 Fund Mill Rate</v>
      </c>
      <c r="I61" s="633"/>
      <c r="J61" s="634"/>
    </row>
    <row r="62" spans="7:10" ht="15.75">
      <c r="G62" s="636">
        <f>summ!E17</f>
        <v>0.029</v>
      </c>
      <c r="H62" s="632" t="str">
        <f>CONCATENATE("",E1-1," Fund Mill Rate")</f>
        <v>2014 Fund Mill Rate</v>
      </c>
      <c r="I62" s="633"/>
      <c r="J62" s="634"/>
    </row>
    <row r="63" spans="7:10" ht="15.75">
      <c r="G63" s="637">
        <f>summ!H61</f>
        <v>51.98700000000003</v>
      </c>
      <c r="H63" s="632" t="str">
        <f>CONCATENATE("Total ",E1," Mill Rate")</f>
        <v>Total 2015 Mill Rate</v>
      </c>
      <c r="I63" s="633"/>
      <c r="J63" s="634"/>
    </row>
    <row r="64" spans="7:10" ht="15.75">
      <c r="G64" s="636">
        <f>summ!E61</f>
        <v>51.56499999999999</v>
      </c>
      <c r="H64" s="638" t="str">
        <f>CONCATENATE("Total ",E1-1," Mill Rate")</f>
        <v>Total 2014 Mill Rate</v>
      </c>
      <c r="I64" s="639"/>
      <c r="J64" s="640"/>
    </row>
    <row r="66" spans="7:9" ht="15.75">
      <c r="G66" s="724" t="s">
        <v>886</v>
      </c>
      <c r="H66" s="690"/>
      <c r="I66" s="689" t="str">
        <f>cert!E69</f>
        <v>Yes</v>
      </c>
    </row>
    <row r="70" spans="3:4" ht="15.75" hidden="1">
      <c r="C70" s="118">
        <f>IF(C50&gt;C52,"SeeTab A","")</f>
      </c>
      <c r="D70" s="118">
        <f>IF(D50&gt;D52,"See Tab C","")</f>
      </c>
    </row>
    <row r="71" spans="3:4" ht="15.75" hidden="1">
      <c r="C71" s="118">
        <f>IF(C51&lt;0,"See Tab B","")</f>
      </c>
      <c r="D71" s="118">
        <f>IF(D51&lt;0,"See Tab D","")</f>
      </c>
    </row>
  </sheetData>
  <sheetProtection sheet="1"/>
  <mergeCells count="6">
    <mergeCell ref="G59:J59"/>
    <mergeCell ref="C53:D53"/>
    <mergeCell ref="C54:D54"/>
    <mergeCell ref="C57:D57"/>
    <mergeCell ref="G42:J42"/>
    <mergeCell ref="G49:J49"/>
  </mergeCells>
  <conditionalFormatting sqref="E48">
    <cfRule type="cellIs" priority="2" dxfId="408" operator="greaterThan" stopIfTrue="1">
      <formula>$E$50*0.1</formula>
    </cfRule>
  </conditionalFormatting>
  <conditionalFormatting sqref="E53">
    <cfRule type="cellIs" priority="3" dxfId="408" operator="greaterThan" stopIfTrue="1">
      <formula>$E$50/0.95-$E$50</formula>
    </cfRule>
  </conditionalFormatting>
  <conditionalFormatting sqref="C51">
    <cfRule type="cellIs" priority="4" dxfId="2" operator="lessThan" stopIfTrue="1">
      <formula>0</formula>
    </cfRule>
  </conditionalFormatting>
  <conditionalFormatting sqref="C50">
    <cfRule type="cellIs" priority="5" dxfId="2" operator="greaterThan" stopIfTrue="1">
      <formula>$C$52</formula>
    </cfRule>
  </conditionalFormatting>
  <conditionalFormatting sqref="D50">
    <cfRule type="cellIs" priority="6" dxfId="2" operator="greaterThan" stopIfTrue="1">
      <formula>$D$52</formula>
    </cfRule>
  </conditionalFormatting>
  <conditionalFormatting sqref="C24">
    <cfRule type="cellIs" priority="7" dxfId="2" operator="greaterThan" stopIfTrue="1">
      <formula>$C$26*0.1</formula>
    </cfRule>
  </conditionalFormatting>
  <conditionalFormatting sqref="D24">
    <cfRule type="cellIs" priority="8" dxfId="2" operator="greaterThan" stopIfTrue="1">
      <formula>$D$26*0.1</formula>
    </cfRule>
  </conditionalFormatting>
  <conditionalFormatting sqref="E24">
    <cfRule type="cellIs" priority="9" dxfId="408" operator="greaterThan" stopIfTrue="1">
      <formula>$E$26*0.1+E57</formula>
    </cfRule>
  </conditionalFormatting>
  <conditionalFormatting sqref="C48">
    <cfRule type="cellIs" priority="10" dxfId="2" operator="greaterThan" stopIfTrue="1">
      <formula>$C$50*0.1</formula>
    </cfRule>
  </conditionalFormatting>
  <conditionalFormatting sqref="D48">
    <cfRule type="cellIs" priority="11" dxfId="2" operator="greaterThan" stopIfTrue="1">
      <formula>$D$50*0.1</formula>
    </cfRule>
  </conditionalFormatting>
  <conditionalFormatting sqref="D51">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0" r:id="rId1"/>
  <headerFooter alignWithMargins="0">
    <oddHeader>&amp;RState of Kansas
County</oddHeader>
  </headerFooter>
</worksheet>
</file>

<file path=xl/worksheets/sheet16.xml><?xml version="1.0" encoding="utf-8"?>
<worksheet xmlns="http://schemas.openxmlformats.org/spreadsheetml/2006/main" xmlns:r="http://schemas.openxmlformats.org/officeDocument/2006/relationships">
  <dimension ref="B1:K130"/>
  <sheetViews>
    <sheetView zoomScalePageLayoutView="0" workbookViewId="0" topLeftCell="A1">
      <selection activeCell="E14" sqref="E14"/>
    </sheetView>
  </sheetViews>
  <sheetFormatPr defaultColWidth="8.796875" defaultRowHeight="15"/>
  <cols>
    <col min="1" max="1" width="2.3984375" style="50" customWidth="1"/>
    <col min="2" max="2" width="31.09765625" style="50" customWidth="1"/>
    <col min="3" max="4" width="15.796875" style="50" customWidth="1"/>
    <col min="5" max="5" width="16.19921875" style="50" customWidth="1"/>
    <col min="6" max="6" width="7.3984375" style="50" customWidth="1"/>
    <col min="7" max="7" width="10.19921875" style="50" customWidth="1"/>
    <col min="8" max="8" width="8.8984375" style="50" customWidth="1"/>
    <col min="9" max="9" width="5" style="50" customWidth="1"/>
    <col min="10" max="10" width="10" style="50" customWidth="1"/>
    <col min="11" max="16384" width="8.8984375" style="50" customWidth="1"/>
  </cols>
  <sheetData>
    <row r="1" spans="2:5" ht="15.75">
      <c r="B1" s="201" t="str">
        <f>inputPrYr!C2</f>
        <v>Marshall County</v>
      </c>
      <c r="C1" s="62"/>
      <c r="D1" s="62"/>
      <c r="E1" s="255">
        <f>inputPrYr!C4</f>
        <v>2015</v>
      </c>
    </row>
    <row r="2" spans="2:5" ht="15.75">
      <c r="B2" s="62"/>
      <c r="C2" s="62"/>
      <c r="D2" s="62"/>
      <c r="E2" s="208"/>
    </row>
    <row r="3" spans="2:5" ht="15.75">
      <c r="B3" s="127" t="s">
        <v>239</v>
      </c>
      <c r="C3" s="62"/>
      <c r="D3" s="62"/>
      <c r="E3" s="269"/>
    </row>
    <row r="4" spans="2:5" ht="15.75">
      <c r="B4" s="270" t="s">
        <v>157</v>
      </c>
      <c r="C4" s="666" t="s">
        <v>812</v>
      </c>
      <c r="D4" s="667" t="s">
        <v>813</v>
      </c>
      <c r="E4" s="188" t="s">
        <v>814</v>
      </c>
    </row>
    <row r="5" spans="2:5" ht="15.75">
      <c r="B5" s="447" t="str">
        <f>inputPrYr!B18</f>
        <v>Road &amp; Bridge</v>
      </c>
      <c r="C5" s="420" t="str">
        <f>CONCATENATE("Actual for ",E1-2,"")</f>
        <v>Actual for 2013</v>
      </c>
      <c r="D5" s="420" t="str">
        <f>CONCATENATE("Estimate for ",E1-1,"")</f>
        <v>Estimate for 2014</v>
      </c>
      <c r="E5" s="271" t="str">
        <f>CONCATENATE("Year for ",E1,"")</f>
        <v>Year for 2015</v>
      </c>
    </row>
    <row r="6" spans="2:5" ht="15.75">
      <c r="B6" s="272" t="s">
        <v>272</v>
      </c>
      <c r="C6" s="417">
        <v>484514</v>
      </c>
      <c r="D6" s="421">
        <f>C112</f>
        <v>582656</v>
      </c>
      <c r="E6" s="234">
        <f>D112</f>
        <v>202295</v>
      </c>
    </row>
    <row r="7" spans="2:5" ht="15.75">
      <c r="B7" s="259" t="s">
        <v>274</v>
      </c>
      <c r="C7" s="274"/>
      <c r="D7" s="274"/>
      <c r="E7" s="102"/>
    </row>
    <row r="8" spans="2:5" ht="15.75">
      <c r="B8" s="272" t="s">
        <v>158</v>
      </c>
      <c r="C8" s="417">
        <v>1893023</v>
      </c>
      <c r="D8" s="421">
        <f>IF(inputPrYr!H18&gt;0,inputPrYr!H18,inputPrYr!E18)</f>
        <v>1484495</v>
      </c>
      <c r="E8" s="194" t="s">
        <v>145</v>
      </c>
    </row>
    <row r="9" spans="2:5" ht="15.75">
      <c r="B9" s="272" t="s">
        <v>159</v>
      </c>
      <c r="C9" s="417">
        <v>13676</v>
      </c>
      <c r="D9" s="417"/>
      <c r="E9" s="275"/>
    </row>
    <row r="10" spans="2:5" ht="15.75">
      <c r="B10" s="272" t="s">
        <v>160</v>
      </c>
      <c r="C10" s="417">
        <v>175754</v>
      </c>
      <c r="D10" s="417">
        <v>179931</v>
      </c>
      <c r="E10" s="102">
        <f>mvalloc!E9</f>
        <v>136400</v>
      </c>
    </row>
    <row r="11" spans="2:5" ht="15.75">
      <c r="B11" s="272" t="s">
        <v>161</v>
      </c>
      <c r="C11" s="417">
        <v>2731</v>
      </c>
      <c r="D11" s="417">
        <v>2930</v>
      </c>
      <c r="E11" s="102">
        <f>mvalloc!F9</f>
        <v>1983</v>
      </c>
    </row>
    <row r="12" spans="2:5" ht="15.75">
      <c r="B12" s="274" t="s">
        <v>263</v>
      </c>
      <c r="C12" s="417">
        <v>21287</v>
      </c>
      <c r="D12" s="417">
        <v>24937</v>
      </c>
      <c r="E12" s="102">
        <f>mvalloc!G9</f>
        <v>8146</v>
      </c>
    </row>
    <row r="13" spans="2:5" ht="15.75">
      <c r="B13" s="319" t="s">
        <v>7</v>
      </c>
      <c r="C13" s="417">
        <v>459258</v>
      </c>
      <c r="D13" s="417">
        <v>375000</v>
      </c>
      <c r="E13" s="122">
        <v>375000</v>
      </c>
    </row>
    <row r="14" spans="2:5" ht="15.75">
      <c r="B14" s="319" t="s">
        <v>8</v>
      </c>
      <c r="C14" s="417">
        <v>4536</v>
      </c>
      <c r="D14" s="417"/>
      <c r="E14" s="122"/>
    </row>
    <row r="15" spans="2:5" ht="15.75">
      <c r="B15" s="319" t="s">
        <v>1035</v>
      </c>
      <c r="C15" s="417">
        <v>77674</v>
      </c>
      <c r="D15" s="417">
        <v>50000</v>
      </c>
      <c r="E15" s="122">
        <v>50000</v>
      </c>
    </row>
    <row r="16" spans="2:5" ht="15.75">
      <c r="B16" s="320" t="s">
        <v>1036</v>
      </c>
      <c r="C16" s="417"/>
      <c r="D16" s="417"/>
      <c r="E16" s="122"/>
    </row>
    <row r="17" spans="2:5" ht="15.75">
      <c r="B17" s="276"/>
      <c r="C17" s="417"/>
      <c r="D17" s="417"/>
      <c r="E17" s="275"/>
    </row>
    <row r="18" spans="2:5" ht="15.75">
      <c r="B18" s="276"/>
      <c r="C18" s="417"/>
      <c r="D18" s="417"/>
      <c r="E18" s="275"/>
    </row>
    <row r="19" spans="2:5" ht="15.75">
      <c r="B19" s="276"/>
      <c r="C19" s="417"/>
      <c r="D19" s="417"/>
      <c r="E19" s="275"/>
    </row>
    <row r="20" spans="2:5" ht="15.75">
      <c r="B20" s="277"/>
      <c r="C20" s="417"/>
      <c r="D20" s="417"/>
      <c r="E20" s="275"/>
    </row>
    <row r="21" spans="2:5" ht="15.75">
      <c r="B21" s="277"/>
      <c r="C21" s="417"/>
      <c r="D21" s="417"/>
      <c r="E21" s="275"/>
    </row>
    <row r="22" spans="2:5" ht="15.75">
      <c r="B22" s="276"/>
      <c r="C22" s="417"/>
      <c r="D22" s="417"/>
      <c r="E22" s="275"/>
    </row>
    <row r="23" spans="2:5" ht="15.75">
      <c r="B23" s="276"/>
      <c r="C23" s="417"/>
      <c r="D23" s="417"/>
      <c r="E23" s="275"/>
    </row>
    <row r="24" spans="2:5" ht="15.75">
      <c r="B24" s="276"/>
      <c r="C24" s="417"/>
      <c r="D24" s="417"/>
      <c r="E24" s="275"/>
    </row>
    <row r="25" spans="2:5" ht="15.75">
      <c r="B25" s="276"/>
      <c r="C25" s="417"/>
      <c r="D25" s="417"/>
      <c r="E25" s="275"/>
    </row>
    <row r="26" spans="2:5" ht="15.75">
      <c r="B26" s="276"/>
      <c r="C26" s="417"/>
      <c r="D26" s="417"/>
      <c r="E26" s="275"/>
    </row>
    <row r="27" spans="2:5" ht="15.75">
      <c r="B27" s="276"/>
      <c r="C27" s="417"/>
      <c r="D27" s="417"/>
      <c r="E27" s="275"/>
    </row>
    <row r="28" spans="2:5" ht="15.75">
      <c r="B28" s="276"/>
      <c r="C28" s="417"/>
      <c r="D28" s="417"/>
      <c r="E28" s="275"/>
    </row>
    <row r="29" spans="2:5" ht="15.75">
      <c r="B29" s="276"/>
      <c r="C29" s="417"/>
      <c r="D29" s="417"/>
      <c r="E29" s="275"/>
    </row>
    <row r="30" spans="2:5" ht="15.75">
      <c r="B30" s="276"/>
      <c r="C30" s="417"/>
      <c r="D30" s="417"/>
      <c r="E30" s="275"/>
    </row>
    <row r="31" spans="2:5" ht="15.75">
      <c r="B31" s="276"/>
      <c r="C31" s="417"/>
      <c r="D31" s="417"/>
      <c r="E31" s="275"/>
    </row>
    <row r="32" spans="2:5" ht="15.75">
      <c r="B32" s="276"/>
      <c r="C32" s="417"/>
      <c r="D32" s="417"/>
      <c r="E32" s="275"/>
    </row>
    <row r="33" spans="2:5" ht="15.75">
      <c r="B33" s="276"/>
      <c r="C33" s="417"/>
      <c r="D33" s="417"/>
      <c r="E33" s="275"/>
    </row>
    <row r="34" spans="2:5" ht="15.75">
      <c r="B34" s="276"/>
      <c r="C34" s="417"/>
      <c r="D34" s="417"/>
      <c r="E34" s="275"/>
    </row>
    <row r="35" spans="2:5" ht="15.75">
      <c r="B35" s="276"/>
      <c r="C35" s="417"/>
      <c r="D35" s="417"/>
      <c r="E35" s="275"/>
    </row>
    <row r="36" spans="2:5" ht="15.75">
      <c r="B36" s="276"/>
      <c r="C36" s="417"/>
      <c r="D36" s="417"/>
      <c r="E36" s="275"/>
    </row>
    <row r="37" spans="2:5" ht="15.75">
      <c r="B37" s="276"/>
      <c r="C37" s="417"/>
      <c r="D37" s="417"/>
      <c r="E37" s="275"/>
    </row>
    <row r="38" spans="2:5" ht="15.75">
      <c r="B38" s="276"/>
      <c r="C38" s="417"/>
      <c r="D38" s="417"/>
      <c r="E38" s="275"/>
    </row>
    <row r="39" spans="2:5" ht="15.75">
      <c r="B39" s="276"/>
      <c r="C39" s="417"/>
      <c r="D39" s="417"/>
      <c r="E39" s="275"/>
    </row>
    <row r="40" spans="2:5" ht="15.75">
      <c r="B40" s="276"/>
      <c r="C40" s="417"/>
      <c r="D40" s="417"/>
      <c r="E40" s="275"/>
    </row>
    <row r="41" spans="2:5" ht="15.75">
      <c r="B41" s="276"/>
      <c r="C41" s="417"/>
      <c r="D41" s="417"/>
      <c r="E41" s="275"/>
    </row>
    <row r="42" spans="2:5" ht="15.75">
      <c r="B42" s="276"/>
      <c r="C42" s="417"/>
      <c r="D42" s="417"/>
      <c r="E42" s="275"/>
    </row>
    <row r="43" spans="2:5" ht="15.75">
      <c r="B43" s="276"/>
      <c r="C43" s="417"/>
      <c r="D43" s="417"/>
      <c r="E43" s="275"/>
    </row>
    <row r="44" spans="2:5" ht="15.75">
      <c r="B44" s="276"/>
      <c r="C44" s="417"/>
      <c r="D44" s="417"/>
      <c r="E44" s="275"/>
    </row>
    <row r="45" spans="2:5" ht="15.75">
      <c r="B45" s="276"/>
      <c r="C45" s="417"/>
      <c r="D45" s="417"/>
      <c r="E45" s="275"/>
    </row>
    <row r="46" spans="2:5" ht="15.75">
      <c r="B46" s="276"/>
      <c r="C46" s="417"/>
      <c r="D46" s="417"/>
      <c r="E46" s="275"/>
    </row>
    <row r="47" spans="2:5" ht="15.75">
      <c r="B47" s="276"/>
      <c r="C47" s="417"/>
      <c r="D47" s="417"/>
      <c r="E47" s="275"/>
    </row>
    <row r="48" spans="2:5" ht="15.75">
      <c r="B48" s="276"/>
      <c r="C48" s="417"/>
      <c r="D48" s="417"/>
      <c r="E48" s="275"/>
    </row>
    <row r="49" spans="2:5" ht="15.75">
      <c r="B49" s="276"/>
      <c r="C49" s="417"/>
      <c r="D49" s="417"/>
      <c r="E49" s="275"/>
    </row>
    <row r="50" spans="2:5" ht="15.75">
      <c r="B50" s="276"/>
      <c r="C50" s="417"/>
      <c r="D50" s="417"/>
      <c r="E50" s="275"/>
    </row>
    <row r="51" spans="2:5" ht="15.75">
      <c r="B51" s="277" t="s">
        <v>165</v>
      </c>
      <c r="C51" s="417"/>
      <c r="D51" s="417"/>
      <c r="E51" s="275"/>
    </row>
    <row r="52" spans="2:5" ht="15.75">
      <c r="B52" s="278" t="s">
        <v>72</v>
      </c>
      <c r="C52" s="417">
        <v>24311</v>
      </c>
      <c r="D52" s="417"/>
      <c r="E52" s="275"/>
    </row>
    <row r="53" spans="2:5" ht="15.75">
      <c r="B53" s="278" t="s">
        <v>654</v>
      </c>
      <c r="C53" s="418">
        <f>IF(C54*0.1&lt;C52,"Exceed 10% Rule","")</f>
      </c>
      <c r="D53" s="418">
        <f>IF(D54*0.1&lt;D52,"Exceed 10% Rule","")</f>
      </c>
      <c r="E53" s="313">
        <f>IF(E54*0.1+E118&lt;E52,"Exceed 10% Rule","")</f>
      </c>
    </row>
    <row r="54" spans="2:5" ht="15.75">
      <c r="B54" s="280" t="s">
        <v>166</v>
      </c>
      <c r="C54" s="419">
        <f>SUM(C8:C52)</f>
        <v>2672250</v>
      </c>
      <c r="D54" s="419">
        <f>SUM(D8:D52)</f>
        <v>2117293</v>
      </c>
      <c r="E54" s="321">
        <f>SUM(E9:E52)</f>
        <v>571529</v>
      </c>
    </row>
    <row r="55" spans="2:5" ht="15.75">
      <c r="B55" s="280" t="s">
        <v>167</v>
      </c>
      <c r="C55" s="419">
        <f>C6+C54</f>
        <v>3156764</v>
      </c>
      <c r="D55" s="419">
        <f>D6+D54</f>
        <v>2699949</v>
      </c>
      <c r="E55" s="321">
        <f>E6+E54</f>
        <v>773824</v>
      </c>
    </row>
    <row r="56" spans="2:5" ht="15.75">
      <c r="B56" s="62"/>
      <c r="C56" s="201"/>
      <c r="D56" s="201"/>
      <c r="E56" s="201"/>
    </row>
    <row r="57" spans="2:5" ht="15.75">
      <c r="B57" s="256" t="s">
        <v>192</v>
      </c>
      <c r="C57" s="318">
        <v>9</v>
      </c>
      <c r="D57" s="72"/>
      <c r="E57" s="72"/>
    </row>
    <row r="58" spans="2:5" ht="15.75">
      <c r="B58" s="72"/>
      <c r="C58" s="72"/>
      <c r="D58" s="72"/>
      <c r="E58" s="72"/>
    </row>
    <row r="59" spans="2:5" ht="15.75">
      <c r="B59" s="201" t="str">
        <f>inputPrYr!C2</f>
        <v>Marshall County</v>
      </c>
      <c r="C59" s="201"/>
      <c r="D59" s="201"/>
      <c r="E59" s="255">
        <f>inputPrYr!C4</f>
        <v>2015</v>
      </c>
    </row>
    <row r="60" spans="2:5" ht="15.75">
      <c r="B60" s="62"/>
      <c r="C60" s="201"/>
      <c r="D60" s="201"/>
      <c r="E60" s="208"/>
    </row>
    <row r="61" spans="2:5" ht="15.75">
      <c r="B61" s="282" t="s">
        <v>237</v>
      </c>
      <c r="C61" s="283"/>
      <c r="D61" s="283"/>
      <c r="E61" s="283"/>
    </row>
    <row r="62" spans="2:5" ht="15.75">
      <c r="B62" s="62" t="s">
        <v>157</v>
      </c>
      <c r="C62" s="666" t="s">
        <v>812</v>
      </c>
      <c r="D62" s="667" t="s">
        <v>813</v>
      </c>
      <c r="E62" s="188" t="s">
        <v>814</v>
      </c>
    </row>
    <row r="63" spans="2:5" ht="15.75">
      <c r="B63" s="128" t="str">
        <f>B5</f>
        <v>Road &amp; Bridge</v>
      </c>
      <c r="C63" s="420" t="str">
        <f>CONCATENATE("Actual for ",E59-2,"")</f>
        <v>Actual for 2013</v>
      </c>
      <c r="D63" s="420" t="str">
        <f>CONCATENATE("Estimate for ",E59-1,"")</f>
        <v>Estimate for 2014</v>
      </c>
      <c r="E63" s="271" t="str">
        <f>CONCATENATE("Year for ",E59,"")</f>
        <v>Year for 2015</v>
      </c>
    </row>
    <row r="64" spans="2:5" ht="15.75">
      <c r="B64" s="280" t="s">
        <v>167</v>
      </c>
      <c r="C64" s="421">
        <f>C55</f>
        <v>3156764</v>
      </c>
      <c r="D64" s="421">
        <f>D55</f>
        <v>2699949</v>
      </c>
      <c r="E64" s="234">
        <f>E55</f>
        <v>773824</v>
      </c>
    </row>
    <row r="65" spans="2:5" ht="15.75">
      <c r="B65" s="272" t="s">
        <v>9</v>
      </c>
      <c r="C65" s="274"/>
      <c r="D65" s="274"/>
      <c r="E65" s="102"/>
    </row>
    <row r="66" spans="2:5" ht="15.75">
      <c r="B66" s="274" t="str">
        <f>IF((RoadDetail!$A7&gt;" "),(RoadDetail!$A7)," ")</f>
        <v>Road &amp; Bridge Fund </v>
      </c>
      <c r="C66" s="421">
        <f>RoadDetail!$B12</f>
        <v>2382155</v>
      </c>
      <c r="D66" s="421">
        <f>RoadDetail!$C12</f>
        <v>2470048</v>
      </c>
      <c r="E66" s="234">
        <f>RoadDetail!$D12</f>
        <v>2699212</v>
      </c>
    </row>
    <row r="67" spans="2:5" ht="15.75">
      <c r="B67" s="274" t="str">
        <f>IF((RoadDetail!$A13&gt;" "),(RoadDetail!$A13)," ")</f>
        <v> </v>
      </c>
      <c r="C67" s="421">
        <f>RoadDetail!$B18</f>
        <v>0</v>
      </c>
      <c r="D67" s="421">
        <f>RoadDetail!$C18</f>
        <v>0</v>
      </c>
      <c r="E67" s="234">
        <f>RoadDetail!$D18</f>
        <v>0</v>
      </c>
    </row>
    <row r="68" spans="2:5" ht="15.75">
      <c r="B68" s="274" t="str">
        <f>IF((RoadDetail!$A19&gt;" "),(RoadDetail!$A19)," ")</f>
        <v> </v>
      </c>
      <c r="C68" s="421">
        <f>RoadDetail!$B24</f>
        <v>0</v>
      </c>
      <c r="D68" s="421">
        <f>RoadDetail!$C24</f>
        <v>0</v>
      </c>
      <c r="E68" s="234">
        <f>RoadDetail!$D24</f>
        <v>0</v>
      </c>
    </row>
    <row r="69" spans="2:5" ht="15.75">
      <c r="B69" s="274" t="str">
        <f>IF((RoadDetail!$A25&gt;" "),(RoadDetail!$A25)," ")</f>
        <v> </v>
      </c>
      <c r="C69" s="421">
        <f>RoadDetail!$B30</f>
        <v>0</v>
      </c>
      <c r="D69" s="421">
        <f>RoadDetail!$C30</f>
        <v>0</v>
      </c>
      <c r="E69" s="234">
        <f>RoadDetail!$D30</f>
        <v>0</v>
      </c>
    </row>
    <row r="70" spans="2:5" ht="15.75">
      <c r="B70" s="274" t="str">
        <f>IF((RoadDetail!$A31&gt;" "),(RoadDetail!$A31)," ")</f>
        <v> </v>
      </c>
      <c r="C70" s="421">
        <f>RoadDetail!$B36</f>
        <v>0</v>
      </c>
      <c r="D70" s="421">
        <f>RoadDetail!$C36</f>
        <v>0</v>
      </c>
      <c r="E70" s="234">
        <f>RoadDetail!$D36</f>
        <v>0</v>
      </c>
    </row>
    <row r="71" spans="2:5" ht="15.75">
      <c r="B71" s="274" t="str">
        <f>IF((RoadDetail!$A37&gt;" "),(RoadDetail!$A37)," ")</f>
        <v> </v>
      </c>
      <c r="C71" s="421">
        <f>RoadDetail!$B42</f>
        <v>0</v>
      </c>
      <c r="D71" s="421">
        <f>RoadDetail!$C42</f>
        <v>0</v>
      </c>
      <c r="E71" s="234">
        <f>RoadDetail!$D42</f>
        <v>0</v>
      </c>
    </row>
    <row r="72" spans="2:5" ht="15.75">
      <c r="B72" s="285" t="s">
        <v>30</v>
      </c>
      <c r="C72" s="448">
        <f>SUM(C66:C71)</f>
        <v>2382155</v>
      </c>
      <c r="D72" s="448">
        <f>SUM(D66:D71)</f>
        <v>2470048</v>
      </c>
      <c r="E72" s="317">
        <f>SUM(E66:E71)</f>
        <v>2699212</v>
      </c>
    </row>
    <row r="73" spans="2:5" ht="15.75">
      <c r="B73" s="323" t="s">
        <v>1037</v>
      </c>
      <c r="C73" s="417">
        <v>150000</v>
      </c>
      <c r="D73" s="417"/>
      <c r="E73" s="122"/>
    </row>
    <row r="74" spans="2:5" ht="15.75">
      <c r="B74" s="323"/>
      <c r="C74" s="417"/>
      <c r="D74" s="417"/>
      <c r="E74" s="122"/>
    </row>
    <row r="75" spans="2:5" ht="15.75">
      <c r="B75" s="323"/>
      <c r="C75" s="417"/>
      <c r="D75" s="417"/>
      <c r="E75" s="122"/>
    </row>
    <row r="76" spans="2:5" ht="15.75">
      <c r="B76" s="323"/>
      <c r="C76" s="417"/>
      <c r="D76" s="417"/>
      <c r="E76" s="122"/>
    </row>
    <row r="77" spans="2:5" ht="15.75">
      <c r="B77" s="323"/>
      <c r="C77" s="417"/>
      <c r="D77" s="417"/>
      <c r="E77" s="122"/>
    </row>
    <row r="78" spans="2:5" ht="15.75">
      <c r="B78" s="323"/>
      <c r="C78" s="417"/>
      <c r="D78" s="417"/>
      <c r="E78" s="122"/>
    </row>
    <row r="79" spans="2:5" ht="15.75">
      <c r="B79" s="323"/>
      <c r="C79" s="417"/>
      <c r="D79" s="417"/>
      <c r="E79" s="122"/>
    </row>
    <row r="80" spans="2:5" ht="15.75">
      <c r="B80" s="323"/>
      <c r="C80" s="417"/>
      <c r="D80" s="417"/>
      <c r="E80" s="122"/>
    </row>
    <row r="81" spans="2:5" ht="15.75">
      <c r="B81" s="323"/>
      <c r="C81" s="417"/>
      <c r="D81" s="417"/>
      <c r="E81" s="122"/>
    </row>
    <row r="82" spans="2:5" ht="15.75">
      <c r="B82" s="323"/>
      <c r="C82" s="417"/>
      <c r="D82" s="417"/>
      <c r="E82" s="122"/>
    </row>
    <row r="83" spans="2:5" ht="15.75">
      <c r="B83" s="323"/>
      <c r="C83" s="417"/>
      <c r="D83" s="417"/>
      <c r="E83" s="122"/>
    </row>
    <row r="84" spans="2:5" ht="15.75">
      <c r="B84" s="323"/>
      <c r="C84" s="417"/>
      <c r="D84" s="417"/>
      <c r="E84" s="122"/>
    </row>
    <row r="85" spans="2:5" ht="15.75">
      <c r="B85" s="323"/>
      <c r="C85" s="417"/>
      <c r="D85" s="417"/>
      <c r="E85" s="122"/>
    </row>
    <row r="86" spans="2:5" ht="15.75">
      <c r="B86" s="323"/>
      <c r="C86" s="417"/>
      <c r="D86" s="417"/>
      <c r="E86" s="122"/>
    </row>
    <row r="87" spans="2:5" ht="15.75">
      <c r="B87" s="323"/>
      <c r="C87" s="417"/>
      <c r="D87" s="417"/>
      <c r="E87" s="122"/>
    </row>
    <row r="88" spans="2:5" ht="15.75">
      <c r="B88" s="323"/>
      <c r="C88" s="417"/>
      <c r="D88" s="417"/>
      <c r="E88" s="122"/>
    </row>
    <row r="89" spans="2:5" ht="15.75">
      <c r="B89" s="323"/>
      <c r="C89" s="417"/>
      <c r="D89" s="417"/>
      <c r="E89" s="122"/>
    </row>
    <row r="90" spans="2:5" ht="15.75">
      <c r="B90" s="323"/>
      <c r="C90" s="417"/>
      <c r="D90" s="417"/>
      <c r="E90" s="122"/>
    </row>
    <row r="91" spans="2:5" ht="15.75">
      <c r="B91" s="323"/>
      <c r="C91" s="417"/>
      <c r="D91" s="417"/>
      <c r="E91" s="122"/>
    </row>
    <row r="92" spans="2:5" ht="15.75">
      <c r="B92" s="323"/>
      <c r="C92" s="417"/>
      <c r="D92" s="417"/>
      <c r="E92" s="122"/>
    </row>
    <row r="93" spans="2:5" ht="15.75">
      <c r="B93" s="323"/>
      <c r="C93" s="417"/>
      <c r="D93" s="417"/>
      <c r="E93" s="122"/>
    </row>
    <row r="94" spans="2:5" ht="15.75">
      <c r="B94" s="323"/>
      <c r="C94" s="417"/>
      <c r="D94" s="417"/>
      <c r="E94" s="122"/>
    </row>
    <row r="95" spans="2:5" ht="15.75">
      <c r="B95" s="323"/>
      <c r="C95" s="417"/>
      <c r="D95" s="417"/>
      <c r="E95" s="122"/>
    </row>
    <row r="96" spans="2:5" ht="15.75">
      <c r="B96" s="323"/>
      <c r="C96" s="417"/>
      <c r="D96" s="417"/>
      <c r="E96" s="122"/>
    </row>
    <row r="97" spans="2:5" ht="15.75">
      <c r="B97" s="323"/>
      <c r="C97" s="417"/>
      <c r="D97" s="417"/>
      <c r="E97" s="122"/>
    </row>
    <row r="98" spans="2:5" ht="15.75">
      <c r="B98" s="323"/>
      <c r="C98" s="417"/>
      <c r="D98" s="417"/>
      <c r="E98" s="122"/>
    </row>
    <row r="99" spans="2:5" ht="15.75">
      <c r="B99" s="323"/>
      <c r="C99" s="417"/>
      <c r="D99" s="417"/>
      <c r="E99" s="122"/>
    </row>
    <row r="100" spans="2:5" ht="15.75">
      <c r="B100" s="323"/>
      <c r="C100" s="417"/>
      <c r="D100" s="417"/>
      <c r="E100" s="122"/>
    </row>
    <row r="101" spans="2:5" ht="15.75">
      <c r="B101" s="323"/>
      <c r="C101" s="417"/>
      <c r="D101" s="417"/>
      <c r="E101" s="122"/>
    </row>
    <row r="102" spans="2:5" ht="15.75">
      <c r="B102" s="323"/>
      <c r="C102" s="417"/>
      <c r="D102" s="417"/>
      <c r="E102" s="122"/>
    </row>
    <row r="103" spans="2:10" ht="15.75">
      <c r="B103" s="323"/>
      <c r="C103" s="417"/>
      <c r="D103" s="417"/>
      <c r="E103" s="122"/>
      <c r="G103" s="832" t="str">
        <f>CONCATENATE("Desired Carryover Into ",E1+1,"")</f>
        <v>Desired Carryover Into 2016</v>
      </c>
      <c r="H103" s="833"/>
      <c r="I103" s="833"/>
      <c r="J103" s="804"/>
    </row>
    <row r="104" spans="2:10" ht="15.75">
      <c r="B104" s="323"/>
      <c r="C104" s="417"/>
      <c r="D104" s="417"/>
      <c r="E104" s="122"/>
      <c r="G104" s="613"/>
      <c r="H104" s="614"/>
      <c r="I104" s="615"/>
      <c r="J104" s="616"/>
    </row>
    <row r="105" spans="2:10" ht="15.75">
      <c r="B105" s="323"/>
      <c r="C105" s="417"/>
      <c r="D105" s="417"/>
      <c r="E105" s="122"/>
      <c r="G105" s="617" t="s">
        <v>660</v>
      </c>
      <c r="H105" s="615"/>
      <c r="I105" s="615"/>
      <c r="J105" s="618">
        <v>0</v>
      </c>
    </row>
    <row r="106" spans="2:10" ht="15.75">
      <c r="B106" s="323"/>
      <c r="C106" s="417"/>
      <c r="D106" s="417"/>
      <c r="E106" s="122"/>
      <c r="G106" s="613" t="s">
        <v>661</v>
      </c>
      <c r="H106" s="614"/>
      <c r="I106" s="614"/>
      <c r="J106" s="619">
        <f>IF(J105=0,"",ROUND((J105+E118-G118)/inputOth!E6*1000,3)-G123)</f>
      </c>
    </row>
    <row r="107" spans="2:10" ht="15.75">
      <c r="B107" s="287"/>
      <c r="C107" s="417"/>
      <c r="D107" s="417"/>
      <c r="E107" s="275"/>
      <c r="G107" s="620" t="str">
        <f>CONCATENATE("",E1," Tot Exp/Non-Appr Must Be:")</f>
        <v>2015 Tot Exp/Non-Appr Must Be:</v>
      </c>
      <c r="H107" s="621"/>
      <c r="I107" s="622"/>
      <c r="J107" s="623">
        <f>IF(J105&gt;0,IF(E115&lt;E55,IF(J105=G118,E115,((J105-G118)*(1-D117))+E55),E115+(J105-G118)),0)</f>
        <v>0</v>
      </c>
    </row>
    <row r="108" spans="2:10" ht="15.75">
      <c r="B108" s="278" t="s">
        <v>74</v>
      </c>
      <c r="C108" s="417">
        <v>41953</v>
      </c>
      <c r="D108" s="417">
        <v>27606</v>
      </c>
      <c r="E108" s="288">
        <f>Nhood!E8</f>
        <v>30325</v>
      </c>
      <c r="G108" s="624" t="s">
        <v>810</v>
      </c>
      <c r="H108" s="625"/>
      <c r="I108" s="625"/>
      <c r="J108" s="626">
        <f>IF(J105&gt;0,J107-E115,0)</f>
        <v>0</v>
      </c>
    </row>
    <row r="109" spans="2:5" ht="15.75">
      <c r="B109" s="278" t="s">
        <v>72</v>
      </c>
      <c r="C109" s="417"/>
      <c r="D109" s="417"/>
      <c r="E109" s="275"/>
    </row>
    <row r="110" spans="2:10" ht="15.75">
      <c r="B110" s="278" t="s">
        <v>653</v>
      </c>
      <c r="C110" s="418">
        <f>IF(C111*0.1&lt;C109,"Exceed 10% Rule","")</f>
      </c>
      <c r="D110" s="418">
        <f>IF(D111*0.1&lt;D109,"Exceed 10% Rule","")</f>
      </c>
      <c r="E110" s="313">
        <f>IF(E111*0.1&lt;E109,"Exceed 10% Rule","")</f>
      </c>
      <c r="G110" s="826" t="str">
        <f>CONCATENATE("Projected Carryover Into ",E1+1,"")</f>
        <v>Projected Carryover Into 2016</v>
      </c>
      <c r="H110" s="827"/>
      <c r="I110" s="827"/>
      <c r="J110" s="828"/>
    </row>
    <row r="111" spans="2:10" ht="15.75">
      <c r="B111" s="280" t="s">
        <v>171</v>
      </c>
      <c r="C111" s="419">
        <f>SUM(C72:C109)</f>
        <v>2574108</v>
      </c>
      <c r="D111" s="419">
        <f>SUM(D72:D109)</f>
        <v>2497654</v>
      </c>
      <c r="E111" s="321">
        <f>SUM(E72:E109)</f>
        <v>2729537</v>
      </c>
      <c r="G111" s="480"/>
      <c r="H111" s="479"/>
      <c r="I111" s="479"/>
      <c r="J111" s="481"/>
    </row>
    <row r="112" spans="2:10" ht="15.75">
      <c r="B112" s="123" t="s">
        <v>273</v>
      </c>
      <c r="C112" s="422">
        <f>C55-C111</f>
        <v>582656</v>
      </c>
      <c r="D112" s="422">
        <f>D55-D111</f>
        <v>202295</v>
      </c>
      <c r="E112" s="194" t="s">
        <v>145</v>
      </c>
      <c r="G112" s="466">
        <f>D112</f>
        <v>202295</v>
      </c>
      <c r="H112" s="464" t="str">
        <f>CONCATENATE("",E1-1," Ending Cash Balance (est.)")</f>
        <v>2014 Ending Cash Balance (est.)</v>
      </c>
      <c r="I112" s="463"/>
      <c r="J112" s="481"/>
    </row>
    <row r="113" spans="2:10" ht="15.75">
      <c r="B113" s="270" t="str">
        <f>CONCATENATE("",E1-2,"/",E1-1,"/",E1," Budget Authority Amount:")</f>
        <v>2013/2014/2015 Budget Authority Amount:</v>
      </c>
      <c r="C113" s="308">
        <f>inputOth!$B32</f>
        <v>2640461</v>
      </c>
      <c r="D113" s="308">
        <f>inputPrYr!D18</f>
        <v>2497654</v>
      </c>
      <c r="E113" s="234">
        <f>E111</f>
        <v>2729537</v>
      </c>
      <c r="F113" s="289"/>
      <c r="G113" s="466">
        <f>E54</f>
        <v>571529</v>
      </c>
      <c r="H113" s="462" t="str">
        <f>CONCATENATE("",E1," Non-AV Receipts (est.)")</f>
        <v>2015 Non-AV Receipts (est.)</v>
      </c>
      <c r="I113" s="463"/>
      <c r="J113" s="481"/>
    </row>
    <row r="114" spans="2:11" ht="15.75">
      <c r="B114" s="256"/>
      <c r="C114" s="822" t="s">
        <v>657</v>
      </c>
      <c r="D114" s="823"/>
      <c r="E114" s="87"/>
      <c r="F114" s="465">
        <f>IF(E111/0.95-E111&lt;E114,"Exceeds 5%","")</f>
      </c>
      <c r="G114" s="461">
        <f>IF(E117&gt;0,E116,E118)</f>
        <v>1955713</v>
      </c>
      <c r="H114" s="462" t="str">
        <f>CONCATENATE("",E1," Ad Valorem Tax (est.)")</f>
        <v>2015 Ad Valorem Tax (est.)</v>
      </c>
      <c r="I114" s="463"/>
      <c r="J114" s="481"/>
      <c r="K114" s="629">
        <f>IF(G114=E118,"","Note: Does not include Delinquent Taxes")</f>
      </c>
    </row>
    <row r="115" spans="2:10" ht="15.75">
      <c r="B115" s="469" t="str">
        <f>CONCATENATE(C129,"     ",D129)</f>
        <v>     </v>
      </c>
      <c r="C115" s="824" t="s">
        <v>658</v>
      </c>
      <c r="D115" s="825"/>
      <c r="E115" s="234">
        <f>E111+E114</f>
        <v>2729537</v>
      </c>
      <c r="G115" s="466">
        <f>SUM(G112:G114)</f>
        <v>2729537</v>
      </c>
      <c r="H115" s="462" t="str">
        <f>CONCATENATE("Total ",E1," Resources Available")</f>
        <v>Total 2015 Resources Available</v>
      </c>
      <c r="I115" s="463"/>
      <c r="J115" s="481"/>
    </row>
    <row r="116" spans="2:10" ht="15.75">
      <c r="B116" s="469" t="str">
        <f>CONCATENATE(C130,"     ",D130)</f>
        <v>     </v>
      </c>
      <c r="C116" s="290"/>
      <c r="D116" s="208" t="s">
        <v>172</v>
      </c>
      <c r="E116" s="95">
        <f>IF(E115-E55&gt;0,E115-E55,0)</f>
        <v>1955713</v>
      </c>
      <c r="G116" s="460"/>
      <c r="H116" s="462"/>
      <c r="I116" s="462"/>
      <c r="J116" s="481"/>
    </row>
    <row r="117" spans="2:10" ht="15.75">
      <c r="B117" s="256"/>
      <c r="C117" s="467" t="s">
        <v>659</v>
      </c>
      <c r="D117" s="612">
        <f>inputOth!$E$23</f>
        <v>0</v>
      </c>
      <c r="E117" s="234">
        <f>IF(D117&gt;0,(E116*D117),0)</f>
        <v>0</v>
      </c>
      <c r="G117" s="461">
        <f>C111*0.05+C111</f>
        <v>2702813.4</v>
      </c>
      <c r="H117" s="462" t="str">
        <f>CONCATENATE("Less ",E1-2," Expenditures + 5%")</f>
        <v>Less 2013 Expenditures + 5%</v>
      </c>
      <c r="I117" s="463"/>
      <c r="J117" s="481"/>
    </row>
    <row r="118" spans="2:10" ht="15.75">
      <c r="B118" s="62"/>
      <c r="C118" s="830" t="str">
        <f>CONCATENATE("Amount of  ",$E$1-1," Ad Valorem Tax")</f>
        <v>Amount of  2014 Ad Valorem Tax</v>
      </c>
      <c r="D118" s="831"/>
      <c r="E118" s="317">
        <f>E116+E117</f>
        <v>1955713</v>
      </c>
      <c r="G118" s="459">
        <f>G115-G117</f>
        <v>26723.600000000093</v>
      </c>
      <c r="H118" s="458" t="str">
        <f>CONCATENATE("Projected ",E1," Carryover (est.)")</f>
        <v>Projected 2015 Carryover (est.)</v>
      </c>
      <c r="I118" s="439"/>
      <c r="J118" s="438"/>
    </row>
    <row r="119" spans="2:5" ht="15.75">
      <c r="B119" s="62"/>
      <c r="C119" s="62"/>
      <c r="D119" s="62"/>
      <c r="E119" s="62"/>
    </row>
    <row r="120" spans="2:10" ht="15.75">
      <c r="B120" s="72"/>
      <c r="C120" s="72" t="str">
        <f>CONCATENATE("Page No. ",C57,"a")</f>
        <v>Page No. 9a</v>
      </c>
      <c r="D120" s="322"/>
      <c r="E120" s="322"/>
      <c r="G120" s="834" t="s">
        <v>811</v>
      </c>
      <c r="H120" s="835"/>
      <c r="I120" s="835"/>
      <c r="J120" s="836"/>
    </row>
    <row r="121" spans="7:10" ht="15.75">
      <c r="G121" s="631"/>
      <c r="H121" s="632"/>
      <c r="I121" s="633"/>
      <c r="J121" s="634"/>
    </row>
    <row r="122" spans="7:10" ht="15.75">
      <c r="G122" s="635">
        <f>summ!H18</f>
        <v>15.039</v>
      </c>
      <c r="H122" s="632" t="str">
        <f>CONCATENATE("",E1," Fund Mill Rate")</f>
        <v>2015 Fund Mill Rate</v>
      </c>
      <c r="I122" s="633"/>
      <c r="J122" s="634"/>
    </row>
    <row r="123" spans="7:10" ht="15.75">
      <c r="G123" s="636">
        <f>summ!E18</f>
        <v>12.001</v>
      </c>
      <c r="H123" s="632" t="str">
        <f>CONCATENATE("",E1-1," Fund Mill Rate")</f>
        <v>2014 Fund Mill Rate</v>
      </c>
      <c r="I123" s="633"/>
      <c r="J123" s="634"/>
    </row>
    <row r="124" spans="7:10" ht="15.75">
      <c r="G124" s="637">
        <f>summ!H61</f>
        <v>51.98700000000003</v>
      </c>
      <c r="H124" s="632" t="str">
        <f>CONCATENATE("Total ",E1," Mill Rate")</f>
        <v>Total 2015 Mill Rate</v>
      </c>
      <c r="I124" s="633"/>
      <c r="J124" s="634"/>
    </row>
    <row r="125" spans="7:10" ht="15.75">
      <c r="G125" s="636">
        <f>summ!E61</f>
        <v>51.56499999999999</v>
      </c>
      <c r="H125" s="638" t="str">
        <f>CONCATENATE("Total ",E1-1," Mill Rate")</f>
        <v>Total 2014 Mill Rate</v>
      </c>
      <c r="I125" s="639"/>
      <c r="J125" s="640"/>
    </row>
    <row r="127" spans="7:9" ht="15.75">
      <c r="G127" s="725" t="s">
        <v>886</v>
      </c>
      <c r="H127" s="690"/>
      <c r="I127" s="689" t="str">
        <f>cert!E69</f>
        <v>Yes</v>
      </c>
    </row>
    <row r="129" spans="3:4" ht="15.75" hidden="1">
      <c r="C129" s="50">
        <f>IF(C111&gt;C113,"See Tab A","")</f>
      </c>
      <c r="D129" s="50">
        <f>IF(D111&gt;D113,"See Tab C","")</f>
      </c>
    </row>
    <row r="130" spans="3:4" ht="15.75" hidden="1">
      <c r="C130" s="50">
        <f>IF(C112&lt;0,"See Tab B","")</f>
      </c>
      <c r="D130" s="50">
        <f>IF(D112&lt;0,"See Tab D","")</f>
      </c>
    </row>
  </sheetData>
  <sheetProtection/>
  <mergeCells count="6">
    <mergeCell ref="C114:D114"/>
    <mergeCell ref="C115:D115"/>
    <mergeCell ref="C118:D118"/>
    <mergeCell ref="G103:J103"/>
    <mergeCell ref="G110:J110"/>
    <mergeCell ref="G120:J120"/>
  </mergeCells>
  <conditionalFormatting sqref="E109">
    <cfRule type="cellIs" priority="2" dxfId="408" operator="greaterThan" stopIfTrue="1">
      <formula>$E$111*0.1</formula>
    </cfRule>
  </conditionalFormatting>
  <conditionalFormatting sqref="E114">
    <cfRule type="cellIs" priority="3" dxfId="408" operator="greaterThan" stopIfTrue="1">
      <formula>$E$111/0.95-$E$111</formula>
    </cfRule>
  </conditionalFormatting>
  <conditionalFormatting sqref="C52">
    <cfRule type="cellIs" priority="4" dxfId="2" operator="greaterThan" stopIfTrue="1">
      <formula>$C$54*0.1</formula>
    </cfRule>
  </conditionalFormatting>
  <conditionalFormatting sqref="D52">
    <cfRule type="cellIs" priority="5" dxfId="2" operator="greaterThan" stopIfTrue="1">
      <formula>$D$54*0.1</formula>
    </cfRule>
  </conditionalFormatting>
  <conditionalFormatting sqref="E52">
    <cfRule type="cellIs" priority="6" dxfId="408" operator="greaterThan" stopIfTrue="1">
      <formula>$E$54*0.1+E118</formula>
    </cfRule>
  </conditionalFormatting>
  <conditionalFormatting sqref="C109">
    <cfRule type="cellIs" priority="7" dxfId="2" operator="greaterThan" stopIfTrue="1">
      <formula>$C$111*0.1</formula>
    </cfRule>
  </conditionalFormatting>
  <conditionalFormatting sqref="D109">
    <cfRule type="cellIs" priority="8" dxfId="2" operator="greaterThan" stopIfTrue="1">
      <formula>$D$111*0.1</formula>
    </cfRule>
  </conditionalFormatting>
  <conditionalFormatting sqref="C111">
    <cfRule type="cellIs" priority="9" dxfId="2" operator="greaterThan" stopIfTrue="1">
      <formula>$C$113</formula>
    </cfRule>
  </conditionalFormatting>
  <conditionalFormatting sqref="C112">
    <cfRule type="cellIs" priority="10" dxfId="2" operator="lessThan" stopIfTrue="1">
      <formula>0</formula>
    </cfRule>
  </conditionalFormatting>
  <conditionalFormatting sqref="D111">
    <cfRule type="cellIs" priority="11" dxfId="2" operator="greaterThan" stopIfTrue="1">
      <formula>$D$113</formula>
    </cfRule>
  </conditionalFormatting>
  <conditionalFormatting sqref="D112">
    <cfRule type="cellIs" priority="1" dxfId="0" operator="lessThan" stopIfTrue="1">
      <formula>0</formula>
    </cfRule>
  </conditionalFormatting>
  <printOptions/>
  <pageMargins left="0.75" right="0.75" top="1" bottom="0.5" header="0.5" footer="0.5"/>
  <pageSetup blackAndWhite="1" fitToHeight="2" horizontalDpi="600" verticalDpi="600" orientation="portrait" scale="73" r:id="rId1"/>
  <headerFooter alignWithMargins="0">
    <oddHeader>&amp;RState of Kansas
County</oddHeader>
  </headerFooter>
  <rowBreaks count="1" manualBreakCount="1">
    <brk id="58" min="1" max="4" man="1"/>
  </rowBreaks>
</worksheet>
</file>

<file path=xl/worksheets/sheet17.xml><?xml version="1.0" encoding="utf-8"?>
<worksheet xmlns="http://schemas.openxmlformats.org/spreadsheetml/2006/main" xmlns:r="http://schemas.openxmlformats.org/officeDocument/2006/relationships">
  <dimension ref="A1:D47"/>
  <sheetViews>
    <sheetView zoomScalePageLayoutView="0" workbookViewId="0" topLeftCell="A1">
      <selection activeCell="M39" sqref="M39"/>
    </sheetView>
  </sheetViews>
  <sheetFormatPr defaultColWidth="8.796875" defaultRowHeight="15"/>
  <cols>
    <col min="1" max="1" width="28.296875" style="50" customWidth="1"/>
    <col min="2" max="3" width="15.796875" style="50" customWidth="1"/>
    <col min="4" max="4" width="16.19921875" style="50" customWidth="1"/>
    <col min="5" max="16384" width="8.8984375" style="50" customWidth="1"/>
  </cols>
  <sheetData>
    <row r="1" spans="1:4" ht="15.75">
      <c r="A1" s="201" t="str">
        <f>inputPrYr!C2</f>
        <v>Marshall County</v>
      </c>
      <c r="B1" s="62"/>
      <c r="C1" s="270"/>
      <c r="D1" s="62">
        <f>inputPrYr!C4</f>
        <v>2015</v>
      </c>
    </row>
    <row r="2" spans="1:4" ht="15.75">
      <c r="A2" s="62"/>
      <c r="B2" s="62"/>
      <c r="C2" s="62"/>
      <c r="D2" s="270"/>
    </row>
    <row r="3" spans="1:4" ht="15.75">
      <c r="A3" s="127" t="s">
        <v>238</v>
      </c>
      <c r="B3" s="283"/>
      <c r="C3" s="283"/>
      <c r="D3" s="283"/>
    </row>
    <row r="4" spans="1:4" ht="15.75">
      <c r="A4" s="270" t="s">
        <v>157</v>
      </c>
      <c r="B4" s="666" t="s">
        <v>812</v>
      </c>
      <c r="C4" s="667" t="s">
        <v>813</v>
      </c>
      <c r="D4" s="188" t="s">
        <v>814</v>
      </c>
    </row>
    <row r="5" spans="1:4" ht="18.75" customHeight="1">
      <c r="A5" s="445" t="s">
        <v>655</v>
      </c>
      <c r="B5" s="420" t="str">
        <f>CONCATENATE("Actual for ",D1-2,"")</f>
        <v>Actual for 2013</v>
      </c>
      <c r="C5" s="420" t="str">
        <f>CONCATENATE("Estimate for ",D1-1,"")</f>
        <v>Estimate for 2014</v>
      </c>
      <c r="D5" s="271" t="str">
        <f>CONCATENATE("Year for ",D1,"")</f>
        <v>Year for 2015</v>
      </c>
    </row>
    <row r="6" spans="1:4" ht="15.75">
      <c r="A6" s="231" t="s">
        <v>170</v>
      </c>
      <c r="B6" s="284"/>
      <c r="C6" s="284"/>
      <c r="D6" s="271"/>
    </row>
    <row r="7" spans="1:4" ht="15.75">
      <c r="A7" s="293" t="s">
        <v>655</v>
      </c>
      <c r="B7" s="102"/>
      <c r="C7" s="102"/>
      <c r="D7" s="102"/>
    </row>
    <row r="8" spans="1:4" ht="15.75">
      <c r="A8" s="85" t="s">
        <v>175</v>
      </c>
      <c r="B8" s="275">
        <v>676332</v>
      </c>
      <c r="C8" s="275">
        <v>753698</v>
      </c>
      <c r="D8" s="275">
        <v>796362</v>
      </c>
    </row>
    <row r="9" spans="1:4" ht="15.75">
      <c r="A9" s="85" t="s">
        <v>176</v>
      </c>
      <c r="B9" s="275">
        <v>206538</v>
      </c>
      <c r="C9" s="275">
        <v>136650</v>
      </c>
      <c r="D9" s="275">
        <v>151650</v>
      </c>
    </row>
    <row r="10" spans="1:4" ht="15.75">
      <c r="A10" s="85" t="s">
        <v>177</v>
      </c>
      <c r="B10" s="275">
        <v>1254783</v>
      </c>
      <c r="C10" s="275">
        <v>1387200</v>
      </c>
      <c r="D10" s="275">
        <v>1407200</v>
      </c>
    </row>
    <row r="11" spans="1:4" ht="15.75">
      <c r="A11" s="85" t="s">
        <v>178</v>
      </c>
      <c r="B11" s="275">
        <v>244502</v>
      </c>
      <c r="C11" s="275">
        <v>192500</v>
      </c>
      <c r="D11" s="275">
        <v>344000</v>
      </c>
    </row>
    <row r="12" spans="1:4" ht="15.75">
      <c r="A12" s="231" t="s">
        <v>129</v>
      </c>
      <c r="B12" s="288">
        <f>SUM(B8:B11)</f>
        <v>2382155</v>
      </c>
      <c r="C12" s="288">
        <f>SUM(C8:C11)</f>
        <v>2470048</v>
      </c>
      <c r="D12" s="288">
        <f>SUM(D8:D11)</f>
        <v>2699212</v>
      </c>
    </row>
    <row r="13" spans="1:4" ht="15.75">
      <c r="A13" s="293"/>
      <c r="B13" s="102"/>
      <c r="C13" s="102"/>
      <c r="D13" s="102"/>
    </row>
    <row r="14" spans="1:4" ht="15.75">
      <c r="A14" s="85" t="s">
        <v>175</v>
      </c>
      <c r="B14" s="275"/>
      <c r="C14" s="275"/>
      <c r="D14" s="275"/>
    </row>
    <row r="15" spans="1:4" ht="15.75">
      <c r="A15" s="85" t="s">
        <v>176</v>
      </c>
      <c r="B15" s="275"/>
      <c r="C15" s="275"/>
      <c r="D15" s="275"/>
    </row>
    <row r="16" spans="1:4" ht="15.75">
      <c r="A16" s="85" t="s">
        <v>177</v>
      </c>
      <c r="B16" s="275"/>
      <c r="C16" s="275"/>
      <c r="D16" s="275"/>
    </row>
    <row r="17" spans="1:4" ht="15.75">
      <c r="A17" s="85" t="s">
        <v>178</v>
      </c>
      <c r="B17" s="275"/>
      <c r="C17" s="275"/>
      <c r="D17" s="275"/>
    </row>
    <row r="18" spans="1:4" ht="15.75">
      <c r="A18" s="231" t="s">
        <v>129</v>
      </c>
      <c r="B18" s="288">
        <f>SUM(B14:B17)</f>
        <v>0</v>
      </c>
      <c r="C18" s="288">
        <f>SUM(C14:C17)</f>
        <v>0</v>
      </c>
      <c r="D18" s="288">
        <f>SUM(D14:D17)</f>
        <v>0</v>
      </c>
    </row>
    <row r="19" spans="1:4" ht="15.75">
      <c r="A19" s="293"/>
      <c r="B19" s="102"/>
      <c r="C19" s="102"/>
      <c r="D19" s="102"/>
    </row>
    <row r="20" spans="1:4" ht="15.75">
      <c r="A20" s="85" t="s">
        <v>175</v>
      </c>
      <c r="B20" s="275"/>
      <c r="C20" s="275"/>
      <c r="D20" s="275"/>
    </row>
    <row r="21" spans="1:4" ht="15.75">
      <c r="A21" s="85" t="s">
        <v>176</v>
      </c>
      <c r="B21" s="275"/>
      <c r="C21" s="275"/>
      <c r="D21" s="275"/>
    </row>
    <row r="22" spans="1:4" ht="15.75">
      <c r="A22" s="85" t="s">
        <v>177</v>
      </c>
      <c r="B22" s="275"/>
      <c r="C22" s="275"/>
      <c r="D22" s="275"/>
    </row>
    <row r="23" spans="1:4" ht="15.75">
      <c r="A23" s="85" t="s">
        <v>178</v>
      </c>
      <c r="B23" s="122"/>
      <c r="C23" s="122"/>
      <c r="D23" s="122"/>
    </row>
    <row r="24" spans="1:4" ht="15.75">
      <c r="A24" s="231" t="s">
        <v>129</v>
      </c>
      <c r="B24" s="288">
        <f>SUM(B20:B23)</f>
        <v>0</v>
      </c>
      <c r="C24" s="288">
        <f>SUM(C20:C23)</f>
        <v>0</v>
      </c>
      <c r="D24" s="288">
        <f>SUM(D20:D23)</f>
        <v>0</v>
      </c>
    </row>
    <row r="25" spans="1:4" ht="15.75">
      <c r="A25" s="293"/>
      <c r="B25" s="102"/>
      <c r="C25" s="102"/>
      <c r="D25" s="102"/>
    </row>
    <row r="26" spans="1:4" ht="15.75">
      <c r="A26" s="85" t="s">
        <v>175</v>
      </c>
      <c r="B26" s="275"/>
      <c r="C26" s="275"/>
      <c r="D26" s="275"/>
    </row>
    <row r="27" spans="1:4" ht="15.75">
      <c r="A27" s="85" t="s">
        <v>176</v>
      </c>
      <c r="B27" s="275"/>
      <c r="C27" s="275"/>
      <c r="D27" s="275"/>
    </row>
    <row r="28" spans="1:4" ht="15.75">
      <c r="A28" s="85" t="s">
        <v>177</v>
      </c>
      <c r="B28" s="275"/>
      <c r="C28" s="275"/>
      <c r="D28" s="275"/>
    </row>
    <row r="29" spans="1:4" ht="15.75">
      <c r="A29" s="85" t="s">
        <v>178</v>
      </c>
      <c r="B29" s="275"/>
      <c r="C29" s="275"/>
      <c r="D29" s="275"/>
    </row>
    <row r="30" spans="1:4" ht="15.75">
      <c r="A30" s="231" t="s">
        <v>129</v>
      </c>
      <c r="B30" s="288">
        <f>SUM(B26:B29)</f>
        <v>0</v>
      </c>
      <c r="C30" s="288">
        <f>SUM(C26:C29)</f>
        <v>0</v>
      </c>
      <c r="D30" s="288">
        <f>SUM(D26:D29)</f>
        <v>0</v>
      </c>
    </row>
    <row r="31" spans="1:4" ht="15.75">
      <c r="A31" s="293"/>
      <c r="B31" s="102"/>
      <c r="C31" s="102"/>
      <c r="D31" s="102"/>
    </row>
    <row r="32" spans="1:4" ht="15.75">
      <c r="A32" s="85" t="s">
        <v>175</v>
      </c>
      <c r="B32" s="275"/>
      <c r="C32" s="275"/>
      <c r="D32" s="275"/>
    </row>
    <row r="33" spans="1:4" ht="15.75">
      <c r="A33" s="85" t="s">
        <v>176</v>
      </c>
      <c r="B33" s="275"/>
      <c r="C33" s="275"/>
      <c r="D33" s="275"/>
    </row>
    <row r="34" spans="1:4" ht="15.75">
      <c r="A34" s="85" t="s">
        <v>177</v>
      </c>
      <c r="B34" s="275"/>
      <c r="C34" s="275"/>
      <c r="D34" s="275"/>
    </row>
    <row r="35" spans="1:4" ht="15.75">
      <c r="A35" s="85" t="s">
        <v>178</v>
      </c>
      <c r="B35" s="275"/>
      <c r="C35" s="275"/>
      <c r="D35" s="275"/>
    </row>
    <row r="36" spans="1:4" ht="15.75">
      <c r="A36" s="231" t="s">
        <v>129</v>
      </c>
      <c r="B36" s="288">
        <f>SUM(B32:B35)</f>
        <v>0</v>
      </c>
      <c r="C36" s="288">
        <f>SUM(C32:C35)</f>
        <v>0</v>
      </c>
      <c r="D36" s="288">
        <f>SUM(D32:D35)</f>
        <v>0</v>
      </c>
    </row>
    <row r="37" spans="1:4" ht="15.75">
      <c r="A37" s="293"/>
      <c r="B37" s="102"/>
      <c r="C37" s="102"/>
      <c r="D37" s="102"/>
    </row>
    <row r="38" spans="1:4" ht="15.75">
      <c r="A38" s="85" t="s">
        <v>175</v>
      </c>
      <c r="B38" s="275"/>
      <c r="C38" s="275"/>
      <c r="D38" s="275"/>
    </row>
    <row r="39" spans="1:4" ht="15.75">
      <c r="A39" s="85" t="s">
        <v>176</v>
      </c>
      <c r="B39" s="275"/>
      <c r="C39" s="275"/>
      <c r="D39" s="275"/>
    </row>
    <row r="40" spans="1:4" ht="15.75">
      <c r="A40" s="85" t="s">
        <v>177</v>
      </c>
      <c r="B40" s="275"/>
      <c r="C40" s="275"/>
      <c r="D40" s="275"/>
    </row>
    <row r="41" spans="1:4" ht="15.75">
      <c r="A41" s="85" t="s">
        <v>178</v>
      </c>
      <c r="B41" s="275"/>
      <c r="C41" s="275"/>
      <c r="D41" s="275"/>
    </row>
    <row r="42" spans="1:4" ht="15.75">
      <c r="A42" s="231" t="s">
        <v>129</v>
      </c>
      <c r="B42" s="288">
        <f>SUM(B38:B41)</f>
        <v>0</v>
      </c>
      <c r="C42" s="288">
        <f>SUM(C38:C41)</f>
        <v>0</v>
      </c>
      <c r="D42" s="288">
        <f>SUM(D38:D41)</f>
        <v>0</v>
      </c>
    </row>
    <row r="43" spans="1:4" ht="15.75">
      <c r="A43" s="83" t="s">
        <v>34</v>
      </c>
      <c r="B43" s="286">
        <f>SUM(B12+B18+B24+B30+B36+B42)</f>
        <v>2382155</v>
      </c>
      <c r="C43" s="286">
        <f>SUM(C12+C18+C24+C30+C36+C42)</f>
        <v>2470048</v>
      </c>
      <c r="D43" s="286">
        <f>SUM(D12+D18+D24+D30+D36+D42)</f>
        <v>2699212</v>
      </c>
    </row>
    <row r="44" spans="1:4" ht="15.75">
      <c r="A44" s="324" t="s">
        <v>33</v>
      </c>
      <c r="B44" s="268"/>
      <c r="C44" s="325"/>
      <c r="D44" s="201"/>
    </row>
    <row r="45" spans="1:4" ht="15.75">
      <c r="A45" s="62"/>
      <c r="B45" s="62"/>
      <c r="C45" s="62"/>
      <c r="D45" s="62"/>
    </row>
    <row r="46" spans="1:4" ht="15.75">
      <c r="A46" s="62"/>
      <c r="B46" s="62"/>
      <c r="C46" s="62"/>
      <c r="D46" s="62"/>
    </row>
    <row r="47" spans="1:4" ht="15.75">
      <c r="A47" s="62"/>
      <c r="B47" s="76" t="str">
        <f>CONCATENATE("Page No.",road!C57,"b")</f>
        <v>Page No.9b</v>
      </c>
      <c r="C47" s="62"/>
      <c r="D47" s="62"/>
    </row>
  </sheetData>
  <sheetProtection sheet="1"/>
  <printOptions/>
  <pageMargins left="1.12" right="0.5" top="0.74" bottom="0.34" header="0.5" footer="0"/>
  <pageSetup blackAndWhite="1" horizontalDpi="300" verticalDpi="300" orientation="portrait" scale="75" r:id="rId1"/>
  <headerFooter alignWithMargins="0">
    <oddHeader>&amp;RState of Kansas
County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4"/>
  <sheetViews>
    <sheetView zoomScalePageLayoutView="0" workbookViewId="0" topLeftCell="A1">
      <selection activeCell="E14" sqref="E14"/>
    </sheetView>
  </sheetViews>
  <sheetFormatPr defaultColWidth="8.796875" defaultRowHeight="15"/>
  <cols>
    <col min="1" max="1" width="2.3984375" style="50" customWidth="1"/>
    <col min="2" max="2" width="31.09765625" style="50" customWidth="1"/>
    <col min="3" max="4" width="15.796875" style="50" customWidth="1"/>
    <col min="5" max="5" width="16.09765625" style="50" customWidth="1"/>
    <col min="6" max="6" width="7.3984375" style="50" customWidth="1"/>
    <col min="7" max="7" width="10.19921875" style="50" customWidth="1"/>
    <col min="8" max="8" width="8.8984375" style="50" customWidth="1"/>
    <col min="9" max="9" width="5" style="50" customWidth="1"/>
    <col min="10" max="10" width="10" style="50" customWidth="1"/>
    <col min="11" max="16384" width="8.8984375" style="50" customWidth="1"/>
  </cols>
  <sheetData>
    <row r="1" spans="2:5" ht="15.75">
      <c r="B1" s="201" t="str">
        <f>(inputPrYr!C2)</f>
        <v>Marshall County</v>
      </c>
      <c r="C1" s="62"/>
      <c r="D1" s="62"/>
      <c r="E1" s="255">
        <f>inputPrYr!C4</f>
        <v>2015</v>
      </c>
    </row>
    <row r="2" spans="2:5" ht="15.75">
      <c r="B2" s="62"/>
      <c r="C2" s="62"/>
      <c r="D2" s="62"/>
      <c r="E2" s="208"/>
    </row>
    <row r="3" spans="2:5" ht="15.75">
      <c r="B3" s="127" t="s">
        <v>239</v>
      </c>
      <c r="C3" s="302"/>
      <c r="D3" s="302"/>
      <c r="E3" s="303"/>
    </row>
    <row r="4" spans="2:5" ht="15.75">
      <c r="B4" s="61" t="s">
        <v>157</v>
      </c>
      <c r="C4" s="666" t="s">
        <v>812</v>
      </c>
      <c r="D4" s="667" t="s">
        <v>813</v>
      </c>
      <c r="E4" s="188" t="s">
        <v>814</v>
      </c>
    </row>
    <row r="5" spans="2:5" ht="15.75">
      <c r="B5" s="447" t="str">
        <f>inputPrYr!B19</f>
        <v>Health Nurse</v>
      </c>
      <c r="C5" s="420" t="str">
        <f>CONCATENATE("Actual for ",E1-2,"")</f>
        <v>Actual for 2013</v>
      </c>
      <c r="D5" s="420" t="str">
        <f>CONCATENATE("Estimate for ",E1-1,"")</f>
        <v>Estimate for 2014</v>
      </c>
      <c r="E5" s="271" t="str">
        <f>CONCATENATE("Year for ",E1,"")</f>
        <v>Year for 2015</v>
      </c>
    </row>
    <row r="6" spans="2:5" ht="15.75">
      <c r="B6" s="123" t="s">
        <v>272</v>
      </c>
      <c r="C6" s="417">
        <v>167623</v>
      </c>
      <c r="D6" s="421">
        <f>C34</f>
        <v>118782</v>
      </c>
      <c r="E6" s="234">
        <f>D34</f>
        <v>8454</v>
      </c>
    </row>
    <row r="7" spans="2:5" ht="15.75">
      <c r="B7" s="259" t="s">
        <v>274</v>
      </c>
      <c r="C7" s="274"/>
      <c r="D7" s="274"/>
      <c r="E7" s="102"/>
    </row>
    <row r="8" spans="2:5" ht="15.75">
      <c r="B8" s="123" t="s">
        <v>158</v>
      </c>
      <c r="C8" s="417">
        <v>124383</v>
      </c>
      <c r="D8" s="421">
        <f>IF(inputPrYr!H19&gt;0,inputPrYr!H19,inputPrYr!E19)</f>
        <v>72678</v>
      </c>
      <c r="E8" s="306" t="s">
        <v>145</v>
      </c>
    </row>
    <row r="9" spans="2:5" ht="15.75">
      <c r="B9" s="123" t="s">
        <v>159</v>
      </c>
      <c r="C9" s="417">
        <v>963</v>
      </c>
      <c r="D9" s="417"/>
      <c r="E9" s="87"/>
    </row>
    <row r="10" spans="2:5" ht="15.75">
      <c r="B10" s="123" t="s">
        <v>160</v>
      </c>
      <c r="C10" s="417">
        <v>11994</v>
      </c>
      <c r="D10" s="417">
        <v>11824</v>
      </c>
      <c r="E10" s="234">
        <f>mvalloc!E10</f>
        <v>6678</v>
      </c>
    </row>
    <row r="11" spans="2:5" ht="15.75">
      <c r="B11" s="123" t="s">
        <v>161</v>
      </c>
      <c r="C11" s="417">
        <v>184</v>
      </c>
      <c r="D11" s="417">
        <v>193</v>
      </c>
      <c r="E11" s="234">
        <f>mvalloc!F10</f>
        <v>97</v>
      </c>
    </row>
    <row r="12" spans="2:5" ht="15.75">
      <c r="B12" s="274" t="s">
        <v>230</v>
      </c>
      <c r="C12" s="417">
        <v>1700</v>
      </c>
      <c r="D12" s="417">
        <v>1639</v>
      </c>
      <c r="E12" s="234">
        <f>mvalloc!G10</f>
        <v>399</v>
      </c>
    </row>
    <row r="13" spans="2:5" ht="15.75">
      <c r="B13" s="287" t="s">
        <v>1043</v>
      </c>
      <c r="C13" s="417">
        <v>247241</v>
      </c>
      <c r="D13" s="417">
        <v>350000</v>
      </c>
      <c r="E13" s="87">
        <v>325000</v>
      </c>
    </row>
    <row r="14" spans="2:5" ht="15.75">
      <c r="B14" s="287" t="s">
        <v>1035</v>
      </c>
      <c r="C14" s="417">
        <v>54924</v>
      </c>
      <c r="D14" s="417"/>
      <c r="E14" s="87"/>
    </row>
    <row r="15" spans="2:5" ht="15.75">
      <c r="B15" s="287"/>
      <c r="C15" s="417"/>
      <c r="D15" s="417"/>
      <c r="E15" s="87"/>
    </row>
    <row r="16" spans="2:5" ht="15.75">
      <c r="B16" s="287"/>
      <c r="C16" s="417"/>
      <c r="D16" s="417"/>
      <c r="E16" s="87"/>
    </row>
    <row r="17" spans="2:5" ht="15.75">
      <c r="B17" s="277" t="s">
        <v>165</v>
      </c>
      <c r="C17" s="417"/>
      <c r="D17" s="417"/>
      <c r="E17" s="87"/>
    </row>
    <row r="18" spans="2:5" ht="15.75">
      <c r="B18" s="278" t="s">
        <v>72</v>
      </c>
      <c r="C18" s="417">
        <v>2623</v>
      </c>
      <c r="D18" s="417"/>
      <c r="E18" s="87"/>
    </row>
    <row r="19" spans="2:5" ht="15.75">
      <c r="B19" s="278" t="s">
        <v>654</v>
      </c>
      <c r="C19" s="418">
        <f>IF(C20*0.1&lt;C18,"Exceed 10% Rule","")</f>
      </c>
      <c r="D19" s="418">
        <f>IF(D20*0.1&lt;D18,"Exceed 10% Rule","")</f>
      </c>
      <c r="E19" s="313">
        <f>IF(E20*0.1+E40&lt;E18,"Exceed 10% Rule","")</f>
      </c>
    </row>
    <row r="20" spans="2:5" ht="15.75">
      <c r="B20" s="280" t="s">
        <v>166</v>
      </c>
      <c r="C20" s="419">
        <f>SUM(C8:C18)</f>
        <v>444012</v>
      </c>
      <c r="D20" s="419">
        <f>SUM(D8:D18)</f>
        <v>436334</v>
      </c>
      <c r="E20" s="321">
        <f>SUM(E8:E18)</f>
        <v>332174</v>
      </c>
    </row>
    <row r="21" spans="2:5" ht="15.75">
      <c r="B21" s="280" t="s">
        <v>167</v>
      </c>
      <c r="C21" s="419">
        <f>C6+C20</f>
        <v>611635</v>
      </c>
      <c r="D21" s="419">
        <f>D6+D20</f>
        <v>555116</v>
      </c>
      <c r="E21" s="321">
        <f>E6+E20</f>
        <v>340628</v>
      </c>
    </row>
    <row r="22" spans="2:5" ht="15.75">
      <c r="B22" s="123" t="s">
        <v>170</v>
      </c>
      <c r="C22" s="278"/>
      <c r="D22" s="278"/>
      <c r="E22" s="83"/>
    </row>
    <row r="23" spans="2:5" ht="15.75">
      <c r="B23" s="287" t="s">
        <v>1038</v>
      </c>
      <c r="C23" s="417">
        <v>235343</v>
      </c>
      <c r="D23" s="417">
        <v>280200</v>
      </c>
      <c r="E23" s="87">
        <v>284400</v>
      </c>
    </row>
    <row r="24" spans="2:10" ht="15.75">
      <c r="B24" s="287" t="s">
        <v>1039</v>
      </c>
      <c r="C24" s="417">
        <v>27992</v>
      </c>
      <c r="D24" s="417">
        <v>27500</v>
      </c>
      <c r="E24" s="87">
        <v>27500</v>
      </c>
      <c r="G24" s="832" t="str">
        <f>CONCATENATE("Desired Carryover Into ",E1+1,"")</f>
        <v>Desired Carryover Into 2016</v>
      </c>
      <c r="H24" s="833"/>
      <c r="I24" s="833"/>
      <c r="J24" s="804"/>
    </row>
    <row r="25" spans="2:10" ht="15.75">
      <c r="B25" s="287" t="s">
        <v>1040</v>
      </c>
      <c r="C25" s="417">
        <v>176761</v>
      </c>
      <c r="D25" s="417">
        <v>228610</v>
      </c>
      <c r="E25" s="87">
        <v>228610</v>
      </c>
      <c r="G25" s="613"/>
      <c r="H25" s="614"/>
      <c r="I25" s="615"/>
      <c r="J25" s="616"/>
    </row>
    <row r="26" spans="2:10" ht="15.75">
      <c r="B26" s="287" t="s">
        <v>1041</v>
      </c>
      <c r="C26" s="417"/>
      <c r="D26" s="417">
        <v>9000</v>
      </c>
      <c r="E26" s="87">
        <v>9000</v>
      </c>
      <c r="G26" s="617" t="s">
        <v>660</v>
      </c>
      <c r="H26" s="615"/>
      <c r="I26" s="615"/>
      <c r="J26" s="618">
        <v>0</v>
      </c>
    </row>
    <row r="27" spans="2:10" ht="15.75">
      <c r="B27" s="287" t="s">
        <v>1042</v>
      </c>
      <c r="C27" s="417">
        <v>50000</v>
      </c>
      <c r="D27" s="417"/>
      <c r="E27" s="87"/>
      <c r="G27" s="613" t="s">
        <v>661</v>
      </c>
      <c r="H27" s="614"/>
      <c r="I27" s="614"/>
      <c r="J27" s="619">
        <f>IF(J26=0,"",ROUND((J26+E40-G39)/inputOth!E6*1000,3)-G44)</f>
      </c>
    </row>
    <row r="28" spans="2:10" ht="15.75">
      <c r="B28" s="287"/>
      <c r="C28" s="417"/>
      <c r="D28" s="417"/>
      <c r="E28" s="87"/>
      <c r="G28" s="620" t="str">
        <f>CONCATENATE("",E1," Tot Exp/Non-Appr Must Be:")</f>
        <v>2015 Tot Exp/Non-Appr Must Be:</v>
      </c>
      <c r="H28" s="621"/>
      <c r="I28" s="622"/>
      <c r="J28" s="623">
        <f>IF(J26&gt;0,IF(E37&lt;E21,IF(J26=G39,E37,((J26-G39)*(1-D39))+E21),E37+(J26-G39)),0)</f>
        <v>0</v>
      </c>
    </row>
    <row r="29" spans="2:10" ht="15.75">
      <c r="B29" s="287"/>
      <c r="C29" s="417"/>
      <c r="D29" s="417"/>
      <c r="E29" s="87"/>
      <c r="G29" s="624" t="s">
        <v>810</v>
      </c>
      <c r="H29" s="625"/>
      <c r="I29" s="625"/>
      <c r="J29" s="626">
        <f>IF(J26&gt;0,J28-E37,0)</f>
        <v>0</v>
      </c>
    </row>
    <row r="30" spans="2:10" ht="15.75">
      <c r="B30" s="278" t="s">
        <v>74</v>
      </c>
      <c r="C30" s="417">
        <v>2757</v>
      </c>
      <c r="D30" s="417">
        <v>1352</v>
      </c>
      <c r="E30" s="95">
        <f>Nhood!E9</f>
        <v>3290</v>
      </c>
      <c r="G30" s="1"/>
      <c r="H30" s="1"/>
      <c r="I30" s="1"/>
      <c r="J30" s="1"/>
    </row>
    <row r="31" spans="2:10" ht="15.75">
      <c r="B31" s="278" t="s">
        <v>72</v>
      </c>
      <c r="C31" s="417"/>
      <c r="D31" s="417"/>
      <c r="E31" s="87"/>
      <c r="G31" s="832" t="str">
        <f>CONCATENATE("Projected Carryover Into ",E1+1,"")</f>
        <v>Projected Carryover Into 2016</v>
      </c>
      <c r="H31" s="838"/>
      <c r="I31" s="838"/>
      <c r="J31" s="839"/>
    </row>
    <row r="32" spans="2:10" ht="15.75">
      <c r="B32" s="278" t="s">
        <v>653</v>
      </c>
      <c r="C32" s="418">
        <f>IF(C33*0.1&lt;C31,"Exceed 10% Rule","")</f>
      </c>
      <c r="D32" s="418">
        <f>IF(D33*0.1&lt;D31,"Exceed 10% Rule","")</f>
      </c>
      <c r="E32" s="313">
        <f>IF(E33*0.1&lt;E31,"Exceed 10% Rule","")</f>
      </c>
      <c r="G32" s="613"/>
      <c r="H32" s="615"/>
      <c r="I32" s="615"/>
      <c r="J32" s="641"/>
    </row>
    <row r="33" spans="2:10" ht="15.75">
      <c r="B33" s="280" t="s">
        <v>171</v>
      </c>
      <c r="C33" s="419">
        <f>SUM(C23:C31)</f>
        <v>492853</v>
      </c>
      <c r="D33" s="419">
        <f>SUM(D23:D31)</f>
        <v>546662</v>
      </c>
      <c r="E33" s="321">
        <f>SUM(E23:E31)</f>
        <v>552800</v>
      </c>
      <c r="G33" s="642">
        <f>D34</f>
        <v>8454</v>
      </c>
      <c r="H33" s="632" t="str">
        <f>CONCATENATE("",E1-1," Ending Cash Balance (est.)")</f>
        <v>2014 Ending Cash Balance (est.)</v>
      </c>
      <c r="I33" s="643"/>
      <c r="J33" s="641"/>
    </row>
    <row r="34" spans="2:10" ht="15.75">
      <c r="B34" s="123" t="s">
        <v>273</v>
      </c>
      <c r="C34" s="422">
        <f>C21-C33</f>
        <v>118782</v>
      </c>
      <c r="D34" s="422">
        <f>D21-D33</f>
        <v>8454</v>
      </c>
      <c r="E34" s="306" t="s">
        <v>145</v>
      </c>
      <c r="G34" s="642">
        <f>E20</f>
        <v>332174</v>
      </c>
      <c r="H34" s="615" t="str">
        <f>CONCATENATE("",E1," Non-AV Receipts (est.)")</f>
        <v>2015 Non-AV Receipts (est.)</v>
      </c>
      <c r="I34" s="643"/>
      <c r="J34" s="641"/>
    </row>
    <row r="35" spans="2:11" ht="15.75">
      <c r="B35" s="270" t="str">
        <f>CONCATENATE("",E1-2,"/",E1-1,"/",E1," Budget Authority Amount:")</f>
        <v>2013/2014/2015 Budget Authority Amount:</v>
      </c>
      <c r="C35" s="308">
        <f>inputOth!B33</f>
        <v>545927</v>
      </c>
      <c r="D35" s="308">
        <f>inputPrYr!D19</f>
        <v>546662</v>
      </c>
      <c r="E35" s="234">
        <f>E33</f>
        <v>552800</v>
      </c>
      <c r="F35" s="289"/>
      <c r="G35" s="644">
        <f>IF(E39&gt;0,E38,E40)</f>
        <v>212172</v>
      </c>
      <c r="H35" s="615" t="str">
        <f>CONCATENATE("",E1," Ad Valorem Tax (est.)")</f>
        <v>2015 Ad Valorem Tax (est.)</v>
      </c>
      <c r="I35" s="643"/>
      <c r="J35" s="641"/>
      <c r="K35" s="629">
        <f>IF(G35=E40,"","Note: Does not include Delinquent Taxes")</f>
      </c>
    </row>
    <row r="36" spans="2:10" ht="15.75">
      <c r="B36" s="256"/>
      <c r="C36" s="822" t="s">
        <v>657</v>
      </c>
      <c r="D36" s="823"/>
      <c r="E36" s="87"/>
      <c r="F36" s="465">
        <f>IF(E33/0.95-E33&lt;E36,"Exceeds 5%","")</f>
      </c>
      <c r="G36" s="642">
        <f>SUM(G33:G35)</f>
        <v>552800</v>
      </c>
      <c r="H36" s="615" t="str">
        <f>CONCATENATE("Total ",E1," Resources Available")</f>
        <v>Total 2015 Resources Available</v>
      </c>
      <c r="I36" s="643"/>
      <c r="J36" s="641"/>
    </row>
    <row r="37" spans="2:10" ht="15.75">
      <c r="B37" s="469" t="str">
        <f>CONCATENATE(C91,"     ",D91)</f>
        <v>     </v>
      </c>
      <c r="C37" s="824" t="s">
        <v>658</v>
      </c>
      <c r="D37" s="825"/>
      <c r="E37" s="234">
        <f>E33+E36</f>
        <v>552800</v>
      </c>
      <c r="G37" s="645"/>
      <c r="H37" s="615"/>
      <c r="I37" s="615"/>
      <c r="J37" s="641"/>
    </row>
    <row r="38" spans="2:10" ht="15.75">
      <c r="B38" s="469" t="str">
        <f>CONCATENATE(C92,"     ",D92)</f>
        <v>     </v>
      </c>
      <c r="C38" s="290"/>
      <c r="D38" s="208" t="s">
        <v>172</v>
      </c>
      <c r="E38" s="95">
        <f>IF(E37-E21&gt;0,E37-E21,0)</f>
        <v>212172</v>
      </c>
      <c r="G38" s="644">
        <f>ROUND(C33*0.05+C33,0)</f>
        <v>517496</v>
      </c>
      <c r="H38" s="615" t="str">
        <f>CONCATENATE("Less ",E1-2," Expenditures + 5%")</f>
        <v>Less 2013 Expenditures + 5%</v>
      </c>
      <c r="I38" s="643"/>
      <c r="J38" s="646"/>
    </row>
    <row r="39" spans="2:10" ht="15.75">
      <c r="B39" s="208"/>
      <c r="C39" s="467" t="s">
        <v>659</v>
      </c>
      <c r="D39" s="612">
        <f>inputOth!$E$23</f>
        <v>0</v>
      </c>
      <c r="E39" s="234">
        <f>ROUND(IF(D39&gt;0,($E$38*D39),0),0)</f>
        <v>0</v>
      </c>
      <c r="G39" s="647">
        <f>G36-G38</f>
        <v>35304</v>
      </c>
      <c r="H39" s="648" t="str">
        <f>CONCATENATE("Projected ",E1+1," carryover (est.)")</f>
        <v>Projected 2016 carryover (est.)</v>
      </c>
      <c r="I39" s="649"/>
      <c r="J39" s="650"/>
    </row>
    <row r="40" spans="2:10" ht="15.75">
      <c r="B40" s="62"/>
      <c r="C40" s="830" t="str">
        <f>CONCATENATE("Amount of  ",$E$1-1," Ad Valorem Tax")</f>
        <v>Amount of  2014 Ad Valorem Tax</v>
      </c>
      <c r="D40" s="831"/>
      <c r="E40" s="317">
        <f>E38+E39</f>
        <v>212172</v>
      </c>
      <c r="G40" s="1"/>
      <c r="H40" s="1"/>
      <c r="I40" s="1"/>
      <c r="J40" s="1"/>
    </row>
    <row r="41" spans="2:10" ht="15.75">
      <c r="B41" s="62"/>
      <c r="C41" s="296"/>
      <c r="D41" s="296"/>
      <c r="E41" s="296"/>
      <c r="G41" s="834" t="s">
        <v>811</v>
      </c>
      <c r="H41" s="835"/>
      <c r="I41" s="835"/>
      <c r="J41" s="836"/>
    </row>
    <row r="42" spans="2:10" ht="15.75">
      <c r="B42" s="61" t="s">
        <v>157</v>
      </c>
      <c r="C42" s="666" t="str">
        <f aca="true" t="shared" si="0" ref="C42:E43">C4</f>
        <v>Prior Year </v>
      </c>
      <c r="D42" s="667" t="str">
        <f t="shared" si="0"/>
        <v>Current Year </v>
      </c>
      <c r="E42" s="188" t="str">
        <f t="shared" si="0"/>
        <v>Proposed Budget </v>
      </c>
      <c r="G42" s="631"/>
      <c r="H42" s="632"/>
      <c r="I42" s="633"/>
      <c r="J42" s="634"/>
    </row>
    <row r="43" spans="2:10" ht="15.75">
      <c r="B43" s="446" t="str">
        <f>(inputPrYr!B20)</f>
        <v>Fair</v>
      </c>
      <c r="C43" s="420" t="str">
        <f t="shared" si="0"/>
        <v>Actual for 2013</v>
      </c>
      <c r="D43" s="420" t="str">
        <f t="shared" si="0"/>
        <v>Estimate for 2014</v>
      </c>
      <c r="E43" s="271" t="str">
        <f t="shared" si="0"/>
        <v>Year for 2015</v>
      </c>
      <c r="G43" s="635">
        <f>summ!H19</f>
        <v>1.632</v>
      </c>
      <c r="H43" s="632" t="str">
        <f>CONCATENATE("",E1," Fund Mill Rate")</f>
        <v>2015 Fund Mill Rate</v>
      </c>
      <c r="I43" s="633"/>
      <c r="J43" s="634"/>
    </row>
    <row r="44" spans="2:10" ht="15.75">
      <c r="B44" s="123" t="s">
        <v>272</v>
      </c>
      <c r="C44" s="417">
        <v>1121</v>
      </c>
      <c r="D44" s="421">
        <f>C74</f>
        <v>10150</v>
      </c>
      <c r="E44" s="234">
        <f>D74</f>
        <v>9094</v>
      </c>
      <c r="G44" s="636">
        <f>summ!E19</f>
        <v>0.588</v>
      </c>
      <c r="H44" s="632" t="str">
        <f>CONCATENATE("",E1-1," Fund Mill Rate")</f>
        <v>2014 Fund Mill Rate</v>
      </c>
      <c r="I44" s="633"/>
      <c r="J44" s="634"/>
    </row>
    <row r="45" spans="2:10" ht="15.75">
      <c r="B45" s="272" t="s">
        <v>274</v>
      </c>
      <c r="C45" s="274"/>
      <c r="D45" s="274"/>
      <c r="E45" s="102"/>
      <c r="G45" s="637">
        <f>summ!H61</f>
        <v>51.98700000000003</v>
      </c>
      <c r="H45" s="632" t="str">
        <f>CONCATENATE("Total ",E1," Mill Rate")</f>
        <v>Total 2015 Mill Rate</v>
      </c>
      <c r="I45" s="633"/>
      <c r="J45" s="634"/>
    </row>
    <row r="46" spans="2:10" ht="15.75">
      <c r="B46" s="123" t="s">
        <v>158</v>
      </c>
      <c r="C46" s="417">
        <v>27035</v>
      </c>
      <c r="D46" s="421">
        <f>IF(inputPrYr!H20&gt;0,inputPrYr!H20,inputPrYr!E20)</f>
        <v>26062</v>
      </c>
      <c r="E46" s="306" t="s">
        <v>145</v>
      </c>
      <c r="G46" s="636">
        <f>summ!E61</f>
        <v>51.56499999999999</v>
      </c>
      <c r="H46" s="638" t="str">
        <f>CONCATENATE("Total ",E1-1," Mill Rate")</f>
        <v>Total 2014 Mill Rate</v>
      </c>
      <c r="I46" s="639"/>
      <c r="J46" s="640"/>
    </row>
    <row r="47" spans="2:10" ht="15.75">
      <c r="B47" s="123" t="s">
        <v>159</v>
      </c>
      <c r="C47" s="417">
        <v>212</v>
      </c>
      <c r="D47" s="417"/>
      <c r="E47" s="87"/>
      <c r="G47" s="1"/>
      <c r="H47" s="1"/>
      <c r="I47" s="1"/>
      <c r="J47" s="1"/>
    </row>
    <row r="48" spans="2:10" ht="15.75">
      <c r="B48" s="123" t="s">
        <v>160</v>
      </c>
      <c r="C48" s="417">
        <v>2678</v>
      </c>
      <c r="D48" s="417">
        <v>2569</v>
      </c>
      <c r="E48" s="234">
        <f>mvalloc!E11</f>
        <v>2395</v>
      </c>
      <c r="G48" s="726" t="s">
        <v>886</v>
      </c>
      <c r="H48" s="690"/>
      <c r="I48" s="689" t="str">
        <f>cert!E69</f>
        <v>Yes</v>
      </c>
      <c r="J48" s="1"/>
    </row>
    <row r="49" spans="2:10" ht="15.75">
      <c r="B49" s="123" t="s">
        <v>161</v>
      </c>
      <c r="C49" s="417">
        <v>41</v>
      </c>
      <c r="D49" s="417">
        <v>42</v>
      </c>
      <c r="E49" s="234">
        <f>mvalloc!F11</f>
        <v>35</v>
      </c>
      <c r="G49" s="1"/>
      <c r="H49" s="1"/>
      <c r="I49" s="1"/>
      <c r="J49" s="1"/>
    </row>
    <row r="50" spans="2:10" ht="15.75">
      <c r="B50" s="274" t="s">
        <v>230</v>
      </c>
      <c r="C50" s="417">
        <v>400</v>
      </c>
      <c r="D50" s="417">
        <v>356</v>
      </c>
      <c r="E50" s="234">
        <f>mvalloc!G11</f>
        <v>143</v>
      </c>
      <c r="G50" s="1"/>
      <c r="H50" s="1"/>
      <c r="I50" s="1"/>
      <c r="J50" s="1"/>
    </row>
    <row r="51" spans="2:10" ht="15.75">
      <c r="B51" s="287"/>
      <c r="C51" s="417"/>
      <c r="D51" s="417"/>
      <c r="E51" s="87"/>
      <c r="G51" s="1"/>
      <c r="H51" s="1"/>
      <c r="I51" s="1"/>
      <c r="J51" s="1"/>
    </row>
    <row r="52" spans="2:10" ht="15.75">
      <c r="B52" s="287"/>
      <c r="C52" s="417"/>
      <c r="D52" s="417"/>
      <c r="E52" s="87"/>
      <c r="G52" s="1"/>
      <c r="H52" s="1"/>
      <c r="I52" s="1"/>
      <c r="J52" s="1"/>
    </row>
    <row r="53" spans="2:10" ht="15.75">
      <c r="B53" s="287"/>
      <c r="C53" s="417"/>
      <c r="D53" s="417"/>
      <c r="E53" s="87"/>
      <c r="G53" s="1"/>
      <c r="H53" s="1"/>
      <c r="I53" s="1"/>
      <c r="J53" s="1"/>
    </row>
    <row r="54" spans="2:10" ht="15.75">
      <c r="B54" s="287"/>
      <c r="C54" s="417"/>
      <c r="D54" s="417"/>
      <c r="E54" s="87"/>
      <c r="G54" s="1"/>
      <c r="H54" s="1"/>
      <c r="I54" s="1"/>
      <c r="J54" s="1"/>
    </row>
    <row r="55" spans="2:10" ht="15.75">
      <c r="B55" s="287"/>
      <c r="C55" s="417"/>
      <c r="D55" s="417"/>
      <c r="E55" s="87"/>
      <c r="G55" s="1"/>
      <c r="H55" s="1"/>
      <c r="I55" s="1"/>
      <c r="J55" s="1"/>
    </row>
    <row r="56" spans="2:10" ht="15.75">
      <c r="B56" s="287"/>
      <c r="C56" s="417"/>
      <c r="D56" s="417"/>
      <c r="E56" s="87"/>
      <c r="G56" s="1"/>
      <c r="H56" s="1"/>
      <c r="I56" s="1"/>
      <c r="J56" s="1"/>
    </row>
    <row r="57" spans="2:10" ht="15.75">
      <c r="B57" s="277" t="s">
        <v>165</v>
      </c>
      <c r="C57" s="417"/>
      <c r="D57" s="417"/>
      <c r="E57" s="87"/>
      <c r="G57" s="1"/>
      <c r="H57" s="1"/>
      <c r="I57" s="1"/>
      <c r="J57" s="1"/>
    </row>
    <row r="58" spans="2:10" ht="15.75">
      <c r="B58" s="278" t="s">
        <v>72</v>
      </c>
      <c r="C58" s="417"/>
      <c r="D58" s="417"/>
      <c r="E58" s="87"/>
      <c r="G58" s="1"/>
      <c r="H58" s="1"/>
      <c r="I58" s="1"/>
      <c r="J58" s="1"/>
    </row>
    <row r="59" spans="2:10" ht="15.75">
      <c r="B59" s="278" t="s">
        <v>654</v>
      </c>
      <c r="C59" s="418">
        <f>IF(C60*0.1&lt;C58,"Exceed 10% Rule","")</f>
      </c>
      <c r="D59" s="418">
        <f>IF(D60*0.1&lt;D58,"Exceed 10% Rule","")</f>
      </c>
      <c r="E59" s="313">
        <f>IF(E60*0.1+E80&lt;E58,"Exceed 10% Rule","")</f>
      </c>
      <c r="G59" s="1"/>
      <c r="H59" s="1"/>
      <c r="I59" s="1"/>
      <c r="J59" s="1"/>
    </row>
    <row r="60" spans="2:10" ht="15.75">
      <c r="B60" s="280" t="s">
        <v>166</v>
      </c>
      <c r="C60" s="419">
        <f>SUM(C46:C58)</f>
        <v>30366</v>
      </c>
      <c r="D60" s="419">
        <f>SUM(D46:D58)</f>
        <v>29029</v>
      </c>
      <c r="E60" s="321">
        <f>SUM(E46:E58)</f>
        <v>2573</v>
      </c>
      <c r="G60" s="1"/>
      <c r="H60" s="1"/>
      <c r="I60" s="1"/>
      <c r="J60" s="1"/>
    </row>
    <row r="61" spans="2:10" ht="15.75">
      <c r="B61" s="280" t="s">
        <v>167</v>
      </c>
      <c r="C61" s="419">
        <f>C44+C60</f>
        <v>31487</v>
      </c>
      <c r="D61" s="419">
        <f>D44+D60</f>
        <v>39179</v>
      </c>
      <c r="E61" s="321">
        <f>E44+E60</f>
        <v>11667</v>
      </c>
      <c r="G61" s="1"/>
      <c r="H61" s="1"/>
      <c r="I61" s="1"/>
      <c r="J61" s="1"/>
    </row>
    <row r="62" spans="2:10" ht="15.75">
      <c r="B62" s="123" t="s">
        <v>170</v>
      </c>
      <c r="C62" s="278"/>
      <c r="D62" s="278"/>
      <c r="E62" s="83"/>
      <c r="G62" s="1"/>
      <c r="H62" s="1"/>
      <c r="I62" s="1"/>
      <c r="J62" s="1"/>
    </row>
    <row r="63" spans="2:10" ht="15.75">
      <c r="B63" s="287" t="s">
        <v>1044</v>
      </c>
      <c r="C63" s="417">
        <v>20738</v>
      </c>
      <c r="D63" s="417">
        <v>25000</v>
      </c>
      <c r="E63" s="87">
        <v>25000</v>
      </c>
      <c r="G63" s="1"/>
      <c r="H63" s="1"/>
      <c r="I63" s="1"/>
      <c r="J63" s="1"/>
    </row>
    <row r="64" spans="2:10" ht="15.75">
      <c r="B64" s="287" t="s">
        <v>1045</v>
      </c>
      <c r="C64" s="417"/>
      <c r="D64" s="417">
        <v>2500</v>
      </c>
      <c r="E64" s="87">
        <v>2500</v>
      </c>
      <c r="G64" s="832" t="str">
        <f>CONCATENATE("Desired Carryover Into ",E1+1,"")</f>
        <v>Desired Carryover Into 2016</v>
      </c>
      <c r="H64" s="833"/>
      <c r="I64" s="833"/>
      <c r="J64" s="804"/>
    </row>
    <row r="65" spans="2:10" ht="15.75">
      <c r="B65" s="287" t="s">
        <v>1046</v>
      </c>
      <c r="C65" s="417"/>
      <c r="D65" s="417">
        <v>2100</v>
      </c>
      <c r="E65" s="87">
        <v>2100</v>
      </c>
      <c r="G65" s="613"/>
      <c r="H65" s="614"/>
      <c r="I65" s="615"/>
      <c r="J65" s="616"/>
    </row>
    <row r="66" spans="2:10" ht="15.75">
      <c r="B66" s="287"/>
      <c r="C66" s="417"/>
      <c r="D66" s="417"/>
      <c r="E66" s="87"/>
      <c r="G66" s="617" t="s">
        <v>660</v>
      </c>
      <c r="H66" s="615"/>
      <c r="I66" s="615"/>
      <c r="J66" s="618">
        <v>0</v>
      </c>
    </row>
    <row r="67" spans="2:10" ht="15.75">
      <c r="B67" s="287"/>
      <c r="C67" s="417"/>
      <c r="D67" s="417"/>
      <c r="E67" s="87"/>
      <c r="G67" s="613" t="s">
        <v>661</v>
      </c>
      <c r="H67" s="614"/>
      <c r="I67" s="614"/>
      <c r="J67" s="619">
        <f>IF(J66=0,"",ROUND((J66+E80-G79)/inputOth!E6*1000,3)-G84)</f>
      </c>
    </row>
    <row r="68" spans="2:10" ht="15.75">
      <c r="B68" s="287"/>
      <c r="C68" s="417"/>
      <c r="D68" s="417"/>
      <c r="E68" s="87"/>
      <c r="G68" s="620" t="str">
        <f>CONCATENATE("",E1," Tot Exp/Non-Appr Must Be:")</f>
        <v>2015 Tot Exp/Non-Appr Must Be:</v>
      </c>
      <c r="H68" s="621"/>
      <c r="I68" s="622"/>
      <c r="J68" s="623">
        <f>IF(J66&gt;0,IF(E77&lt;E61,IF(J66=G79,E77,((J66-G79)*(1-D79))+E61),E77+(J66-G79)),0)</f>
        <v>0</v>
      </c>
    </row>
    <row r="69" spans="2:10" ht="15.75">
      <c r="B69" s="287"/>
      <c r="C69" s="417"/>
      <c r="D69" s="417"/>
      <c r="E69" s="87"/>
      <c r="G69" s="624" t="s">
        <v>810</v>
      </c>
      <c r="H69" s="625"/>
      <c r="I69" s="625"/>
      <c r="J69" s="626">
        <f>IF(J66&gt;0,J68-E77,0)</f>
        <v>0</v>
      </c>
    </row>
    <row r="70" spans="2:10" ht="15.75">
      <c r="B70" s="278" t="s">
        <v>74</v>
      </c>
      <c r="C70" s="417">
        <v>599</v>
      </c>
      <c r="D70" s="417">
        <v>485</v>
      </c>
      <c r="E70" s="95">
        <f>Nhood!E10</f>
        <v>282</v>
      </c>
      <c r="G70" s="1"/>
      <c r="H70" s="1"/>
      <c r="I70" s="1"/>
      <c r="J70" s="1"/>
    </row>
    <row r="71" spans="2:10" ht="15.75">
      <c r="B71" s="278" t="s">
        <v>72</v>
      </c>
      <c r="C71" s="417"/>
      <c r="D71" s="417"/>
      <c r="E71" s="87"/>
      <c r="G71" s="832" t="str">
        <f>CONCATENATE("Projected Carryover Into ",E1+1,"")</f>
        <v>Projected Carryover Into 2016</v>
      </c>
      <c r="H71" s="840"/>
      <c r="I71" s="840"/>
      <c r="J71" s="839"/>
    </row>
    <row r="72" spans="2:10" ht="15.75">
      <c r="B72" s="278" t="s">
        <v>653</v>
      </c>
      <c r="C72" s="418">
        <f>IF(C73*0.1&lt;C71,"Exceed 10% Rule","")</f>
      </c>
      <c r="D72" s="418">
        <f>IF(D73*0.1&lt;D71,"Exceed 10% Rule","")</f>
      </c>
      <c r="E72" s="313">
        <f>IF(E73*0.1&lt;E71,"Exceed 10% Rule","")</f>
      </c>
      <c r="G72" s="651"/>
      <c r="H72" s="614"/>
      <c r="I72" s="614"/>
      <c r="J72" s="646"/>
    </row>
    <row r="73" spans="2:10" ht="15.75">
      <c r="B73" s="280" t="s">
        <v>171</v>
      </c>
      <c r="C73" s="419">
        <f>SUM(C63:C71)</f>
        <v>21337</v>
      </c>
      <c r="D73" s="419">
        <f>SUM(D63:D71)</f>
        <v>30085</v>
      </c>
      <c r="E73" s="321">
        <f>SUM(E63:E71)</f>
        <v>29882</v>
      </c>
      <c r="G73" s="642">
        <f>D74</f>
        <v>9094</v>
      </c>
      <c r="H73" s="632" t="str">
        <f>CONCATENATE("",E1-1," Ending Cash Balance (est.)")</f>
        <v>2014 Ending Cash Balance (est.)</v>
      </c>
      <c r="I73" s="643"/>
      <c r="J73" s="646"/>
    </row>
    <row r="74" spans="2:10" ht="15.75">
      <c r="B74" s="123" t="s">
        <v>273</v>
      </c>
      <c r="C74" s="422">
        <f>C61-C73</f>
        <v>10150</v>
      </c>
      <c r="D74" s="422">
        <f>D61-D73</f>
        <v>9094</v>
      </c>
      <c r="E74" s="306" t="s">
        <v>145</v>
      </c>
      <c r="G74" s="642">
        <f>E60</f>
        <v>2573</v>
      </c>
      <c r="H74" s="615" t="str">
        <f>CONCATENATE("",E1," Non-AV Receipts (est.)")</f>
        <v>2015 Non-AV Receipts (est.)</v>
      </c>
      <c r="I74" s="643"/>
      <c r="J74" s="646"/>
    </row>
    <row r="75" spans="2:11" ht="15.75">
      <c r="B75" s="270" t="str">
        <f>CONCATENATE("",E1-2,"/",E1-1,"/",E1," Budget Authority Amount:")</f>
        <v>2013/2014/2015 Budget Authority Amount:</v>
      </c>
      <c r="C75" s="308">
        <f>inputOth!B34</f>
        <v>30217</v>
      </c>
      <c r="D75" s="308">
        <f>inputPrYr!D20</f>
        <v>30085</v>
      </c>
      <c r="E75" s="234">
        <f>E73</f>
        <v>29882</v>
      </c>
      <c r="F75" s="289"/>
      <c r="G75" s="644">
        <f>IF(E79&gt;0,E78,E80)</f>
        <v>18215</v>
      </c>
      <c r="H75" s="615" t="str">
        <f>CONCATENATE("",E1," Ad Valorem Tax (est.)")</f>
        <v>2015 Ad Valorem Tax (est.)</v>
      </c>
      <c r="I75" s="643"/>
      <c r="J75" s="646"/>
      <c r="K75" s="629">
        <f>IF(G75=E80,"","Note: Does not include Delinquent Taxes")</f>
      </c>
    </row>
    <row r="76" spans="2:10" ht="15.75">
      <c r="B76" s="256"/>
      <c r="C76" s="822" t="s">
        <v>657</v>
      </c>
      <c r="D76" s="823"/>
      <c r="E76" s="87"/>
      <c r="F76" s="465">
        <f>IF(E73/0.95-E73&lt;E76,"Exceeds 5%","")</f>
      </c>
      <c r="G76" s="652">
        <f>SUM(G73:G75)</f>
        <v>29882</v>
      </c>
      <c r="H76" s="615" t="str">
        <f>CONCATENATE("Total ",E1," Resources Available")</f>
        <v>Total 2015 Resources Available</v>
      </c>
      <c r="I76" s="653"/>
      <c r="J76" s="646"/>
    </row>
    <row r="77" spans="2:10" ht="15.75">
      <c r="B77" s="468" t="str">
        <f>CONCATENATE(C93,"     ",D93)</f>
        <v>     </v>
      </c>
      <c r="C77" s="824" t="s">
        <v>658</v>
      </c>
      <c r="D77" s="825"/>
      <c r="E77" s="234">
        <f>E73+E76</f>
        <v>29882</v>
      </c>
      <c r="G77" s="654"/>
      <c r="H77" s="655"/>
      <c r="I77" s="614"/>
      <c r="J77" s="646"/>
    </row>
    <row r="78" spans="2:10" ht="15.75">
      <c r="B78" s="468" t="str">
        <f>CONCATENATE(C94,"     ",D94)</f>
        <v>     </v>
      </c>
      <c r="C78" s="290"/>
      <c r="D78" s="208" t="s">
        <v>172</v>
      </c>
      <c r="E78" s="95">
        <f>IF(E77-E61&gt;0,E77-E61,0)</f>
        <v>18215</v>
      </c>
      <c r="G78" s="656">
        <f>ROUND(C73*0.05+C73,0)</f>
        <v>22404</v>
      </c>
      <c r="H78" s="615" t="str">
        <f>CONCATENATE("Less ",E1-2," Expenditures + 5%")</f>
        <v>Less 2013 Expenditures + 5%</v>
      </c>
      <c r="I78" s="653"/>
      <c r="J78" s="646"/>
    </row>
    <row r="79" spans="2:10" ht="15.75">
      <c r="B79" s="208"/>
      <c r="C79" s="467" t="s">
        <v>659</v>
      </c>
      <c r="D79" s="612">
        <f>inputOth!$E$23</f>
        <v>0</v>
      </c>
      <c r="E79" s="234">
        <f>ROUND(IF(D79&gt;0,($E$78*D79),0),0)</f>
        <v>0</v>
      </c>
      <c r="G79" s="657">
        <f>G76-G78</f>
        <v>7478</v>
      </c>
      <c r="H79" s="648" t="str">
        <f>CONCATENATE("Projected ",E1+1," carryover (est.)")</f>
        <v>Projected 2016 carryover (est.)</v>
      </c>
      <c r="I79" s="658"/>
      <c r="J79" s="659"/>
    </row>
    <row r="80" spans="2:10" ht="15.75">
      <c r="B80" s="62"/>
      <c r="C80" s="830" t="str">
        <f>CONCATENATE("Amount of  ",$E$1-1," Ad Valorem Tax")</f>
        <v>Amount of  2014 Ad Valorem Tax</v>
      </c>
      <c r="D80" s="831"/>
      <c r="E80" s="317">
        <f>E78+E79</f>
        <v>18215</v>
      </c>
      <c r="G80" s="1"/>
      <c r="H80" s="1"/>
      <c r="I80" s="1"/>
      <c r="J80" s="1"/>
    </row>
    <row r="81" spans="2:10" ht="15.75">
      <c r="B81" s="256" t="s">
        <v>192</v>
      </c>
      <c r="C81" s="318">
        <v>10</v>
      </c>
      <c r="D81" s="62"/>
      <c r="E81" s="62"/>
      <c r="G81" s="834" t="s">
        <v>811</v>
      </c>
      <c r="H81" s="835"/>
      <c r="I81" s="835"/>
      <c r="J81" s="836"/>
    </row>
    <row r="82" spans="7:10" ht="15.75">
      <c r="G82" s="631"/>
      <c r="H82" s="632"/>
      <c r="I82" s="633"/>
      <c r="J82" s="634"/>
    </row>
    <row r="83" spans="7:10" ht="15.75">
      <c r="G83" s="635">
        <f>summ!H20</f>
        <v>0.14</v>
      </c>
      <c r="H83" s="632" t="str">
        <f>CONCATENATE("",E1," Fund Mill Rate")</f>
        <v>2015 Fund Mill Rate</v>
      </c>
      <c r="I83" s="633"/>
      <c r="J83" s="634"/>
    </row>
    <row r="84" spans="7:10" ht="15.75">
      <c r="G84" s="636">
        <f>summ!E20</f>
        <v>0.211</v>
      </c>
      <c r="H84" s="632" t="str">
        <f>CONCATENATE("",E1-1," Fund Mill Rate")</f>
        <v>2014 Fund Mill Rate</v>
      </c>
      <c r="I84" s="633"/>
      <c r="J84" s="634"/>
    </row>
    <row r="85" spans="7:10" ht="15.75">
      <c r="G85" s="637">
        <f>summ!H61</f>
        <v>51.98700000000003</v>
      </c>
      <c r="H85" s="632" t="str">
        <f>CONCATENATE("Total ",E1," Mill Rate")</f>
        <v>Total 2015 Mill Rate</v>
      </c>
      <c r="I85" s="633"/>
      <c r="J85" s="634"/>
    </row>
    <row r="86" spans="7:10" ht="15.75">
      <c r="G86" s="636">
        <f>summ!E61</f>
        <v>51.56499999999999</v>
      </c>
      <c r="H86" s="638" t="str">
        <f>CONCATENATE("Total ",E1-1," Mill Rate")</f>
        <v>Total 2014 Mill Rate</v>
      </c>
      <c r="I86" s="639"/>
      <c r="J86" s="640"/>
    </row>
    <row r="88" spans="7:9" ht="15.75">
      <c r="G88" s="727" t="s">
        <v>886</v>
      </c>
      <c r="H88" s="690"/>
      <c r="I88" s="689" t="str">
        <f>cert!E69</f>
        <v>Yes</v>
      </c>
    </row>
    <row r="91" spans="3:4" ht="15.75" hidden="1">
      <c r="C91" s="50">
        <f>IF(C33&gt;C35,"See Tab A","")</f>
      </c>
      <c r="D91" s="50">
        <f>IF(D33&gt;D35,"See Tab C","")</f>
      </c>
    </row>
    <row r="92" spans="3:4" ht="15.75" hidden="1">
      <c r="C92" s="50">
        <f>IF(C34&lt;0,"See Tab B","")</f>
      </c>
      <c r="D92" s="50">
        <f>IF(D34&lt;0,"See Tab D","")</f>
      </c>
    </row>
    <row r="93" spans="3:4" ht="15.75" hidden="1">
      <c r="C93" s="50">
        <f>IF(C73&gt;C75,"See Tab A","")</f>
      </c>
      <c r="D93" s="50">
        <f>IF(D73&gt;D75,"See Tab C","")</f>
      </c>
    </row>
    <row r="94" spans="3:4" ht="15.75" hidden="1">
      <c r="C94" s="50">
        <f>IF(C74&lt;0,"See Tab B","")</f>
      </c>
      <c r="D94" s="50">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71">
    <cfRule type="cellIs" priority="4" dxfId="408" operator="greaterThan" stopIfTrue="1">
      <formula>$E$73*0.1</formula>
    </cfRule>
  </conditionalFormatting>
  <conditionalFormatting sqref="E76">
    <cfRule type="cellIs" priority="5" dxfId="408" operator="greaterThan" stopIfTrue="1">
      <formula>$E$73/0.95-$E$73</formula>
    </cfRule>
  </conditionalFormatting>
  <conditionalFormatting sqref="E36">
    <cfRule type="cellIs" priority="6" dxfId="408" operator="greaterThan" stopIfTrue="1">
      <formula>$E$33/0.95-$E$33</formula>
    </cfRule>
  </conditionalFormatting>
  <conditionalFormatting sqref="E31">
    <cfRule type="cellIs" priority="7" dxfId="408" operator="greaterThan" stopIfTrue="1">
      <formula>$E$33*0.1</formula>
    </cfRule>
  </conditionalFormatting>
  <conditionalFormatting sqref="C33">
    <cfRule type="cellIs" priority="8" dxfId="2" operator="greaterThan" stopIfTrue="1">
      <formula>$C$35</formula>
    </cfRule>
  </conditionalFormatting>
  <conditionalFormatting sqref="C74 C34">
    <cfRule type="cellIs" priority="9" dxfId="2" operator="lessThan" stopIfTrue="1">
      <formula>0</formula>
    </cfRule>
  </conditionalFormatting>
  <conditionalFormatting sqref="D33">
    <cfRule type="cellIs" priority="10" dxfId="2" operator="greaterThan" stopIfTrue="1">
      <formula>$D$35</formula>
    </cfRule>
  </conditionalFormatting>
  <conditionalFormatting sqref="C73">
    <cfRule type="cellIs" priority="11" dxfId="2" operator="greaterThan" stopIfTrue="1">
      <formula>$C$75</formula>
    </cfRule>
  </conditionalFormatting>
  <conditionalFormatting sqref="D73">
    <cfRule type="cellIs" priority="12" dxfId="2" operator="greaterThan" stopIfTrue="1">
      <formula>$D$75</formula>
    </cfRule>
  </conditionalFormatting>
  <conditionalFormatting sqref="C71">
    <cfRule type="cellIs" priority="13" dxfId="2" operator="greaterThan" stopIfTrue="1">
      <formula>$C$73*0.1</formula>
    </cfRule>
  </conditionalFormatting>
  <conditionalFormatting sqref="D71">
    <cfRule type="cellIs" priority="14" dxfId="2" operator="greaterThan" stopIfTrue="1">
      <formula>$D$73*0.1</formula>
    </cfRule>
  </conditionalFormatting>
  <conditionalFormatting sqref="E58">
    <cfRule type="cellIs" priority="15" dxfId="408" operator="greaterThan" stopIfTrue="1">
      <formula>$E$60*0.1+E80</formula>
    </cfRule>
  </conditionalFormatting>
  <conditionalFormatting sqref="C58">
    <cfRule type="cellIs" priority="16" dxfId="2" operator="greaterThan" stopIfTrue="1">
      <formula>$C$60*0.1</formula>
    </cfRule>
  </conditionalFormatting>
  <conditionalFormatting sqref="D58">
    <cfRule type="cellIs" priority="17" dxfId="2" operator="greaterThan" stopIfTrue="1">
      <formula>$D$60*0.1</formula>
    </cfRule>
  </conditionalFormatting>
  <conditionalFormatting sqref="C31">
    <cfRule type="cellIs" priority="18" dxfId="2" operator="greaterThan" stopIfTrue="1">
      <formula>$C$33*0.1</formula>
    </cfRule>
  </conditionalFormatting>
  <conditionalFormatting sqref="D31">
    <cfRule type="cellIs" priority="19" dxfId="2" operator="greaterThan" stopIfTrue="1">
      <formula>$D$33*0.1</formula>
    </cfRule>
  </conditionalFormatting>
  <conditionalFormatting sqref="E18">
    <cfRule type="cellIs" priority="20" dxfId="408" operator="greaterThan" stopIfTrue="1">
      <formula>$E$20*0.1+E40</formula>
    </cfRule>
  </conditionalFormatting>
  <conditionalFormatting sqref="C18">
    <cfRule type="cellIs" priority="21" dxfId="2" operator="greaterThan" stopIfTrue="1">
      <formula>$C$20*0.1</formula>
    </cfRule>
  </conditionalFormatting>
  <conditionalFormatting sqref="D18">
    <cfRule type="cellIs" priority="22" dxfId="2" operator="greaterThan" stopIfTrue="1">
      <formula>$D$20*0.1</formula>
    </cfRule>
  </conditionalFormatting>
  <conditionalFormatting sqref="D34">
    <cfRule type="cellIs" priority="2" dxfId="0" operator="lessThan" stopIfTrue="1">
      <formula>0</formula>
    </cfRule>
    <cfRule type="cellIs" priority="3" dxfId="0" operator="lessThan" stopIfTrue="1">
      <formula>0</formula>
    </cfRule>
  </conditionalFormatting>
  <conditionalFormatting sqref="D74">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53" r:id="rId1"/>
  <headerFooter alignWithMargins="0">
    <oddHeader>&amp;RState of Kansas
County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4"/>
  <sheetViews>
    <sheetView zoomScalePageLayoutView="0" workbookViewId="0" topLeftCell="A13">
      <selection activeCell="E64" sqref="E64"/>
    </sheetView>
  </sheetViews>
  <sheetFormatPr defaultColWidth="8.796875" defaultRowHeight="15"/>
  <cols>
    <col min="1" max="1" width="2.3984375" style="50" customWidth="1"/>
    <col min="2" max="2" width="31.09765625" style="50" customWidth="1"/>
    <col min="3" max="4" width="15.796875" style="50" customWidth="1"/>
    <col min="5" max="5" width="16.09765625" style="50" customWidth="1"/>
    <col min="6" max="6" width="7.3984375" style="50" customWidth="1"/>
    <col min="7" max="7" width="10.19921875" style="50" customWidth="1"/>
    <col min="8" max="8" width="8.8984375" style="50" customWidth="1"/>
    <col min="9" max="9" width="5" style="50" customWidth="1"/>
    <col min="10" max="10" width="10" style="50" customWidth="1"/>
    <col min="11" max="16384" width="8.8984375" style="50" customWidth="1"/>
  </cols>
  <sheetData>
    <row r="1" spans="2:5" ht="15.75">
      <c r="B1" s="201" t="str">
        <f>(inputPrYr!C2)</f>
        <v>Marshall County</v>
      </c>
      <c r="C1" s="62"/>
      <c r="D1" s="62"/>
      <c r="E1" s="255">
        <f>inputPrYr!C4</f>
        <v>2015</v>
      </c>
    </row>
    <row r="2" spans="2:5" ht="15.75">
      <c r="B2" s="62"/>
      <c r="C2" s="62"/>
      <c r="D2" s="62"/>
      <c r="E2" s="208"/>
    </row>
    <row r="3" spans="2:5" ht="15.75">
      <c r="B3" s="127" t="s">
        <v>239</v>
      </c>
      <c r="C3" s="302"/>
      <c r="D3" s="302"/>
      <c r="E3" s="303"/>
    </row>
    <row r="4" spans="2:5" ht="15.75">
      <c r="B4" s="61" t="s">
        <v>157</v>
      </c>
      <c r="C4" s="666" t="s">
        <v>812</v>
      </c>
      <c r="D4" s="667" t="s">
        <v>813</v>
      </c>
      <c r="E4" s="188" t="s">
        <v>814</v>
      </c>
    </row>
    <row r="5" spans="2:5" ht="15.75">
      <c r="B5" s="447" t="str">
        <f>inputPrYr!B21</f>
        <v>4-H Building</v>
      </c>
      <c r="C5" s="420" t="str">
        <f>CONCATENATE("Actual for ",E1-2,"")</f>
        <v>Actual for 2013</v>
      </c>
      <c r="D5" s="420" t="str">
        <f>CONCATENATE("Estimate for ",E1-1,"")</f>
        <v>Estimate for 2014</v>
      </c>
      <c r="E5" s="271" t="str">
        <f>CONCATENATE("Year for ",E1,"")</f>
        <v>Year for 2015</v>
      </c>
    </row>
    <row r="6" spans="2:5" ht="15.75">
      <c r="B6" s="123" t="s">
        <v>272</v>
      </c>
      <c r="C6" s="417">
        <v>276</v>
      </c>
      <c r="D6" s="421">
        <f>C34</f>
        <v>327</v>
      </c>
      <c r="E6" s="234">
        <f>D34</f>
        <v>51</v>
      </c>
    </row>
    <row r="7" spans="2:5" ht="15.75">
      <c r="B7" s="259" t="s">
        <v>274</v>
      </c>
      <c r="C7" s="274"/>
      <c r="D7" s="274"/>
      <c r="E7" s="102"/>
    </row>
    <row r="8" spans="2:5" ht="15.75">
      <c r="B8" s="123" t="s">
        <v>158</v>
      </c>
      <c r="C8" s="417">
        <v>6789</v>
      </c>
      <c r="D8" s="421">
        <f>IF(inputPrYr!H21&gt;0,inputPrYr!H21,inputPrYr!E21)</f>
        <v>6502</v>
      </c>
      <c r="E8" s="306" t="s">
        <v>145</v>
      </c>
    </row>
    <row r="9" spans="2:5" ht="15.75">
      <c r="B9" s="123" t="s">
        <v>159</v>
      </c>
      <c r="C9" s="417">
        <v>53</v>
      </c>
      <c r="D9" s="417"/>
      <c r="E9" s="87"/>
    </row>
    <row r="10" spans="2:5" ht="15.75">
      <c r="B10" s="123" t="s">
        <v>160</v>
      </c>
      <c r="C10" s="417">
        <v>656</v>
      </c>
      <c r="D10" s="417">
        <v>644</v>
      </c>
      <c r="E10" s="234">
        <f>mvalloc!E12</f>
        <v>597</v>
      </c>
    </row>
    <row r="11" spans="2:5" ht="15.75">
      <c r="B11" s="123" t="s">
        <v>161</v>
      </c>
      <c r="C11" s="417">
        <v>10</v>
      </c>
      <c r="D11" s="417">
        <v>10</v>
      </c>
      <c r="E11" s="234">
        <f>mvalloc!F12</f>
        <v>9</v>
      </c>
    </row>
    <row r="12" spans="2:5" ht="15.75">
      <c r="B12" s="274" t="s">
        <v>230</v>
      </c>
      <c r="C12" s="417">
        <v>93</v>
      </c>
      <c r="D12" s="417">
        <v>89</v>
      </c>
      <c r="E12" s="234">
        <f>mvalloc!G12</f>
        <v>36</v>
      </c>
    </row>
    <row r="13" spans="2:5" ht="15.75">
      <c r="B13" s="287"/>
      <c r="C13" s="417"/>
      <c r="D13" s="417"/>
      <c r="E13" s="87"/>
    </row>
    <row r="14" spans="2:5" ht="15.75">
      <c r="B14" s="287"/>
      <c r="C14" s="417"/>
      <c r="D14" s="417"/>
      <c r="E14" s="87"/>
    </row>
    <row r="15" spans="2:5" ht="15.75">
      <c r="B15" s="287"/>
      <c r="C15" s="417"/>
      <c r="D15" s="417"/>
      <c r="E15" s="87"/>
    </row>
    <row r="16" spans="2:5" ht="15.75">
      <c r="B16" s="287"/>
      <c r="C16" s="417"/>
      <c r="D16" s="417"/>
      <c r="E16" s="87"/>
    </row>
    <row r="17" spans="2:5" ht="15.75">
      <c r="B17" s="277" t="s">
        <v>165</v>
      </c>
      <c r="C17" s="417"/>
      <c r="D17" s="417"/>
      <c r="E17" s="87"/>
    </row>
    <row r="18" spans="2:5" ht="15.75">
      <c r="B18" s="278" t="s">
        <v>72</v>
      </c>
      <c r="C18" s="417"/>
      <c r="D18" s="417"/>
      <c r="E18" s="87"/>
    </row>
    <row r="19" spans="2:5" ht="15.75">
      <c r="B19" s="278" t="s">
        <v>654</v>
      </c>
      <c r="C19" s="418">
        <f>IF(C20*0.1&lt;C18,"Exceed 10% Rule","")</f>
      </c>
      <c r="D19" s="418">
        <f>IF(D20*0.1&lt;D18,"Exceed 10% Rule","")</f>
      </c>
      <c r="E19" s="313">
        <f>IF(E20*0.1+E40&lt;E18,"Exceed 10% Rule","")</f>
      </c>
    </row>
    <row r="20" spans="2:5" ht="15.75">
      <c r="B20" s="280" t="s">
        <v>166</v>
      </c>
      <c r="C20" s="419">
        <f>SUM(C8:C18)</f>
        <v>7601</v>
      </c>
      <c r="D20" s="419">
        <f>SUM(D8:D18)</f>
        <v>7245</v>
      </c>
      <c r="E20" s="321">
        <f>SUM(E8:E18)</f>
        <v>642</v>
      </c>
    </row>
    <row r="21" spans="2:5" ht="15.75">
      <c r="B21" s="280" t="s">
        <v>167</v>
      </c>
      <c r="C21" s="419">
        <f>C6+C20</f>
        <v>7877</v>
      </c>
      <c r="D21" s="419">
        <f>D6+D20</f>
        <v>7572</v>
      </c>
      <c r="E21" s="321">
        <f>E6+E20</f>
        <v>693</v>
      </c>
    </row>
    <row r="22" spans="2:5" ht="15.75">
      <c r="B22" s="123" t="s">
        <v>170</v>
      </c>
      <c r="C22" s="278"/>
      <c r="D22" s="278"/>
      <c r="E22" s="83"/>
    </row>
    <row r="23" spans="2:5" ht="15.75">
      <c r="B23" s="287" t="s">
        <v>1021</v>
      </c>
      <c r="C23" s="417">
        <v>7400</v>
      </c>
      <c r="D23" s="417">
        <v>7400</v>
      </c>
      <c r="E23" s="87">
        <v>7400</v>
      </c>
    </row>
    <row r="24" spans="2:10" ht="15.75">
      <c r="B24" s="287"/>
      <c r="C24" s="417"/>
      <c r="D24" s="417"/>
      <c r="E24" s="87"/>
      <c r="G24" s="832" t="str">
        <f>CONCATENATE("Desired Carryover Into ",E1+1,"")</f>
        <v>Desired Carryover Into 2016</v>
      </c>
      <c r="H24" s="833"/>
      <c r="I24" s="833"/>
      <c r="J24" s="804"/>
    </row>
    <row r="25" spans="2:10" ht="15.75">
      <c r="B25" s="287"/>
      <c r="C25" s="417"/>
      <c r="D25" s="417"/>
      <c r="E25" s="87"/>
      <c r="G25" s="613"/>
      <c r="H25" s="614"/>
      <c r="I25" s="615"/>
      <c r="J25" s="616"/>
    </row>
    <row r="26" spans="2:10" ht="15.75">
      <c r="B26" s="287"/>
      <c r="C26" s="417"/>
      <c r="D26" s="417"/>
      <c r="E26" s="87"/>
      <c r="G26" s="617" t="s">
        <v>660</v>
      </c>
      <c r="H26" s="615"/>
      <c r="I26" s="615"/>
      <c r="J26" s="618">
        <v>0</v>
      </c>
    </row>
    <row r="27" spans="2:10" ht="15.75">
      <c r="B27" s="287"/>
      <c r="C27" s="417"/>
      <c r="D27" s="417"/>
      <c r="E27" s="87"/>
      <c r="G27" s="613" t="s">
        <v>661</v>
      </c>
      <c r="H27" s="614"/>
      <c r="I27" s="614"/>
      <c r="J27" s="619">
        <f>IF(J26=0,"",ROUND((J26+E40-G39)/inputOth!E6*1000,3)-G44)</f>
      </c>
    </row>
    <row r="28" spans="2:10" ht="15.75">
      <c r="B28" s="287"/>
      <c r="C28" s="417"/>
      <c r="D28" s="417"/>
      <c r="E28" s="87"/>
      <c r="G28" s="620" t="str">
        <f>CONCATENATE("",E1," Tot Exp/Non-Appr Must Be:")</f>
        <v>2015 Tot Exp/Non-Appr Must Be:</v>
      </c>
      <c r="H28" s="621"/>
      <c r="I28" s="622"/>
      <c r="J28" s="623">
        <f>IF(J26&gt;0,IF(E37&lt;E21,IF(J26=G39,E37,((J26-G39)*(1-D39))+E21),E37+(J26-G39)),0)</f>
        <v>0</v>
      </c>
    </row>
    <row r="29" spans="2:10" ht="15.75">
      <c r="B29" s="287"/>
      <c r="C29" s="417"/>
      <c r="D29" s="417"/>
      <c r="E29" s="87"/>
      <c r="G29" s="624" t="s">
        <v>810</v>
      </c>
      <c r="H29" s="625"/>
      <c r="I29" s="625"/>
      <c r="J29" s="626">
        <f>IF(J26&gt;0,J28-E37,0)</f>
        <v>0</v>
      </c>
    </row>
    <row r="30" spans="2:10" ht="15.75">
      <c r="B30" s="278" t="s">
        <v>74</v>
      </c>
      <c r="C30" s="417">
        <v>150</v>
      </c>
      <c r="D30" s="417">
        <v>121</v>
      </c>
      <c r="E30" s="95">
        <f>Nhood!E11</f>
        <v>106</v>
      </c>
      <c r="G30" s="1"/>
      <c r="H30" s="1"/>
      <c r="I30" s="1"/>
      <c r="J30" s="1"/>
    </row>
    <row r="31" spans="2:10" ht="15.75">
      <c r="B31" s="278" t="s">
        <v>72</v>
      </c>
      <c r="C31" s="417"/>
      <c r="D31" s="417"/>
      <c r="E31" s="87"/>
      <c r="G31" s="832" t="str">
        <f>CONCATENATE("Projected Carryover Into ",E1+1,"")</f>
        <v>Projected Carryover Into 2016</v>
      </c>
      <c r="H31" s="838"/>
      <c r="I31" s="838"/>
      <c r="J31" s="839"/>
    </row>
    <row r="32" spans="2:10" ht="15.75">
      <c r="B32" s="278" t="s">
        <v>653</v>
      </c>
      <c r="C32" s="418">
        <f>IF(C33*0.1&lt;C31,"Exceed 10% Rule","")</f>
      </c>
      <c r="D32" s="418">
        <f>IF(D33*0.1&lt;D31,"Exceed 10% Rule","")</f>
      </c>
      <c r="E32" s="313">
        <f>IF(E33*0.1&lt;E31,"Exceed 10% Rule","")</f>
      </c>
      <c r="G32" s="613"/>
      <c r="H32" s="615"/>
      <c r="I32" s="615"/>
      <c r="J32" s="641"/>
    </row>
    <row r="33" spans="2:10" ht="15.75">
      <c r="B33" s="280" t="s">
        <v>171</v>
      </c>
      <c r="C33" s="419">
        <f>SUM(C23:C31)</f>
        <v>7550</v>
      </c>
      <c r="D33" s="419">
        <f>SUM(D23:D31)</f>
        <v>7521</v>
      </c>
      <c r="E33" s="321">
        <f>SUM(E23:E31)</f>
        <v>7506</v>
      </c>
      <c r="G33" s="642">
        <f>D34</f>
        <v>51</v>
      </c>
      <c r="H33" s="632" t="str">
        <f>CONCATENATE("",E1-1," Ending Cash Balance (est.)")</f>
        <v>2014 Ending Cash Balance (est.)</v>
      </c>
      <c r="I33" s="643"/>
      <c r="J33" s="641"/>
    </row>
    <row r="34" spans="2:10" ht="15.75">
      <c r="B34" s="123" t="s">
        <v>273</v>
      </c>
      <c r="C34" s="422">
        <f>C21-C33</f>
        <v>327</v>
      </c>
      <c r="D34" s="422">
        <f>D21-D33</f>
        <v>51</v>
      </c>
      <c r="E34" s="306" t="s">
        <v>145</v>
      </c>
      <c r="G34" s="642">
        <f>E20</f>
        <v>642</v>
      </c>
      <c r="H34" s="615" t="str">
        <f>CONCATENATE("",E1," Non-AV Receipts (est.)")</f>
        <v>2015 Non-AV Receipts (est.)</v>
      </c>
      <c r="I34" s="643"/>
      <c r="J34" s="641"/>
    </row>
    <row r="35" spans="2:11" ht="15.75">
      <c r="B35" s="270" t="str">
        <f>CONCATENATE("",E1-2,"/",E1-1,"/",E1," Budget Authority Amount:")</f>
        <v>2013/2014/2015 Budget Authority Amount:</v>
      </c>
      <c r="C35" s="308">
        <f>inputOth!B35</f>
        <v>7555</v>
      </c>
      <c r="D35" s="308">
        <f>inputPrYr!D21</f>
        <v>7521</v>
      </c>
      <c r="E35" s="234">
        <f>E33</f>
        <v>7506</v>
      </c>
      <c r="F35" s="289"/>
      <c r="G35" s="644">
        <f>IF(E39&gt;0,E38,E40)</f>
        <v>6813</v>
      </c>
      <c r="H35" s="615" t="str">
        <f>CONCATENATE("",E1," Ad Valorem Tax (est.)")</f>
        <v>2015 Ad Valorem Tax (est.)</v>
      </c>
      <c r="I35" s="643"/>
      <c r="J35" s="641"/>
      <c r="K35" s="629">
        <f>IF(G35=E40,"","Note: Does not include Delinquent Taxes")</f>
      </c>
    </row>
    <row r="36" spans="2:10" ht="15.75">
      <c r="B36" s="256"/>
      <c r="C36" s="822" t="s">
        <v>657</v>
      </c>
      <c r="D36" s="823"/>
      <c r="E36" s="262"/>
      <c r="F36" s="465">
        <f>IF(E33/0.95-E33&lt;E36,"Exceeds 5%","")</f>
      </c>
      <c r="G36" s="642">
        <f>SUM(G33:G35)</f>
        <v>7506</v>
      </c>
      <c r="H36" s="615" t="str">
        <f>CONCATENATE("Total ",E1," Resources Available")</f>
        <v>Total 2015 Resources Available</v>
      </c>
      <c r="I36" s="643"/>
      <c r="J36" s="641"/>
    </row>
    <row r="37" spans="2:10" ht="15.75">
      <c r="B37" s="469" t="str">
        <f>CONCATENATE(C91,"     ",D91)</f>
        <v>     </v>
      </c>
      <c r="C37" s="824" t="s">
        <v>658</v>
      </c>
      <c r="D37" s="825"/>
      <c r="E37" s="234">
        <f>E33+E36</f>
        <v>7506</v>
      </c>
      <c r="G37" s="645"/>
      <c r="H37" s="615"/>
      <c r="I37" s="615"/>
      <c r="J37" s="641"/>
    </row>
    <row r="38" spans="2:10" ht="15.75">
      <c r="B38" s="469" t="str">
        <f>CONCATENATE(C92,"     ",D92)</f>
        <v>     </v>
      </c>
      <c r="C38" s="290"/>
      <c r="D38" s="208" t="s">
        <v>172</v>
      </c>
      <c r="E38" s="95">
        <f>IF(E37-E21&gt;0,E37-E21,0)</f>
        <v>6813</v>
      </c>
      <c r="G38" s="644">
        <f>ROUND(C33*0.05+C33,0)</f>
        <v>7928</v>
      </c>
      <c r="H38" s="615" t="str">
        <f>CONCATENATE("Less ",E1-2," Expenditures + 5%")</f>
        <v>Less 2013 Expenditures + 5%</v>
      </c>
      <c r="I38" s="643"/>
      <c r="J38" s="646"/>
    </row>
    <row r="39" spans="2:10" ht="15.75">
      <c r="B39" s="208"/>
      <c r="C39" s="467" t="s">
        <v>659</v>
      </c>
      <c r="D39" s="612">
        <f>inputOth!$E$23</f>
        <v>0</v>
      </c>
      <c r="E39" s="234">
        <f>ROUND(IF(D39&gt;0,($E$38*D39),0),0)</f>
        <v>0</v>
      </c>
      <c r="G39" s="647">
        <f>G36-G38</f>
        <v>-422</v>
      </c>
      <c r="H39" s="648" t="str">
        <f>CONCATENATE("Projected ",E1+1," carryover (est.)")</f>
        <v>Projected 2016 carryover (est.)</v>
      </c>
      <c r="I39" s="649"/>
      <c r="J39" s="650"/>
    </row>
    <row r="40" spans="2:10" ht="15.75">
      <c r="B40" s="62"/>
      <c r="C40" s="830" t="str">
        <f>CONCATENATE("Amount of  ",$E$1-1," Ad Valorem Tax")</f>
        <v>Amount of  2014 Ad Valorem Tax</v>
      </c>
      <c r="D40" s="831"/>
      <c r="E40" s="317">
        <f>E38+E39</f>
        <v>6813</v>
      </c>
      <c r="G40" s="1"/>
      <c r="H40" s="1"/>
      <c r="I40" s="1"/>
      <c r="J40" s="1"/>
    </row>
    <row r="41" spans="2:10" ht="15.75">
      <c r="B41" s="61" t="s">
        <v>157</v>
      </c>
      <c r="C41" s="296"/>
      <c r="D41" s="296"/>
      <c r="E41" s="296"/>
      <c r="G41" s="834" t="s">
        <v>811</v>
      </c>
      <c r="H41" s="835"/>
      <c r="I41" s="835"/>
      <c r="J41" s="836"/>
    </row>
    <row r="42" spans="2:10" ht="15.75">
      <c r="B42" s="62"/>
      <c r="C42" s="666" t="str">
        <f aca="true" t="shared" si="0" ref="C42:E43">C4</f>
        <v>Prior Year </v>
      </c>
      <c r="D42" s="667" t="str">
        <f t="shared" si="0"/>
        <v>Current Year </v>
      </c>
      <c r="E42" s="188" t="str">
        <f t="shared" si="0"/>
        <v>Proposed Budget </v>
      </c>
      <c r="G42" s="631"/>
      <c r="H42" s="632"/>
      <c r="I42" s="633"/>
      <c r="J42" s="634"/>
    </row>
    <row r="43" spans="2:10" ht="15.75">
      <c r="B43" s="446" t="str">
        <f>inputPrYr!B22</f>
        <v>Recycling/HHW</v>
      </c>
      <c r="C43" s="420" t="str">
        <f t="shared" si="0"/>
        <v>Actual for 2013</v>
      </c>
      <c r="D43" s="420" t="str">
        <f t="shared" si="0"/>
        <v>Estimate for 2014</v>
      </c>
      <c r="E43" s="271" t="str">
        <f t="shared" si="0"/>
        <v>Year for 2015</v>
      </c>
      <c r="G43" s="635">
        <f>summ!H21</f>
        <v>0.052</v>
      </c>
      <c r="H43" s="632" t="str">
        <f>CONCATENATE("",E1," Fund Mill Rate")</f>
        <v>2015 Fund Mill Rate</v>
      </c>
      <c r="I43" s="633"/>
      <c r="J43" s="634"/>
    </row>
    <row r="44" spans="2:10" ht="15.75">
      <c r="B44" s="123" t="s">
        <v>272</v>
      </c>
      <c r="C44" s="417">
        <v>37888</v>
      </c>
      <c r="D44" s="421">
        <f>C74</f>
        <v>39627</v>
      </c>
      <c r="E44" s="234">
        <f>D74</f>
        <v>30839</v>
      </c>
      <c r="G44" s="636">
        <f>summ!E21</f>
        <v>0.053</v>
      </c>
      <c r="H44" s="632" t="str">
        <f>CONCATENATE("",E1-1," Fund Mill Rate")</f>
        <v>2014 Fund Mill Rate</v>
      </c>
      <c r="I44" s="633"/>
      <c r="J44" s="634"/>
    </row>
    <row r="45" spans="2:10" ht="15.75">
      <c r="B45" s="272" t="s">
        <v>274</v>
      </c>
      <c r="C45" s="274"/>
      <c r="D45" s="274"/>
      <c r="E45" s="102"/>
      <c r="G45" s="637">
        <f>summ!H61</f>
        <v>51.98700000000003</v>
      </c>
      <c r="H45" s="632" t="str">
        <f>CONCATENATE("Total ",E1," Mill Rate")</f>
        <v>Total 2015 Mill Rate</v>
      </c>
      <c r="I45" s="633"/>
      <c r="J45" s="634"/>
    </row>
    <row r="46" spans="2:10" ht="15.75">
      <c r="B46" s="123" t="s">
        <v>158</v>
      </c>
      <c r="C46" s="417">
        <v>33582</v>
      </c>
      <c r="D46" s="421">
        <f>IF(inputPrYr!H22&gt;0,inputPrYr!H22,inputPrYr!E22)</f>
        <v>55046</v>
      </c>
      <c r="E46" s="306" t="s">
        <v>145</v>
      </c>
      <c r="G46" s="636">
        <f>summ!E61</f>
        <v>51.56499999999999</v>
      </c>
      <c r="H46" s="638" t="str">
        <f>CONCATENATE("Total ",E1-1," Mill Rate")</f>
        <v>Total 2014 Mill Rate</v>
      </c>
      <c r="I46" s="639"/>
      <c r="J46" s="640"/>
    </row>
    <row r="47" spans="2:10" ht="15.75">
      <c r="B47" s="123" t="s">
        <v>159</v>
      </c>
      <c r="C47" s="417">
        <v>249</v>
      </c>
      <c r="D47" s="417"/>
      <c r="E47" s="87"/>
      <c r="G47" s="1"/>
      <c r="H47" s="1"/>
      <c r="I47" s="1"/>
      <c r="J47" s="1"/>
    </row>
    <row r="48" spans="2:10" ht="15.75">
      <c r="B48" s="123" t="s">
        <v>160</v>
      </c>
      <c r="C48" s="417">
        <v>2778</v>
      </c>
      <c r="D48" s="417">
        <v>3195</v>
      </c>
      <c r="E48" s="234">
        <f>mvalloc!E13</f>
        <v>5058</v>
      </c>
      <c r="G48" s="728" t="s">
        <v>886</v>
      </c>
      <c r="H48" s="690"/>
      <c r="I48" s="689" t="str">
        <f>cert!E69</f>
        <v>Yes</v>
      </c>
      <c r="J48" s="1"/>
    </row>
    <row r="49" spans="2:10" ht="15.75">
      <c r="B49" s="123" t="s">
        <v>161</v>
      </c>
      <c r="C49" s="417">
        <v>42</v>
      </c>
      <c r="D49" s="417">
        <v>52</v>
      </c>
      <c r="E49" s="234">
        <f>mvalloc!F13</f>
        <v>74</v>
      </c>
      <c r="G49" s="1"/>
      <c r="H49" s="1"/>
      <c r="I49" s="1"/>
      <c r="J49" s="1"/>
    </row>
    <row r="50" spans="2:10" ht="15.75">
      <c r="B50" s="274" t="s">
        <v>230</v>
      </c>
      <c r="C50" s="417">
        <v>510</v>
      </c>
      <c r="D50" s="417">
        <v>443</v>
      </c>
      <c r="E50" s="234">
        <f>mvalloc!G13</f>
        <v>302</v>
      </c>
      <c r="G50" s="1"/>
      <c r="H50" s="1"/>
      <c r="I50" s="1"/>
      <c r="J50" s="1"/>
    </row>
    <row r="51" spans="2:10" ht="15.75">
      <c r="B51" s="287" t="s">
        <v>1043</v>
      </c>
      <c r="C51" s="417">
        <v>18531</v>
      </c>
      <c r="D51" s="417"/>
      <c r="E51" s="87">
        <v>10000</v>
      </c>
      <c r="G51" s="1"/>
      <c r="H51" s="1"/>
      <c r="I51" s="1"/>
      <c r="J51" s="1"/>
    </row>
    <row r="52" spans="2:10" ht="15.75">
      <c r="B52" s="287"/>
      <c r="C52" s="417"/>
      <c r="D52" s="417"/>
      <c r="E52" s="87"/>
      <c r="G52" s="1"/>
      <c r="H52" s="1"/>
      <c r="I52" s="1"/>
      <c r="J52" s="1"/>
    </row>
    <row r="53" spans="2:10" ht="15.75">
      <c r="B53" s="287"/>
      <c r="C53" s="417"/>
      <c r="D53" s="417"/>
      <c r="E53" s="87"/>
      <c r="G53" s="1"/>
      <c r="H53" s="1"/>
      <c r="I53" s="1"/>
      <c r="J53" s="1"/>
    </row>
    <row r="54" spans="2:10" ht="15.75">
      <c r="B54" s="287"/>
      <c r="C54" s="417"/>
      <c r="D54" s="417"/>
      <c r="E54" s="87"/>
      <c r="G54" s="1"/>
      <c r="H54" s="1"/>
      <c r="I54" s="1"/>
      <c r="J54" s="1"/>
    </row>
    <row r="55" spans="2:10" ht="15.75">
      <c r="B55" s="287"/>
      <c r="C55" s="417"/>
      <c r="D55" s="417"/>
      <c r="E55" s="87"/>
      <c r="G55" s="1"/>
      <c r="H55" s="1"/>
      <c r="I55" s="1"/>
      <c r="J55" s="1"/>
    </row>
    <row r="56" spans="2:10" ht="15.75">
      <c r="B56" s="287"/>
      <c r="C56" s="417"/>
      <c r="D56" s="417"/>
      <c r="E56" s="87"/>
      <c r="G56" s="1"/>
      <c r="H56" s="1"/>
      <c r="I56" s="1"/>
      <c r="J56" s="1"/>
    </row>
    <row r="57" spans="2:10" ht="15.75">
      <c r="B57" s="277" t="s">
        <v>165</v>
      </c>
      <c r="C57" s="417"/>
      <c r="D57" s="417"/>
      <c r="E57" s="87"/>
      <c r="G57" s="1"/>
      <c r="H57" s="1"/>
      <c r="I57" s="1"/>
      <c r="J57" s="1"/>
    </row>
    <row r="58" spans="2:10" ht="15.75">
      <c r="B58" s="278" t="s">
        <v>72</v>
      </c>
      <c r="C58" s="417"/>
      <c r="D58" s="417"/>
      <c r="E58" s="87"/>
      <c r="G58" s="1"/>
      <c r="H58" s="1"/>
      <c r="I58" s="1"/>
      <c r="J58" s="1"/>
    </row>
    <row r="59" spans="2:10" ht="15.75">
      <c r="B59" s="278" t="s">
        <v>654</v>
      </c>
      <c r="C59" s="418">
        <f>IF(C60*0.1&lt;C58,"Exceed 10% Rule","")</f>
      </c>
      <c r="D59" s="418">
        <f>IF(D60*0.1&lt;D58,"Exceed 10% Rule","")</f>
      </c>
      <c r="E59" s="313">
        <f>IF(E60*0.1+E80&lt;E58,"Exceed 10% Rule","")</f>
      </c>
      <c r="G59" s="1"/>
      <c r="H59" s="1"/>
      <c r="I59" s="1"/>
      <c r="J59" s="1"/>
    </row>
    <row r="60" spans="2:10" ht="15.75">
      <c r="B60" s="280" t="s">
        <v>166</v>
      </c>
      <c r="C60" s="419">
        <f>SUM(C46:C58)</f>
        <v>55692</v>
      </c>
      <c r="D60" s="419">
        <f>SUM(D46:D58)</f>
        <v>58736</v>
      </c>
      <c r="E60" s="321">
        <f>SUM(E47:E58)</f>
        <v>15434</v>
      </c>
      <c r="G60" s="1"/>
      <c r="H60" s="1"/>
      <c r="I60" s="1"/>
      <c r="J60" s="1"/>
    </row>
    <row r="61" spans="2:10" ht="15.75">
      <c r="B61" s="280" t="s">
        <v>167</v>
      </c>
      <c r="C61" s="419">
        <f>C44+C60</f>
        <v>93580</v>
      </c>
      <c r="D61" s="419">
        <f>D44+D60</f>
        <v>98363</v>
      </c>
      <c r="E61" s="321">
        <f>E44+E60</f>
        <v>46273</v>
      </c>
      <c r="G61" s="1"/>
      <c r="H61" s="1"/>
      <c r="I61" s="1"/>
      <c r="J61" s="1"/>
    </row>
    <row r="62" spans="2:10" ht="15.75">
      <c r="B62" s="123" t="s">
        <v>170</v>
      </c>
      <c r="C62" s="278"/>
      <c r="D62" s="278"/>
      <c r="E62" s="83"/>
      <c r="G62" s="1"/>
      <c r="H62" s="1"/>
      <c r="I62" s="1"/>
      <c r="J62" s="1"/>
    </row>
    <row r="63" spans="2:10" ht="15.75">
      <c r="B63" s="287" t="s">
        <v>1047</v>
      </c>
      <c r="C63" s="417">
        <v>45684</v>
      </c>
      <c r="D63" s="417">
        <v>51000</v>
      </c>
      <c r="E63" s="87">
        <v>51600</v>
      </c>
      <c r="G63" s="1"/>
      <c r="H63" s="1"/>
      <c r="I63" s="1"/>
      <c r="J63" s="1"/>
    </row>
    <row r="64" spans="2:10" ht="15.75">
      <c r="B64" s="287" t="s">
        <v>1048</v>
      </c>
      <c r="C64" s="417">
        <v>7525</v>
      </c>
      <c r="D64" s="417">
        <v>15500</v>
      </c>
      <c r="E64" s="87">
        <v>15500</v>
      </c>
      <c r="G64" s="832" t="str">
        <f>CONCATENATE("Desired Carryover Into ",E1+1,"")</f>
        <v>Desired Carryover Into 2016</v>
      </c>
      <c r="H64" s="833"/>
      <c r="I64" s="833"/>
      <c r="J64" s="804"/>
    </row>
    <row r="65" spans="2:10" ht="15.75">
      <c r="B65" s="287"/>
      <c r="C65" s="417"/>
      <c r="D65" s="417"/>
      <c r="E65" s="87"/>
      <c r="G65" s="613"/>
      <c r="H65" s="614"/>
      <c r="I65" s="615"/>
      <c r="J65" s="616"/>
    </row>
    <row r="66" spans="2:10" ht="15.75">
      <c r="B66" s="287"/>
      <c r="C66" s="417"/>
      <c r="D66" s="417"/>
      <c r="E66" s="87"/>
      <c r="G66" s="617" t="s">
        <v>660</v>
      </c>
      <c r="H66" s="615"/>
      <c r="I66" s="615"/>
      <c r="J66" s="618">
        <v>0</v>
      </c>
    </row>
    <row r="67" spans="2:10" ht="15.75">
      <c r="B67" s="287"/>
      <c r="C67" s="417"/>
      <c r="D67" s="417"/>
      <c r="E67" s="87"/>
      <c r="G67" s="613" t="s">
        <v>661</v>
      </c>
      <c r="H67" s="614"/>
      <c r="I67" s="614"/>
      <c r="J67" s="619">
        <f>IF(J66=0,"",ROUND((J66+E80-G79)/inputOth!E6*1000,3)-G84)</f>
      </c>
    </row>
    <row r="68" spans="2:10" ht="15.75">
      <c r="B68" s="287"/>
      <c r="C68" s="417"/>
      <c r="D68" s="417"/>
      <c r="E68" s="87"/>
      <c r="G68" s="620" t="str">
        <f>CONCATENATE("",E1," Tot Exp/Non-Appr Must Be:")</f>
        <v>2015 Tot Exp/Non-Appr Must Be:</v>
      </c>
      <c r="H68" s="621"/>
      <c r="I68" s="622"/>
      <c r="J68" s="623">
        <f>IF(J66&gt;0,IF(E77&lt;E61,IF(J66=G79,E77,((J66-G79)*(1-D79))+E61),E77+(J66-G79)),0)</f>
        <v>0</v>
      </c>
    </row>
    <row r="69" spans="2:10" ht="15.75">
      <c r="B69" s="287"/>
      <c r="C69" s="417"/>
      <c r="D69" s="417"/>
      <c r="E69" s="87"/>
      <c r="G69" s="624" t="s">
        <v>810</v>
      </c>
      <c r="H69" s="625"/>
      <c r="I69" s="625"/>
      <c r="J69" s="626">
        <f>IF(J66&gt;0,J68-E77,0)</f>
        <v>0</v>
      </c>
    </row>
    <row r="70" spans="2:10" ht="15.75">
      <c r="B70" s="278" t="s">
        <v>74</v>
      </c>
      <c r="C70" s="417">
        <v>744</v>
      </c>
      <c r="D70" s="417">
        <v>1024</v>
      </c>
      <c r="E70" s="95">
        <f>Nhood!E12</f>
        <v>328</v>
      </c>
      <c r="G70" s="1"/>
      <c r="H70" s="1"/>
      <c r="I70" s="1"/>
      <c r="J70" s="1"/>
    </row>
    <row r="71" spans="2:10" ht="15.75">
      <c r="B71" s="278" t="s">
        <v>72</v>
      </c>
      <c r="C71" s="417"/>
      <c r="D71" s="417"/>
      <c r="E71" s="87"/>
      <c r="G71" s="832" t="str">
        <f>CONCATENATE("Projected Carryover Into ",E1+1,"")</f>
        <v>Projected Carryover Into 2016</v>
      </c>
      <c r="H71" s="840"/>
      <c r="I71" s="840"/>
      <c r="J71" s="839"/>
    </row>
    <row r="72" spans="2:10" ht="15.75">
      <c r="B72" s="278" t="s">
        <v>653</v>
      </c>
      <c r="C72" s="418">
        <f>IF(C73*0.1&lt;C71,"Exceed 10% Rule","")</f>
      </c>
      <c r="D72" s="418">
        <f>IF(D73*0.1&lt;D71,"Exceed 10% Rule","")</f>
      </c>
      <c r="E72" s="313">
        <f>IF(E73*0.1&lt;E71,"Exceed 10% Rule","")</f>
      </c>
      <c r="G72" s="651"/>
      <c r="H72" s="614"/>
      <c r="I72" s="614"/>
      <c r="J72" s="646"/>
    </row>
    <row r="73" spans="2:10" ht="15.75">
      <c r="B73" s="280" t="s">
        <v>171</v>
      </c>
      <c r="C73" s="419">
        <f>SUM(C63:C71)</f>
        <v>53953</v>
      </c>
      <c r="D73" s="419">
        <f>SUM(D63:D71)</f>
        <v>67524</v>
      </c>
      <c r="E73" s="321">
        <f>SUM(E63:E71)</f>
        <v>67428</v>
      </c>
      <c r="G73" s="642">
        <f>D74</f>
        <v>30839</v>
      </c>
      <c r="H73" s="632" t="str">
        <f>CONCATENATE("",E1-1," Ending Cash Balance (est.)")</f>
        <v>2014 Ending Cash Balance (est.)</v>
      </c>
      <c r="I73" s="643"/>
      <c r="J73" s="646"/>
    </row>
    <row r="74" spans="2:10" ht="15.75">
      <c r="B74" s="123" t="s">
        <v>273</v>
      </c>
      <c r="C74" s="422">
        <f>C61-C73</f>
        <v>39627</v>
      </c>
      <c r="D74" s="422">
        <f>D61-D73</f>
        <v>30839</v>
      </c>
      <c r="E74" s="306" t="s">
        <v>145</v>
      </c>
      <c r="G74" s="642">
        <f>E60</f>
        <v>15434</v>
      </c>
      <c r="H74" s="615" t="str">
        <f>CONCATENATE("",E1," Non-AV Receipts (est.)")</f>
        <v>2015 Non-AV Receipts (est.)</v>
      </c>
      <c r="I74" s="643"/>
      <c r="J74" s="646"/>
    </row>
    <row r="75" spans="2:11" ht="15.75">
      <c r="B75" s="270" t="str">
        <f>CONCATENATE("",E1-2,"/",E1-1,"/",E1," Budget Authority Amount:")</f>
        <v>2013/2014/2015 Budget Authority Amount:</v>
      </c>
      <c r="C75" s="308">
        <f>inputOth!B36</f>
        <v>65761</v>
      </c>
      <c r="D75" s="308">
        <f>inputPrYr!D22</f>
        <v>67524</v>
      </c>
      <c r="E75" s="234">
        <f>E73</f>
        <v>67428</v>
      </c>
      <c r="F75" s="289"/>
      <c r="G75" s="644">
        <f>IF(E79&gt;0,E78,E80)</f>
        <v>21155</v>
      </c>
      <c r="H75" s="615" t="str">
        <f>CONCATENATE("",E1," Ad Valorem Tax (est.)")</f>
        <v>2015 Ad Valorem Tax (est.)</v>
      </c>
      <c r="I75" s="643"/>
      <c r="J75" s="646"/>
      <c r="K75" s="629">
        <f>IF(G75=E80,"","Note: Does not include Delinquent Taxes")</f>
      </c>
    </row>
    <row r="76" spans="2:10" ht="15.75">
      <c r="B76" s="256"/>
      <c r="C76" s="822" t="s">
        <v>657</v>
      </c>
      <c r="D76" s="823"/>
      <c r="E76" s="87"/>
      <c r="F76" s="465">
        <f>IF(E73/0.95-E73&lt;E76,"Exceeds 5%","")</f>
      </c>
      <c r="G76" s="652">
        <f>SUM(G73:G75)</f>
        <v>67428</v>
      </c>
      <c r="H76" s="615" t="str">
        <f>CONCATENATE("Total ",E1," Resources Available")</f>
        <v>Total 2015 Resources Available</v>
      </c>
      <c r="I76" s="653"/>
      <c r="J76" s="646"/>
    </row>
    <row r="77" spans="2:10" ht="15.75">
      <c r="B77" s="468" t="str">
        <f>CONCATENATE(C93,"     ",D93)</f>
        <v>     </v>
      </c>
      <c r="C77" s="824" t="s">
        <v>658</v>
      </c>
      <c r="D77" s="825"/>
      <c r="E77" s="234">
        <f>E73+E76</f>
        <v>67428</v>
      </c>
      <c r="G77" s="654"/>
      <c r="H77" s="655"/>
      <c r="I77" s="614"/>
      <c r="J77" s="646"/>
    </row>
    <row r="78" spans="2:10" ht="15.75">
      <c r="B78" s="468" t="str">
        <f>CONCATENATE(C94,"     ",D94)</f>
        <v>     </v>
      </c>
      <c r="C78" s="290"/>
      <c r="D78" s="208" t="s">
        <v>172</v>
      </c>
      <c r="E78" s="95">
        <f>IF(E77-E61&gt;0,E77-E61,0)</f>
        <v>21155</v>
      </c>
      <c r="G78" s="656">
        <f>ROUND(C73*0.05+C73,0)</f>
        <v>56651</v>
      </c>
      <c r="H78" s="615" t="str">
        <f>CONCATENATE("Less ",E1-2," Expenditures + 5%")</f>
        <v>Less 2013 Expenditures + 5%</v>
      </c>
      <c r="I78" s="653"/>
      <c r="J78" s="646"/>
    </row>
    <row r="79" spans="2:10" ht="15.75">
      <c r="B79" s="208"/>
      <c r="C79" s="467" t="s">
        <v>659</v>
      </c>
      <c r="D79" s="612">
        <f>inputOth!$E$23</f>
        <v>0</v>
      </c>
      <c r="E79" s="234">
        <f>ROUND(IF(D79&gt;0,($E$78*D79),0),0)</f>
        <v>0</v>
      </c>
      <c r="G79" s="657">
        <f>G76-G78</f>
        <v>10777</v>
      </c>
      <c r="H79" s="648" t="str">
        <f>CONCATENATE("Projected ",E1+1," carryover (est.)")</f>
        <v>Projected 2016 carryover (est.)</v>
      </c>
      <c r="I79" s="658"/>
      <c r="J79" s="659"/>
    </row>
    <row r="80" spans="2:10" ht="15.75">
      <c r="B80" s="62"/>
      <c r="C80" s="830" t="str">
        <f>CONCATENATE("Amount of  ",$E$1-1," Ad Valorem Tax")</f>
        <v>Amount of  2014 Ad Valorem Tax</v>
      </c>
      <c r="D80" s="831"/>
      <c r="E80" s="317">
        <f>E78+E79</f>
        <v>21155</v>
      </c>
      <c r="G80" s="1"/>
      <c r="H80" s="1"/>
      <c r="I80" s="1"/>
      <c r="J80" s="1"/>
    </row>
    <row r="81" spans="2:10" ht="15.75">
      <c r="B81" s="256" t="s">
        <v>192</v>
      </c>
      <c r="C81" s="318">
        <v>11</v>
      </c>
      <c r="D81" s="62"/>
      <c r="E81" s="62"/>
      <c r="G81" s="834" t="s">
        <v>811</v>
      </c>
      <c r="H81" s="835"/>
      <c r="I81" s="835"/>
      <c r="J81" s="836"/>
    </row>
    <row r="82" spans="7:10" ht="15.75">
      <c r="G82" s="631"/>
      <c r="H82" s="632"/>
      <c r="I82" s="633"/>
      <c r="J82" s="634"/>
    </row>
    <row r="83" spans="7:10" ht="15.75">
      <c r="G83" s="635">
        <f>summ!H22</f>
        <v>0.163</v>
      </c>
      <c r="H83" s="632" t="str">
        <f>CONCATENATE("",E1," Fund Mill Rate")</f>
        <v>2015 Fund Mill Rate</v>
      </c>
      <c r="I83" s="633"/>
      <c r="J83" s="634"/>
    </row>
    <row r="84" spans="7:10" ht="15.75">
      <c r="G84" s="636">
        <f>summ!E22</f>
        <v>0.445</v>
      </c>
      <c r="H84" s="632" t="str">
        <f>CONCATENATE("",E1-1," Fund Mill Rate")</f>
        <v>2014 Fund Mill Rate</v>
      </c>
      <c r="I84" s="633"/>
      <c r="J84" s="634"/>
    </row>
    <row r="85" spans="7:10" ht="15.75">
      <c r="G85" s="637">
        <f>summ!H61</f>
        <v>51.98700000000003</v>
      </c>
      <c r="H85" s="632" t="str">
        <f>CONCATENATE("Total ",E1," Mill Rate")</f>
        <v>Total 2015 Mill Rate</v>
      </c>
      <c r="I85" s="633"/>
      <c r="J85" s="634"/>
    </row>
    <row r="86" spans="7:10" ht="15.75">
      <c r="G86" s="636">
        <f>summ!E61</f>
        <v>51.56499999999999</v>
      </c>
      <c r="H86" s="638" t="str">
        <f>CONCATENATE("Total ",E1-1," Mill Rate")</f>
        <v>Total 2014 Mill Rate</v>
      </c>
      <c r="I86" s="639"/>
      <c r="J86" s="640"/>
    </row>
    <row r="88" spans="7:9" ht="15.75">
      <c r="G88" s="729" t="s">
        <v>886</v>
      </c>
      <c r="H88" s="690"/>
      <c r="I88" s="689" t="str">
        <f>cert!E69</f>
        <v>Yes</v>
      </c>
    </row>
    <row r="91" spans="3:4" ht="15.75" hidden="1">
      <c r="C91" s="50">
        <f>IF(C33&gt;C35,"See Tab A","")</f>
      </c>
      <c r="D91" s="50">
        <f>IF(D33&gt;D35,"See Tab C","")</f>
      </c>
    </row>
    <row r="92" spans="3:4" ht="15.75" hidden="1">
      <c r="C92" s="50">
        <f>IF(C34&lt;0,"See Tab B","")</f>
      </c>
      <c r="D92" s="50">
        <f>IF(D34&lt;0,"See Tab D","")</f>
      </c>
    </row>
    <row r="93" spans="3:4" ht="15.75" hidden="1">
      <c r="C93" s="50">
        <f>IF(C73&gt;C75,"See Tab A","")</f>
      </c>
      <c r="D93" s="50">
        <f>IF(D73&gt;D75,"See Tab C","")</f>
      </c>
    </row>
    <row r="94" spans="3:4" ht="15.75" hidden="1">
      <c r="C94" s="50">
        <f>IF(C74&lt;0,"See Tab B","")</f>
      </c>
      <c r="D94" s="50">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71">
    <cfRule type="cellIs" priority="3" dxfId="408" operator="greaterThan" stopIfTrue="1">
      <formula>$E$73*0.1</formula>
    </cfRule>
  </conditionalFormatting>
  <conditionalFormatting sqref="E76">
    <cfRule type="cellIs" priority="4" dxfId="408" operator="greaterThan" stopIfTrue="1">
      <formula>$E$73/0.95-$E$73</formula>
    </cfRule>
  </conditionalFormatting>
  <conditionalFormatting sqref="E36">
    <cfRule type="cellIs" priority="5" dxfId="408" operator="greaterThan" stopIfTrue="1">
      <formula>$E$33/0.95-$E$33</formula>
    </cfRule>
  </conditionalFormatting>
  <conditionalFormatting sqref="E31">
    <cfRule type="cellIs" priority="6" dxfId="408" operator="greaterThan" stopIfTrue="1">
      <formula>$E$33*0.1</formula>
    </cfRule>
  </conditionalFormatting>
  <conditionalFormatting sqref="C33">
    <cfRule type="cellIs" priority="7" dxfId="2" operator="greaterThan" stopIfTrue="1">
      <formula>$C$35</formula>
    </cfRule>
  </conditionalFormatting>
  <conditionalFormatting sqref="C74 C34">
    <cfRule type="cellIs" priority="8" dxfId="2" operator="lessThan" stopIfTrue="1">
      <formula>0</formula>
    </cfRule>
  </conditionalFormatting>
  <conditionalFormatting sqref="D33">
    <cfRule type="cellIs" priority="9" dxfId="2" operator="greaterThan" stopIfTrue="1">
      <formula>$D$35</formula>
    </cfRule>
  </conditionalFormatting>
  <conditionalFormatting sqref="C73">
    <cfRule type="cellIs" priority="10" dxfId="2" operator="greaterThan" stopIfTrue="1">
      <formula>$C$75</formula>
    </cfRule>
  </conditionalFormatting>
  <conditionalFormatting sqref="D73">
    <cfRule type="cellIs" priority="11" dxfId="2" operator="greaterThan" stopIfTrue="1">
      <formula>$D$75</formula>
    </cfRule>
  </conditionalFormatting>
  <conditionalFormatting sqref="C71">
    <cfRule type="cellIs" priority="12" dxfId="2" operator="greaterThan" stopIfTrue="1">
      <formula>$C$73*0.1</formula>
    </cfRule>
  </conditionalFormatting>
  <conditionalFormatting sqref="D71">
    <cfRule type="cellIs" priority="13" dxfId="2" operator="greaterThan" stopIfTrue="1">
      <formula>$D$73*0.1</formula>
    </cfRule>
  </conditionalFormatting>
  <conditionalFormatting sqref="E58">
    <cfRule type="cellIs" priority="14" dxfId="408" operator="greaterThan" stopIfTrue="1">
      <formula>$E$60*0.1+E80</formula>
    </cfRule>
  </conditionalFormatting>
  <conditionalFormatting sqref="C58">
    <cfRule type="cellIs" priority="15" dxfId="2" operator="greaterThan" stopIfTrue="1">
      <formula>$C$60*0.1</formula>
    </cfRule>
  </conditionalFormatting>
  <conditionalFormatting sqref="D58">
    <cfRule type="cellIs" priority="16" dxfId="2" operator="greaterThan" stopIfTrue="1">
      <formula>$D$60*0.1</formula>
    </cfRule>
  </conditionalFormatting>
  <conditionalFormatting sqref="C31">
    <cfRule type="cellIs" priority="17" dxfId="2" operator="greaterThan" stopIfTrue="1">
      <formula>$C$33*0.1</formula>
    </cfRule>
  </conditionalFormatting>
  <conditionalFormatting sqref="D31">
    <cfRule type="cellIs" priority="18" dxfId="2" operator="greaterThan" stopIfTrue="1">
      <formula>$D$33*0.1</formula>
    </cfRule>
  </conditionalFormatting>
  <conditionalFormatting sqref="E18">
    <cfRule type="cellIs" priority="19" dxfId="408" operator="greaterThan" stopIfTrue="1">
      <formula>$E$20*0.1+E40</formula>
    </cfRule>
  </conditionalFormatting>
  <conditionalFormatting sqref="C18">
    <cfRule type="cellIs" priority="20" dxfId="2" operator="greaterThan" stopIfTrue="1">
      <formula>$C$20*0.1</formula>
    </cfRule>
  </conditionalFormatting>
  <conditionalFormatting sqref="D18">
    <cfRule type="cellIs" priority="21" dxfId="2" operator="greaterThan" stopIfTrue="1">
      <formula>$D$20*0.1</formula>
    </cfRule>
  </conditionalFormatting>
  <conditionalFormatting sqref="D34 D74">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3" r:id="rId1"/>
  <headerFooter alignWithMargins="0">
    <oddHeader>&amp;RState of Kansas
County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I125"/>
  <sheetViews>
    <sheetView zoomScalePageLayoutView="0" workbookViewId="0" topLeftCell="A1">
      <selection activeCell="B76" sqref="B76"/>
    </sheetView>
  </sheetViews>
  <sheetFormatPr defaultColWidth="8.796875" defaultRowHeight="15"/>
  <cols>
    <col min="1" max="1" width="15.796875" style="50" customWidth="1"/>
    <col min="2" max="2" width="20.796875" style="50" customWidth="1"/>
    <col min="3" max="3" width="8.796875" style="50" customWidth="1"/>
    <col min="4" max="5" width="13.296875" style="50" customWidth="1"/>
    <col min="6" max="6" width="10.796875" style="50" customWidth="1"/>
    <col min="7" max="7" width="1.796875" style="50" customWidth="1"/>
    <col min="8" max="8" width="18.69921875" style="50" customWidth="1"/>
    <col min="9" max="16384" width="8.8984375" style="50" customWidth="1"/>
  </cols>
  <sheetData>
    <row r="1" spans="1:9" ht="15.75">
      <c r="A1" s="781" t="s">
        <v>306</v>
      </c>
      <c r="B1" s="782"/>
      <c r="C1" s="782"/>
      <c r="D1" s="782"/>
      <c r="E1" s="782"/>
      <c r="F1" s="782"/>
      <c r="G1" s="62"/>
      <c r="H1" s="62"/>
      <c r="I1" s="62"/>
    </row>
    <row r="2" spans="1:9" ht="15.75">
      <c r="A2" s="61" t="s">
        <v>307</v>
      </c>
      <c r="B2" s="62"/>
      <c r="C2" s="694" t="s">
        <v>969</v>
      </c>
      <c r="D2" s="695"/>
      <c r="E2" s="696"/>
      <c r="F2" s="63"/>
      <c r="G2" s="62"/>
      <c r="H2" s="62"/>
      <c r="I2" s="62"/>
    </row>
    <row r="3" spans="1:9" ht="15.75">
      <c r="A3" s="61"/>
      <c r="B3" s="62"/>
      <c r="C3" s="62"/>
      <c r="D3" s="62"/>
      <c r="E3" s="64"/>
      <c r="F3" s="63"/>
      <c r="G3" s="62"/>
      <c r="H3" s="62"/>
      <c r="I3" s="62"/>
    </row>
    <row r="4" spans="1:9" ht="15.75">
      <c r="A4" s="61" t="s">
        <v>308</v>
      </c>
      <c r="B4" s="62"/>
      <c r="C4" s="65">
        <v>2015</v>
      </c>
      <c r="D4" s="66"/>
      <c r="E4" s="64"/>
      <c r="F4" s="63"/>
      <c r="G4" s="62"/>
      <c r="H4" s="62"/>
      <c r="I4" s="62"/>
    </row>
    <row r="5" spans="1:9" ht="15.75">
      <c r="A5" s="62"/>
      <c r="B5" s="62"/>
      <c r="C5" s="62"/>
      <c r="D5" s="62"/>
      <c r="E5" s="62"/>
      <c r="F5" s="62"/>
      <c r="G5" s="62"/>
      <c r="H5" s="62"/>
      <c r="I5" s="62"/>
    </row>
    <row r="6" spans="1:9" ht="18.75" customHeight="1">
      <c r="A6" s="67" t="s">
        <v>643</v>
      </c>
      <c r="B6" s="68"/>
      <c r="C6" s="68"/>
      <c r="D6" s="68"/>
      <c r="E6" s="68"/>
      <c r="F6" s="68"/>
      <c r="G6" s="62"/>
      <c r="H6" s="783" t="s">
        <v>805</v>
      </c>
      <c r="I6" s="783"/>
    </row>
    <row r="7" spans="1:9" ht="15.75">
      <c r="A7" s="67" t="s">
        <v>642</v>
      </c>
      <c r="B7" s="68"/>
      <c r="C7" s="68"/>
      <c r="D7" s="68"/>
      <c r="E7" s="68"/>
      <c r="F7" s="68"/>
      <c r="G7" s="62"/>
      <c r="H7" s="783"/>
      <c r="I7" s="783"/>
    </row>
    <row r="8" spans="1:9" ht="15.75">
      <c r="A8" s="67"/>
      <c r="B8" s="68"/>
      <c r="C8" s="68"/>
      <c r="D8" s="68"/>
      <c r="E8" s="68"/>
      <c r="F8" s="68"/>
      <c r="G8" s="62"/>
      <c r="H8" s="783"/>
      <c r="I8" s="783"/>
    </row>
    <row r="9" spans="1:9" ht="15.75">
      <c r="A9" s="779" t="s">
        <v>57</v>
      </c>
      <c r="B9" s="780"/>
      <c r="C9" s="780"/>
      <c r="D9" s="780"/>
      <c r="E9" s="780"/>
      <c r="F9" s="780"/>
      <c r="G9" s="62"/>
      <c r="H9" s="783"/>
      <c r="I9" s="783"/>
    </row>
    <row r="10" spans="1:9" ht="15.75">
      <c r="A10" s="62"/>
      <c r="B10" s="62"/>
      <c r="C10" s="62"/>
      <c r="D10" s="62"/>
      <c r="E10" s="62"/>
      <c r="F10" s="62"/>
      <c r="G10" s="62"/>
      <c r="H10" s="783"/>
      <c r="I10" s="783"/>
    </row>
    <row r="11" spans="1:9" ht="15.75">
      <c r="A11" s="69" t="str">
        <f>CONCATENATE("The input for the following comes directly from the ",C4-1," Budget:")</f>
        <v>The input for the following comes directly from the 2014 Budget:</v>
      </c>
      <c r="B11" s="70"/>
      <c r="C11" s="70"/>
      <c r="D11" s="70"/>
      <c r="E11" s="62"/>
      <c r="F11" s="62"/>
      <c r="G11" s="62"/>
      <c r="H11" s="783"/>
      <c r="I11" s="783"/>
    </row>
    <row r="12" spans="1:9" ht="15.75">
      <c r="A12" s="71" t="s">
        <v>309</v>
      </c>
      <c r="B12" s="70"/>
      <c r="C12" s="70"/>
      <c r="D12" s="70"/>
      <c r="E12" s="62"/>
      <c r="F12" s="62"/>
      <c r="G12" s="62"/>
      <c r="H12" s="63"/>
      <c r="I12" s="606"/>
    </row>
    <row r="13" spans="1:9" ht="15.75">
      <c r="A13" s="71" t="s">
        <v>333</v>
      </c>
      <c r="B13" s="70"/>
      <c r="C13" s="70"/>
      <c r="D13" s="70"/>
      <c r="E13" s="62"/>
      <c r="F13" s="62"/>
      <c r="G13" s="62"/>
      <c r="H13" s="62"/>
      <c r="I13" s="62"/>
    </row>
    <row r="14" spans="1:9" ht="15.75">
      <c r="A14" s="62"/>
      <c r="B14" s="62"/>
      <c r="C14" s="72"/>
      <c r="D14" s="73">
        <f>C4-1</f>
        <v>2014</v>
      </c>
      <c r="E14" s="74" t="str">
        <f>CONCATENATE("",C4-2,"")</f>
        <v>2013</v>
      </c>
      <c r="F14" s="75">
        <f>C4-2</f>
        <v>2013</v>
      </c>
      <c r="H14" s="226" t="s">
        <v>806</v>
      </c>
      <c r="I14" s="221" t="s">
        <v>173</v>
      </c>
    </row>
    <row r="15" spans="1:9" ht="15.75">
      <c r="A15" s="61" t="s">
        <v>310</v>
      </c>
      <c r="B15" s="62"/>
      <c r="C15" s="76" t="s">
        <v>127</v>
      </c>
      <c r="D15" s="77" t="s">
        <v>332</v>
      </c>
      <c r="E15" s="77" t="s">
        <v>96</v>
      </c>
      <c r="F15" s="77" t="s">
        <v>71</v>
      </c>
      <c r="H15" s="232" t="str">
        <f>CONCATENATE("",E14," Ad Valorem Tax")</f>
        <v>2013 Ad Valorem Tax</v>
      </c>
      <c r="I15" s="607">
        <v>0</v>
      </c>
    </row>
    <row r="16" spans="1:8" ht="15.75">
      <c r="A16" s="62"/>
      <c r="B16" s="78" t="s">
        <v>128</v>
      </c>
      <c r="C16" s="222" t="s">
        <v>276</v>
      </c>
      <c r="D16" s="80">
        <v>2861462</v>
      </c>
      <c r="E16" s="81">
        <v>1835869</v>
      </c>
      <c r="F16" s="82">
        <v>14.841</v>
      </c>
      <c r="H16" s="234">
        <f>IF($I$15&gt;0,ROUND(E16-(E16*$I$15),0),0)</f>
        <v>0</v>
      </c>
    </row>
    <row r="17" spans="1:8" ht="15.75">
      <c r="A17" s="62"/>
      <c r="B17" s="78" t="s">
        <v>182</v>
      </c>
      <c r="C17" s="222" t="s">
        <v>311</v>
      </c>
      <c r="D17" s="80">
        <v>15066</v>
      </c>
      <c r="E17" s="81">
        <v>3557</v>
      </c>
      <c r="F17" s="82">
        <v>0.029</v>
      </c>
      <c r="H17" s="234">
        <f aca="true" t="shared" si="0" ref="H17:H40">IF($I$15&gt;0,ROUND(E17-(E17*$I$15),0),0)</f>
        <v>0</v>
      </c>
    </row>
    <row r="18" spans="1:8" ht="15.75">
      <c r="A18" s="61"/>
      <c r="B18" s="83" t="s">
        <v>188</v>
      </c>
      <c r="C18" s="221" t="s">
        <v>276</v>
      </c>
      <c r="D18" s="80">
        <v>2497654</v>
      </c>
      <c r="E18" s="80">
        <v>1484495</v>
      </c>
      <c r="F18" s="84">
        <v>12.001</v>
      </c>
      <c r="H18" s="234">
        <f t="shared" si="0"/>
        <v>0</v>
      </c>
    </row>
    <row r="19" spans="1:8" ht="15.75">
      <c r="A19" s="62"/>
      <c r="B19" s="85" t="s">
        <v>913</v>
      </c>
      <c r="C19" s="86" t="s">
        <v>914</v>
      </c>
      <c r="D19" s="80">
        <v>546662</v>
      </c>
      <c r="E19" s="87">
        <v>72678</v>
      </c>
      <c r="F19" s="82">
        <v>0.588</v>
      </c>
      <c r="H19" s="234">
        <f t="shared" si="0"/>
        <v>0</v>
      </c>
    </row>
    <row r="20" spans="1:8" ht="15.75">
      <c r="A20" s="62"/>
      <c r="B20" s="85" t="s">
        <v>185</v>
      </c>
      <c r="C20" s="86" t="s">
        <v>915</v>
      </c>
      <c r="D20" s="80">
        <v>30085</v>
      </c>
      <c r="E20" s="87">
        <v>26062</v>
      </c>
      <c r="F20" s="82">
        <v>0.211</v>
      </c>
      <c r="H20" s="234">
        <f t="shared" si="0"/>
        <v>0</v>
      </c>
    </row>
    <row r="21" spans="1:8" ht="15.75">
      <c r="A21" s="62"/>
      <c r="B21" s="85" t="s">
        <v>916</v>
      </c>
      <c r="C21" s="771" t="s">
        <v>917</v>
      </c>
      <c r="D21" s="80">
        <v>7521</v>
      </c>
      <c r="E21" s="87">
        <v>6502</v>
      </c>
      <c r="F21" s="82">
        <v>0.053</v>
      </c>
      <c r="H21" s="234">
        <f t="shared" si="0"/>
        <v>0</v>
      </c>
    </row>
    <row r="22" spans="1:8" ht="15.75">
      <c r="A22" s="62"/>
      <c r="B22" s="85" t="s">
        <v>918</v>
      </c>
      <c r="C22" s="771" t="s">
        <v>919</v>
      </c>
      <c r="D22" s="80">
        <v>67524</v>
      </c>
      <c r="E22" s="87">
        <v>55046</v>
      </c>
      <c r="F22" s="82">
        <v>0.445</v>
      </c>
      <c r="H22" s="234">
        <f t="shared" si="0"/>
        <v>0</v>
      </c>
    </row>
    <row r="23" spans="1:8" ht="15.75">
      <c r="A23" s="62"/>
      <c r="B23" s="85" t="s">
        <v>920</v>
      </c>
      <c r="C23" s="86" t="s">
        <v>921</v>
      </c>
      <c r="D23" s="80">
        <v>220719</v>
      </c>
      <c r="E23" s="87">
        <v>128084</v>
      </c>
      <c r="F23" s="82">
        <v>1.035</v>
      </c>
      <c r="H23" s="234">
        <f t="shared" si="0"/>
        <v>0</v>
      </c>
    </row>
    <row r="24" spans="1:8" ht="15.75">
      <c r="A24" s="62"/>
      <c r="B24" s="85" t="s">
        <v>189</v>
      </c>
      <c r="C24" s="86" t="s">
        <v>922</v>
      </c>
      <c r="D24" s="80">
        <v>24406</v>
      </c>
      <c r="E24" s="87">
        <v>21832</v>
      </c>
      <c r="F24" s="82">
        <v>0.177</v>
      </c>
      <c r="H24" s="234">
        <f t="shared" si="0"/>
        <v>0</v>
      </c>
    </row>
    <row r="25" spans="1:8" ht="15.75">
      <c r="A25" s="62"/>
      <c r="B25" s="85" t="s">
        <v>186</v>
      </c>
      <c r="C25" s="86" t="s">
        <v>923</v>
      </c>
      <c r="D25" s="80">
        <v>12198</v>
      </c>
      <c r="E25" s="87">
        <v>10658</v>
      </c>
      <c r="F25" s="82">
        <v>0.086</v>
      </c>
      <c r="H25" s="234">
        <f t="shared" si="0"/>
        <v>0</v>
      </c>
    </row>
    <row r="26" spans="1:8" ht="15.75">
      <c r="A26" s="62"/>
      <c r="B26" s="85" t="s">
        <v>924</v>
      </c>
      <c r="C26" s="86" t="s">
        <v>925</v>
      </c>
      <c r="D26" s="80">
        <v>176049</v>
      </c>
      <c r="E26" s="87">
        <v>139739</v>
      </c>
      <c r="F26" s="82">
        <v>1.13</v>
      </c>
      <c r="H26" s="234">
        <f t="shared" si="0"/>
        <v>0</v>
      </c>
    </row>
    <row r="27" spans="1:8" ht="15.75">
      <c r="A27" s="62"/>
      <c r="B27" s="85" t="s">
        <v>926</v>
      </c>
      <c r="C27" s="772" t="s">
        <v>927</v>
      </c>
      <c r="D27" s="80">
        <v>93286</v>
      </c>
      <c r="E27" s="87">
        <v>54619</v>
      </c>
      <c r="F27" s="82">
        <v>0.442</v>
      </c>
      <c r="H27" s="234">
        <f t="shared" si="0"/>
        <v>0</v>
      </c>
    </row>
    <row r="28" spans="1:8" ht="15.75">
      <c r="A28" s="62"/>
      <c r="B28" s="85" t="s">
        <v>183</v>
      </c>
      <c r="C28" s="86" t="s">
        <v>928</v>
      </c>
      <c r="D28" s="80">
        <v>90222</v>
      </c>
      <c r="E28" s="87">
        <v>76442</v>
      </c>
      <c r="F28" s="82">
        <v>0.618</v>
      </c>
      <c r="H28" s="234">
        <f t="shared" si="0"/>
        <v>0</v>
      </c>
    </row>
    <row r="29" spans="1:8" ht="15.75">
      <c r="A29" s="62"/>
      <c r="B29" s="85" t="s">
        <v>184</v>
      </c>
      <c r="C29" s="86" t="s">
        <v>929</v>
      </c>
      <c r="D29" s="80">
        <v>163226</v>
      </c>
      <c r="E29" s="87">
        <v>146590</v>
      </c>
      <c r="F29" s="82">
        <v>1.185</v>
      </c>
      <c r="H29" s="234">
        <f t="shared" si="0"/>
        <v>0</v>
      </c>
    </row>
    <row r="30" spans="1:8" ht="15.75">
      <c r="A30" s="62"/>
      <c r="B30" s="85" t="s">
        <v>190</v>
      </c>
      <c r="C30" s="771" t="s">
        <v>930</v>
      </c>
      <c r="D30" s="80">
        <v>392570</v>
      </c>
      <c r="E30" s="87"/>
      <c r="F30" s="82"/>
      <c r="H30" s="234">
        <f t="shared" si="0"/>
        <v>0</v>
      </c>
    </row>
    <row r="31" spans="1:8" ht="15.75">
      <c r="A31" s="62"/>
      <c r="B31" s="85" t="s">
        <v>179</v>
      </c>
      <c r="C31" s="86" t="s">
        <v>931</v>
      </c>
      <c r="D31" s="80">
        <v>345277</v>
      </c>
      <c r="E31" s="87">
        <v>310635</v>
      </c>
      <c r="F31" s="82">
        <v>2.511</v>
      </c>
      <c r="H31" s="234">
        <f t="shared" si="0"/>
        <v>0</v>
      </c>
    </row>
    <row r="32" spans="1:8" ht="15.75">
      <c r="A32" s="62"/>
      <c r="B32" s="85" t="s">
        <v>932</v>
      </c>
      <c r="C32" s="86" t="s">
        <v>933</v>
      </c>
      <c r="D32" s="80">
        <v>55655</v>
      </c>
      <c r="E32" s="87">
        <v>50265</v>
      </c>
      <c r="F32" s="82">
        <v>0.406</v>
      </c>
      <c r="H32" s="234">
        <f t="shared" si="0"/>
        <v>0</v>
      </c>
    </row>
    <row r="33" spans="1:8" ht="15.75">
      <c r="A33" s="62"/>
      <c r="B33" s="85" t="s">
        <v>934</v>
      </c>
      <c r="C33" s="86" t="s">
        <v>935</v>
      </c>
      <c r="D33" s="80">
        <v>82110</v>
      </c>
      <c r="E33" s="87">
        <v>73776</v>
      </c>
      <c r="F33" s="82">
        <v>0.596</v>
      </c>
      <c r="H33" s="234">
        <f t="shared" si="0"/>
        <v>0</v>
      </c>
    </row>
    <row r="34" spans="1:8" ht="15.75">
      <c r="A34" s="62"/>
      <c r="B34" s="85" t="s">
        <v>936</v>
      </c>
      <c r="C34" s="86" t="s">
        <v>937</v>
      </c>
      <c r="D34" s="80">
        <v>1423764</v>
      </c>
      <c r="E34" s="87">
        <v>1277876</v>
      </c>
      <c r="F34" s="82">
        <v>10.33</v>
      </c>
      <c r="H34" s="234">
        <f t="shared" si="0"/>
        <v>0</v>
      </c>
    </row>
    <row r="35" spans="1:8" ht="15.75">
      <c r="A35" s="62"/>
      <c r="B35" s="85" t="s">
        <v>938</v>
      </c>
      <c r="C35" s="86" t="s">
        <v>939</v>
      </c>
      <c r="D35" s="80">
        <v>6041</v>
      </c>
      <c r="E35" s="87">
        <v>2206</v>
      </c>
      <c r="F35" s="82">
        <v>0.018</v>
      </c>
      <c r="H35" s="234">
        <f t="shared" si="0"/>
        <v>0</v>
      </c>
    </row>
    <row r="36" spans="1:8" ht="15.75">
      <c r="A36" s="62"/>
      <c r="B36" s="85" t="s">
        <v>940</v>
      </c>
      <c r="C36" s="86" t="s">
        <v>941</v>
      </c>
      <c r="D36" s="80">
        <v>81038</v>
      </c>
      <c r="E36" s="87">
        <v>55836</v>
      </c>
      <c r="F36" s="82">
        <v>0.451</v>
      </c>
      <c r="H36" s="234">
        <f t="shared" si="0"/>
        <v>0</v>
      </c>
    </row>
    <row r="37" spans="1:8" ht="15.75">
      <c r="A37" s="62"/>
      <c r="B37" s="85" t="s">
        <v>942</v>
      </c>
      <c r="C37" s="86" t="s">
        <v>943</v>
      </c>
      <c r="D37" s="80">
        <v>380094</v>
      </c>
      <c r="E37" s="87">
        <v>273915</v>
      </c>
      <c r="F37" s="82">
        <v>2.214</v>
      </c>
      <c r="H37" s="234">
        <f t="shared" si="0"/>
        <v>0</v>
      </c>
    </row>
    <row r="38" spans="1:8" ht="15.75">
      <c r="A38" s="62"/>
      <c r="B38" s="85" t="s">
        <v>944</v>
      </c>
      <c r="C38" s="86" t="s">
        <v>945</v>
      </c>
      <c r="D38" s="80">
        <v>91130</v>
      </c>
      <c r="E38" s="87">
        <v>60745</v>
      </c>
      <c r="F38" s="82">
        <v>0.491</v>
      </c>
      <c r="H38" s="234">
        <f t="shared" si="0"/>
        <v>0</v>
      </c>
    </row>
    <row r="39" spans="1:8" ht="15.75">
      <c r="A39" s="62"/>
      <c r="B39" s="85" t="s">
        <v>946</v>
      </c>
      <c r="C39" s="86" t="s">
        <v>947</v>
      </c>
      <c r="D39" s="80">
        <v>278926</v>
      </c>
      <c r="E39" s="87">
        <v>211101</v>
      </c>
      <c r="F39" s="82">
        <v>1.707</v>
      </c>
      <c r="H39" s="234">
        <f t="shared" si="0"/>
        <v>0</v>
      </c>
    </row>
    <row r="40" spans="1:8" ht="15.75">
      <c r="A40" s="62"/>
      <c r="B40" s="85"/>
      <c r="C40" s="430"/>
      <c r="D40" s="80"/>
      <c r="E40" s="87"/>
      <c r="F40" s="82"/>
      <c r="H40" s="234">
        <f t="shared" si="0"/>
        <v>0</v>
      </c>
    </row>
    <row r="41" spans="1:6" ht="15.75">
      <c r="A41" s="88" t="str">
        <f>CONCATENATE("Total Tax Levy Funds Levy Amounts and Levy Rates for ",C4-1," Budget")</f>
        <v>Total Tax Levy Funds Levy Amounts and Levy Rates for 2014 Budget</v>
      </c>
      <c r="B41" s="89"/>
      <c r="C41" s="89"/>
      <c r="D41" s="90"/>
      <c r="E41" s="91">
        <f>SUM(E16:E40)</f>
        <v>6378528</v>
      </c>
      <c r="F41" s="92">
        <f>SUM(F16:F40)</f>
        <v>51.56499999999999</v>
      </c>
    </row>
    <row r="42" spans="1:6" ht="15.75">
      <c r="A42" s="61" t="s">
        <v>29</v>
      </c>
      <c r="B42" s="62"/>
      <c r="C42" s="62"/>
      <c r="D42" s="62"/>
      <c r="E42" s="62"/>
      <c r="F42" s="62"/>
    </row>
    <row r="43" spans="1:6" ht="15.75">
      <c r="A43" s="62"/>
      <c r="B43" s="773" t="s">
        <v>948</v>
      </c>
      <c r="C43" s="62"/>
      <c r="D43" s="80">
        <v>3000</v>
      </c>
      <c r="E43" s="62"/>
      <c r="F43" s="62"/>
    </row>
    <row r="44" spans="1:6" ht="15.75">
      <c r="A44" s="62"/>
      <c r="B44" s="773" t="s">
        <v>949</v>
      </c>
      <c r="C44" s="62"/>
      <c r="D44" s="80">
        <v>10000</v>
      </c>
      <c r="E44" s="62"/>
      <c r="F44" s="62"/>
    </row>
    <row r="45" spans="1:6" ht="15.75">
      <c r="A45" s="62"/>
      <c r="B45" s="773" t="s">
        <v>950</v>
      </c>
      <c r="C45" s="62"/>
      <c r="D45" s="80">
        <v>93750</v>
      </c>
      <c r="E45" s="62"/>
      <c r="F45" s="62"/>
    </row>
    <row r="46" spans="1:6" ht="15.75">
      <c r="A46" s="62"/>
      <c r="B46" s="773" t="s">
        <v>951</v>
      </c>
      <c r="C46" s="62"/>
      <c r="D46" s="80">
        <v>888</v>
      </c>
      <c r="E46" s="62"/>
      <c r="F46" s="62"/>
    </row>
    <row r="47" spans="1:6" ht="15.75">
      <c r="A47" s="62"/>
      <c r="B47" s="773" t="s">
        <v>952</v>
      </c>
      <c r="C47" s="62"/>
      <c r="D47" s="80">
        <v>20000</v>
      </c>
      <c r="E47" s="62"/>
      <c r="F47" s="62"/>
    </row>
    <row r="48" spans="1:6" ht="15.75">
      <c r="A48" s="62"/>
      <c r="B48" s="773" t="s">
        <v>953</v>
      </c>
      <c r="C48" s="62"/>
      <c r="D48" s="80">
        <v>75000</v>
      </c>
      <c r="E48" s="62"/>
      <c r="F48" s="62"/>
    </row>
    <row r="49" spans="1:6" ht="15.75">
      <c r="A49" s="62"/>
      <c r="B49" s="773" t="s">
        <v>954</v>
      </c>
      <c r="C49" s="62"/>
      <c r="D49" s="80">
        <v>45000</v>
      </c>
      <c r="E49" s="62"/>
      <c r="F49" s="62"/>
    </row>
    <row r="50" spans="1:6" ht="15.75">
      <c r="A50" s="62"/>
      <c r="B50" s="82" t="s">
        <v>955</v>
      </c>
      <c r="C50" s="62"/>
      <c r="D50" s="80">
        <v>0</v>
      </c>
      <c r="E50" s="62"/>
      <c r="F50" s="62"/>
    </row>
    <row r="51" spans="1:6" ht="15.75">
      <c r="A51" s="62"/>
      <c r="B51" s="82" t="s">
        <v>957</v>
      </c>
      <c r="C51" s="62"/>
      <c r="D51" s="80">
        <v>250000</v>
      </c>
      <c r="E51" s="62"/>
      <c r="F51" s="62"/>
    </row>
    <row r="52" spans="1:6" ht="15.75">
      <c r="A52" s="62"/>
      <c r="B52" s="82" t="s">
        <v>979</v>
      </c>
      <c r="C52" s="62"/>
      <c r="D52" s="80">
        <v>500000</v>
      </c>
      <c r="E52" s="62"/>
      <c r="F52" s="62"/>
    </row>
    <row r="53" spans="1:6" ht="15.75">
      <c r="A53" s="62"/>
      <c r="B53" s="82" t="s">
        <v>958</v>
      </c>
      <c r="C53" s="62"/>
      <c r="D53" s="80">
        <v>130500</v>
      </c>
      <c r="E53" s="62"/>
      <c r="F53" s="62"/>
    </row>
    <row r="54" spans="1:6" ht="15.75">
      <c r="A54" s="62"/>
      <c r="B54" s="82" t="s">
        <v>1069</v>
      </c>
      <c r="C54" s="62"/>
      <c r="D54" s="80">
        <v>10000</v>
      </c>
      <c r="E54" s="62"/>
      <c r="F54" s="62"/>
    </row>
    <row r="55" spans="1:6" ht="15.75">
      <c r="A55" s="62"/>
      <c r="B55" s="773" t="s">
        <v>964</v>
      </c>
      <c r="C55" s="62"/>
      <c r="D55" s="80">
        <v>0</v>
      </c>
      <c r="E55" s="62"/>
      <c r="F55" s="62"/>
    </row>
    <row r="56" spans="1:6" ht="15.75">
      <c r="A56" s="62"/>
      <c r="B56" s="773" t="s">
        <v>966</v>
      </c>
      <c r="C56" s="62"/>
      <c r="D56" s="80">
        <v>0</v>
      </c>
      <c r="E56" s="62"/>
      <c r="F56" s="62"/>
    </row>
    <row r="57" spans="1:6" ht="15.75">
      <c r="A57" s="62"/>
      <c r="B57" s="773" t="s">
        <v>956</v>
      </c>
      <c r="C57" s="62"/>
      <c r="D57" s="80">
        <v>10000</v>
      </c>
      <c r="E57" s="62"/>
      <c r="F57" s="62"/>
    </row>
    <row r="58" spans="1:6" ht="15.75">
      <c r="A58" s="62"/>
      <c r="B58" s="773" t="s">
        <v>1092</v>
      </c>
      <c r="C58" s="62"/>
      <c r="D58" s="80">
        <v>100000</v>
      </c>
      <c r="E58" s="62"/>
      <c r="F58" s="62"/>
    </row>
    <row r="59" spans="1:6" ht="15.75">
      <c r="A59" s="88" t="str">
        <f>CONCATENATE("Total Expenditures for ",C4-1," Budgeted Year")</f>
        <v>Total Expenditures for 2014 Budgeted Year</v>
      </c>
      <c r="B59" s="93"/>
      <c r="C59" s="94"/>
      <c r="D59" s="95">
        <f>SUM(D16:D40,D43:D58)</f>
        <v>11190823</v>
      </c>
      <c r="E59" s="62"/>
      <c r="F59" s="62"/>
    </row>
    <row r="60" spans="1:6" ht="15.75">
      <c r="A60" s="96"/>
      <c r="B60" s="97"/>
      <c r="C60" s="62"/>
      <c r="D60" s="98"/>
      <c r="E60" s="62"/>
      <c r="F60" s="62"/>
    </row>
    <row r="61" spans="1:6" ht="15.75">
      <c r="A61" s="62" t="s">
        <v>15</v>
      </c>
      <c r="B61" s="97"/>
      <c r="C61" s="62"/>
      <c r="D61" s="62"/>
      <c r="E61" s="62"/>
      <c r="F61" s="62"/>
    </row>
    <row r="62" spans="1:6" ht="15.75">
      <c r="A62" s="62">
        <v>1</v>
      </c>
      <c r="B62" s="773" t="s">
        <v>1070</v>
      </c>
      <c r="C62" s="62"/>
      <c r="D62" s="62"/>
      <c r="E62" s="62"/>
      <c r="F62" s="62"/>
    </row>
    <row r="63" spans="1:6" ht="15.75">
      <c r="A63" s="62">
        <v>2</v>
      </c>
      <c r="B63" s="773" t="s">
        <v>1071</v>
      </c>
      <c r="C63" s="62"/>
      <c r="D63" s="62"/>
      <c r="E63" s="62"/>
      <c r="F63" s="62"/>
    </row>
    <row r="64" spans="1:6" ht="15.75">
      <c r="A64" s="62">
        <v>3</v>
      </c>
      <c r="B64" s="773" t="s">
        <v>1072</v>
      </c>
      <c r="C64" s="62"/>
      <c r="D64" s="62"/>
      <c r="E64" s="62"/>
      <c r="F64" s="62"/>
    </row>
    <row r="65" spans="1:6" ht="15.75">
      <c r="A65" s="62">
        <v>4</v>
      </c>
      <c r="B65" s="773" t="s">
        <v>1073</v>
      </c>
      <c r="C65" s="62"/>
      <c r="D65" s="62"/>
      <c r="E65" s="62"/>
      <c r="F65" s="62"/>
    </row>
    <row r="66" spans="1:6" ht="15.75">
      <c r="A66" s="62">
        <v>5</v>
      </c>
      <c r="B66" s="773" t="s">
        <v>1074</v>
      </c>
      <c r="C66" s="62"/>
      <c r="D66" s="62"/>
      <c r="E66" s="62"/>
      <c r="F66" s="62"/>
    </row>
    <row r="67" spans="1:6" ht="15.75">
      <c r="A67" s="62" t="s">
        <v>24</v>
      </c>
      <c r="B67" s="97"/>
      <c r="C67" s="62"/>
      <c r="D67" s="62"/>
      <c r="E67" s="62"/>
      <c r="F67" s="62"/>
    </row>
    <row r="68" spans="1:6" ht="15.75">
      <c r="A68" s="62">
        <v>1</v>
      </c>
      <c r="B68" s="773" t="s">
        <v>1075</v>
      </c>
      <c r="C68" s="62"/>
      <c r="D68" s="62"/>
      <c r="E68" s="62"/>
      <c r="F68" s="62"/>
    </row>
    <row r="69" spans="1:6" ht="15.75">
      <c r="A69" s="62">
        <v>2</v>
      </c>
      <c r="B69" s="773" t="s">
        <v>1076</v>
      </c>
      <c r="C69" s="62"/>
      <c r="D69" s="62"/>
      <c r="E69" s="62"/>
      <c r="F69" s="62"/>
    </row>
    <row r="70" spans="1:6" ht="15.75">
      <c r="A70" s="62">
        <v>3</v>
      </c>
      <c r="B70" s="773" t="s">
        <v>959</v>
      </c>
      <c r="C70" s="62"/>
      <c r="D70" s="62"/>
      <c r="E70" s="62"/>
      <c r="F70" s="62"/>
    </row>
    <row r="71" spans="1:6" ht="15.75">
      <c r="A71" s="62">
        <v>4</v>
      </c>
      <c r="B71" s="773" t="s">
        <v>960</v>
      </c>
      <c r="C71" s="62"/>
      <c r="D71" s="62"/>
      <c r="E71" s="62"/>
      <c r="F71" s="62"/>
    </row>
    <row r="72" spans="1:6" ht="15.75">
      <c r="A72" s="62">
        <v>5</v>
      </c>
      <c r="B72" s="773" t="s">
        <v>1077</v>
      </c>
      <c r="C72" s="62"/>
      <c r="D72" s="62"/>
      <c r="E72" s="62"/>
      <c r="F72" s="62"/>
    </row>
    <row r="73" spans="1:6" ht="15.75">
      <c r="A73" s="62" t="s">
        <v>26</v>
      </c>
      <c r="B73" s="97"/>
      <c r="C73" s="62"/>
      <c r="D73" s="62"/>
      <c r="E73" s="62"/>
      <c r="F73" s="62"/>
    </row>
    <row r="74" spans="1:6" ht="15.75">
      <c r="A74" s="62">
        <v>1</v>
      </c>
      <c r="B74" s="82" t="s">
        <v>1099</v>
      </c>
      <c r="C74" s="62"/>
      <c r="D74" s="62"/>
      <c r="E74" s="62"/>
      <c r="F74" s="62"/>
    </row>
    <row r="75" spans="1:6" ht="15.75">
      <c r="A75" s="62">
        <v>2</v>
      </c>
      <c r="B75" s="773" t="s">
        <v>1105</v>
      </c>
      <c r="C75" s="62"/>
      <c r="D75" s="62"/>
      <c r="E75" s="62"/>
      <c r="F75" s="62"/>
    </row>
    <row r="76" spans="1:6" ht="15.75">
      <c r="A76" s="62">
        <v>3</v>
      </c>
      <c r="B76" s="773" t="s">
        <v>1078</v>
      </c>
      <c r="C76" s="62"/>
      <c r="D76" s="62"/>
      <c r="E76" s="62"/>
      <c r="F76" s="62"/>
    </row>
    <row r="77" spans="1:6" ht="15.75">
      <c r="A77" s="62">
        <v>4</v>
      </c>
      <c r="B77" s="773" t="s">
        <v>962</v>
      </c>
      <c r="C77" s="62"/>
      <c r="D77" s="62"/>
      <c r="E77" s="62"/>
      <c r="F77" s="62"/>
    </row>
    <row r="78" spans="1:6" ht="15.75">
      <c r="A78" s="62">
        <v>5</v>
      </c>
      <c r="B78" s="773" t="s">
        <v>963</v>
      </c>
      <c r="C78" s="62"/>
      <c r="D78" s="62"/>
      <c r="E78" s="62"/>
      <c r="F78" s="62"/>
    </row>
    <row r="79" spans="1:6" ht="15.75">
      <c r="A79" s="62" t="s">
        <v>28</v>
      </c>
      <c r="B79" s="97"/>
      <c r="C79" s="62"/>
      <c r="D79" s="62"/>
      <c r="E79" s="62"/>
      <c r="F79" s="62"/>
    </row>
    <row r="80" spans="1:6" ht="15.75">
      <c r="A80" s="62">
        <v>1</v>
      </c>
      <c r="B80" s="773" t="s">
        <v>965</v>
      </c>
      <c r="C80" s="62"/>
      <c r="D80" s="62"/>
      <c r="E80" s="62"/>
      <c r="F80" s="62"/>
    </row>
    <row r="81" spans="1:6" ht="15.75">
      <c r="A81" s="62">
        <v>2</v>
      </c>
      <c r="B81" s="773" t="s">
        <v>967</v>
      </c>
      <c r="C81" s="62"/>
      <c r="D81" s="62"/>
      <c r="E81" s="62"/>
      <c r="F81" s="62"/>
    </row>
    <row r="82" spans="1:6" ht="15.75">
      <c r="A82" s="62">
        <v>3</v>
      </c>
      <c r="B82" s="82" t="s">
        <v>968</v>
      </c>
      <c r="C82" s="62"/>
      <c r="D82" s="62"/>
      <c r="E82" s="62"/>
      <c r="F82" s="62"/>
    </row>
    <row r="83" spans="1:6" ht="15.75">
      <c r="A83" s="62">
        <v>4</v>
      </c>
      <c r="B83" s="82" t="s">
        <v>1103</v>
      </c>
      <c r="C83" s="62"/>
      <c r="D83" s="62"/>
      <c r="E83" s="62"/>
      <c r="F83" s="62"/>
    </row>
    <row r="84" spans="1:6" ht="15.75">
      <c r="A84" s="62">
        <v>5</v>
      </c>
      <c r="B84" s="82" t="s">
        <v>1104</v>
      </c>
      <c r="C84" s="62"/>
      <c r="D84" s="62"/>
      <c r="E84" s="62"/>
      <c r="F84" s="62"/>
    </row>
    <row r="85" spans="1:6" ht="15.75">
      <c r="A85" s="88" t="str">
        <f>CONCATENATE("County's Final Assessed Valuation for ",C4-1," (November 1,",C4-2," Abstract):")</f>
        <v>County's Final Assessed Valuation for 2014 (November 1,2013 Abstract):</v>
      </c>
      <c r="B85" s="89"/>
      <c r="C85" s="89"/>
      <c r="D85" s="89"/>
      <c r="E85" s="94"/>
      <c r="F85" s="87">
        <v>123702182</v>
      </c>
    </row>
    <row r="86" spans="1:6" ht="15.75">
      <c r="A86" s="61"/>
      <c r="B86" s="62"/>
      <c r="C86" s="62"/>
      <c r="D86" s="62"/>
      <c r="E86" s="62"/>
      <c r="F86" s="62"/>
    </row>
    <row r="87" spans="1:6" ht="15.75">
      <c r="A87" s="62"/>
      <c r="B87" s="62"/>
      <c r="C87" s="62"/>
      <c r="D87" s="62"/>
      <c r="E87" s="62"/>
      <c r="F87" s="62"/>
    </row>
    <row r="88" spans="1:6" ht="15.75">
      <c r="A88" s="99" t="str">
        <f>CONCATENATE("From the ",C4-1," Budget:")</f>
        <v>From the 2014 Budget:</v>
      </c>
      <c r="B88" s="70"/>
      <c r="C88" s="62"/>
      <c r="D88" s="777" t="str">
        <f>CONCATENATE("",C4-3," Tax Rate (",C4-2," Column)")</f>
        <v>2012 Tax Rate (2013 Column)</v>
      </c>
      <c r="E88" s="100"/>
      <c r="F88" s="62"/>
    </row>
    <row r="89" spans="1:6" ht="15.75">
      <c r="A89" s="99" t="s">
        <v>119</v>
      </c>
      <c r="B89" s="101"/>
      <c r="C89" s="62"/>
      <c r="D89" s="778"/>
      <c r="E89" s="100"/>
      <c r="F89" s="62"/>
    </row>
    <row r="90" spans="1:6" ht="15.75">
      <c r="A90" s="62"/>
      <c r="B90" s="102" t="str">
        <f>B16</f>
        <v>General</v>
      </c>
      <c r="C90" s="62"/>
      <c r="D90" s="82">
        <v>13.162</v>
      </c>
      <c r="E90" s="100"/>
      <c r="F90" s="62"/>
    </row>
    <row r="91" spans="1:6" ht="15.75">
      <c r="A91" s="62"/>
      <c r="B91" s="102" t="str">
        <f>B17</f>
        <v>Debt Service</v>
      </c>
      <c r="C91" s="62"/>
      <c r="D91" s="82">
        <v>0.068</v>
      </c>
      <c r="E91" s="100"/>
      <c r="F91" s="62"/>
    </row>
    <row r="92" spans="1:6" ht="15.75">
      <c r="A92" s="62"/>
      <c r="B92" s="102" t="str">
        <f>B18</f>
        <v>Road &amp; Bridge</v>
      </c>
      <c r="C92" s="62"/>
      <c r="D92" s="82">
        <v>15.615</v>
      </c>
      <c r="E92" s="100"/>
      <c r="F92" s="62"/>
    </row>
    <row r="93" spans="1:6" ht="15.75">
      <c r="A93" s="62"/>
      <c r="B93" s="102" t="str">
        <f aca="true" t="shared" si="1" ref="B93:B114">B19</f>
        <v>Health Nurse</v>
      </c>
      <c r="C93" s="62"/>
      <c r="D93" s="82">
        <v>1.026</v>
      </c>
      <c r="E93" s="100"/>
      <c r="F93" s="62"/>
    </row>
    <row r="94" spans="1:6" ht="15.75">
      <c r="A94" s="62"/>
      <c r="B94" s="102" t="str">
        <f t="shared" si="1"/>
        <v>Fair</v>
      </c>
      <c r="C94" s="62"/>
      <c r="D94" s="82">
        <v>0.223</v>
      </c>
      <c r="E94" s="100"/>
      <c r="F94" s="62"/>
    </row>
    <row r="95" spans="1:6" ht="15.75">
      <c r="A95" s="62"/>
      <c r="B95" s="102" t="str">
        <f t="shared" si="1"/>
        <v>4-H Building</v>
      </c>
      <c r="C95" s="62"/>
      <c r="D95" s="82">
        <v>0.056</v>
      </c>
      <c r="E95" s="100"/>
      <c r="F95" s="62"/>
    </row>
    <row r="96" spans="1:6" ht="15.75">
      <c r="A96" s="62"/>
      <c r="B96" s="102" t="str">
        <f t="shared" si="1"/>
        <v>Recycling/HHW</v>
      </c>
      <c r="C96" s="62"/>
      <c r="D96" s="82">
        <v>0.277</v>
      </c>
      <c r="E96" s="100"/>
      <c r="F96" s="62"/>
    </row>
    <row r="97" spans="1:6" ht="15.75">
      <c r="A97" s="62"/>
      <c r="B97" s="102" t="str">
        <f t="shared" si="1"/>
        <v>Agency on Aging</v>
      </c>
      <c r="C97" s="62"/>
      <c r="D97" s="82">
        <v>1.301</v>
      </c>
      <c r="E97" s="100"/>
      <c r="F97" s="62"/>
    </row>
    <row r="98" spans="1:6" ht="15.75">
      <c r="A98" s="62"/>
      <c r="B98" s="102" t="str">
        <f t="shared" si="1"/>
        <v>Soil Conservation</v>
      </c>
      <c r="C98" s="62"/>
      <c r="D98" s="82">
        <v>0.174</v>
      </c>
      <c r="E98" s="100"/>
      <c r="F98" s="62"/>
    </row>
    <row r="99" spans="1:6" ht="15.75">
      <c r="A99" s="62"/>
      <c r="B99" s="102" t="str">
        <f t="shared" si="1"/>
        <v>Historical</v>
      </c>
      <c r="C99" s="62"/>
      <c r="D99" s="82">
        <v>0.091</v>
      </c>
      <c r="E99" s="100"/>
      <c r="F99" s="62"/>
    </row>
    <row r="100" spans="1:6" ht="15.75">
      <c r="A100" s="62"/>
      <c r="B100" s="102" t="str">
        <f t="shared" si="1"/>
        <v>Appraiser</v>
      </c>
      <c r="C100" s="62"/>
      <c r="D100" s="82">
        <v>1.13</v>
      </c>
      <c r="E100" s="100"/>
      <c r="F100" s="62"/>
    </row>
    <row r="101" spans="1:6" ht="15.75">
      <c r="A101" s="62"/>
      <c r="B101" s="102" t="str">
        <f t="shared" si="1"/>
        <v>Noxious Weed</v>
      </c>
      <c r="C101" s="62"/>
      <c r="D101" s="82">
        <v>0.406</v>
      </c>
      <c r="E101" s="100"/>
      <c r="F101" s="62"/>
    </row>
    <row r="102" spans="1:6" ht="15.75">
      <c r="A102" s="62"/>
      <c r="B102" s="102" t="str">
        <f t="shared" si="1"/>
        <v>Election</v>
      </c>
      <c r="C102" s="62"/>
      <c r="D102" s="82">
        <v>0.63</v>
      </c>
      <c r="E102" s="100"/>
      <c r="F102" s="62"/>
    </row>
    <row r="103" spans="1:6" ht="15.75">
      <c r="A103" s="62"/>
      <c r="B103" s="102" t="str">
        <f t="shared" si="1"/>
        <v>Extension Council</v>
      </c>
      <c r="C103" s="62"/>
      <c r="D103" s="82">
        <v>1.177</v>
      </c>
      <c r="E103" s="100"/>
      <c r="F103" s="62"/>
    </row>
    <row r="104" spans="1:6" ht="15.75">
      <c r="A104" s="62"/>
      <c r="B104" s="102" t="str">
        <f t="shared" si="1"/>
        <v>Solid Waste</v>
      </c>
      <c r="C104" s="62"/>
      <c r="D104" s="82"/>
      <c r="E104" s="100"/>
      <c r="F104" s="62"/>
    </row>
    <row r="105" spans="1:6" ht="15.75">
      <c r="A105" s="62"/>
      <c r="B105" s="102" t="str">
        <f t="shared" si="1"/>
        <v>Ambulance</v>
      </c>
      <c r="C105" s="62"/>
      <c r="D105" s="82">
        <v>2.531</v>
      </c>
      <c r="E105" s="100"/>
      <c r="F105" s="62"/>
    </row>
    <row r="106" spans="1:6" ht="15.75">
      <c r="A106" s="62"/>
      <c r="B106" s="102" t="str">
        <f t="shared" si="1"/>
        <v>Men Health Ret Workshop</v>
      </c>
      <c r="C106" s="62"/>
      <c r="D106" s="82">
        <v>0.402</v>
      </c>
      <c r="E106" s="100"/>
      <c r="F106" s="62"/>
    </row>
    <row r="107" spans="1:6" ht="15.75">
      <c r="A107" s="62"/>
      <c r="B107" s="102" t="str">
        <f t="shared" si="1"/>
        <v>Pawnee Mental Health </v>
      </c>
      <c r="C107" s="62"/>
      <c r="D107" s="82">
        <v>0.607</v>
      </c>
      <c r="E107" s="100"/>
      <c r="F107" s="62"/>
    </row>
    <row r="108" spans="1:6" ht="15.75">
      <c r="A108" s="62"/>
      <c r="B108" s="102" t="str">
        <f t="shared" si="1"/>
        <v>Emp Ben (Health Insurance)</v>
      </c>
      <c r="C108" s="62"/>
      <c r="D108" s="82">
        <v>8.668</v>
      </c>
      <c r="E108" s="100"/>
      <c r="F108" s="62"/>
    </row>
    <row r="109" spans="1:6" ht="15.75">
      <c r="A109" s="62"/>
      <c r="B109" s="102" t="str">
        <f t="shared" si="1"/>
        <v>Unemployment</v>
      </c>
      <c r="C109" s="62"/>
      <c r="D109" s="82">
        <v>0.016</v>
      </c>
      <c r="E109" s="100"/>
      <c r="F109" s="62"/>
    </row>
    <row r="110" spans="1:6" ht="15.75">
      <c r="A110" s="62"/>
      <c r="B110" s="102" t="str">
        <f t="shared" si="1"/>
        <v>Liability </v>
      </c>
      <c r="C110" s="62"/>
      <c r="D110" s="82">
        <v>0.452</v>
      </c>
      <c r="E110" s="100"/>
      <c r="F110" s="62"/>
    </row>
    <row r="111" spans="1:6" ht="15.75">
      <c r="A111" s="62"/>
      <c r="B111" s="102" t="str">
        <f t="shared" si="1"/>
        <v>Employee Retirement</v>
      </c>
      <c r="C111" s="62"/>
      <c r="D111" s="82">
        <v>1.839</v>
      </c>
      <c r="E111" s="100"/>
      <c r="F111" s="62"/>
    </row>
    <row r="112" spans="1:6" ht="15.75">
      <c r="A112" s="62"/>
      <c r="B112" s="102" t="str">
        <f t="shared" si="1"/>
        <v>Workers Compensation</v>
      </c>
      <c r="C112" s="62"/>
      <c r="D112" s="82">
        <v>0.459</v>
      </c>
      <c r="E112" s="100"/>
      <c r="F112" s="62"/>
    </row>
    <row r="113" spans="1:6" ht="15.75">
      <c r="A113" s="62"/>
      <c r="B113" s="102" t="str">
        <f t="shared" si="1"/>
        <v>Social Security</v>
      </c>
      <c r="C113" s="62"/>
      <c r="D113" s="82">
        <v>1.675</v>
      </c>
      <c r="E113" s="100"/>
      <c r="F113" s="62"/>
    </row>
    <row r="114" spans="1:6" ht="15.75">
      <c r="A114" s="62"/>
      <c r="B114" s="102">
        <f t="shared" si="1"/>
        <v>0</v>
      </c>
      <c r="C114" s="62"/>
      <c r="D114" s="82"/>
      <c r="E114" s="100"/>
      <c r="F114" s="62"/>
    </row>
    <row r="115" spans="1:6" ht="15.75">
      <c r="A115" s="89" t="s">
        <v>129</v>
      </c>
      <c r="B115" s="89"/>
      <c r="C115" s="94"/>
      <c r="D115" s="92">
        <f>SUM(D90:D114)</f>
        <v>51.98499999999999</v>
      </c>
      <c r="E115" s="100"/>
      <c r="F115" s="62"/>
    </row>
    <row r="116" spans="1:6" ht="15.75">
      <c r="A116" s="62"/>
      <c r="B116" s="62"/>
      <c r="C116" s="62"/>
      <c r="D116" s="62"/>
      <c r="E116" s="62"/>
      <c r="F116" s="62"/>
    </row>
    <row r="117" spans="1:6" ht="15.75">
      <c r="A117" s="103" t="str">
        <f>CONCATENATE("Total Tax Levied (",C4-2," budget column)")</f>
        <v>Total Tax Levied (2013 budget column)</v>
      </c>
      <c r="B117" s="104"/>
      <c r="C117" s="89"/>
      <c r="D117" s="89"/>
      <c r="E117" s="94"/>
      <c r="F117" s="87">
        <v>6356507</v>
      </c>
    </row>
    <row r="118" spans="1:6" ht="15.75">
      <c r="A118" s="105" t="str">
        <f>CONCATENATE("Assessed Valuation  (",C4-2," budget column)")</f>
        <v>Assessed Valuation  (2013 budget column)</v>
      </c>
      <c r="B118" s="106"/>
      <c r="C118" s="107"/>
      <c r="D118" s="107"/>
      <c r="E118" s="90"/>
      <c r="F118" s="87">
        <v>122278372</v>
      </c>
    </row>
    <row r="119" spans="1:6" ht="15.75">
      <c r="A119" s="96"/>
      <c r="B119" s="63"/>
      <c r="C119" s="63"/>
      <c r="D119" s="63"/>
      <c r="E119" s="63"/>
      <c r="F119" s="108"/>
    </row>
    <row r="120" spans="1:6" ht="15.75">
      <c r="A120" s="109" t="str">
        <f>CONCATENATE("From the ",C4-1," Budget, Budget Summary Page:")</f>
        <v>From the 2014 Budget, Budget Summary Page:</v>
      </c>
      <c r="B120" s="110"/>
      <c r="C120" s="100"/>
      <c r="D120" s="100"/>
      <c r="E120" s="100"/>
      <c r="F120" s="100"/>
    </row>
    <row r="121" spans="1:6" ht="15.75">
      <c r="A121" s="111" t="s">
        <v>0</v>
      </c>
      <c r="B121" s="111"/>
      <c r="C121" s="112"/>
      <c r="D121" s="113">
        <f>C4-3</f>
        <v>2012</v>
      </c>
      <c r="E121" s="114">
        <f>C4-2</f>
        <v>2013</v>
      </c>
      <c r="F121" s="100"/>
    </row>
    <row r="122" spans="1:6" ht="15.75">
      <c r="A122" s="115" t="s">
        <v>1</v>
      </c>
      <c r="B122" s="115"/>
      <c r="C122" s="116"/>
      <c r="D122" s="80">
        <v>283365</v>
      </c>
      <c r="E122" s="80">
        <v>250000</v>
      </c>
      <c r="F122" s="100"/>
    </row>
    <row r="123" spans="1:6" s="118" customFormat="1" ht="15.75">
      <c r="A123" s="117" t="s">
        <v>2</v>
      </c>
      <c r="B123" s="117"/>
      <c r="C123" s="116"/>
      <c r="D123" s="80"/>
      <c r="E123" s="80"/>
      <c r="F123" s="112"/>
    </row>
    <row r="124" spans="1:6" s="118" customFormat="1" ht="15.75">
      <c r="A124" s="117" t="s">
        <v>3</v>
      </c>
      <c r="B124" s="117"/>
      <c r="C124" s="116"/>
      <c r="D124" s="80"/>
      <c r="E124" s="80"/>
      <c r="F124" s="112"/>
    </row>
    <row r="125" spans="1:6" s="118" customFormat="1" ht="15.75">
      <c r="A125" s="117" t="s">
        <v>4</v>
      </c>
      <c r="B125" s="117"/>
      <c r="C125" s="116"/>
      <c r="D125" s="80">
        <v>77424</v>
      </c>
      <c r="E125" s="80">
        <v>102986</v>
      </c>
      <c r="F125" s="112"/>
    </row>
    <row r="126" s="118" customFormat="1" ht="15.75"/>
  </sheetData>
  <sheetProtection sheet="1"/>
  <mergeCells count="4">
    <mergeCell ref="D88:D89"/>
    <mergeCell ref="A9:F9"/>
    <mergeCell ref="A1:F1"/>
    <mergeCell ref="H6:I11"/>
  </mergeCells>
  <printOptions/>
  <pageMargins left="0.5" right="0.5" top="1" bottom="0.5" header="0.5" footer="0.25"/>
  <pageSetup blackAndWhite="1" fitToHeight="3" fitToWidth="1" horizontalDpi="120" verticalDpi="120" orientation="portrait" scale="96" r:id="rId1"/>
</worksheet>
</file>

<file path=xl/worksheets/sheet20.xml><?xml version="1.0" encoding="utf-8"?>
<worksheet xmlns="http://schemas.openxmlformats.org/spreadsheetml/2006/main" xmlns:r="http://schemas.openxmlformats.org/officeDocument/2006/relationships">
  <sheetPr>
    <pageSetUpPr fitToPage="1"/>
  </sheetPr>
  <dimension ref="B1:K94"/>
  <sheetViews>
    <sheetView zoomScalePageLayoutView="0" workbookViewId="0" topLeftCell="A61">
      <selection activeCell="E64" sqref="E64"/>
    </sheetView>
  </sheetViews>
  <sheetFormatPr defaultColWidth="8.796875" defaultRowHeight="15"/>
  <cols>
    <col min="1" max="1" width="2.3984375" style="50" customWidth="1"/>
    <col min="2" max="2" width="31.09765625" style="50" customWidth="1"/>
    <col min="3" max="4" width="15.796875" style="50" customWidth="1"/>
    <col min="5" max="5" width="16.19921875" style="50" customWidth="1"/>
    <col min="6" max="6" width="7.3984375" style="50" customWidth="1"/>
    <col min="7" max="7" width="10.19921875" style="50" customWidth="1"/>
    <col min="8" max="8" width="8.8984375" style="50" customWidth="1"/>
    <col min="9" max="9" width="5" style="50" customWidth="1"/>
    <col min="10" max="10" width="10" style="50" customWidth="1"/>
    <col min="11" max="16384" width="8.8984375" style="50" customWidth="1"/>
  </cols>
  <sheetData>
    <row r="1" spans="2:5" ht="15.75">
      <c r="B1" s="201" t="str">
        <f>(inputPrYr!C2)</f>
        <v>Marshall County</v>
      </c>
      <c r="C1" s="62"/>
      <c r="D1" s="62"/>
      <c r="E1" s="255">
        <f>inputPrYr!C4</f>
        <v>2015</v>
      </c>
    </row>
    <row r="2" spans="2:5" ht="15.75">
      <c r="B2" s="62"/>
      <c r="C2" s="62"/>
      <c r="D2" s="62"/>
      <c r="E2" s="208"/>
    </row>
    <row r="3" spans="2:5" ht="15.75">
      <c r="B3" s="127" t="s">
        <v>239</v>
      </c>
      <c r="C3" s="302"/>
      <c r="D3" s="302"/>
      <c r="E3" s="303"/>
    </row>
    <row r="4" spans="2:5" ht="15.75">
      <c r="B4" s="61" t="s">
        <v>157</v>
      </c>
      <c r="C4" s="666" t="s">
        <v>812</v>
      </c>
      <c r="D4" s="667" t="s">
        <v>813</v>
      </c>
      <c r="E4" s="188" t="s">
        <v>814</v>
      </c>
    </row>
    <row r="5" spans="2:5" ht="15.75">
      <c r="B5" s="447" t="str">
        <f>inputPrYr!B23</f>
        <v>Agency on Aging</v>
      </c>
      <c r="C5" s="420" t="str">
        <f>CONCATENATE("Actual for ",E1-2,"")</f>
        <v>Actual for 2013</v>
      </c>
      <c r="D5" s="420" t="str">
        <f>CONCATENATE("Estimate for ",E1-1,"")</f>
        <v>Estimate for 2014</v>
      </c>
      <c r="E5" s="271" t="str">
        <f>CONCATENATE("Year for ",E1,"")</f>
        <v>Year for 2015</v>
      </c>
    </row>
    <row r="6" spans="2:5" ht="15.75">
      <c r="B6" s="123" t="s">
        <v>272</v>
      </c>
      <c r="C6" s="417">
        <v>123277</v>
      </c>
      <c r="D6" s="421">
        <f>C34</f>
        <v>148448</v>
      </c>
      <c r="E6" s="234">
        <f>D34</f>
        <v>73122</v>
      </c>
    </row>
    <row r="7" spans="2:5" ht="15.75">
      <c r="B7" s="259" t="s">
        <v>274</v>
      </c>
      <c r="C7" s="274"/>
      <c r="D7" s="274"/>
      <c r="E7" s="102"/>
    </row>
    <row r="8" spans="2:5" ht="15.75">
      <c r="B8" s="123" t="s">
        <v>158</v>
      </c>
      <c r="C8" s="417">
        <v>154924</v>
      </c>
      <c r="D8" s="421">
        <f>IF(inputPrYr!H23&gt;0,inputPrYr!H23,inputPrYr!E23)</f>
        <v>128084</v>
      </c>
      <c r="E8" s="306" t="s">
        <v>145</v>
      </c>
    </row>
    <row r="9" spans="2:5" ht="15.75">
      <c r="B9" s="123" t="s">
        <v>159</v>
      </c>
      <c r="C9" s="417">
        <v>1153</v>
      </c>
      <c r="D9" s="417"/>
      <c r="E9" s="87"/>
    </row>
    <row r="10" spans="2:5" ht="15.75">
      <c r="B10" s="123" t="s">
        <v>160</v>
      </c>
      <c r="C10" s="417">
        <v>14008</v>
      </c>
      <c r="D10" s="417">
        <v>14988</v>
      </c>
      <c r="E10" s="234">
        <f>mvalloc!E14</f>
        <v>11769</v>
      </c>
    </row>
    <row r="11" spans="2:5" ht="15.75">
      <c r="B11" s="123" t="s">
        <v>161</v>
      </c>
      <c r="C11" s="417">
        <v>218</v>
      </c>
      <c r="D11" s="417">
        <v>244</v>
      </c>
      <c r="E11" s="234">
        <f>mvalloc!F14</f>
        <v>171</v>
      </c>
    </row>
    <row r="12" spans="2:5" ht="15.75">
      <c r="B12" s="274" t="s">
        <v>230</v>
      </c>
      <c r="C12" s="417">
        <v>1606</v>
      </c>
      <c r="D12" s="417">
        <v>2077</v>
      </c>
      <c r="E12" s="234">
        <f>mvalloc!G14</f>
        <v>703</v>
      </c>
    </row>
    <row r="13" spans="2:5" ht="15.75">
      <c r="B13" s="287"/>
      <c r="C13" s="417"/>
      <c r="D13" s="417"/>
      <c r="E13" s="87"/>
    </row>
    <row r="14" spans="2:5" ht="15.75">
      <c r="B14" s="287"/>
      <c r="C14" s="417"/>
      <c r="D14" s="417"/>
      <c r="E14" s="87"/>
    </row>
    <row r="15" spans="2:5" ht="15.75">
      <c r="B15" s="287"/>
      <c r="C15" s="417"/>
      <c r="D15" s="417"/>
      <c r="E15" s="87"/>
    </row>
    <row r="16" spans="2:5" ht="15.75">
      <c r="B16" s="287"/>
      <c r="C16" s="417"/>
      <c r="D16" s="417"/>
      <c r="E16" s="87"/>
    </row>
    <row r="17" spans="2:5" ht="15.75">
      <c r="B17" s="277" t="s">
        <v>165</v>
      </c>
      <c r="C17" s="417"/>
      <c r="D17" s="417"/>
      <c r="E17" s="87"/>
    </row>
    <row r="18" spans="2:5" ht="15.75">
      <c r="B18" s="278" t="s">
        <v>72</v>
      </c>
      <c r="C18" s="417"/>
      <c r="D18" s="417"/>
      <c r="E18" s="87"/>
    </row>
    <row r="19" spans="2:5" ht="15.75">
      <c r="B19" s="278" t="s">
        <v>654</v>
      </c>
      <c r="C19" s="418">
        <f>IF(C20*0.1&lt;C18,"Exceed 10% Rule","")</f>
      </c>
      <c r="D19" s="418">
        <f>IF(D20*0.1&lt;D18,"Exceed 10% Rule","")</f>
      </c>
      <c r="E19" s="313">
        <f>IF(E20*0.1+E40&lt;E18,"Exceed 10% Rule","")</f>
      </c>
    </row>
    <row r="20" spans="2:5" ht="15.75">
      <c r="B20" s="280" t="s">
        <v>166</v>
      </c>
      <c r="C20" s="419">
        <f>SUM(C8:C18)</f>
        <v>171909</v>
      </c>
      <c r="D20" s="419">
        <f>SUM(D8:D18)</f>
        <v>145393</v>
      </c>
      <c r="E20" s="321">
        <f>SUM(E8:E18)</f>
        <v>12643</v>
      </c>
    </row>
    <row r="21" spans="2:5" ht="15.75">
      <c r="B21" s="280" t="s">
        <v>167</v>
      </c>
      <c r="C21" s="419">
        <f>C6+C20</f>
        <v>295186</v>
      </c>
      <c r="D21" s="419">
        <f>D6+D20</f>
        <v>293841</v>
      </c>
      <c r="E21" s="321">
        <f>E6+E20</f>
        <v>85765</v>
      </c>
    </row>
    <row r="22" spans="2:5" ht="15.75">
      <c r="B22" s="123" t="s">
        <v>170</v>
      </c>
      <c r="C22" s="278"/>
      <c r="D22" s="278"/>
      <c r="E22" s="83"/>
    </row>
    <row r="23" spans="2:5" ht="15.75">
      <c r="B23" s="287" t="s">
        <v>1038</v>
      </c>
      <c r="C23" s="417">
        <v>52889</v>
      </c>
      <c r="D23" s="417">
        <v>148170</v>
      </c>
      <c r="E23" s="87">
        <v>72270</v>
      </c>
    </row>
    <row r="24" spans="2:10" ht="15.75">
      <c r="B24" s="287" t="s">
        <v>1039</v>
      </c>
      <c r="C24" s="417">
        <v>42426</v>
      </c>
      <c r="D24" s="417">
        <v>55267</v>
      </c>
      <c r="E24" s="87">
        <v>55267</v>
      </c>
      <c r="G24" s="832" t="str">
        <f>CONCATENATE("Desired Carryover Into ",E1+1,"")</f>
        <v>Desired Carryover Into 2016</v>
      </c>
      <c r="H24" s="833"/>
      <c r="I24" s="833"/>
      <c r="J24" s="804"/>
    </row>
    <row r="25" spans="2:10" ht="15.75">
      <c r="B25" s="287" t="s">
        <v>1040</v>
      </c>
      <c r="C25" s="417">
        <v>6625</v>
      </c>
      <c r="D25" s="417">
        <v>10900</v>
      </c>
      <c r="E25" s="87">
        <v>10900</v>
      </c>
      <c r="G25" s="613"/>
      <c r="H25" s="614"/>
      <c r="I25" s="615"/>
      <c r="J25" s="616"/>
    </row>
    <row r="26" spans="2:10" ht="15.75">
      <c r="B26" s="287" t="s">
        <v>1041</v>
      </c>
      <c r="C26" s="417">
        <v>1411</v>
      </c>
      <c r="D26" s="417">
        <v>4000</v>
      </c>
      <c r="E26" s="87">
        <v>89500</v>
      </c>
      <c r="G26" s="617" t="s">
        <v>660</v>
      </c>
      <c r="H26" s="615"/>
      <c r="I26" s="615"/>
      <c r="J26" s="618">
        <v>0</v>
      </c>
    </row>
    <row r="27" spans="2:10" ht="15.75">
      <c r="B27" s="287" t="s">
        <v>1049</v>
      </c>
      <c r="C27" s="417">
        <v>39892</v>
      </c>
      <c r="D27" s="417"/>
      <c r="E27" s="87"/>
      <c r="G27" s="613" t="s">
        <v>661</v>
      </c>
      <c r="H27" s="614"/>
      <c r="I27" s="614"/>
      <c r="J27" s="619">
        <f>IF(J26=0,"",ROUND((J26+E40-G39)/inputOth!E6*1000,3)-G44)</f>
      </c>
    </row>
    <row r="28" spans="2:10" ht="15.75">
      <c r="B28" s="287"/>
      <c r="C28" s="417"/>
      <c r="D28" s="417"/>
      <c r="E28" s="87"/>
      <c r="G28" s="620" t="str">
        <f>CONCATENATE("",E1," Tot Exp/Non-Appr Must Be:")</f>
        <v>2015 Tot Exp/Non-Appr Must Be:</v>
      </c>
      <c r="H28" s="621"/>
      <c r="I28" s="622"/>
      <c r="J28" s="623">
        <f>IF(J26&gt;0,IF(E37&lt;E21,IF(J26=G39,E37,((J26-G39)*(1-D39))+E21),E37+(J26-G39)),0)</f>
        <v>0</v>
      </c>
    </row>
    <row r="29" spans="2:10" ht="15.75">
      <c r="B29" s="287"/>
      <c r="C29" s="417"/>
      <c r="D29" s="417"/>
      <c r="E29" s="87"/>
      <c r="G29" s="624" t="s">
        <v>810</v>
      </c>
      <c r="H29" s="625"/>
      <c r="I29" s="625"/>
      <c r="J29" s="626">
        <f>IF(J26&gt;0,J28-E37,0)</f>
        <v>0</v>
      </c>
    </row>
    <row r="30" spans="2:10" ht="15.75">
      <c r="B30" s="278" t="s">
        <v>74</v>
      </c>
      <c r="C30" s="417">
        <v>3495</v>
      </c>
      <c r="D30" s="417">
        <v>2382</v>
      </c>
      <c r="E30" s="95">
        <f>Nhood!E13</f>
        <v>2239</v>
      </c>
      <c r="G30" s="1"/>
      <c r="H30" s="1"/>
      <c r="I30" s="1"/>
      <c r="J30" s="1"/>
    </row>
    <row r="31" spans="2:10" ht="15.75">
      <c r="B31" s="278" t="s">
        <v>72</v>
      </c>
      <c r="C31" s="417"/>
      <c r="D31" s="417"/>
      <c r="E31" s="87"/>
      <c r="G31" s="832" t="str">
        <f>CONCATENATE("Projected Carryover Into ",E1+1,"")</f>
        <v>Projected Carryover Into 2016</v>
      </c>
      <c r="H31" s="838"/>
      <c r="I31" s="838"/>
      <c r="J31" s="839"/>
    </row>
    <row r="32" spans="2:10" ht="15.75">
      <c r="B32" s="278" t="s">
        <v>653</v>
      </c>
      <c r="C32" s="418">
        <f>IF(C33*0.1&lt;C31,"Exceed 10% Rule","")</f>
      </c>
      <c r="D32" s="418">
        <f>IF(D33*0.1&lt;D31,"Exceed 10% Rule","")</f>
      </c>
      <c r="E32" s="313">
        <f>IF(E33*0.1&lt;E31,"Exceed 10% Rule","")</f>
      </c>
      <c r="G32" s="613"/>
      <c r="H32" s="615"/>
      <c r="I32" s="615"/>
      <c r="J32" s="641"/>
    </row>
    <row r="33" spans="2:10" ht="15.75">
      <c r="B33" s="280" t="s">
        <v>171</v>
      </c>
      <c r="C33" s="419">
        <f>SUM(C23:C31)</f>
        <v>146738</v>
      </c>
      <c r="D33" s="419">
        <f>SUM(D23:D31)</f>
        <v>220719</v>
      </c>
      <c r="E33" s="321">
        <f>SUM(E23:E31)</f>
        <v>230176</v>
      </c>
      <c r="G33" s="642">
        <f>D34</f>
        <v>73122</v>
      </c>
      <c r="H33" s="632" t="str">
        <f>CONCATENATE("",E1-1," Ending Cash Balance (est.)")</f>
        <v>2014 Ending Cash Balance (est.)</v>
      </c>
      <c r="I33" s="643"/>
      <c r="J33" s="641"/>
    </row>
    <row r="34" spans="2:10" ht="15.75">
      <c r="B34" s="123" t="s">
        <v>273</v>
      </c>
      <c r="C34" s="422">
        <f>C21-C33</f>
        <v>148448</v>
      </c>
      <c r="D34" s="422">
        <f>D21-D33</f>
        <v>73122</v>
      </c>
      <c r="E34" s="306" t="s">
        <v>145</v>
      </c>
      <c r="G34" s="642">
        <f>E20</f>
        <v>12643</v>
      </c>
      <c r="H34" s="615" t="str">
        <f>CONCATENATE("",E1," Non-AV Receipts (est.)")</f>
        <v>2015 Non-AV Receipts (est.)</v>
      </c>
      <c r="I34" s="643"/>
      <c r="J34" s="641"/>
    </row>
    <row r="35" spans="2:11" ht="15.75">
      <c r="B35" s="270" t="str">
        <f>CONCATENATE("",E1-2,"/",E1-1,"/",E1," Budget Authority Amount:")</f>
        <v>2013/2014/2015 Budget Authority Amount:</v>
      </c>
      <c r="C35" s="308">
        <f>inputOth!B37</f>
        <v>223336</v>
      </c>
      <c r="D35" s="308">
        <f>inputPrYr!D23</f>
        <v>220719</v>
      </c>
      <c r="E35" s="234">
        <f>E33</f>
        <v>230176</v>
      </c>
      <c r="F35" s="289"/>
      <c r="G35" s="644">
        <f>IF(E39&gt;0,E38,E40)</f>
        <v>144411</v>
      </c>
      <c r="H35" s="615" t="str">
        <f>CONCATENATE("",E1," Ad Valorem Tax (est.)")</f>
        <v>2015 Ad Valorem Tax (est.)</v>
      </c>
      <c r="I35" s="643"/>
      <c r="J35" s="641"/>
      <c r="K35" s="629">
        <f>IF(G35=E40,"","Note: Does not include Delinquent Taxes")</f>
      </c>
    </row>
    <row r="36" spans="2:10" ht="15.75">
      <c r="B36" s="256"/>
      <c r="C36" s="822" t="s">
        <v>657</v>
      </c>
      <c r="D36" s="823"/>
      <c r="E36" s="87"/>
      <c r="F36" s="465">
        <f>IF(E33/0.95-E33&lt;E36,"Exceeds 5%","")</f>
      </c>
      <c r="G36" s="642">
        <f>SUM(G33:G35)</f>
        <v>230176</v>
      </c>
      <c r="H36" s="615" t="str">
        <f>CONCATENATE("Total ",E1," Resources Available")</f>
        <v>Total 2015 Resources Available</v>
      </c>
      <c r="I36" s="643"/>
      <c r="J36" s="641"/>
    </row>
    <row r="37" spans="2:10" ht="15.75">
      <c r="B37" s="469" t="str">
        <f>CONCATENATE(C91,"     ",D91)</f>
        <v>     </v>
      </c>
      <c r="C37" s="824" t="s">
        <v>658</v>
      </c>
      <c r="D37" s="825"/>
      <c r="E37" s="234">
        <f>E33+E36</f>
        <v>230176</v>
      </c>
      <c r="G37" s="645"/>
      <c r="H37" s="615"/>
      <c r="I37" s="615"/>
      <c r="J37" s="641"/>
    </row>
    <row r="38" spans="2:10" ht="15.75">
      <c r="B38" s="469" t="str">
        <f>CONCATENATE(C92,"     ",D92)</f>
        <v>     </v>
      </c>
      <c r="C38" s="290"/>
      <c r="D38" s="208" t="s">
        <v>172</v>
      </c>
      <c r="E38" s="95">
        <f>IF(E37-E21&gt;0,E37-E21,0)</f>
        <v>144411</v>
      </c>
      <c r="G38" s="644">
        <f>ROUND(C33*0.05+C33,0)</f>
        <v>154075</v>
      </c>
      <c r="H38" s="615" t="str">
        <f>CONCATENATE("Less ",E1-2," Expenditures + 5%")</f>
        <v>Less 2013 Expenditures + 5%</v>
      </c>
      <c r="I38" s="643"/>
      <c r="J38" s="646"/>
    </row>
    <row r="39" spans="2:10" ht="15.75">
      <c r="B39" s="208"/>
      <c r="C39" s="467" t="s">
        <v>659</v>
      </c>
      <c r="D39" s="612">
        <f>inputOth!$E$23</f>
        <v>0</v>
      </c>
      <c r="E39" s="234">
        <f>ROUND(IF(D39&gt;0,($E$38*D39),0),0)</f>
        <v>0</v>
      </c>
      <c r="G39" s="647">
        <f>G36-G38</f>
        <v>76101</v>
      </c>
      <c r="H39" s="648" t="str">
        <f>CONCATENATE("Projected ",E1+1," carryover (est.)")</f>
        <v>Projected 2016 carryover (est.)</v>
      </c>
      <c r="I39" s="649"/>
      <c r="J39" s="650"/>
    </row>
    <row r="40" spans="2:10" ht="15.75">
      <c r="B40" s="62"/>
      <c r="C40" s="830" t="str">
        <f>CONCATENATE("Amount of  ",$E$1-1," Ad Valorem Tax")</f>
        <v>Amount of  2014 Ad Valorem Tax</v>
      </c>
      <c r="D40" s="831"/>
      <c r="E40" s="317">
        <f>E38+E39</f>
        <v>144411</v>
      </c>
      <c r="G40" s="1"/>
      <c r="H40" s="1"/>
      <c r="I40" s="1"/>
      <c r="J40" s="1"/>
    </row>
    <row r="41" spans="2:10" ht="15.75">
      <c r="B41" s="62"/>
      <c r="C41" s="296"/>
      <c r="D41" s="296"/>
      <c r="E41" s="296"/>
      <c r="G41" s="834" t="s">
        <v>811</v>
      </c>
      <c r="H41" s="835"/>
      <c r="I41" s="835"/>
      <c r="J41" s="836"/>
    </row>
    <row r="42" spans="2:10" ht="15.75">
      <c r="B42" s="61" t="s">
        <v>157</v>
      </c>
      <c r="C42" s="666" t="str">
        <f aca="true" t="shared" si="0" ref="C42:E43">C4</f>
        <v>Prior Year </v>
      </c>
      <c r="D42" s="667" t="str">
        <f t="shared" si="0"/>
        <v>Current Year </v>
      </c>
      <c r="E42" s="188" t="str">
        <f t="shared" si="0"/>
        <v>Proposed Budget </v>
      </c>
      <c r="G42" s="631"/>
      <c r="H42" s="632"/>
      <c r="I42" s="633"/>
      <c r="J42" s="634"/>
    </row>
    <row r="43" spans="2:10" ht="15.75">
      <c r="B43" s="447" t="str">
        <f>inputPrYr!B24</f>
        <v>Soil Conservation</v>
      </c>
      <c r="C43" s="420" t="str">
        <f t="shared" si="0"/>
        <v>Actual for 2013</v>
      </c>
      <c r="D43" s="420" t="str">
        <f t="shared" si="0"/>
        <v>Estimate for 2014</v>
      </c>
      <c r="E43" s="284" t="str">
        <f t="shared" si="0"/>
        <v>Year for 2015</v>
      </c>
      <c r="G43" s="635">
        <f>summ!H23</f>
        <v>1.11</v>
      </c>
      <c r="H43" s="632" t="str">
        <f>CONCATENATE("",E1," Fund Mill Rate")</f>
        <v>2015 Fund Mill Rate</v>
      </c>
      <c r="I43" s="633"/>
      <c r="J43" s="634"/>
    </row>
    <row r="44" spans="2:10" ht="15.75">
      <c r="B44" s="123" t="s">
        <v>272</v>
      </c>
      <c r="C44" s="417">
        <v>262</v>
      </c>
      <c r="D44" s="421">
        <f>C74</f>
        <v>424</v>
      </c>
      <c r="E44" s="234">
        <f>D74</f>
        <v>162</v>
      </c>
      <c r="G44" s="636">
        <f>summ!E23</f>
        <v>1.035</v>
      </c>
      <c r="H44" s="632" t="str">
        <f>CONCATENATE("",E1-1," Fund Mill Rate")</f>
        <v>2014 Fund Mill Rate</v>
      </c>
      <c r="I44" s="633"/>
      <c r="J44" s="634"/>
    </row>
    <row r="45" spans="2:10" ht="15.75">
      <c r="B45" s="259" t="s">
        <v>274</v>
      </c>
      <c r="C45" s="274"/>
      <c r="D45" s="274"/>
      <c r="E45" s="102"/>
      <c r="G45" s="637">
        <f>summ!H61</f>
        <v>51.98700000000003</v>
      </c>
      <c r="H45" s="632" t="str">
        <f>CONCATENATE("Total ",E1," Mill Rate")</f>
        <v>Total 2015 Mill Rate</v>
      </c>
      <c r="I45" s="633"/>
      <c r="J45" s="634"/>
    </row>
    <row r="46" spans="2:10" ht="15.75">
      <c r="B46" s="123" t="s">
        <v>158</v>
      </c>
      <c r="C46" s="417">
        <v>21094</v>
      </c>
      <c r="D46" s="421">
        <f>IF(inputPrYr!H24&gt;0,inputPrYr!H24,inputPrYr!E24)</f>
        <v>21832</v>
      </c>
      <c r="E46" s="306" t="s">
        <v>145</v>
      </c>
      <c r="G46" s="636">
        <f>summ!E61</f>
        <v>51.56499999999999</v>
      </c>
      <c r="H46" s="638" t="str">
        <f>CONCATENATE("Total ",E1-1," Mill Rate")</f>
        <v>Total 2014 Mill Rate</v>
      </c>
      <c r="I46" s="639"/>
      <c r="J46" s="640"/>
    </row>
    <row r="47" spans="2:10" ht="15.75">
      <c r="B47" s="123" t="s">
        <v>159</v>
      </c>
      <c r="C47" s="417">
        <v>163</v>
      </c>
      <c r="D47" s="417"/>
      <c r="E47" s="87"/>
      <c r="G47" s="1"/>
      <c r="H47" s="1"/>
      <c r="I47" s="1"/>
      <c r="J47" s="1"/>
    </row>
    <row r="48" spans="2:10" ht="15.75">
      <c r="B48" s="123" t="s">
        <v>160</v>
      </c>
      <c r="C48" s="417">
        <v>2047</v>
      </c>
      <c r="D48" s="417">
        <v>2002</v>
      </c>
      <c r="E48" s="234">
        <f>mvalloc!E15</f>
        <v>2006</v>
      </c>
      <c r="G48" s="730" t="s">
        <v>886</v>
      </c>
      <c r="H48" s="690"/>
      <c r="I48" s="689" t="str">
        <f>cert!E69</f>
        <v>Yes</v>
      </c>
      <c r="J48" s="1"/>
    </row>
    <row r="49" spans="2:10" ht="15.75">
      <c r="B49" s="123" t="s">
        <v>161</v>
      </c>
      <c r="C49" s="417">
        <v>31</v>
      </c>
      <c r="D49" s="417">
        <v>33</v>
      </c>
      <c r="E49" s="234">
        <f>mvalloc!F15</f>
        <v>29</v>
      </c>
      <c r="G49" s="1"/>
      <c r="H49" s="1"/>
      <c r="I49" s="1"/>
      <c r="J49" s="1"/>
    </row>
    <row r="50" spans="2:10" ht="15.75">
      <c r="B50" s="274" t="s">
        <v>230</v>
      </c>
      <c r="C50" s="417">
        <v>293</v>
      </c>
      <c r="D50" s="417">
        <v>277</v>
      </c>
      <c r="E50" s="234">
        <f>mvalloc!G15</f>
        <v>120</v>
      </c>
      <c r="G50" s="1"/>
      <c r="H50" s="1"/>
      <c r="I50" s="1"/>
      <c r="J50" s="1"/>
    </row>
    <row r="51" spans="2:10" ht="15.75">
      <c r="B51" s="287"/>
      <c r="C51" s="417"/>
      <c r="D51" s="417"/>
      <c r="E51" s="87"/>
      <c r="G51" s="1"/>
      <c r="H51" s="1"/>
      <c r="I51" s="1"/>
      <c r="J51" s="1"/>
    </row>
    <row r="52" spans="2:10" ht="15.75">
      <c r="B52" s="287"/>
      <c r="C52" s="417"/>
      <c r="D52" s="417"/>
      <c r="E52" s="87"/>
      <c r="G52" s="1"/>
      <c r="H52" s="1"/>
      <c r="I52" s="1"/>
      <c r="J52" s="1"/>
    </row>
    <row r="53" spans="2:10" ht="15.75">
      <c r="B53" s="287"/>
      <c r="C53" s="417"/>
      <c r="D53" s="417"/>
      <c r="E53" s="87"/>
      <c r="G53" s="1"/>
      <c r="H53" s="1"/>
      <c r="I53" s="1"/>
      <c r="J53" s="1"/>
    </row>
    <row r="54" spans="2:10" ht="15.75">
      <c r="B54" s="287"/>
      <c r="C54" s="417"/>
      <c r="D54" s="417"/>
      <c r="E54" s="87"/>
      <c r="G54" s="1"/>
      <c r="H54" s="1"/>
      <c r="I54" s="1"/>
      <c r="J54" s="1"/>
    </row>
    <row r="55" spans="2:10" ht="15.75">
      <c r="B55" s="287"/>
      <c r="C55" s="417"/>
      <c r="D55" s="417"/>
      <c r="E55" s="87"/>
      <c r="G55" s="1"/>
      <c r="H55" s="1"/>
      <c r="I55" s="1"/>
      <c r="J55" s="1"/>
    </row>
    <row r="56" spans="2:10" ht="15.75">
      <c r="B56" s="287"/>
      <c r="C56" s="417"/>
      <c r="D56" s="417"/>
      <c r="E56" s="87"/>
      <c r="G56" s="1"/>
      <c r="H56" s="1"/>
      <c r="I56" s="1"/>
      <c r="J56" s="1"/>
    </row>
    <row r="57" spans="2:10" ht="15.75">
      <c r="B57" s="277" t="s">
        <v>165</v>
      </c>
      <c r="C57" s="417"/>
      <c r="D57" s="417"/>
      <c r="E57" s="87"/>
      <c r="G57" s="1"/>
      <c r="H57" s="1"/>
      <c r="I57" s="1"/>
      <c r="J57" s="1"/>
    </row>
    <row r="58" spans="2:10" ht="15.75">
      <c r="B58" s="278" t="s">
        <v>72</v>
      </c>
      <c r="C58" s="417"/>
      <c r="D58" s="417"/>
      <c r="E58" s="87"/>
      <c r="G58" s="1"/>
      <c r="H58" s="1"/>
      <c r="I58" s="1"/>
      <c r="J58" s="1"/>
    </row>
    <row r="59" spans="2:10" ht="15.75">
      <c r="B59" s="278" t="s">
        <v>654</v>
      </c>
      <c r="C59" s="418">
        <f>IF(C60*0.1&lt;C58,"Exceed 10% Rule","")</f>
      </c>
      <c r="D59" s="418">
        <f>IF(D60*0.1&lt;D58,"Exceed 10% Rule","")</f>
      </c>
      <c r="E59" s="313">
        <f>IF(E60*0.1+E80&lt;E58,"Exceed 10% Rule","")</f>
      </c>
      <c r="G59" s="1"/>
      <c r="H59" s="1"/>
      <c r="I59" s="1"/>
      <c r="J59" s="1"/>
    </row>
    <row r="60" spans="2:10" ht="15.75">
      <c r="B60" s="280" t="s">
        <v>166</v>
      </c>
      <c r="C60" s="419">
        <f>SUM(C46:C58)</f>
        <v>23628</v>
      </c>
      <c r="D60" s="419">
        <f>SUM(D46:D58)</f>
        <v>24144</v>
      </c>
      <c r="E60" s="321">
        <f>SUM(E46:E58)</f>
        <v>2155</v>
      </c>
      <c r="G60" s="1"/>
      <c r="H60" s="1"/>
      <c r="I60" s="1"/>
      <c r="J60" s="1"/>
    </row>
    <row r="61" spans="2:10" ht="15.75">
      <c r="B61" s="280" t="s">
        <v>167</v>
      </c>
      <c r="C61" s="419">
        <f>C44+C60</f>
        <v>23890</v>
      </c>
      <c r="D61" s="419">
        <f>D44+D60</f>
        <v>24568</v>
      </c>
      <c r="E61" s="321">
        <f>E44+E60</f>
        <v>2317</v>
      </c>
      <c r="G61" s="1"/>
      <c r="H61" s="1"/>
      <c r="I61" s="1"/>
      <c r="J61" s="1"/>
    </row>
    <row r="62" spans="2:10" ht="15.75">
      <c r="B62" s="123" t="s">
        <v>170</v>
      </c>
      <c r="C62" s="278"/>
      <c r="D62" s="278"/>
      <c r="E62" s="83"/>
      <c r="G62" s="1"/>
      <c r="H62" s="1"/>
      <c r="I62" s="1"/>
      <c r="J62" s="1"/>
    </row>
    <row r="63" spans="2:10" ht="15.75">
      <c r="B63" s="287" t="s">
        <v>1050</v>
      </c>
      <c r="C63" s="417">
        <v>22999</v>
      </c>
      <c r="D63" s="417">
        <v>24000</v>
      </c>
      <c r="E63" s="87">
        <v>24500</v>
      </c>
      <c r="G63" s="1"/>
      <c r="H63" s="1"/>
      <c r="I63" s="1"/>
      <c r="J63" s="1"/>
    </row>
    <row r="64" spans="2:10" ht="15.75">
      <c r="B64" s="287"/>
      <c r="C64" s="417"/>
      <c r="D64" s="417"/>
      <c r="E64" s="87"/>
      <c r="G64" s="832" t="str">
        <f>CONCATENATE("Desired Carryover Into ",E1+1,"")</f>
        <v>Desired Carryover Into 2016</v>
      </c>
      <c r="H64" s="833"/>
      <c r="I64" s="833"/>
      <c r="J64" s="804"/>
    </row>
    <row r="65" spans="2:10" ht="15.75">
      <c r="B65" s="287"/>
      <c r="C65" s="417"/>
      <c r="D65" s="417"/>
      <c r="E65" s="87"/>
      <c r="G65" s="613"/>
      <c r="H65" s="614"/>
      <c r="I65" s="615"/>
      <c r="J65" s="616"/>
    </row>
    <row r="66" spans="2:10" ht="15.75">
      <c r="B66" s="287"/>
      <c r="C66" s="417"/>
      <c r="D66" s="417"/>
      <c r="E66" s="87"/>
      <c r="G66" s="617" t="s">
        <v>660</v>
      </c>
      <c r="H66" s="615"/>
      <c r="I66" s="615"/>
      <c r="J66" s="618">
        <v>0</v>
      </c>
    </row>
    <row r="67" spans="2:10" ht="15.75">
      <c r="B67" s="287"/>
      <c r="C67" s="417"/>
      <c r="D67" s="417"/>
      <c r="E67" s="87"/>
      <c r="G67" s="613" t="s">
        <v>661</v>
      </c>
      <c r="H67" s="614"/>
      <c r="I67" s="614"/>
      <c r="J67" s="619">
        <f>IF(J66=0,"",ROUND((J66+E80-G79)/inputOth!E6*1000,3)-G84)</f>
      </c>
    </row>
    <row r="68" spans="2:10" ht="15.75">
      <c r="B68" s="287"/>
      <c r="C68" s="417"/>
      <c r="D68" s="417"/>
      <c r="E68" s="87"/>
      <c r="G68" s="620" t="str">
        <f>CONCATENATE("",E1," Tot Exp/Non-Appr Must Be:")</f>
        <v>2015 Tot Exp/Non-Appr Must Be:</v>
      </c>
      <c r="H68" s="621"/>
      <c r="I68" s="622"/>
      <c r="J68" s="623">
        <f>IF(J66&gt;0,IF(E77&lt;E61,IF(J66=G79,E77,((J66-G79)*(1-D79))+E61),E77+(J66-G79)),0)</f>
        <v>0</v>
      </c>
    </row>
    <row r="69" spans="2:10" ht="15.75">
      <c r="B69" s="287"/>
      <c r="C69" s="417"/>
      <c r="D69" s="417"/>
      <c r="E69" s="87"/>
      <c r="G69" s="624" t="s">
        <v>810</v>
      </c>
      <c r="H69" s="625"/>
      <c r="I69" s="625"/>
      <c r="J69" s="626">
        <f>IF(J66&gt;0,J68-E77,0)</f>
        <v>0</v>
      </c>
    </row>
    <row r="70" spans="2:10" ht="15.75">
      <c r="B70" s="278" t="s">
        <v>74</v>
      </c>
      <c r="C70" s="417">
        <v>467</v>
      </c>
      <c r="D70" s="417">
        <v>406</v>
      </c>
      <c r="E70" s="95">
        <f>Nhood!E14</f>
        <v>349</v>
      </c>
      <c r="G70" s="1"/>
      <c r="H70" s="1"/>
      <c r="I70" s="1"/>
      <c r="J70" s="1"/>
    </row>
    <row r="71" spans="2:10" ht="15.75">
      <c r="B71" s="278" t="s">
        <v>72</v>
      </c>
      <c r="C71" s="417"/>
      <c r="D71" s="417"/>
      <c r="E71" s="87"/>
      <c r="G71" s="832" t="str">
        <f>CONCATENATE("Projected Carryover Into ",E1+1,"")</f>
        <v>Projected Carryover Into 2016</v>
      </c>
      <c r="H71" s="840"/>
      <c r="I71" s="840"/>
      <c r="J71" s="839"/>
    </row>
    <row r="72" spans="2:10" ht="15.75">
      <c r="B72" s="278" t="s">
        <v>653</v>
      </c>
      <c r="C72" s="418">
        <f>IF(C73*0.1&lt;C71,"Exceed 10% Rule","")</f>
      </c>
      <c r="D72" s="418">
        <f>IF(D73*0.1&lt;D71,"Exceed 10% Rule","")</f>
      </c>
      <c r="E72" s="313">
        <f>IF(E73*0.1&lt;E71,"Exceed 10% Rule","")</f>
      </c>
      <c r="G72" s="651"/>
      <c r="H72" s="614"/>
      <c r="I72" s="614"/>
      <c r="J72" s="646"/>
    </row>
    <row r="73" spans="2:10" ht="15.75">
      <c r="B73" s="280" t="s">
        <v>171</v>
      </c>
      <c r="C73" s="419">
        <f>SUM(C63:C71)</f>
        <v>23466</v>
      </c>
      <c r="D73" s="419">
        <f>SUM(D63:D71)</f>
        <v>24406</v>
      </c>
      <c r="E73" s="321">
        <f>SUM(E63:E71)</f>
        <v>24849</v>
      </c>
      <c r="G73" s="642">
        <f>D74</f>
        <v>162</v>
      </c>
      <c r="H73" s="632" t="str">
        <f>CONCATENATE("",E1-1," Ending Cash Balance (est.)")</f>
        <v>2014 Ending Cash Balance (est.)</v>
      </c>
      <c r="I73" s="643"/>
      <c r="J73" s="646"/>
    </row>
    <row r="74" spans="2:10" ht="15.75">
      <c r="B74" s="123" t="s">
        <v>273</v>
      </c>
      <c r="C74" s="422">
        <f>C61-C73</f>
        <v>424</v>
      </c>
      <c r="D74" s="422">
        <f>D61-D73</f>
        <v>162</v>
      </c>
      <c r="E74" s="306" t="s">
        <v>145</v>
      </c>
      <c r="G74" s="642">
        <f>E60</f>
        <v>2155</v>
      </c>
      <c r="H74" s="615" t="str">
        <f>CONCATENATE("",E1," Non-AV Receipts (est.)")</f>
        <v>2015 Non-AV Receipts (est.)</v>
      </c>
      <c r="I74" s="643"/>
      <c r="J74" s="646"/>
    </row>
    <row r="75" spans="2:11" ht="15.75">
      <c r="B75" s="270" t="str">
        <f>CONCATENATE("",E1-2,"/",E1-1,"/",E1," Budget Authority Amount:")</f>
        <v>2013/2014/2015 Budget Authority Amount:</v>
      </c>
      <c r="C75" s="308">
        <f>inputOth!B38</f>
        <v>23481</v>
      </c>
      <c r="D75" s="308">
        <f>inputPrYr!D24</f>
        <v>24406</v>
      </c>
      <c r="E75" s="234">
        <f>E73</f>
        <v>24849</v>
      </c>
      <c r="F75" s="289"/>
      <c r="G75" s="644">
        <f>IF(E79&gt;0,E78,E80)</f>
        <v>22532</v>
      </c>
      <c r="H75" s="615" t="str">
        <f>CONCATENATE("",E1," Ad Valorem Tax (est.)")</f>
        <v>2015 Ad Valorem Tax (est.)</v>
      </c>
      <c r="I75" s="643"/>
      <c r="J75" s="646"/>
      <c r="K75" s="629">
        <f>IF(G75=E80,"","Note: Does not include Delinquent Taxes")</f>
      </c>
    </row>
    <row r="76" spans="2:10" ht="15.75">
      <c r="B76" s="256"/>
      <c r="C76" s="822" t="s">
        <v>657</v>
      </c>
      <c r="D76" s="823"/>
      <c r="E76" s="87"/>
      <c r="F76" s="465">
        <f>IF(E73/0.95-E73&lt;E76,"Exceeds 5%","")</f>
      </c>
      <c r="G76" s="652">
        <f>SUM(G73:G75)</f>
        <v>24849</v>
      </c>
      <c r="H76" s="615" t="str">
        <f>CONCATENATE("Total ",E1," Resources Available")</f>
        <v>Total 2015 Resources Available</v>
      </c>
      <c r="I76" s="653"/>
      <c r="J76" s="646"/>
    </row>
    <row r="77" spans="2:10" ht="15.75">
      <c r="B77" s="468" t="str">
        <f>CONCATENATE(C93,"     ",D93)</f>
        <v>     </v>
      </c>
      <c r="C77" s="824" t="s">
        <v>658</v>
      </c>
      <c r="D77" s="825"/>
      <c r="E77" s="234">
        <f>E73+E76</f>
        <v>24849</v>
      </c>
      <c r="G77" s="654"/>
      <c r="H77" s="655"/>
      <c r="I77" s="614"/>
      <c r="J77" s="646"/>
    </row>
    <row r="78" spans="2:10" ht="15.75">
      <c r="B78" s="468" t="str">
        <f>CONCATENATE(C94,"     ",D94)</f>
        <v>     </v>
      </c>
      <c r="C78" s="290"/>
      <c r="D78" s="208" t="s">
        <v>172</v>
      </c>
      <c r="E78" s="95">
        <f>IF(E77-E61&gt;0,E77-E61,0)</f>
        <v>22532</v>
      </c>
      <c r="G78" s="656">
        <f>ROUND(C73*0.05+C73,0)</f>
        <v>24639</v>
      </c>
      <c r="H78" s="615" t="str">
        <f>CONCATENATE("Less ",E1-2," Expenditures + 5%")</f>
        <v>Less 2013 Expenditures + 5%</v>
      </c>
      <c r="I78" s="653"/>
      <c r="J78" s="646"/>
    </row>
    <row r="79" spans="2:10" ht="15.75">
      <c r="B79" s="208"/>
      <c r="C79" s="467" t="s">
        <v>659</v>
      </c>
      <c r="D79" s="612">
        <f>inputOth!$E$23</f>
        <v>0</v>
      </c>
      <c r="E79" s="234">
        <f>ROUND(IF(D79&gt;0,($E$78*D79),0),0)</f>
        <v>0</v>
      </c>
      <c r="G79" s="657">
        <f>G76-G78</f>
        <v>210</v>
      </c>
      <c r="H79" s="648" t="str">
        <f>CONCATENATE("Projected ",E1+1," carryover (est.)")</f>
        <v>Projected 2016 carryover (est.)</v>
      </c>
      <c r="I79" s="658"/>
      <c r="J79" s="659"/>
    </row>
    <row r="80" spans="2:10" ht="15.75">
      <c r="B80" s="62"/>
      <c r="C80" s="830" t="str">
        <f>CONCATENATE("Amount of  ",$E$1-1," Ad Valorem Tax")</f>
        <v>Amount of  2014 Ad Valorem Tax</v>
      </c>
      <c r="D80" s="831"/>
      <c r="E80" s="317">
        <f>E78+E79</f>
        <v>22532</v>
      </c>
      <c r="G80" s="1"/>
      <c r="H80" s="1"/>
      <c r="I80" s="1"/>
      <c r="J80" s="1"/>
    </row>
    <row r="81" spans="2:10" ht="15.75">
      <c r="B81" s="256" t="s">
        <v>192</v>
      </c>
      <c r="C81" s="318">
        <v>12</v>
      </c>
      <c r="D81" s="62"/>
      <c r="E81" s="62"/>
      <c r="G81" s="834" t="s">
        <v>811</v>
      </c>
      <c r="H81" s="835"/>
      <c r="I81" s="835"/>
      <c r="J81" s="836"/>
    </row>
    <row r="82" spans="7:10" ht="15.75">
      <c r="G82" s="631"/>
      <c r="H82" s="632"/>
      <c r="I82" s="633"/>
      <c r="J82" s="634"/>
    </row>
    <row r="83" spans="7:10" ht="15.75">
      <c r="G83" s="635">
        <f>summ!H24</f>
        <v>0.173</v>
      </c>
      <c r="H83" s="632" t="str">
        <f>CONCATENATE("",E1," Fund Mill Rate")</f>
        <v>2015 Fund Mill Rate</v>
      </c>
      <c r="I83" s="633"/>
      <c r="J83" s="634"/>
    </row>
    <row r="84" spans="7:10" ht="15.75">
      <c r="G84" s="636">
        <f>summ!E24</f>
        <v>0.177</v>
      </c>
      <c r="H84" s="632" t="str">
        <f>CONCATENATE("",E1-1," Fund Mill Rate")</f>
        <v>2014 Fund Mill Rate</v>
      </c>
      <c r="I84" s="633"/>
      <c r="J84" s="634"/>
    </row>
    <row r="85" spans="7:10" ht="15.75">
      <c r="G85" s="637">
        <f>summ!H61</f>
        <v>51.98700000000003</v>
      </c>
      <c r="H85" s="632" t="str">
        <f>CONCATENATE("Total ",E1," Mill Rate")</f>
        <v>Total 2015 Mill Rate</v>
      </c>
      <c r="I85" s="633"/>
      <c r="J85" s="634"/>
    </row>
    <row r="86" spans="7:10" ht="15.75">
      <c r="G86" s="636">
        <f>summ!E61</f>
        <v>51.56499999999999</v>
      </c>
      <c r="H86" s="638" t="str">
        <f>CONCATENATE("Total ",E1-1," Mill Rate")</f>
        <v>Total 2014 Mill Rate</v>
      </c>
      <c r="I86" s="639"/>
      <c r="J86" s="640"/>
    </row>
    <row r="88" spans="7:9" ht="15.75">
      <c r="G88" s="731" t="s">
        <v>886</v>
      </c>
      <c r="H88" s="690"/>
      <c r="I88" s="689" t="str">
        <f>cert!E69</f>
        <v>Yes</v>
      </c>
    </row>
    <row r="91" spans="3:4" ht="15.75" hidden="1">
      <c r="C91" s="50">
        <f>IF(C33&gt;C35,"See Tab A","")</f>
      </c>
      <c r="D91" s="50">
        <f>IF(D33&gt;D35,"See Tab C","")</f>
      </c>
    </row>
    <row r="92" spans="3:4" ht="15.75" hidden="1">
      <c r="C92" s="50">
        <f>IF(C34&lt;0,"See Tab B","")</f>
      </c>
      <c r="D92" s="50">
        <f>IF(D34&lt;0,"See Tab D","")</f>
      </c>
    </row>
    <row r="93" spans="3:4" ht="15.75" hidden="1">
      <c r="C93" s="50">
        <f>IF(C73&gt;C75,"See Tab A","")</f>
      </c>
      <c r="D93" s="50">
        <f>IF(D73&gt;D75,"See Tab C","")</f>
      </c>
    </row>
    <row r="94" spans="3:4" ht="15.75" hidden="1">
      <c r="C94" s="50">
        <f>IF(C74&lt;0,"See Tab B","")</f>
      </c>
      <c r="D94" s="50">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71">
    <cfRule type="cellIs" priority="3" dxfId="408" operator="greaterThan" stopIfTrue="1">
      <formula>$E$73*0.1</formula>
    </cfRule>
  </conditionalFormatting>
  <conditionalFormatting sqref="E76">
    <cfRule type="cellIs" priority="4" dxfId="408" operator="greaterThan" stopIfTrue="1">
      <formula>$E$73/0.95-$E$73</formula>
    </cfRule>
  </conditionalFormatting>
  <conditionalFormatting sqref="E36">
    <cfRule type="cellIs" priority="5" dxfId="408" operator="greaterThan" stopIfTrue="1">
      <formula>$E$33/0.95-$E$33</formula>
    </cfRule>
  </conditionalFormatting>
  <conditionalFormatting sqref="E31">
    <cfRule type="cellIs" priority="6" dxfId="408" operator="greaterThan" stopIfTrue="1">
      <formula>$E$33*0.1</formula>
    </cfRule>
  </conditionalFormatting>
  <conditionalFormatting sqref="C74 C34">
    <cfRule type="cellIs" priority="7" dxfId="2" operator="lessThan" stopIfTrue="1">
      <formula>0</formula>
    </cfRule>
  </conditionalFormatting>
  <conditionalFormatting sqref="C73">
    <cfRule type="cellIs" priority="8" dxfId="2" operator="greaterThan" stopIfTrue="1">
      <formula>$C$75</formula>
    </cfRule>
  </conditionalFormatting>
  <conditionalFormatting sqref="D73">
    <cfRule type="cellIs" priority="9" dxfId="2" operator="greaterThan" stopIfTrue="1">
      <formula>$D$75</formula>
    </cfRule>
  </conditionalFormatting>
  <conditionalFormatting sqref="C71">
    <cfRule type="cellIs" priority="10" dxfId="2" operator="greaterThan" stopIfTrue="1">
      <formula>$C$73*0.1</formula>
    </cfRule>
  </conditionalFormatting>
  <conditionalFormatting sqref="D71">
    <cfRule type="cellIs" priority="11" dxfId="2" operator="greaterThan" stopIfTrue="1">
      <formula>$D$73*0.1</formula>
    </cfRule>
  </conditionalFormatting>
  <conditionalFormatting sqref="E58">
    <cfRule type="cellIs" priority="12" dxfId="408" operator="greaterThan" stopIfTrue="1">
      <formula>$E$60*0.1+E80</formula>
    </cfRule>
  </conditionalFormatting>
  <conditionalFormatting sqref="C58">
    <cfRule type="cellIs" priority="13" dxfId="2" operator="greaterThan" stopIfTrue="1">
      <formula>$C$60*0.1</formula>
    </cfRule>
  </conditionalFormatting>
  <conditionalFormatting sqref="D58">
    <cfRule type="cellIs" priority="14" dxfId="2" operator="greaterThan" stopIfTrue="1">
      <formula>$D$60*0.1</formula>
    </cfRule>
  </conditionalFormatting>
  <conditionalFormatting sqref="C33">
    <cfRule type="cellIs" priority="15" dxfId="2" operator="greaterThan" stopIfTrue="1">
      <formula>$C$35</formula>
    </cfRule>
  </conditionalFormatting>
  <conditionalFormatting sqref="D33">
    <cfRule type="cellIs" priority="16" dxfId="2" operator="greaterThan" stopIfTrue="1">
      <formula>$D$35</formula>
    </cfRule>
  </conditionalFormatting>
  <conditionalFormatting sqref="C31">
    <cfRule type="cellIs" priority="17" dxfId="2" operator="greaterThan" stopIfTrue="1">
      <formula>$C$33*0.1</formula>
    </cfRule>
  </conditionalFormatting>
  <conditionalFormatting sqref="D31">
    <cfRule type="cellIs" priority="18" dxfId="2" operator="greaterThan" stopIfTrue="1">
      <formula>$D$33*0.1</formula>
    </cfRule>
  </conditionalFormatting>
  <conditionalFormatting sqref="E18">
    <cfRule type="cellIs" priority="19" dxfId="408" operator="greaterThan" stopIfTrue="1">
      <formula>$E$20*0.1+E40</formula>
    </cfRule>
  </conditionalFormatting>
  <conditionalFormatting sqref="C18">
    <cfRule type="cellIs" priority="20" dxfId="2" operator="greaterThan" stopIfTrue="1">
      <formula>$C$20*0.1</formula>
    </cfRule>
  </conditionalFormatting>
  <conditionalFormatting sqref="D18">
    <cfRule type="cellIs" priority="21" dxfId="2" operator="greaterThan" stopIfTrue="1">
      <formula>$D$20*0.1</formula>
    </cfRule>
  </conditionalFormatting>
  <conditionalFormatting sqref="D34 D74">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3" r:id="rId1"/>
  <headerFooter alignWithMargins="0">
    <oddHeader>&amp;RState of Kansas
County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K94"/>
  <sheetViews>
    <sheetView zoomScalePageLayoutView="0" workbookViewId="0" topLeftCell="A10">
      <selection activeCell="E24" sqref="E24"/>
    </sheetView>
  </sheetViews>
  <sheetFormatPr defaultColWidth="8.796875" defaultRowHeight="15"/>
  <cols>
    <col min="1" max="1" width="2.3984375" style="50" customWidth="1"/>
    <col min="2" max="2" width="31.09765625" style="50" customWidth="1"/>
    <col min="3" max="4" width="15.796875" style="50" customWidth="1"/>
    <col min="5" max="5" width="16.19921875" style="50" customWidth="1"/>
    <col min="6" max="6" width="7.3984375" style="50" customWidth="1"/>
    <col min="7" max="7" width="10.19921875" style="50" customWidth="1"/>
    <col min="8" max="8" width="8.8984375" style="50" customWidth="1"/>
    <col min="9" max="9" width="5" style="50" customWidth="1"/>
    <col min="10" max="10" width="10" style="50" customWidth="1"/>
    <col min="11" max="16384" width="8.8984375" style="50" customWidth="1"/>
  </cols>
  <sheetData>
    <row r="1" spans="2:5" ht="15.75">
      <c r="B1" s="201" t="str">
        <f>(inputPrYr!C2)</f>
        <v>Marshall County</v>
      </c>
      <c r="C1" s="62"/>
      <c r="D1" s="62"/>
      <c r="E1" s="255">
        <f>inputPrYr!C4</f>
        <v>2015</v>
      </c>
    </row>
    <row r="2" spans="2:5" ht="15.75">
      <c r="B2" s="62"/>
      <c r="C2" s="62"/>
      <c r="D2" s="62"/>
      <c r="E2" s="208"/>
    </row>
    <row r="3" spans="2:5" ht="15.75">
      <c r="B3" s="127" t="s">
        <v>239</v>
      </c>
      <c r="C3" s="302"/>
      <c r="D3" s="302"/>
      <c r="E3" s="303"/>
    </row>
    <row r="4" spans="2:5" ht="15.75">
      <c r="B4" s="61" t="s">
        <v>157</v>
      </c>
      <c r="C4" s="666" t="s">
        <v>812</v>
      </c>
      <c r="D4" s="667" t="s">
        <v>813</v>
      </c>
      <c r="E4" s="188" t="s">
        <v>814</v>
      </c>
    </row>
    <row r="5" spans="2:5" ht="15.75">
      <c r="B5" s="447" t="str">
        <f>inputPrYr!B25</f>
        <v>Historical</v>
      </c>
      <c r="C5" s="420" t="str">
        <f>CONCATENATE("Actual for ",E1-2,"")</f>
        <v>Actual for 2013</v>
      </c>
      <c r="D5" s="420" t="str">
        <f>CONCATENATE("Estimate for ",E1-1,"")</f>
        <v>Estimate for 2014</v>
      </c>
      <c r="E5" s="271" t="str">
        <f>CONCATENATE("Year for ",E1,"")</f>
        <v>Year for 2015</v>
      </c>
    </row>
    <row r="6" spans="2:5" ht="15.75">
      <c r="B6" s="123" t="s">
        <v>272</v>
      </c>
      <c r="C6" s="417">
        <v>332</v>
      </c>
      <c r="D6" s="421">
        <f>C34</f>
        <v>417</v>
      </c>
      <c r="E6" s="234">
        <f>D34</f>
        <v>85</v>
      </c>
    </row>
    <row r="7" spans="2:5" ht="15.75">
      <c r="B7" s="259" t="s">
        <v>274</v>
      </c>
      <c r="C7" s="274"/>
      <c r="D7" s="274"/>
      <c r="E7" s="102"/>
    </row>
    <row r="8" spans="2:5" ht="15.75">
      <c r="B8" s="123" t="s">
        <v>158</v>
      </c>
      <c r="C8" s="417">
        <v>11032</v>
      </c>
      <c r="D8" s="421">
        <f>IF(inputPrYr!H25&gt;0,inputPrYr!H25,inputPrYr!E25)</f>
        <v>10658</v>
      </c>
      <c r="E8" s="306" t="s">
        <v>145</v>
      </c>
    </row>
    <row r="9" spans="2:5" ht="15.75">
      <c r="B9" s="123" t="s">
        <v>159</v>
      </c>
      <c r="C9" s="417">
        <v>86</v>
      </c>
      <c r="D9" s="417"/>
      <c r="E9" s="87"/>
    </row>
    <row r="10" spans="2:5" ht="15.75">
      <c r="B10" s="123" t="s">
        <v>160</v>
      </c>
      <c r="C10" s="417">
        <v>1049</v>
      </c>
      <c r="D10" s="417">
        <v>1046</v>
      </c>
      <c r="E10" s="234">
        <f>mvalloc!E16</f>
        <v>979</v>
      </c>
    </row>
    <row r="11" spans="2:5" ht="15.75">
      <c r="B11" s="123" t="s">
        <v>161</v>
      </c>
      <c r="C11" s="417">
        <v>16</v>
      </c>
      <c r="D11" s="417">
        <v>17</v>
      </c>
      <c r="E11" s="234">
        <f>mvalloc!F16</f>
        <v>14</v>
      </c>
    </row>
    <row r="12" spans="2:5" ht="15.75">
      <c r="B12" s="274" t="s">
        <v>230</v>
      </c>
      <c r="C12" s="417">
        <v>148</v>
      </c>
      <c r="D12" s="417">
        <v>145</v>
      </c>
      <c r="E12" s="234">
        <f>mvalloc!G16</f>
        <v>58</v>
      </c>
    </row>
    <row r="13" spans="2:5" ht="15.75">
      <c r="B13" s="287"/>
      <c r="C13" s="417"/>
      <c r="D13" s="417"/>
      <c r="E13" s="87"/>
    </row>
    <row r="14" spans="2:5" ht="15.75">
      <c r="B14" s="287"/>
      <c r="C14" s="417"/>
      <c r="D14" s="417"/>
      <c r="E14" s="87"/>
    </row>
    <row r="15" spans="2:5" ht="15.75">
      <c r="B15" s="287"/>
      <c r="C15" s="417"/>
      <c r="D15" s="417"/>
      <c r="E15" s="87"/>
    </row>
    <row r="16" spans="2:5" ht="15.75">
      <c r="B16" s="287"/>
      <c r="C16" s="417"/>
      <c r="D16" s="417"/>
      <c r="E16" s="87"/>
    </row>
    <row r="17" spans="2:5" ht="15.75">
      <c r="B17" s="277" t="s">
        <v>165</v>
      </c>
      <c r="C17" s="417"/>
      <c r="D17" s="417"/>
      <c r="E17" s="87"/>
    </row>
    <row r="18" spans="2:5" ht="15.75">
      <c r="B18" s="278" t="s">
        <v>72</v>
      </c>
      <c r="C18" s="417"/>
      <c r="D18" s="417"/>
      <c r="E18" s="87"/>
    </row>
    <row r="19" spans="2:5" ht="15.75">
      <c r="B19" s="278" t="s">
        <v>654</v>
      </c>
      <c r="C19" s="418">
        <f>IF(C20*0.1&lt;C18,"Exceed 10% Rule","")</f>
      </c>
      <c r="D19" s="418">
        <f>IF(D20*0.1&lt;D18,"Exceed 10% Rule","")</f>
      </c>
      <c r="E19" s="313">
        <f>IF(E20*0.1+E40&lt;E18,"Exceed 10% Rule","")</f>
      </c>
    </row>
    <row r="20" spans="2:5" ht="15.75">
      <c r="B20" s="280" t="s">
        <v>166</v>
      </c>
      <c r="C20" s="419">
        <f>SUM(C8:C18)</f>
        <v>12331</v>
      </c>
      <c r="D20" s="419">
        <f>SUM(D8:D18)</f>
        <v>11866</v>
      </c>
      <c r="E20" s="321">
        <f>SUM(E8:E18)</f>
        <v>1051</v>
      </c>
    </row>
    <row r="21" spans="2:5" ht="15.75">
      <c r="B21" s="280" t="s">
        <v>167</v>
      </c>
      <c r="C21" s="419">
        <f>C6+C20</f>
        <v>12663</v>
      </c>
      <c r="D21" s="419">
        <f>D6+D20</f>
        <v>12283</v>
      </c>
      <c r="E21" s="321">
        <f>E6+E20</f>
        <v>1136</v>
      </c>
    </row>
    <row r="22" spans="2:5" ht="15.75">
      <c r="B22" s="123" t="s">
        <v>170</v>
      </c>
      <c r="C22" s="278"/>
      <c r="D22" s="278"/>
      <c r="E22" s="83"/>
    </row>
    <row r="23" spans="2:5" ht="15.75">
      <c r="B23" s="287" t="s">
        <v>1021</v>
      </c>
      <c r="C23" s="417">
        <v>12002</v>
      </c>
      <c r="D23" s="417">
        <v>12000</v>
      </c>
      <c r="E23" s="87">
        <v>12000</v>
      </c>
    </row>
    <row r="24" spans="2:10" ht="15.75">
      <c r="B24" s="287"/>
      <c r="C24" s="417"/>
      <c r="D24" s="417"/>
      <c r="E24" s="87"/>
      <c r="G24" s="832" t="str">
        <f>CONCATENATE("Desired Carryover Into ",E1+1,"")</f>
        <v>Desired Carryover Into 2016</v>
      </c>
      <c r="H24" s="833"/>
      <c r="I24" s="833"/>
      <c r="J24" s="804"/>
    </row>
    <row r="25" spans="2:10" ht="15.75">
      <c r="B25" s="287"/>
      <c r="C25" s="417"/>
      <c r="D25" s="417"/>
      <c r="E25" s="87"/>
      <c r="G25" s="613"/>
      <c r="H25" s="614"/>
      <c r="I25" s="615"/>
      <c r="J25" s="616"/>
    </row>
    <row r="26" spans="2:10" ht="15.75">
      <c r="B26" s="287"/>
      <c r="C26" s="417"/>
      <c r="D26" s="417"/>
      <c r="E26" s="87"/>
      <c r="G26" s="617" t="s">
        <v>660</v>
      </c>
      <c r="H26" s="615"/>
      <c r="I26" s="615"/>
      <c r="J26" s="618">
        <v>0</v>
      </c>
    </row>
    <row r="27" spans="2:10" ht="15.75">
      <c r="B27" s="287"/>
      <c r="C27" s="417"/>
      <c r="D27" s="417"/>
      <c r="E27" s="87"/>
      <c r="G27" s="613" t="s">
        <v>661</v>
      </c>
      <c r="H27" s="614"/>
      <c r="I27" s="614"/>
      <c r="J27" s="619">
        <f>IF(J26=0,"",ROUND((J26+E40-G39)/inputOth!E6*1000,3)-G44)</f>
      </c>
    </row>
    <row r="28" spans="2:10" ht="15.75">
      <c r="B28" s="287"/>
      <c r="C28" s="417"/>
      <c r="D28" s="417"/>
      <c r="E28" s="87"/>
      <c r="G28" s="620" t="str">
        <f>CONCATENATE("",E1," Tot Exp/Non-Appr Must Be:")</f>
        <v>2015 Tot Exp/Non-Appr Must Be:</v>
      </c>
      <c r="H28" s="621"/>
      <c r="I28" s="622"/>
      <c r="J28" s="623">
        <f>IF(J26&gt;0,IF(E37&lt;E21,IF(J26=G39,E37,((J26-G39)*(1-D39))+E21),E37+(J26-G39)),0)</f>
        <v>0</v>
      </c>
    </row>
    <row r="29" spans="2:10" ht="15.75">
      <c r="B29" s="287"/>
      <c r="C29" s="417"/>
      <c r="D29" s="417"/>
      <c r="E29" s="87"/>
      <c r="G29" s="624" t="s">
        <v>810</v>
      </c>
      <c r="H29" s="625"/>
      <c r="I29" s="625"/>
      <c r="J29" s="626">
        <f>IF(J26&gt;0,J28-E37,0)</f>
        <v>0</v>
      </c>
    </row>
    <row r="30" spans="2:10" ht="15.75">
      <c r="B30" s="278" t="s">
        <v>74</v>
      </c>
      <c r="C30" s="417">
        <v>244</v>
      </c>
      <c r="D30" s="417">
        <v>198</v>
      </c>
      <c r="E30" s="95">
        <f>Nhood!E15</f>
        <v>187</v>
      </c>
      <c r="G30" s="1"/>
      <c r="H30" s="1"/>
      <c r="I30" s="1"/>
      <c r="J30" s="1"/>
    </row>
    <row r="31" spans="2:10" ht="15.75">
      <c r="B31" s="278" t="s">
        <v>72</v>
      </c>
      <c r="C31" s="417"/>
      <c r="D31" s="417"/>
      <c r="E31" s="87"/>
      <c r="G31" s="832" t="str">
        <f>CONCATENATE("Projected Carryover Into ",E1+1,"")</f>
        <v>Projected Carryover Into 2016</v>
      </c>
      <c r="H31" s="838"/>
      <c r="I31" s="838"/>
      <c r="J31" s="839"/>
    </row>
    <row r="32" spans="2:10" ht="15.75">
      <c r="B32" s="278" t="s">
        <v>653</v>
      </c>
      <c r="C32" s="418">
        <f>IF(C33*0.1&lt;C31,"Exceed 10% Rule","")</f>
      </c>
      <c r="D32" s="418">
        <f>IF(D33*0.1&lt;D31,"Exceed 10% Rule","")</f>
      </c>
      <c r="E32" s="313">
        <f>IF(E33*0.1&lt;E31,"Exceed 10% Rule","")</f>
      </c>
      <c r="G32" s="613"/>
      <c r="H32" s="615"/>
      <c r="I32" s="615"/>
      <c r="J32" s="641"/>
    </row>
    <row r="33" spans="2:10" ht="15.75">
      <c r="B33" s="280" t="s">
        <v>171</v>
      </c>
      <c r="C33" s="419">
        <f>SUM(C23:C31)</f>
        <v>12246</v>
      </c>
      <c r="D33" s="419">
        <f>SUM(D23:D31)</f>
        <v>12198</v>
      </c>
      <c r="E33" s="321">
        <f>SUM(E23:E31)</f>
        <v>12187</v>
      </c>
      <c r="G33" s="642">
        <f>D34</f>
        <v>85</v>
      </c>
      <c r="H33" s="632" t="str">
        <f>CONCATENATE("",E1-1," Ending Cash Balance (est.)")</f>
        <v>2014 Ending Cash Balance (est.)</v>
      </c>
      <c r="I33" s="643"/>
      <c r="J33" s="641"/>
    </row>
    <row r="34" spans="2:10" ht="15.75">
      <c r="B34" s="123" t="s">
        <v>273</v>
      </c>
      <c r="C34" s="422">
        <f>C21-C33</f>
        <v>417</v>
      </c>
      <c r="D34" s="422">
        <f>D21-D33</f>
        <v>85</v>
      </c>
      <c r="E34" s="306" t="s">
        <v>145</v>
      </c>
      <c r="G34" s="642">
        <f>E20</f>
        <v>1051</v>
      </c>
      <c r="H34" s="615" t="str">
        <f>CONCATENATE("",E1," Non-AV Receipts (est.)")</f>
        <v>2015 Non-AV Receipts (est.)</v>
      </c>
      <c r="I34" s="643"/>
      <c r="J34" s="641"/>
    </row>
    <row r="35" spans="2:11" ht="15.75">
      <c r="B35" s="270" t="str">
        <f>CONCATENATE("",E1-2,"/",E1-1,"/",E1," Budget Authority Amount:")</f>
        <v>2013/2014/2015 Budget Authority Amount:</v>
      </c>
      <c r="C35" s="308">
        <f>inputOth!B39</f>
        <v>12251</v>
      </c>
      <c r="D35" s="308">
        <f>inputPrYr!D25</f>
        <v>12198</v>
      </c>
      <c r="E35" s="234">
        <f>E33</f>
        <v>12187</v>
      </c>
      <c r="F35" s="289"/>
      <c r="G35" s="644">
        <f>IF(E39&gt;0,E38,E40)</f>
        <v>11051</v>
      </c>
      <c r="H35" s="615" t="str">
        <f>CONCATENATE("",E1," Ad Valorem Tax (est.)")</f>
        <v>2015 Ad Valorem Tax (est.)</v>
      </c>
      <c r="I35" s="643"/>
      <c r="J35" s="641"/>
      <c r="K35" s="629">
        <f>IF(G35=E40,"","Note: Does not include Delinquent Taxes")</f>
      </c>
    </row>
    <row r="36" spans="2:10" ht="15.75">
      <c r="B36" s="256"/>
      <c r="C36" s="822" t="s">
        <v>657</v>
      </c>
      <c r="D36" s="823"/>
      <c r="E36" s="87"/>
      <c r="F36" s="465">
        <f>IF(E33/0.95-E33&lt;E36,"Exceeds 5%","")</f>
      </c>
      <c r="G36" s="642">
        <f>SUM(G33:G35)</f>
        <v>12187</v>
      </c>
      <c r="H36" s="615" t="str">
        <f>CONCATENATE("Total ",E1," Resources Available")</f>
        <v>Total 2015 Resources Available</v>
      </c>
      <c r="I36" s="643"/>
      <c r="J36" s="641"/>
    </row>
    <row r="37" spans="2:10" ht="15.75">
      <c r="B37" s="469" t="str">
        <f>CONCATENATE(C91,"     ",D91)</f>
        <v>     </v>
      </c>
      <c r="C37" s="824" t="s">
        <v>658</v>
      </c>
      <c r="D37" s="825"/>
      <c r="E37" s="234">
        <f>E33+E36</f>
        <v>12187</v>
      </c>
      <c r="G37" s="645"/>
      <c r="H37" s="615"/>
      <c r="I37" s="615"/>
      <c r="J37" s="641"/>
    </row>
    <row r="38" spans="2:10" ht="15.75">
      <c r="B38" s="469" t="str">
        <f>CONCATENATE(C92,"     ",D92)</f>
        <v>     </v>
      </c>
      <c r="C38" s="290"/>
      <c r="D38" s="208" t="s">
        <v>172</v>
      </c>
      <c r="E38" s="95">
        <f>IF(E37-E21&gt;0,E37-E21,0)</f>
        <v>11051</v>
      </c>
      <c r="G38" s="644">
        <f>ROUND(C33*0.05+C33,0)</f>
        <v>12858</v>
      </c>
      <c r="H38" s="615" t="str">
        <f>CONCATENATE("Less ",E1-2," Expenditures + 5%")</f>
        <v>Less 2013 Expenditures + 5%</v>
      </c>
      <c r="I38" s="643"/>
      <c r="J38" s="646"/>
    </row>
    <row r="39" spans="2:10" ht="15.75">
      <c r="B39" s="208"/>
      <c r="C39" s="467" t="s">
        <v>659</v>
      </c>
      <c r="D39" s="612">
        <f>inputOth!$E$23</f>
        <v>0</v>
      </c>
      <c r="E39" s="234">
        <f>ROUND(IF(D39&gt;0,($E$38*D39),0),0)</f>
        <v>0</v>
      </c>
      <c r="G39" s="647">
        <f>G36-G38</f>
        <v>-671</v>
      </c>
      <c r="H39" s="648" t="str">
        <f>CONCATENATE("Projected ",E1+1," carryover (est.)")</f>
        <v>Projected 2016 carryover (est.)</v>
      </c>
      <c r="I39" s="649"/>
      <c r="J39" s="650"/>
    </row>
    <row r="40" spans="2:10" ht="15.75">
      <c r="B40" s="62"/>
      <c r="C40" s="830" t="str">
        <f>CONCATENATE("Amount of  ",$E$1-1," Ad Valorem Tax")</f>
        <v>Amount of  2014 Ad Valorem Tax</v>
      </c>
      <c r="D40" s="831"/>
      <c r="E40" s="317">
        <f>E38+E39</f>
        <v>11051</v>
      </c>
      <c r="G40" s="1"/>
      <c r="H40" s="1"/>
      <c r="I40" s="1"/>
      <c r="J40" s="1"/>
    </row>
    <row r="41" spans="2:10" ht="15.75">
      <c r="B41" s="62"/>
      <c r="C41" s="296"/>
      <c r="D41" s="296"/>
      <c r="E41" s="296"/>
      <c r="G41" s="834" t="s">
        <v>811</v>
      </c>
      <c r="H41" s="835"/>
      <c r="I41" s="835"/>
      <c r="J41" s="836"/>
    </row>
    <row r="42" spans="2:10" ht="15.75">
      <c r="B42" s="61" t="s">
        <v>157</v>
      </c>
      <c r="C42" s="666" t="str">
        <f aca="true" t="shared" si="0" ref="C42:E43">C4</f>
        <v>Prior Year </v>
      </c>
      <c r="D42" s="667" t="str">
        <f t="shared" si="0"/>
        <v>Current Year </v>
      </c>
      <c r="E42" s="188" t="str">
        <f t="shared" si="0"/>
        <v>Proposed Budget </v>
      </c>
      <c r="G42" s="631"/>
      <c r="H42" s="632"/>
      <c r="I42" s="633"/>
      <c r="J42" s="634"/>
    </row>
    <row r="43" spans="2:10" ht="15.75">
      <c r="B43" s="446" t="str">
        <f>inputPrYr!B26</f>
        <v>Appraiser</v>
      </c>
      <c r="C43" s="420" t="str">
        <f t="shared" si="0"/>
        <v>Actual for 2013</v>
      </c>
      <c r="D43" s="420" t="str">
        <f t="shared" si="0"/>
        <v>Estimate for 2014</v>
      </c>
      <c r="E43" s="271" t="str">
        <f t="shared" si="0"/>
        <v>Year for 2015</v>
      </c>
      <c r="G43" s="635">
        <f>summ!H25</f>
        <v>0.085</v>
      </c>
      <c r="H43" s="632" t="str">
        <f>CONCATENATE("",E1," Fund Mill Rate")</f>
        <v>2015 Fund Mill Rate</v>
      </c>
      <c r="I43" s="633"/>
      <c r="J43" s="634"/>
    </row>
    <row r="44" spans="2:10" ht="15.75">
      <c r="B44" s="123" t="s">
        <v>272</v>
      </c>
      <c r="C44" s="417">
        <v>41337</v>
      </c>
      <c r="D44" s="421">
        <f>C74</f>
        <v>39036</v>
      </c>
      <c r="E44" s="234">
        <f>D74</f>
        <v>17764</v>
      </c>
      <c r="G44" s="636">
        <f>summ!E25</f>
        <v>0.086</v>
      </c>
      <c r="H44" s="632" t="str">
        <f>CONCATENATE("",E1-1," Fund Mill Rate")</f>
        <v>2014 Fund Mill Rate</v>
      </c>
      <c r="I44" s="633"/>
      <c r="J44" s="634"/>
    </row>
    <row r="45" spans="2:10" ht="15.75">
      <c r="B45" s="272" t="s">
        <v>274</v>
      </c>
      <c r="C45" s="274"/>
      <c r="D45" s="274"/>
      <c r="E45" s="102"/>
      <c r="G45" s="637">
        <f>summ!H61</f>
        <v>51.98700000000003</v>
      </c>
      <c r="H45" s="632" t="str">
        <f>CONCATENATE("Total ",E1," Mill Rate")</f>
        <v>Total 2015 Mill Rate</v>
      </c>
      <c r="I45" s="633"/>
      <c r="J45" s="634"/>
    </row>
    <row r="46" spans="2:10" ht="15.75">
      <c r="B46" s="123" t="s">
        <v>158</v>
      </c>
      <c r="C46" s="417">
        <v>136995</v>
      </c>
      <c r="D46" s="421">
        <f>IF(inputPrYr!H26&gt;0,inputPrYr!H26,inputPrYr!E26)</f>
        <v>139739</v>
      </c>
      <c r="E46" s="306" t="s">
        <v>145</v>
      </c>
      <c r="G46" s="636">
        <f>summ!E61</f>
        <v>51.56499999999999</v>
      </c>
      <c r="H46" s="638" t="str">
        <f>CONCATENATE("Total ",E1-1," Mill Rate")</f>
        <v>Total 2014 Mill Rate</v>
      </c>
      <c r="I46" s="639"/>
      <c r="J46" s="640"/>
    </row>
    <row r="47" spans="2:10" ht="15.75">
      <c r="B47" s="123" t="s">
        <v>159</v>
      </c>
      <c r="C47" s="417">
        <v>1107</v>
      </c>
      <c r="D47" s="417"/>
      <c r="E47" s="87"/>
      <c r="G47" s="1"/>
      <c r="H47" s="1"/>
      <c r="I47" s="1"/>
      <c r="J47" s="1"/>
    </row>
    <row r="48" spans="2:10" ht="15.75">
      <c r="B48" s="123" t="s">
        <v>160</v>
      </c>
      <c r="C48" s="417">
        <v>13718</v>
      </c>
      <c r="D48" s="417">
        <v>13021</v>
      </c>
      <c r="E48" s="234">
        <f>mvalloc!E17</f>
        <v>12840</v>
      </c>
      <c r="G48" s="732" t="s">
        <v>886</v>
      </c>
      <c r="H48" s="690"/>
      <c r="I48" s="689" t="str">
        <f>cert!E69</f>
        <v>Yes</v>
      </c>
      <c r="J48" s="1"/>
    </row>
    <row r="49" spans="2:10" ht="15.75">
      <c r="B49" s="123" t="s">
        <v>161</v>
      </c>
      <c r="C49" s="417">
        <v>212</v>
      </c>
      <c r="D49" s="417">
        <v>212</v>
      </c>
      <c r="E49" s="234">
        <f>mvalloc!F17</f>
        <v>187</v>
      </c>
      <c r="G49" s="1"/>
      <c r="H49" s="1"/>
      <c r="I49" s="1"/>
      <c r="J49" s="1"/>
    </row>
    <row r="50" spans="2:10" ht="15.75">
      <c r="B50" s="274" t="s">
        <v>230</v>
      </c>
      <c r="C50" s="417">
        <v>1785</v>
      </c>
      <c r="D50" s="417">
        <v>1805</v>
      </c>
      <c r="E50" s="234">
        <f>mvalloc!G17</f>
        <v>767</v>
      </c>
      <c r="G50" s="1"/>
      <c r="H50" s="1"/>
      <c r="I50" s="1"/>
      <c r="J50" s="1"/>
    </row>
    <row r="51" spans="2:10" ht="15.75">
      <c r="B51" s="287" t="s">
        <v>1051</v>
      </c>
      <c r="C51" s="417">
        <v>3900</v>
      </c>
      <c r="D51" s="417"/>
      <c r="E51" s="87"/>
      <c r="G51" s="1"/>
      <c r="H51" s="1"/>
      <c r="I51" s="1"/>
      <c r="J51" s="1"/>
    </row>
    <row r="52" spans="2:10" ht="15.75">
      <c r="B52" s="287"/>
      <c r="C52" s="417"/>
      <c r="D52" s="417"/>
      <c r="E52" s="87"/>
      <c r="G52" s="1"/>
      <c r="H52" s="1"/>
      <c r="I52" s="1"/>
      <c r="J52" s="1"/>
    </row>
    <row r="53" spans="2:10" ht="15.75">
      <c r="B53" s="287"/>
      <c r="C53" s="417"/>
      <c r="D53" s="417"/>
      <c r="E53" s="87"/>
      <c r="G53" s="1"/>
      <c r="H53" s="1"/>
      <c r="I53" s="1"/>
      <c r="J53" s="1"/>
    </row>
    <row r="54" spans="2:10" ht="15.75">
      <c r="B54" s="287"/>
      <c r="C54" s="417"/>
      <c r="D54" s="417"/>
      <c r="E54" s="87"/>
      <c r="G54" s="1"/>
      <c r="H54" s="1"/>
      <c r="I54" s="1"/>
      <c r="J54" s="1"/>
    </row>
    <row r="55" spans="2:10" ht="15.75">
      <c r="B55" s="287"/>
      <c r="C55" s="417"/>
      <c r="D55" s="417"/>
      <c r="E55" s="87"/>
      <c r="G55" s="1"/>
      <c r="H55" s="1"/>
      <c r="I55" s="1"/>
      <c r="J55" s="1"/>
    </row>
    <row r="56" spans="2:10" ht="15.75">
      <c r="B56" s="287"/>
      <c r="C56" s="417"/>
      <c r="D56" s="417"/>
      <c r="E56" s="87"/>
      <c r="G56" s="1"/>
      <c r="H56" s="1"/>
      <c r="I56" s="1"/>
      <c r="J56" s="1"/>
    </row>
    <row r="57" spans="2:10" ht="15.75">
      <c r="B57" s="277" t="s">
        <v>165</v>
      </c>
      <c r="C57" s="417"/>
      <c r="D57" s="417"/>
      <c r="E57" s="87"/>
      <c r="G57" s="1"/>
      <c r="H57" s="1"/>
      <c r="I57" s="1"/>
      <c r="J57" s="1"/>
    </row>
    <row r="58" spans="2:10" ht="15.75">
      <c r="B58" s="278" t="s">
        <v>72</v>
      </c>
      <c r="C58" s="417">
        <v>546</v>
      </c>
      <c r="D58" s="417"/>
      <c r="E58" s="87"/>
      <c r="G58" s="1"/>
      <c r="H58" s="1"/>
      <c r="I58" s="1"/>
      <c r="J58" s="1"/>
    </row>
    <row r="59" spans="2:10" ht="15.75">
      <c r="B59" s="278" t="s">
        <v>654</v>
      </c>
      <c r="C59" s="418">
        <f>IF(C60*0.1&lt;C58,"Exceed 10% Rule","")</f>
      </c>
      <c r="D59" s="418">
        <f>IF(D60*0.1&lt;D58,"Exceed 10% Rule","")</f>
      </c>
      <c r="E59" s="313">
        <f>IF(E60*0.1+E80&lt;E58,"Exceed 10% Rule","")</f>
      </c>
      <c r="G59" s="1"/>
      <c r="H59" s="1"/>
      <c r="I59" s="1"/>
      <c r="J59" s="1"/>
    </row>
    <row r="60" spans="2:10" ht="15.75">
      <c r="B60" s="280" t="s">
        <v>166</v>
      </c>
      <c r="C60" s="419">
        <f>SUM(C46:C58)</f>
        <v>158263</v>
      </c>
      <c r="D60" s="419">
        <f>SUM(D46:D58)</f>
        <v>154777</v>
      </c>
      <c r="E60" s="321">
        <f>SUM(E46:E58)</f>
        <v>13794</v>
      </c>
      <c r="G60" s="1"/>
      <c r="H60" s="1"/>
      <c r="I60" s="1"/>
      <c r="J60" s="1"/>
    </row>
    <row r="61" spans="2:10" ht="15.75">
      <c r="B61" s="280" t="s">
        <v>167</v>
      </c>
      <c r="C61" s="419">
        <f>C44+C60</f>
        <v>199600</v>
      </c>
      <c r="D61" s="419">
        <f>D44+D60</f>
        <v>193813</v>
      </c>
      <c r="E61" s="321">
        <f>E44+E60</f>
        <v>31558</v>
      </c>
      <c r="G61" s="1"/>
      <c r="H61" s="1"/>
      <c r="I61" s="1"/>
      <c r="J61" s="1"/>
    </row>
    <row r="62" spans="2:10" ht="15.75">
      <c r="B62" s="123" t="s">
        <v>170</v>
      </c>
      <c r="C62" s="278"/>
      <c r="D62" s="278"/>
      <c r="E62" s="83"/>
      <c r="G62" s="1"/>
      <c r="H62" s="1"/>
      <c r="I62" s="1"/>
      <c r="J62" s="1"/>
    </row>
    <row r="63" spans="2:10" ht="15.75">
      <c r="B63" s="287" t="s">
        <v>1038</v>
      </c>
      <c r="C63" s="417">
        <v>129914</v>
      </c>
      <c r="D63" s="417">
        <v>137700</v>
      </c>
      <c r="E63" s="87">
        <v>141060</v>
      </c>
      <c r="G63" s="1"/>
      <c r="H63" s="1"/>
      <c r="I63" s="1"/>
      <c r="J63" s="1"/>
    </row>
    <row r="64" spans="2:10" ht="15.75">
      <c r="B64" s="287" t="s">
        <v>1039</v>
      </c>
      <c r="C64" s="417">
        <v>17203</v>
      </c>
      <c r="D64" s="417">
        <v>17650</v>
      </c>
      <c r="E64" s="87">
        <v>18100</v>
      </c>
      <c r="G64" s="832" t="str">
        <f>CONCATENATE("Desired Carryover Into ",E1+1,"")</f>
        <v>Desired Carryover Into 2016</v>
      </c>
      <c r="H64" s="833"/>
      <c r="I64" s="833"/>
      <c r="J64" s="804"/>
    </row>
    <row r="65" spans="2:10" ht="15.75">
      <c r="B65" s="287" t="s">
        <v>1040</v>
      </c>
      <c r="C65" s="417">
        <v>5443</v>
      </c>
      <c r="D65" s="417">
        <v>6600</v>
      </c>
      <c r="E65" s="87">
        <v>6600</v>
      </c>
      <c r="G65" s="613"/>
      <c r="H65" s="614"/>
      <c r="I65" s="615"/>
      <c r="J65" s="616"/>
    </row>
    <row r="66" spans="2:10" ht="15.75">
      <c r="B66" s="287" t="s">
        <v>1041</v>
      </c>
      <c r="C66" s="417">
        <v>968</v>
      </c>
      <c r="D66" s="417">
        <v>9500</v>
      </c>
      <c r="E66" s="87">
        <v>10000</v>
      </c>
      <c r="G66" s="617" t="s">
        <v>660</v>
      </c>
      <c r="H66" s="615"/>
      <c r="I66" s="615"/>
      <c r="J66" s="618">
        <v>0</v>
      </c>
    </row>
    <row r="67" spans="2:10" ht="15.75">
      <c r="B67" s="287" t="s">
        <v>1042</v>
      </c>
      <c r="C67" s="417">
        <v>4000</v>
      </c>
      <c r="D67" s="417">
        <v>2000</v>
      </c>
      <c r="E67" s="87"/>
      <c r="G67" s="613" t="s">
        <v>661</v>
      </c>
      <c r="H67" s="614"/>
      <c r="I67" s="614"/>
      <c r="J67" s="619">
        <f>IF(J66=0,"",ROUND((J66+E80-G79)/inputOth!E6*1000,3)-G84)</f>
      </c>
    </row>
    <row r="68" spans="2:10" ht="15.75">
      <c r="B68" s="287"/>
      <c r="C68" s="417"/>
      <c r="D68" s="417"/>
      <c r="E68" s="87"/>
      <c r="G68" s="620" t="str">
        <f>CONCATENATE("",E1," Tot Exp/Non-Appr Must Be:")</f>
        <v>2015 Tot Exp/Non-Appr Must Be:</v>
      </c>
      <c r="H68" s="621"/>
      <c r="I68" s="622"/>
      <c r="J68" s="623">
        <f>IF(J66&gt;0,IF(E77&lt;E61,IF(J66=G79,E77,((J66-G79)*(1-D79))+E61),E77+(J66-G79)),0)</f>
        <v>0</v>
      </c>
    </row>
    <row r="69" spans="2:10" ht="15.75">
      <c r="B69" s="287"/>
      <c r="C69" s="417"/>
      <c r="D69" s="417"/>
      <c r="E69" s="87"/>
      <c r="G69" s="624" t="s">
        <v>810</v>
      </c>
      <c r="H69" s="625"/>
      <c r="I69" s="625"/>
      <c r="J69" s="626">
        <f>IF(J66&gt;0,J68-E77,0)</f>
        <v>0</v>
      </c>
    </row>
    <row r="70" spans="2:10" ht="15.75">
      <c r="B70" s="278" t="s">
        <v>74</v>
      </c>
      <c r="C70" s="417">
        <v>3036</v>
      </c>
      <c r="D70" s="417">
        <v>2599</v>
      </c>
      <c r="E70" s="95">
        <f>Nhood!E16</f>
        <v>2271</v>
      </c>
      <c r="G70" s="1"/>
      <c r="H70" s="1"/>
      <c r="I70" s="1"/>
      <c r="J70" s="1"/>
    </row>
    <row r="71" spans="2:10" ht="15.75">
      <c r="B71" s="278" t="s">
        <v>72</v>
      </c>
      <c r="C71" s="417"/>
      <c r="D71" s="417"/>
      <c r="E71" s="87"/>
      <c r="G71" s="832" t="str">
        <f>CONCATENATE("Projected Carryover Into ",E1+1,"")</f>
        <v>Projected Carryover Into 2016</v>
      </c>
      <c r="H71" s="840"/>
      <c r="I71" s="840"/>
      <c r="J71" s="839"/>
    </row>
    <row r="72" spans="2:10" ht="15.75">
      <c r="B72" s="278" t="s">
        <v>653</v>
      </c>
      <c r="C72" s="418">
        <f>IF(C73*0.1&lt;C71,"Exceed 10% Rule","")</f>
      </c>
      <c r="D72" s="418">
        <f>IF(D73*0.1&lt;D71,"Exceed 10% Rule","")</f>
      </c>
      <c r="E72" s="313">
        <f>IF(E73*0.1&lt;E71,"Exceed 10% Rule","")</f>
      </c>
      <c r="G72" s="651"/>
      <c r="H72" s="614"/>
      <c r="I72" s="614"/>
      <c r="J72" s="646"/>
    </row>
    <row r="73" spans="2:10" ht="15.75">
      <c r="B73" s="280" t="s">
        <v>171</v>
      </c>
      <c r="C73" s="419">
        <f>SUM(C63:C71)</f>
        <v>160564</v>
      </c>
      <c r="D73" s="419">
        <f>SUM(D63:D71)</f>
        <v>176049</v>
      </c>
      <c r="E73" s="321">
        <f>SUM(E63:E71)</f>
        <v>178031</v>
      </c>
      <c r="G73" s="642">
        <f>D74</f>
        <v>17764</v>
      </c>
      <c r="H73" s="632" t="str">
        <f>CONCATENATE("",E1-1," Ending Cash Balance (est.)")</f>
        <v>2014 Ending Cash Balance (est.)</v>
      </c>
      <c r="I73" s="643"/>
      <c r="J73" s="646"/>
    </row>
    <row r="74" spans="2:10" ht="15.75">
      <c r="B74" s="123" t="s">
        <v>273</v>
      </c>
      <c r="C74" s="422">
        <f>C61-C73</f>
        <v>39036</v>
      </c>
      <c r="D74" s="422">
        <f>D61-D73</f>
        <v>17764</v>
      </c>
      <c r="E74" s="306" t="s">
        <v>145</v>
      </c>
      <c r="G74" s="642">
        <f>E60</f>
        <v>13794</v>
      </c>
      <c r="H74" s="615" t="str">
        <f>CONCATENATE("",E1," Non-AV Receipts (est.)")</f>
        <v>2015 Non-AV Receipts (est.)</v>
      </c>
      <c r="I74" s="643"/>
      <c r="J74" s="646"/>
    </row>
    <row r="75" spans="2:11" ht="15.75">
      <c r="B75" s="270" t="str">
        <f>CONCATENATE("",E1-2,"/",E1-1,"/",E1," Budget Authority Amount:")</f>
        <v>2013/2014/2015 Budget Authority Amount:</v>
      </c>
      <c r="C75" s="308">
        <f>inputOth!B40</f>
        <v>173686</v>
      </c>
      <c r="D75" s="308">
        <f>inputPrYr!D26</f>
        <v>176049</v>
      </c>
      <c r="E75" s="234">
        <f>E73</f>
        <v>178031</v>
      </c>
      <c r="F75" s="289"/>
      <c r="G75" s="644">
        <f>IF(E79&gt;0,E78,E80)</f>
        <v>146473</v>
      </c>
      <c r="H75" s="615" t="str">
        <f>CONCATENATE("",E1," Ad Valorem Tax (est.)")</f>
        <v>2015 Ad Valorem Tax (est.)</v>
      </c>
      <c r="I75" s="643"/>
      <c r="J75" s="646"/>
      <c r="K75" s="629">
        <f>IF(G75=E80,"","Note: Does not include Delinquent Taxes")</f>
      </c>
    </row>
    <row r="76" spans="2:10" ht="15.75">
      <c r="B76" s="256"/>
      <c r="C76" s="822" t="s">
        <v>657</v>
      </c>
      <c r="D76" s="823"/>
      <c r="E76" s="87"/>
      <c r="F76" s="465">
        <f>IF(E73/0.95-E73&lt;E76,"Exceeds 5%","")</f>
      </c>
      <c r="G76" s="652">
        <f>SUM(G73:G75)</f>
        <v>178031</v>
      </c>
      <c r="H76" s="615" t="str">
        <f>CONCATENATE("Total ",E1," Resources Available")</f>
        <v>Total 2015 Resources Available</v>
      </c>
      <c r="I76" s="653"/>
      <c r="J76" s="646"/>
    </row>
    <row r="77" spans="2:10" ht="15.75">
      <c r="B77" s="468" t="str">
        <f>CONCATENATE(C93,"     ",D93)</f>
        <v>     </v>
      </c>
      <c r="C77" s="824" t="s">
        <v>658</v>
      </c>
      <c r="D77" s="825"/>
      <c r="E77" s="234">
        <f>E73+E76</f>
        <v>178031</v>
      </c>
      <c r="G77" s="654"/>
      <c r="H77" s="655"/>
      <c r="I77" s="614"/>
      <c r="J77" s="646"/>
    </row>
    <row r="78" spans="2:10" ht="15.75">
      <c r="B78" s="468" t="str">
        <f>CONCATENATE(C94,"     ",D94)</f>
        <v>     </v>
      </c>
      <c r="C78" s="290"/>
      <c r="D78" s="208" t="s">
        <v>172</v>
      </c>
      <c r="E78" s="95">
        <f>IF(E77-E61&gt;0,E77-E61,0)</f>
        <v>146473</v>
      </c>
      <c r="G78" s="656">
        <f>ROUND(C73*0.05+C73,0)</f>
        <v>168592</v>
      </c>
      <c r="H78" s="615" t="str">
        <f>CONCATENATE("Less ",E1-2," Expenditures + 5%")</f>
        <v>Less 2013 Expenditures + 5%</v>
      </c>
      <c r="I78" s="653"/>
      <c r="J78" s="646"/>
    </row>
    <row r="79" spans="2:10" ht="15.75">
      <c r="B79" s="208"/>
      <c r="C79" s="467" t="s">
        <v>659</v>
      </c>
      <c r="D79" s="612">
        <f>inputOth!$E$23</f>
        <v>0</v>
      </c>
      <c r="E79" s="234">
        <f>ROUND(IF(D79&gt;0,($E$78*D79),0),0)</f>
        <v>0</v>
      </c>
      <c r="G79" s="657">
        <f>G76-G78</f>
        <v>9439</v>
      </c>
      <c r="H79" s="648" t="str">
        <f>CONCATENATE("Projected ",E1+1," carryover (est.)")</f>
        <v>Projected 2016 carryover (est.)</v>
      </c>
      <c r="I79" s="658"/>
      <c r="J79" s="659"/>
    </row>
    <row r="80" spans="2:10" ht="15.75">
      <c r="B80" s="62"/>
      <c r="C80" s="830" t="str">
        <f>CONCATENATE("Amount of  ",$E$1-1," Ad Valorem Tax")</f>
        <v>Amount of  2014 Ad Valorem Tax</v>
      </c>
      <c r="D80" s="831"/>
      <c r="E80" s="317">
        <f>E78+E79</f>
        <v>146473</v>
      </c>
      <c r="G80" s="1"/>
      <c r="H80" s="1"/>
      <c r="I80" s="1"/>
      <c r="J80" s="1"/>
    </row>
    <row r="81" spans="2:10" ht="15.75">
      <c r="B81" s="256" t="s">
        <v>192</v>
      </c>
      <c r="C81" s="318">
        <v>13</v>
      </c>
      <c r="D81" s="62"/>
      <c r="E81" s="62"/>
      <c r="G81" s="834" t="s">
        <v>811</v>
      </c>
      <c r="H81" s="835"/>
      <c r="I81" s="835"/>
      <c r="J81" s="836"/>
    </row>
    <row r="82" spans="7:10" ht="15.75">
      <c r="G82" s="631"/>
      <c r="H82" s="632"/>
      <c r="I82" s="633"/>
      <c r="J82" s="634"/>
    </row>
    <row r="83" spans="7:10" ht="15.75">
      <c r="G83" s="635">
        <f>summ!H26</f>
        <v>1.126</v>
      </c>
      <c r="H83" s="632" t="str">
        <f>CONCATENATE("",E1," Fund Mill Rate")</f>
        <v>2015 Fund Mill Rate</v>
      </c>
      <c r="I83" s="633"/>
      <c r="J83" s="634"/>
    </row>
    <row r="84" spans="7:10" ht="15.75">
      <c r="G84" s="636">
        <f>summ!E26</f>
        <v>1.13</v>
      </c>
      <c r="H84" s="632" t="str">
        <f>CONCATENATE("",E1-1," Fund Mill Rate")</f>
        <v>2014 Fund Mill Rate</v>
      </c>
      <c r="I84" s="633"/>
      <c r="J84" s="634"/>
    </row>
    <row r="85" spans="7:10" ht="15.75">
      <c r="G85" s="637">
        <f>summ!H61</f>
        <v>51.98700000000003</v>
      </c>
      <c r="H85" s="632" t="str">
        <f>CONCATENATE("Total ",E1," Mill Rate")</f>
        <v>Total 2015 Mill Rate</v>
      </c>
      <c r="I85" s="633"/>
      <c r="J85" s="634"/>
    </row>
    <row r="86" spans="7:10" ht="15.75">
      <c r="G86" s="636">
        <f>summ!E61</f>
        <v>51.56499999999999</v>
      </c>
      <c r="H86" s="638" t="str">
        <f>CONCATENATE("Total ",E1-1," Mill Rate")</f>
        <v>Total 2014 Mill Rate</v>
      </c>
      <c r="I86" s="639"/>
      <c r="J86" s="640"/>
    </row>
    <row r="88" spans="7:9" ht="15.75">
      <c r="G88" s="733" t="s">
        <v>886</v>
      </c>
      <c r="H88" s="690"/>
      <c r="I88" s="689" t="str">
        <f>cert!E69</f>
        <v>Yes</v>
      </c>
    </row>
    <row r="91" spans="3:4" ht="15.75" hidden="1">
      <c r="C91" s="50">
        <f>IF(C33&gt;C35,"See Tab A","")</f>
      </c>
      <c r="D91" s="50">
        <f>IF(D33&gt;D35,"See Tab C","")</f>
      </c>
    </row>
    <row r="92" spans="3:4" ht="15.75" hidden="1">
      <c r="C92" s="50">
        <f>IF(C34&lt;0,"See Tab B","")</f>
      </c>
      <c r="D92" s="50">
        <f>IF(D34&lt;0,"See Tab D","")</f>
      </c>
    </row>
    <row r="93" spans="3:4" ht="15.75" hidden="1">
      <c r="C93" s="50">
        <f>IF(C73&gt;C75,"See Tab A","")</f>
      </c>
      <c r="D93" s="50">
        <f>IF(D73&gt;D75,"See Tab C","")</f>
      </c>
    </row>
    <row r="94" spans="3:4" ht="15.75" hidden="1">
      <c r="C94" s="50">
        <f>IF(C74&lt;0,"See Tab B","")</f>
      </c>
      <c r="D94" s="50">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1">
    <cfRule type="cellIs" priority="3" dxfId="408" operator="greaterThan" stopIfTrue="1">
      <formula>$E$73*0.1</formula>
    </cfRule>
  </conditionalFormatting>
  <conditionalFormatting sqref="E76">
    <cfRule type="cellIs" priority="4" dxfId="408" operator="greaterThan" stopIfTrue="1">
      <formula>$E$73/0.95-$E$73</formula>
    </cfRule>
  </conditionalFormatting>
  <conditionalFormatting sqref="E36">
    <cfRule type="cellIs" priority="5" dxfId="408" operator="greaterThan" stopIfTrue="1">
      <formula>$E$33/0.95-$E$33</formula>
    </cfRule>
  </conditionalFormatting>
  <conditionalFormatting sqref="E31">
    <cfRule type="cellIs" priority="6" dxfId="408" operator="greaterThan" stopIfTrue="1">
      <formula>$E$33*0.1</formula>
    </cfRule>
  </conditionalFormatting>
  <conditionalFormatting sqref="C74 C34">
    <cfRule type="cellIs" priority="7" dxfId="2" operator="lessThan" stopIfTrue="1">
      <formula>0</formula>
    </cfRule>
  </conditionalFormatting>
  <conditionalFormatting sqref="C73">
    <cfRule type="cellIs" priority="8" dxfId="2" operator="greaterThan" stopIfTrue="1">
      <formula>$C$75</formula>
    </cfRule>
  </conditionalFormatting>
  <conditionalFormatting sqref="D73">
    <cfRule type="cellIs" priority="9" dxfId="2" operator="greaterThan" stopIfTrue="1">
      <formula>$D$75</formula>
    </cfRule>
  </conditionalFormatting>
  <conditionalFormatting sqref="C71">
    <cfRule type="cellIs" priority="10" dxfId="2" operator="greaterThan" stopIfTrue="1">
      <formula>$C$73*0.1</formula>
    </cfRule>
  </conditionalFormatting>
  <conditionalFormatting sqref="D71">
    <cfRule type="cellIs" priority="11" dxfId="2" operator="greaterThan" stopIfTrue="1">
      <formula>$D$73*0.1</formula>
    </cfRule>
  </conditionalFormatting>
  <conditionalFormatting sqref="E58">
    <cfRule type="cellIs" priority="12" dxfId="408" operator="greaterThan" stopIfTrue="1">
      <formula>$E$60*0.1+E80</formula>
    </cfRule>
  </conditionalFormatting>
  <conditionalFormatting sqref="C58">
    <cfRule type="cellIs" priority="13" dxfId="2" operator="greaterThan" stopIfTrue="1">
      <formula>$C$60*0.1</formula>
    </cfRule>
  </conditionalFormatting>
  <conditionalFormatting sqref="D58">
    <cfRule type="cellIs" priority="14" dxfId="2" operator="greaterThan" stopIfTrue="1">
      <formula>$D$60*0.1</formula>
    </cfRule>
  </conditionalFormatting>
  <conditionalFormatting sqref="C33">
    <cfRule type="cellIs" priority="15" dxfId="2" operator="greaterThan" stopIfTrue="1">
      <formula>$C$35</formula>
    </cfRule>
  </conditionalFormatting>
  <conditionalFormatting sqref="D33">
    <cfRule type="cellIs" priority="16" dxfId="2" operator="greaterThan" stopIfTrue="1">
      <formula>$D$35</formula>
    </cfRule>
  </conditionalFormatting>
  <conditionalFormatting sqref="C31">
    <cfRule type="cellIs" priority="17" dxfId="2" operator="greaterThan" stopIfTrue="1">
      <formula>$C$33*0.1</formula>
    </cfRule>
  </conditionalFormatting>
  <conditionalFormatting sqref="D31">
    <cfRule type="cellIs" priority="18" dxfId="2" operator="greaterThan" stopIfTrue="1">
      <formula>$D$33*0.1</formula>
    </cfRule>
  </conditionalFormatting>
  <conditionalFormatting sqref="E18">
    <cfRule type="cellIs" priority="19" dxfId="408" operator="greaterThan" stopIfTrue="1">
      <formula>$E$20*0.1+E40</formula>
    </cfRule>
  </conditionalFormatting>
  <conditionalFormatting sqref="C18">
    <cfRule type="cellIs" priority="20" dxfId="2" operator="greaterThan" stopIfTrue="1">
      <formula>$C$20*0.1</formula>
    </cfRule>
  </conditionalFormatting>
  <conditionalFormatting sqref="D18">
    <cfRule type="cellIs" priority="21" dxfId="2" operator="greaterThan" stopIfTrue="1">
      <formula>$D$20*0.1</formula>
    </cfRule>
  </conditionalFormatting>
  <conditionalFormatting sqref="D34 D74">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3" r:id="rId1"/>
  <headerFooter alignWithMargins="0">
    <oddHeader>&amp;RState of Kansas
County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4"/>
  <sheetViews>
    <sheetView zoomScalePageLayoutView="0" workbookViewId="0" topLeftCell="A76">
      <selection activeCell="E24" sqref="E24"/>
    </sheetView>
  </sheetViews>
  <sheetFormatPr defaultColWidth="8.796875" defaultRowHeight="15"/>
  <cols>
    <col min="1" max="1" width="2.3984375" style="50" customWidth="1"/>
    <col min="2" max="2" width="31.09765625" style="50" customWidth="1"/>
    <col min="3" max="4" width="15.796875" style="50" customWidth="1"/>
    <col min="5" max="5" width="16.09765625" style="50" customWidth="1"/>
    <col min="6" max="6" width="7.3984375" style="50" customWidth="1"/>
    <col min="7" max="7" width="10.19921875" style="50" customWidth="1"/>
    <col min="8" max="8" width="8.8984375" style="50" customWidth="1"/>
    <col min="9" max="9" width="5" style="50" customWidth="1"/>
    <col min="10" max="10" width="10" style="50" customWidth="1"/>
    <col min="11" max="16384" width="8.8984375" style="50" customWidth="1"/>
  </cols>
  <sheetData>
    <row r="1" spans="2:5" ht="15.75">
      <c r="B1" s="201" t="str">
        <f>(inputPrYr!C2)</f>
        <v>Marshall County</v>
      </c>
      <c r="C1" s="62"/>
      <c r="D1" s="62"/>
      <c r="E1" s="255">
        <f>inputPrYr!C4</f>
        <v>2015</v>
      </c>
    </row>
    <row r="2" spans="2:5" ht="15.75">
      <c r="B2" s="62"/>
      <c r="C2" s="62"/>
      <c r="D2" s="62"/>
      <c r="E2" s="208"/>
    </row>
    <row r="3" spans="2:5" ht="15.75">
      <c r="B3" s="127" t="s">
        <v>239</v>
      </c>
      <c r="C3" s="302"/>
      <c r="D3" s="302"/>
      <c r="E3" s="303"/>
    </row>
    <row r="4" spans="2:5" ht="15.75">
      <c r="B4" s="61" t="s">
        <v>157</v>
      </c>
      <c r="C4" s="666" t="s">
        <v>812</v>
      </c>
      <c r="D4" s="667" t="s">
        <v>813</v>
      </c>
      <c r="E4" s="188" t="s">
        <v>814</v>
      </c>
    </row>
    <row r="5" spans="2:5" ht="15.75">
      <c r="B5" s="447" t="str">
        <f>inputPrYr!B27</f>
        <v>Noxious Weed</v>
      </c>
      <c r="C5" s="420" t="str">
        <f>CONCATENATE("Actual for ",E1-2,"")</f>
        <v>Actual for 2013</v>
      </c>
      <c r="D5" s="420" t="str">
        <f>CONCATENATE("Estimate for ",E1-1,"")</f>
        <v>Estimate for 2014</v>
      </c>
      <c r="E5" s="271" t="str">
        <f>CONCATENATE("Year for ",E1,"")</f>
        <v>Year for 2015</v>
      </c>
    </row>
    <row r="6" spans="2:5" ht="15.75">
      <c r="B6" s="123" t="s">
        <v>272</v>
      </c>
      <c r="C6" s="417">
        <v>68744</v>
      </c>
      <c r="D6" s="421">
        <f>C34</f>
        <v>56573</v>
      </c>
      <c r="E6" s="234">
        <f>D34</f>
        <v>23244</v>
      </c>
    </row>
    <row r="7" spans="2:5" ht="15.75">
      <c r="B7" s="259" t="s">
        <v>274</v>
      </c>
      <c r="C7" s="274"/>
      <c r="D7" s="274"/>
      <c r="E7" s="102"/>
    </row>
    <row r="8" spans="2:5" ht="15.75">
      <c r="B8" s="123" t="s">
        <v>158</v>
      </c>
      <c r="C8" s="417">
        <v>49223</v>
      </c>
      <c r="D8" s="421">
        <f>IF(inputPrYr!H27&gt;0,inputPrYr!H27,inputPrYr!E27)</f>
        <v>54619</v>
      </c>
      <c r="E8" s="306" t="s">
        <v>145</v>
      </c>
    </row>
    <row r="9" spans="2:5" ht="15.75">
      <c r="B9" s="123" t="s">
        <v>159</v>
      </c>
      <c r="C9" s="417">
        <v>475</v>
      </c>
      <c r="D9" s="417"/>
      <c r="E9" s="87"/>
    </row>
    <row r="10" spans="2:5" ht="15.75">
      <c r="B10" s="123" t="s">
        <v>160</v>
      </c>
      <c r="C10" s="417">
        <v>6027</v>
      </c>
      <c r="D10" s="417">
        <v>4682</v>
      </c>
      <c r="E10" s="234">
        <f>mvalloc!E18</f>
        <v>5019</v>
      </c>
    </row>
    <row r="11" spans="2:5" ht="15.75">
      <c r="B11" s="123" t="s">
        <v>161</v>
      </c>
      <c r="C11" s="417">
        <v>94</v>
      </c>
      <c r="D11" s="417">
        <v>7</v>
      </c>
      <c r="E11" s="234">
        <f>mvalloc!F18</f>
        <v>73</v>
      </c>
    </row>
    <row r="12" spans="2:5" ht="15.75">
      <c r="B12" s="274" t="s">
        <v>230</v>
      </c>
      <c r="C12" s="417">
        <v>691</v>
      </c>
      <c r="D12" s="417">
        <v>649</v>
      </c>
      <c r="E12" s="234">
        <f>mvalloc!G18</f>
        <v>300</v>
      </c>
    </row>
    <row r="13" spans="2:5" ht="15.75">
      <c r="B13" s="287"/>
      <c r="C13" s="417">
        <v>1277</v>
      </c>
      <c r="D13" s="417"/>
      <c r="E13" s="87"/>
    </row>
    <row r="14" spans="2:5" ht="15.75">
      <c r="B14" s="287"/>
      <c r="C14" s="417"/>
      <c r="D14" s="417"/>
      <c r="E14" s="87"/>
    </row>
    <row r="15" spans="2:5" ht="15.75">
      <c r="B15" s="287"/>
      <c r="C15" s="417"/>
      <c r="D15" s="417"/>
      <c r="E15" s="87"/>
    </row>
    <row r="16" spans="2:5" ht="15.75">
      <c r="B16" s="287"/>
      <c r="C16" s="417"/>
      <c r="D16" s="417"/>
      <c r="E16" s="87"/>
    </row>
    <row r="17" spans="2:5" ht="15.75">
      <c r="B17" s="277" t="s">
        <v>165</v>
      </c>
      <c r="C17" s="417"/>
      <c r="D17" s="417"/>
      <c r="E17" s="87"/>
    </row>
    <row r="18" spans="2:5" ht="15.75">
      <c r="B18" s="278" t="s">
        <v>72</v>
      </c>
      <c r="C18" s="417"/>
      <c r="D18" s="417"/>
      <c r="E18" s="87"/>
    </row>
    <row r="19" spans="2:5" ht="15.75">
      <c r="B19" s="278" t="s">
        <v>654</v>
      </c>
      <c r="C19" s="418">
        <f>IF(C20*0.1&lt;C18,"Exceed 10% Rule","")</f>
      </c>
      <c r="D19" s="418">
        <f>IF(D20*0.1&lt;D18,"Exceed 10% Rule","")</f>
      </c>
      <c r="E19" s="313">
        <f>IF(E20*0.1+E40&lt;E18,"Exceed 10% Rule","")</f>
      </c>
    </row>
    <row r="20" spans="2:5" ht="15.75">
      <c r="B20" s="280" t="s">
        <v>166</v>
      </c>
      <c r="C20" s="419">
        <f>SUM(C8:C18)</f>
        <v>57787</v>
      </c>
      <c r="D20" s="419">
        <f>SUM(D8:D18)</f>
        <v>59957</v>
      </c>
      <c r="E20" s="321">
        <f>SUM(E8:E18)</f>
        <v>5392</v>
      </c>
    </row>
    <row r="21" spans="2:5" ht="15.75">
      <c r="B21" s="280" t="s">
        <v>167</v>
      </c>
      <c r="C21" s="419">
        <f>C6+C20</f>
        <v>126531</v>
      </c>
      <c r="D21" s="419">
        <f>D6+D20</f>
        <v>116530</v>
      </c>
      <c r="E21" s="321">
        <f>E6+E20</f>
        <v>28636</v>
      </c>
    </row>
    <row r="22" spans="2:5" ht="15.75">
      <c r="B22" s="123" t="s">
        <v>170</v>
      </c>
      <c r="C22" s="278"/>
      <c r="D22" s="278"/>
      <c r="E22" s="83"/>
    </row>
    <row r="23" spans="2:5" ht="15.75">
      <c r="B23" s="287" t="s">
        <v>1038</v>
      </c>
      <c r="C23" s="417">
        <v>29256</v>
      </c>
      <c r="D23" s="417">
        <v>31420</v>
      </c>
      <c r="E23" s="87">
        <v>32020</v>
      </c>
    </row>
    <row r="24" spans="2:10" ht="15.75">
      <c r="B24" s="287" t="s">
        <v>1039</v>
      </c>
      <c r="C24" s="417">
        <v>3563</v>
      </c>
      <c r="D24" s="417">
        <v>8900</v>
      </c>
      <c r="E24" s="87">
        <v>8900</v>
      </c>
      <c r="G24" s="832" t="str">
        <f>CONCATENATE("Desired Carryover Into ",E1+1,"")</f>
        <v>Desired Carryover Into 2016</v>
      </c>
      <c r="H24" s="833"/>
      <c r="I24" s="833"/>
      <c r="J24" s="804"/>
    </row>
    <row r="25" spans="2:10" ht="15.75">
      <c r="B25" s="287" t="s">
        <v>1040</v>
      </c>
      <c r="C25" s="417">
        <v>36048</v>
      </c>
      <c r="D25" s="417">
        <v>51950</v>
      </c>
      <c r="E25" s="87">
        <v>51950</v>
      </c>
      <c r="G25" s="613"/>
      <c r="H25" s="614"/>
      <c r="I25" s="615"/>
      <c r="J25" s="616"/>
    </row>
    <row r="26" spans="2:10" ht="15.75">
      <c r="B26" s="287" t="s">
        <v>1041</v>
      </c>
      <c r="C26" s="417"/>
      <c r="D26" s="417"/>
      <c r="E26" s="87"/>
      <c r="G26" s="617" t="s">
        <v>660</v>
      </c>
      <c r="H26" s="615"/>
      <c r="I26" s="615"/>
      <c r="J26" s="618">
        <v>0</v>
      </c>
    </row>
    <row r="27" spans="2:10" ht="15.75">
      <c r="B27" s="287" t="s">
        <v>1042</v>
      </c>
      <c r="C27" s="417"/>
      <c r="D27" s="417"/>
      <c r="E27" s="87"/>
      <c r="G27" s="613" t="s">
        <v>661</v>
      </c>
      <c r="H27" s="614"/>
      <c r="I27" s="614"/>
      <c r="J27" s="619">
        <f>IF(J26=0,"",ROUND((J26+E40-G39)/inputOth!E6*1000,3)-G44)</f>
      </c>
    </row>
    <row r="28" spans="2:10" ht="15.75">
      <c r="B28" s="287"/>
      <c r="C28" s="417"/>
      <c r="D28" s="417"/>
      <c r="E28" s="87"/>
      <c r="G28" s="620" t="str">
        <f>CONCATENATE("",E1," Tot Exp/Non-Appr Must Be:")</f>
        <v>2015 Tot Exp/Non-Appr Must Be:</v>
      </c>
      <c r="H28" s="621"/>
      <c r="I28" s="622"/>
      <c r="J28" s="623">
        <f>IF(J26&gt;0,IF(E37&lt;E21,IF(J26=G39,E37,((J26-G39)*(1-D39))+E21),E37+(J26-G39)),0)</f>
        <v>0</v>
      </c>
    </row>
    <row r="29" spans="2:10" ht="15.75">
      <c r="B29" s="287"/>
      <c r="C29" s="417"/>
      <c r="D29" s="417"/>
      <c r="E29" s="87"/>
      <c r="G29" s="624" t="s">
        <v>810</v>
      </c>
      <c r="H29" s="625"/>
      <c r="I29" s="625"/>
      <c r="J29" s="626">
        <f>IF(J26&gt;0,J28-E37,0)</f>
        <v>0</v>
      </c>
    </row>
    <row r="30" spans="2:10" ht="15.75">
      <c r="B30" s="278" t="s">
        <v>74</v>
      </c>
      <c r="C30" s="417">
        <v>1091</v>
      </c>
      <c r="D30" s="417">
        <v>1016</v>
      </c>
      <c r="E30" s="95">
        <f>Nhood!E17</f>
        <v>1012</v>
      </c>
      <c r="G30" s="1"/>
      <c r="H30" s="1"/>
      <c r="I30" s="1"/>
      <c r="J30" s="1"/>
    </row>
    <row r="31" spans="2:10" ht="15.75">
      <c r="B31" s="278" t="s">
        <v>72</v>
      </c>
      <c r="C31" s="417"/>
      <c r="D31" s="417"/>
      <c r="E31" s="87"/>
      <c r="G31" s="832" t="str">
        <f>CONCATENATE("Projected Carryover Into ",E1+1,"")</f>
        <v>Projected Carryover Into 2016</v>
      </c>
      <c r="H31" s="838"/>
      <c r="I31" s="838"/>
      <c r="J31" s="839"/>
    </row>
    <row r="32" spans="2:10" ht="15.75">
      <c r="B32" s="278" t="s">
        <v>653</v>
      </c>
      <c r="C32" s="418">
        <f>IF(C33*0.1&lt;C31,"Exceed 10% Rule","")</f>
      </c>
      <c r="D32" s="418">
        <f>IF(D33*0.1&lt;D31,"Exceed 10% Rule","")</f>
      </c>
      <c r="E32" s="313">
        <f>IF(E33*0.1&lt;E31,"Exceed 10% Rule","")</f>
      </c>
      <c r="G32" s="613"/>
      <c r="H32" s="615"/>
      <c r="I32" s="615"/>
      <c r="J32" s="641"/>
    </row>
    <row r="33" spans="2:10" ht="15.75">
      <c r="B33" s="280" t="s">
        <v>171</v>
      </c>
      <c r="C33" s="419">
        <f>SUM(C23:C31)</f>
        <v>69958</v>
      </c>
      <c r="D33" s="419">
        <f>SUM(D23:D31)</f>
        <v>93286</v>
      </c>
      <c r="E33" s="321">
        <f>SUM(E23:E31)</f>
        <v>93882</v>
      </c>
      <c r="G33" s="642">
        <f>D34</f>
        <v>23244</v>
      </c>
      <c r="H33" s="632" t="str">
        <f>CONCATENATE("",E1-1," Ending Cash Balance (est.)")</f>
        <v>2014 Ending Cash Balance (est.)</v>
      </c>
      <c r="I33" s="643"/>
      <c r="J33" s="641"/>
    </row>
    <row r="34" spans="2:10" ht="15.75">
      <c r="B34" s="123" t="s">
        <v>273</v>
      </c>
      <c r="C34" s="422">
        <f>C21-C33</f>
        <v>56573</v>
      </c>
      <c r="D34" s="422">
        <f>D21-D33</f>
        <v>23244</v>
      </c>
      <c r="E34" s="306" t="s">
        <v>145</v>
      </c>
      <c r="G34" s="642">
        <f>E20</f>
        <v>5392</v>
      </c>
      <c r="H34" s="615" t="str">
        <f>CONCATENATE("",E1," Non-AV Receipts (est.)")</f>
        <v>2015 Non-AV Receipts (est.)</v>
      </c>
      <c r="I34" s="643"/>
      <c r="J34" s="641"/>
    </row>
    <row r="35" spans="2:11" ht="15.75">
      <c r="B35" s="270" t="str">
        <f>CONCATENATE("",E1-2,"/",E1-1,"/",E1," Budget Authority Amount:")</f>
        <v>2013/2014/2015 Budget Authority Amount:</v>
      </c>
      <c r="C35" s="308">
        <f>inputOth!B41</f>
        <v>92194</v>
      </c>
      <c r="D35" s="308">
        <f>inputPrYr!D27</f>
        <v>93286</v>
      </c>
      <c r="E35" s="234">
        <f>E33</f>
        <v>93882</v>
      </c>
      <c r="F35" s="289"/>
      <c r="G35" s="644">
        <f>IF(E39&gt;0,E38,E40)</f>
        <v>65246</v>
      </c>
      <c r="H35" s="615" t="str">
        <f>CONCATENATE("",E1," Ad Valorem Tax (est.)")</f>
        <v>2015 Ad Valorem Tax (est.)</v>
      </c>
      <c r="I35" s="643"/>
      <c r="J35" s="641"/>
      <c r="K35" s="629">
        <f>IF(G35=E40,"","Note: Does not include Delinquent Taxes")</f>
      </c>
    </row>
    <row r="36" spans="2:10" ht="15.75">
      <c r="B36" s="256"/>
      <c r="C36" s="822" t="s">
        <v>657</v>
      </c>
      <c r="D36" s="823"/>
      <c r="E36" s="87"/>
      <c r="F36" s="465">
        <f>IF(E33/0.95-E33&lt;E36,"Exceeds 5%","")</f>
      </c>
      <c r="G36" s="642">
        <f>SUM(G33:G35)</f>
        <v>93882</v>
      </c>
      <c r="H36" s="615" t="str">
        <f>CONCATENATE("Total ",E1," Resources Available")</f>
        <v>Total 2015 Resources Available</v>
      </c>
      <c r="I36" s="643"/>
      <c r="J36" s="641"/>
    </row>
    <row r="37" spans="2:10" ht="15.75">
      <c r="B37" s="469" t="str">
        <f>CONCATENATE(C91,"     ",D91)</f>
        <v>     </v>
      </c>
      <c r="C37" s="824" t="s">
        <v>658</v>
      </c>
      <c r="D37" s="825"/>
      <c r="E37" s="234">
        <f>E33+E36</f>
        <v>93882</v>
      </c>
      <c r="G37" s="645"/>
      <c r="H37" s="615"/>
      <c r="I37" s="615"/>
      <c r="J37" s="641"/>
    </row>
    <row r="38" spans="2:10" ht="15.75">
      <c r="B38" s="469" t="str">
        <f>CONCATENATE(C92,"     ",D92)</f>
        <v>     </v>
      </c>
      <c r="C38" s="290"/>
      <c r="D38" s="208" t="s">
        <v>172</v>
      </c>
      <c r="E38" s="95">
        <f>IF(E37-E21&gt;0,E37-E21,0)</f>
        <v>65246</v>
      </c>
      <c r="G38" s="644">
        <f>ROUND(C33*0.05+C33,0)</f>
        <v>73456</v>
      </c>
      <c r="H38" s="615" t="str">
        <f>CONCATENATE("Less ",E1-2," Expenditures + 5%")</f>
        <v>Less 2013 Expenditures + 5%</v>
      </c>
      <c r="I38" s="643"/>
      <c r="J38" s="646"/>
    </row>
    <row r="39" spans="2:10" ht="15.75">
      <c r="B39" s="208"/>
      <c r="C39" s="467" t="s">
        <v>659</v>
      </c>
      <c r="D39" s="612">
        <f>inputOth!$E$23</f>
        <v>0</v>
      </c>
      <c r="E39" s="234">
        <f>ROUND(IF(D39&gt;0,($E$38*D39),0),0)</f>
        <v>0</v>
      </c>
      <c r="G39" s="647">
        <f>G36-G38</f>
        <v>20426</v>
      </c>
      <c r="H39" s="648" t="str">
        <f>CONCATENATE("Projected ",E1+1," carryover (est.)")</f>
        <v>Projected 2016 carryover (est.)</v>
      </c>
      <c r="I39" s="649"/>
      <c r="J39" s="650"/>
    </row>
    <row r="40" spans="2:10" ht="15.75">
      <c r="B40" s="62"/>
      <c r="C40" s="830" t="str">
        <f>CONCATENATE("Amount of  ",$E$1-1," Ad Valorem Tax")</f>
        <v>Amount of  2014 Ad Valorem Tax</v>
      </c>
      <c r="D40" s="831"/>
      <c r="E40" s="317">
        <f>E38+E39</f>
        <v>65246</v>
      </c>
      <c r="G40" s="1"/>
      <c r="H40" s="1"/>
      <c r="I40" s="1"/>
      <c r="J40" s="1"/>
    </row>
    <row r="41" spans="2:10" ht="15.75">
      <c r="B41" s="62"/>
      <c r="C41" s="296"/>
      <c r="D41" s="296"/>
      <c r="E41" s="296"/>
      <c r="G41" s="834" t="s">
        <v>811</v>
      </c>
      <c r="H41" s="835"/>
      <c r="I41" s="835"/>
      <c r="J41" s="836"/>
    </row>
    <row r="42" spans="2:10" ht="15.75">
      <c r="B42" s="61" t="s">
        <v>157</v>
      </c>
      <c r="C42" s="666" t="str">
        <f aca="true" t="shared" si="0" ref="C42:E43">C4</f>
        <v>Prior Year </v>
      </c>
      <c r="D42" s="667" t="str">
        <f t="shared" si="0"/>
        <v>Current Year </v>
      </c>
      <c r="E42" s="188" t="str">
        <f t="shared" si="0"/>
        <v>Proposed Budget </v>
      </c>
      <c r="G42" s="631"/>
      <c r="H42" s="632"/>
      <c r="I42" s="633"/>
      <c r="J42" s="634"/>
    </row>
    <row r="43" spans="2:10" ht="15.75">
      <c r="B43" s="446" t="str">
        <f>inputPrYr!B28</f>
        <v>Election</v>
      </c>
      <c r="C43" s="420" t="str">
        <f t="shared" si="0"/>
        <v>Actual for 2013</v>
      </c>
      <c r="D43" s="420" t="str">
        <f t="shared" si="0"/>
        <v>Estimate for 2014</v>
      </c>
      <c r="E43" s="271" t="str">
        <f t="shared" si="0"/>
        <v>Year for 2015</v>
      </c>
      <c r="G43" s="635">
        <f>summ!H27</f>
        <v>0.502</v>
      </c>
      <c r="H43" s="632" t="str">
        <f>CONCATENATE("",E1," Fund Mill Rate")</f>
        <v>2015 Fund Mill Rate</v>
      </c>
      <c r="I43" s="633"/>
      <c r="J43" s="634"/>
    </row>
    <row r="44" spans="2:10" ht="15.75">
      <c r="B44" s="123" t="s">
        <v>272</v>
      </c>
      <c r="C44" s="417">
        <v>11473</v>
      </c>
      <c r="D44" s="421">
        <f>C74</f>
        <v>8651</v>
      </c>
      <c r="E44" s="234">
        <f>D74</f>
        <v>3251</v>
      </c>
      <c r="G44" s="636">
        <f>summ!E27</f>
        <v>0.442</v>
      </c>
      <c r="H44" s="632" t="str">
        <f>CONCATENATE("",E1-1," Fund Mill Rate")</f>
        <v>2014 Fund Mill Rate</v>
      </c>
      <c r="I44" s="633"/>
      <c r="J44" s="634"/>
    </row>
    <row r="45" spans="2:10" ht="15.75">
      <c r="B45" s="272" t="s">
        <v>274</v>
      </c>
      <c r="C45" s="274"/>
      <c r="D45" s="274"/>
      <c r="E45" s="102"/>
      <c r="G45" s="637">
        <f>summ!H61</f>
        <v>51.98700000000003</v>
      </c>
      <c r="H45" s="632" t="str">
        <f>CONCATENATE("Total ",E1," Mill Rate")</f>
        <v>Total 2015 Mill Rate</v>
      </c>
      <c r="I45" s="633"/>
      <c r="J45" s="634"/>
    </row>
    <row r="46" spans="2:10" ht="15.75">
      <c r="B46" s="123" t="s">
        <v>158</v>
      </c>
      <c r="C46" s="417">
        <v>76377</v>
      </c>
      <c r="D46" s="421">
        <f>IF(inputPrYr!H28&gt;0,inputPrYr!H28,inputPrYr!E28)</f>
        <v>76442</v>
      </c>
      <c r="E46" s="306" t="s">
        <v>145</v>
      </c>
      <c r="G46" s="636">
        <f>summ!E61</f>
        <v>51.56499999999999</v>
      </c>
      <c r="H46" s="638" t="str">
        <f>CONCATENATE("Total ",E1-1," Mill Rate")</f>
        <v>Total 2014 Mill Rate</v>
      </c>
      <c r="I46" s="639"/>
      <c r="J46" s="640"/>
    </row>
    <row r="47" spans="2:10" ht="15.75">
      <c r="B47" s="123" t="s">
        <v>159</v>
      </c>
      <c r="C47" s="417">
        <v>514</v>
      </c>
      <c r="D47" s="417"/>
      <c r="E47" s="87"/>
      <c r="G47" s="1"/>
      <c r="H47" s="1"/>
      <c r="I47" s="1"/>
      <c r="J47" s="1"/>
    </row>
    <row r="48" spans="2:10" ht="15.75">
      <c r="B48" s="123" t="s">
        <v>160</v>
      </c>
      <c r="C48" s="417">
        <v>6099</v>
      </c>
      <c r="D48" s="417">
        <v>7256</v>
      </c>
      <c r="E48" s="234">
        <f>mvalloc!E19</f>
        <v>7024</v>
      </c>
      <c r="G48" s="734" t="s">
        <v>886</v>
      </c>
      <c r="H48" s="690"/>
      <c r="I48" s="689" t="str">
        <f>cert!E69</f>
        <v>Yes</v>
      </c>
      <c r="J48" s="1"/>
    </row>
    <row r="49" spans="2:10" ht="15.75">
      <c r="B49" s="123" t="s">
        <v>161</v>
      </c>
      <c r="C49" s="417">
        <v>96</v>
      </c>
      <c r="D49" s="417">
        <v>118</v>
      </c>
      <c r="E49" s="234">
        <f>mvalloc!F19</f>
        <v>102</v>
      </c>
      <c r="G49" s="1"/>
      <c r="H49" s="1"/>
      <c r="I49" s="1"/>
      <c r="J49" s="1"/>
    </row>
    <row r="50" spans="2:10" ht="15.75">
      <c r="B50" s="274" t="s">
        <v>230</v>
      </c>
      <c r="C50" s="417">
        <v>557</v>
      </c>
      <c r="D50" s="417">
        <v>1006</v>
      </c>
      <c r="E50" s="234">
        <f>mvalloc!G19</f>
        <v>419</v>
      </c>
      <c r="G50" s="1"/>
      <c r="H50" s="1"/>
      <c r="I50" s="1"/>
      <c r="J50" s="1"/>
    </row>
    <row r="51" spans="2:10" ht="15.75">
      <c r="B51" s="287" t="s">
        <v>1035</v>
      </c>
      <c r="C51" s="417">
        <v>52</v>
      </c>
      <c r="D51" s="417"/>
      <c r="E51" s="87"/>
      <c r="G51" s="1"/>
      <c r="H51" s="1"/>
      <c r="I51" s="1"/>
      <c r="J51" s="1"/>
    </row>
    <row r="52" spans="2:10" ht="15.75">
      <c r="B52" s="287"/>
      <c r="C52" s="417"/>
      <c r="D52" s="417"/>
      <c r="E52" s="87"/>
      <c r="G52" s="1"/>
      <c r="H52" s="1"/>
      <c r="I52" s="1"/>
      <c r="J52" s="1"/>
    </row>
    <row r="53" spans="2:10" ht="15.75">
      <c r="B53" s="287"/>
      <c r="C53" s="417"/>
      <c r="D53" s="417"/>
      <c r="E53" s="87"/>
      <c r="G53" s="1"/>
      <c r="H53" s="1"/>
      <c r="I53" s="1"/>
      <c r="J53" s="1"/>
    </row>
    <row r="54" spans="2:10" ht="15.75">
      <c r="B54" s="287"/>
      <c r="C54" s="417"/>
      <c r="D54" s="417"/>
      <c r="E54" s="87"/>
      <c r="G54" s="1"/>
      <c r="H54" s="1"/>
      <c r="I54" s="1"/>
      <c r="J54" s="1"/>
    </row>
    <row r="55" spans="2:10" ht="15.75">
      <c r="B55" s="287"/>
      <c r="C55" s="417"/>
      <c r="D55" s="417"/>
      <c r="E55" s="87"/>
      <c r="G55" s="1"/>
      <c r="H55" s="1"/>
      <c r="I55" s="1"/>
      <c r="J55" s="1"/>
    </row>
    <row r="56" spans="2:10" ht="15.75">
      <c r="B56" s="287"/>
      <c r="C56" s="417"/>
      <c r="D56" s="417"/>
      <c r="E56" s="87"/>
      <c r="G56" s="1"/>
      <c r="H56" s="1"/>
      <c r="I56" s="1"/>
      <c r="J56" s="1"/>
    </row>
    <row r="57" spans="2:10" ht="15.75">
      <c r="B57" s="277" t="s">
        <v>165</v>
      </c>
      <c r="C57" s="417"/>
      <c r="D57" s="417"/>
      <c r="E57" s="87"/>
      <c r="G57" s="1"/>
      <c r="H57" s="1"/>
      <c r="I57" s="1"/>
      <c r="J57" s="1"/>
    </row>
    <row r="58" spans="2:10" ht="15.75">
      <c r="B58" s="278" t="s">
        <v>72</v>
      </c>
      <c r="C58" s="417"/>
      <c r="D58" s="417"/>
      <c r="E58" s="87"/>
      <c r="G58" s="1"/>
      <c r="H58" s="1"/>
      <c r="I58" s="1"/>
      <c r="J58" s="1"/>
    </row>
    <row r="59" spans="2:10" ht="15.75">
      <c r="B59" s="278" t="s">
        <v>654</v>
      </c>
      <c r="C59" s="418">
        <f>IF(C60*0.1&lt;C58,"Exceed 10% Rule","")</f>
      </c>
      <c r="D59" s="418">
        <f>IF(D60*0.1&lt;D58,"Exceed 10% Rule","")</f>
      </c>
      <c r="E59" s="313">
        <f>IF(E60*0.1+E80&lt;E58,"Exceed 10% Rule","")</f>
      </c>
      <c r="G59" s="1"/>
      <c r="H59" s="1"/>
      <c r="I59" s="1"/>
      <c r="J59" s="1"/>
    </row>
    <row r="60" spans="2:10" ht="15.75">
      <c r="B60" s="280" t="s">
        <v>166</v>
      </c>
      <c r="C60" s="419">
        <f>SUM(C46:C58)</f>
        <v>83695</v>
      </c>
      <c r="D60" s="419">
        <f>SUM(D46:D58)</f>
        <v>84822</v>
      </c>
      <c r="E60" s="321">
        <f>SUM(E46:E58)</f>
        <v>7545</v>
      </c>
      <c r="G60" s="1"/>
      <c r="H60" s="1"/>
      <c r="I60" s="1"/>
      <c r="J60" s="1"/>
    </row>
    <row r="61" spans="2:10" ht="15.75">
      <c r="B61" s="280" t="s">
        <v>167</v>
      </c>
      <c r="C61" s="419">
        <f>C44+C60</f>
        <v>95168</v>
      </c>
      <c r="D61" s="419">
        <f>D44+D60</f>
        <v>93473</v>
      </c>
      <c r="E61" s="321">
        <f>E44+E60</f>
        <v>10796</v>
      </c>
      <c r="G61" s="1"/>
      <c r="H61" s="1"/>
      <c r="I61" s="1"/>
      <c r="J61" s="1"/>
    </row>
    <row r="62" spans="2:10" ht="15.75">
      <c r="B62" s="123" t="s">
        <v>170</v>
      </c>
      <c r="C62" s="278"/>
      <c r="D62" s="278"/>
      <c r="E62" s="83"/>
      <c r="G62" s="1"/>
      <c r="H62" s="1"/>
      <c r="I62" s="1"/>
      <c r="J62" s="1"/>
    </row>
    <row r="63" spans="2:10" ht="15.75">
      <c r="B63" s="287" t="s">
        <v>1038</v>
      </c>
      <c r="C63" s="417">
        <v>8710</v>
      </c>
      <c r="D63" s="417">
        <v>16000</v>
      </c>
      <c r="E63" s="87">
        <v>16000</v>
      </c>
      <c r="G63" s="1"/>
      <c r="H63" s="1"/>
      <c r="I63" s="1"/>
      <c r="J63" s="1"/>
    </row>
    <row r="64" spans="2:10" ht="15.75">
      <c r="B64" s="287" t="s">
        <v>1039</v>
      </c>
      <c r="C64" s="417">
        <v>23872</v>
      </c>
      <c r="D64" s="417">
        <v>29300</v>
      </c>
      <c r="E64" s="87">
        <v>29300</v>
      </c>
      <c r="G64" s="832" t="str">
        <f>CONCATENATE("Desired Carryover Into ",E1+1,"")</f>
        <v>Desired Carryover Into 2016</v>
      </c>
      <c r="H64" s="833"/>
      <c r="I64" s="833"/>
      <c r="J64" s="804"/>
    </row>
    <row r="65" spans="2:10" ht="15.75">
      <c r="B65" s="287" t="s">
        <v>1040</v>
      </c>
      <c r="C65" s="417">
        <v>11300</v>
      </c>
      <c r="D65" s="417">
        <v>43500</v>
      </c>
      <c r="E65" s="87">
        <v>43500</v>
      </c>
      <c r="G65" s="613"/>
      <c r="H65" s="614"/>
      <c r="I65" s="615"/>
      <c r="J65" s="616"/>
    </row>
    <row r="66" spans="2:10" ht="15.75">
      <c r="B66" s="287" t="s">
        <v>1041</v>
      </c>
      <c r="C66" s="417">
        <v>942</v>
      </c>
      <c r="D66" s="417"/>
      <c r="E66" s="87"/>
      <c r="G66" s="617" t="s">
        <v>660</v>
      </c>
      <c r="H66" s="615"/>
      <c r="I66" s="615"/>
      <c r="J66" s="618">
        <v>0</v>
      </c>
    </row>
    <row r="67" spans="2:10" ht="15.75">
      <c r="B67" s="287" t="s">
        <v>1042</v>
      </c>
      <c r="C67" s="417">
        <v>40000</v>
      </c>
      <c r="D67" s="417"/>
      <c r="E67" s="87"/>
      <c r="G67" s="613" t="s">
        <v>661</v>
      </c>
      <c r="H67" s="614"/>
      <c r="I67" s="614"/>
      <c r="J67" s="619">
        <f>IF(J66=0,"",ROUND((J66+E80-G79)/inputOth!E6*1000,3)-G84)</f>
      </c>
    </row>
    <row r="68" spans="2:10" ht="15.75">
      <c r="B68" s="287"/>
      <c r="C68" s="417"/>
      <c r="D68" s="417"/>
      <c r="E68" s="87"/>
      <c r="G68" s="620" t="str">
        <f>CONCATENATE("",E1," Tot Exp/Non-Appr Must Be:")</f>
        <v>2015 Tot Exp/Non-Appr Must Be:</v>
      </c>
      <c r="H68" s="621"/>
      <c r="I68" s="622"/>
      <c r="J68" s="623">
        <f>IF(J66&gt;0,IF(E77&lt;E61,IF(J66=G79,E77,((J66-G79)*(1-D79))+E61),E77+(J66-G79)),0)</f>
        <v>0</v>
      </c>
    </row>
    <row r="69" spans="2:10" ht="15.75">
      <c r="B69" s="287"/>
      <c r="C69" s="417"/>
      <c r="D69" s="417"/>
      <c r="E69" s="87"/>
      <c r="G69" s="624" t="s">
        <v>810</v>
      </c>
      <c r="H69" s="625"/>
      <c r="I69" s="625"/>
      <c r="J69" s="626">
        <f>IF(J66&gt;0,J68-E77,0)</f>
        <v>0</v>
      </c>
    </row>
    <row r="70" spans="2:10" ht="15.75">
      <c r="B70" s="278" t="s">
        <v>74</v>
      </c>
      <c r="C70" s="417">
        <v>1693</v>
      </c>
      <c r="D70" s="417">
        <v>1422</v>
      </c>
      <c r="E70" s="95">
        <f>Nhood!E18</f>
        <v>1229</v>
      </c>
      <c r="G70" s="1"/>
      <c r="H70" s="1"/>
      <c r="I70" s="1"/>
      <c r="J70" s="1"/>
    </row>
    <row r="71" spans="2:10" ht="15.75">
      <c r="B71" s="278" t="s">
        <v>72</v>
      </c>
      <c r="C71" s="417"/>
      <c r="D71" s="417"/>
      <c r="E71" s="87"/>
      <c r="G71" s="832" t="str">
        <f>CONCATENATE("Projected Carryover Into ",E1+1,"")</f>
        <v>Projected Carryover Into 2016</v>
      </c>
      <c r="H71" s="840"/>
      <c r="I71" s="840"/>
      <c r="J71" s="839"/>
    </row>
    <row r="72" spans="2:10" ht="15.75">
      <c r="B72" s="278" t="s">
        <v>653</v>
      </c>
      <c r="C72" s="418">
        <f>IF(C73*0.1&lt;C71,"Exceed 10% Rule","")</f>
      </c>
      <c r="D72" s="418">
        <f>IF(D73*0.1&lt;D71,"Exceed 10% Rule","")</f>
      </c>
      <c r="E72" s="313">
        <f>IF(E73*0.1&lt;E71,"Exceed 10% Rule","")</f>
      </c>
      <c r="G72" s="651"/>
      <c r="H72" s="614"/>
      <c r="I72" s="614"/>
      <c r="J72" s="646"/>
    </row>
    <row r="73" spans="2:10" ht="15.75">
      <c r="B73" s="280" t="s">
        <v>171</v>
      </c>
      <c r="C73" s="419">
        <f>SUM(C63:C71)</f>
        <v>86517</v>
      </c>
      <c r="D73" s="419">
        <f>SUM(D63:D71)</f>
        <v>90222</v>
      </c>
      <c r="E73" s="321">
        <f>SUM(E63:E71)</f>
        <v>90029</v>
      </c>
      <c r="G73" s="642">
        <f>D74</f>
        <v>3251</v>
      </c>
      <c r="H73" s="632" t="str">
        <f>CONCATENATE("",E1-1," Ending Cash Balance (est.)")</f>
        <v>2014 Ending Cash Balance (est.)</v>
      </c>
      <c r="I73" s="643"/>
      <c r="J73" s="646"/>
    </row>
    <row r="74" spans="2:10" ht="15.75">
      <c r="B74" s="123" t="s">
        <v>273</v>
      </c>
      <c r="C74" s="422">
        <f>C61-C73</f>
        <v>8651</v>
      </c>
      <c r="D74" s="422">
        <f>D61-D73</f>
        <v>3251</v>
      </c>
      <c r="E74" s="306" t="s">
        <v>145</v>
      </c>
      <c r="G74" s="642">
        <f>E60</f>
        <v>7545</v>
      </c>
      <c r="H74" s="615" t="str">
        <f>CONCATENATE("",E1," Non-AV Receipts (est.)")</f>
        <v>2015 Non-AV Receipts (est.)</v>
      </c>
      <c r="I74" s="643"/>
      <c r="J74" s="646"/>
    </row>
    <row r="75" spans="2:11" ht="15.75">
      <c r="B75" s="270" t="str">
        <f>CONCATENATE("",E1-2,"/",E1-1,"/",E1," Budget Authority Amount:")</f>
        <v>2013/2014/2015 Budget Authority Amount:</v>
      </c>
      <c r="C75" s="308">
        <f>inputOth!B42</f>
        <v>90542</v>
      </c>
      <c r="D75" s="308">
        <f>inputPrYr!D28</f>
        <v>90222</v>
      </c>
      <c r="E75" s="234">
        <f>E73</f>
        <v>90029</v>
      </c>
      <c r="F75" s="289"/>
      <c r="G75" s="644">
        <f>IF(E79&gt;0,E78,E80)</f>
        <v>79233</v>
      </c>
      <c r="H75" s="615" t="str">
        <f>CONCATENATE("",E1," Ad Valorem Tax (est.)")</f>
        <v>2015 Ad Valorem Tax (est.)</v>
      </c>
      <c r="I75" s="643"/>
      <c r="J75" s="646"/>
      <c r="K75" s="629">
        <f>IF(G75=E80,"","Note: Does not include Delinquent Taxes")</f>
      </c>
    </row>
    <row r="76" spans="2:10" ht="15.75">
      <c r="B76" s="256"/>
      <c r="C76" s="822" t="s">
        <v>657</v>
      </c>
      <c r="D76" s="823"/>
      <c r="E76" s="87"/>
      <c r="F76" s="465">
        <f>IF(E73/0.95-E73&lt;E76,"Exceeds 5%","")</f>
      </c>
      <c r="G76" s="652">
        <f>SUM(G73:G75)</f>
        <v>90029</v>
      </c>
      <c r="H76" s="615" t="str">
        <f>CONCATENATE("Total ",E1," Resources Available")</f>
        <v>Total 2015 Resources Available</v>
      </c>
      <c r="I76" s="653"/>
      <c r="J76" s="646"/>
    </row>
    <row r="77" spans="2:10" ht="15.75">
      <c r="B77" s="468" t="str">
        <f>CONCATENATE(C93,"     ",D93)</f>
        <v>     </v>
      </c>
      <c r="C77" s="824" t="s">
        <v>658</v>
      </c>
      <c r="D77" s="825"/>
      <c r="E77" s="234">
        <f>E73+E76</f>
        <v>90029</v>
      </c>
      <c r="G77" s="654"/>
      <c r="H77" s="655"/>
      <c r="I77" s="614"/>
      <c r="J77" s="646"/>
    </row>
    <row r="78" spans="2:10" ht="15.75">
      <c r="B78" s="468" t="str">
        <f>CONCATENATE(C94,"     ",D94)</f>
        <v>     </v>
      </c>
      <c r="C78" s="290"/>
      <c r="D78" s="208" t="s">
        <v>172</v>
      </c>
      <c r="E78" s="95">
        <f>IF(E77-E61&gt;0,E77-E61,0)</f>
        <v>79233</v>
      </c>
      <c r="G78" s="656">
        <f>ROUND(C73*0.05+C73,0)</f>
        <v>90843</v>
      </c>
      <c r="H78" s="615" t="str">
        <f>CONCATENATE("Less ",E1-2," Expenditures + 5%")</f>
        <v>Less 2013 Expenditures + 5%</v>
      </c>
      <c r="I78" s="653"/>
      <c r="J78" s="646"/>
    </row>
    <row r="79" spans="2:10" ht="15.75">
      <c r="B79" s="208"/>
      <c r="C79" s="467" t="s">
        <v>659</v>
      </c>
      <c r="D79" s="612">
        <f>inputOth!$E$23</f>
        <v>0</v>
      </c>
      <c r="E79" s="234">
        <f>ROUND(IF(D79&gt;0,($E$78*D79),0),0)</f>
        <v>0</v>
      </c>
      <c r="G79" s="657">
        <f>G76-G78</f>
        <v>-814</v>
      </c>
      <c r="H79" s="648" t="str">
        <f>CONCATENATE("Projected ",E1+1," carryover (est.)")</f>
        <v>Projected 2016 carryover (est.)</v>
      </c>
      <c r="I79" s="658"/>
      <c r="J79" s="659"/>
    </row>
    <row r="80" spans="2:10" ht="15.75">
      <c r="B80" s="270"/>
      <c r="C80" s="830" t="str">
        <f>CONCATENATE("Amount of  ",$E$1-1," Ad Valorem Tax")</f>
        <v>Amount of  2014 Ad Valorem Tax</v>
      </c>
      <c r="D80" s="831"/>
      <c r="E80" s="317">
        <f>E78+E79</f>
        <v>79233</v>
      </c>
      <c r="G80" s="1"/>
      <c r="H80" s="1"/>
      <c r="I80" s="1"/>
      <c r="J80" s="1"/>
    </row>
    <row r="81" spans="2:10" ht="15.75">
      <c r="B81" s="256" t="s">
        <v>192</v>
      </c>
      <c r="C81" s="318">
        <v>14</v>
      </c>
      <c r="D81" s="62"/>
      <c r="E81" s="62"/>
      <c r="G81" s="834" t="s">
        <v>811</v>
      </c>
      <c r="H81" s="835"/>
      <c r="I81" s="835"/>
      <c r="J81" s="836"/>
    </row>
    <row r="82" spans="7:10" ht="15.75">
      <c r="G82" s="631"/>
      <c r="H82" s="632"/>
      <c r="I82" s="633"/>
      <c r="J82" s="634"/>
    </row>
    <row r="83" spans="7:10" ht="15.75">
      <c r="G83" s="635">
        <f>summ!H28</f>
        <v>0.609</v>
      </c>
      <c r="H83" s="632" t="str">
        <f>CONCATENATE("",E1," Fund Mill Rate")</f>
        <v>2015 Fund Mill Rate</v>
      </c>
      <c r="I83" s="633"/>
      <c r="J83" s="634"/>
    </row>
    <row r="84" spans="7:10" ht="15.75">
      <c r="G84" s="636">
        <f>summ!E28</f>
        <v>0.618</v>
      </c>
      <c r="H84" s="632" t="str">
        <f>CONCATENATE("",E1-1," Fund Mill Rate")</f>
        <v>2014 Fund Mill Rate</v>
      </c>
      <c r="I84" s="633"/>
      <c r="J84" s="634"/>
    </row>
    <row r="85" spans="7:10" ht="15.75">
      <c r="G85" s="637">
        <f>summ!H61</f>
        <v>51.98700000000003</v>
      </c>
      <c r="H85" s="632" t="str">
        <f>CONCATENATE("Total ",E1," Mill Rate")</f>
        <v>Total 2015 Mill Rate</v>
      </c>
      <c r="I85" s="633"/>
      <c r="J85" s="634"/>
    </row>
    <row r="86" spans="7:10" ht="15.75">
      <c r="G86" s="636">
        <f>summ!E61</f>
        <v>51.56499999999999</v>
      </c>
      <c r="H86" s="638" t="str">
        <f>CONCATENATE("Total ",E1-1," Mill Rate")</f>
        <v>Total 2014 Mill Rate</v>
      </c>
      <c r="I86" s="639"/>
      <c r="J86" s="640"/>
    </row>
    <row r="88" spans="7:9" ht="15.75">
      <c r="G88" s="735" t="s">
        <v>886</v>
      </c>
      <c r="H88" s="690"/>
      <c r="I88" s="689" t="str">
        <f>cert!E69</f>
        <v>Yes</v>
      </c>
    </row>
    <row r="91" spans="3:4" ht="15.75" hidden="1">
      <c r="C91" s="50">
        <f>IF(C33&gt;C35,"See Tab A","")</f>
      </c>
      <c r="D91" s="50">
        <f>IF(D33&gt;D35,"See Tab C","")</f>
      </c>
    </row>
    <row r="92" spans="3:4" ht="15.75" hidden="1">
      <c r="C92" s="50">
        <f>IF(C34&lt;0,"See Tab B","")</f>
      </c>
      <c r="D92" s="50">
        <f>IF(D34&lt;0,"See Tab D","")</f>
      </c>
    </row>
    <row r="93" spans="3:4" ht="15.75" hidden="1">
      <c r="C93" s="50">
        <f>IF(C73&gt;C75,"See Tab A","")</f>
      </c>
      <c r="D93" s="50">
        <f>IF(D73&gt;D75,"See Tab C","")</f>
      </c>
    </row>
    <row r="94" spans="3:4" ht="15.75" hidden="1">
      <c r="C94" s="50">
        <f>IF(C74&lt;0,"See Tab B","")</f>
      </c>
      <c r="D94" s="50">
        <f>IF(D74&lt;0,"See Tab D","")</f>
      </c>
    </row>
  </sheetData>
  <sheetProtection sheet="1"/>
  <mergeCells count="12">
    <mergeCell ref="G24:J24"/>
    <mergeCell ref="G31:J31"/>
    <mergeCell ref="G41:J41"/>
    <mergeCell ref="G64:J64"/>
    <mergeCell ref="G71:J71"/>
    <mergeCell ref="G81:J81"/>
    <mergeCell ref="C76:D76"/>
    <mergeCell ref="C77:D77"/>
    <mergeCell ref="C36:D36"/>
    <mergeCell ref="C37:D37"/>
    <mergeCell ref="C80:D80"/>
    <mergeCell ref="C40:D40"/>
  </mergeCells>
  <conditionalFormatting sqref="E71">
    <cfRule type="cellIs" priority="3" dxfId="408" operator="greaterThan" stopIfTrue="1">
      <formula>$E$73*0.1</formula>
    </cfRule>
  </conditionalFormatting>
  <conditionalFormatting sqref="E76">
    <cfRule type="cellIs" priority="4" dxfId="408" operator="greaterThan" stopIfTrue="1">
      <formula>$E$73/0.95-$E$73</formula>
    </cfRule>
  </conditionalFormatting>
  <conditionalFormatting sqref="E36">
    <cfRule type="cellIs" priority="5" dxfId="408" operator="greaterThan" stopIfTrue="1">
      <formula>$E$33/0.95-$E$33</formula>
    </cfRule>
  </conditionalFormatting>
  <conditionalFormatting sqref="E31">
    <cfRule type="cellIs" priority="6" dxfId="408" operator="greaterThan" stopIfTrue="1">
      <formula>$E$33*0.1</formula>
    </cfRule>
  </conditionalFormatting>
  <conditionalFormatting sqref="C74 C34">
    <cfRule type="cellIs" priority="7" dxfId="2" operator="lessThan" stopIfTrue="1">
      <formula>0</formula>
    </cfRule>
  </conditionalFormatting>
  <conditionalFormatting sqref="C73">
    <cfRule type="cellIs" priority="8" dxfId="2" operator="greaterThan" stopIfTrue="1">
      <formula>$C$75</formula>
    </cfRule>
  </conditionalFormatting>
  <conditionalFormatting sqref="D73">
    <cfRule type="cellIs" priority="9" dxfId="2" operator="greaterThan" stopIfTrue="1">
      <formula>$D$75</formula>
    </cfRule>
  </conditionalFormatting>
  <conditionalFormatting sqref="C71">
    <cfRule type="cellIs" priority="10" dxfId="2" operator="greaterThan" stopIfTrue="1">
      <formula>$C$73*0.1</formula>
    </cfRule>
  </conditionalFormatting>
  <conditionalFormatting sqref="D71">
    <cfRule type="cellIs" priority="11" dxfId="2" operator="greaterThan" stopIfTrue="1">
      <formula>$D$73*0.1</formula>
    </cfRule>
  </conditionalFormatting>
  <conditionalFormatting sqref="E58">
    <cfRule type="cellIs" priority="12" dxfId="408" operator="greaterThan" stopIfTrue="1">
      <formula>$E$60*0.1+E80</formula>
    </cfRule>
  </conditionalFormatting>
  <conditionalFormatting sqref="C58">
    <cfRule type="cellIs" priority="13" dxfId="2" operator="greaterThan" stopIfTrue="1">
      <formula>$C$60*0.1</formula>
    </cfRule>
  </conditionalFormatting>
  <conditionalFormatting sqref="D58">
    <cfRule type="cellIs" priority="14" dxfId="2" operator="greaterThan" stopIfTrue="1">
      <formula>$D$60*0.1</formula>
    </cfRule>
  </conditionalFormatting>
  <conditionalFormatting sqref="C33">
    <cfRule type="cellIs" priority="15" dxfId="2" operator="greaterThan" stopIfTrue="1">
      <formula>$C$35</formula>
    </cfRule>
  </conditionalFormatting>
  <conditionalFormatting sqref="D33">
    <cfRule type="cellIs" priority="16" dxfId="2" operator="greaterThan" stopIfTrue="1">
      <formula>$D$35</formula>
    </cfRule>
  </conditionalFormatting>
  <conditionalFormatting sqref="C31">
    <cfRule type="cellIs" priority="17" dxfId="2" operator="greaterThan" stopIfTrue="1">
      <formula>$C$33*0.1</formula>
    </cfRule>
  </conditionalFormatting>
  <conditionalFormatting sqref="D31">
    <cfRule type="cellIs" priority="18" dxfId="2" operator="greaterThan" stopIfTrue="1">
      <formula>$D$33*0.1</formula>
    </cfRule>
  </conditionalFormatting>
  <conditionalFormatting sqref="E18">
    <cfRule type="cellIs" priority="19" dxfId="408" operator="greaterThan" stopIfTrue="1">
      <formula>$E$20*0.1+E40</formula>
    </cfRule>
  </conditionalFormatting>
  <conditionalFormatting sqref="C18">
    <cfRule type="cellIs" priority="20" dxfId="2" operator="greaterThan" stopIfTrue="1">
      <formula>$C$20*0.1</formula>
    </cfRule>
  </conditionalFormatting>
  <conditionalFormatting sqref="D18">
    <cfRule type="cellIs" priority="21" dxfId="2" operator="greaterThan" stopIfTrue="1">
      <formula>$D$20*0.1</formula>
    </cfRule>
  </conditionalFormatting>
  <conditionalFormatting sqref="D34 D74">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3" r:id="rId1"/>
  <headerFooter alignWithMargins="0">
    <oddHeader>&amp;RState of Kansas
County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K94"/>
  <sheetViews>
    <sheetView zoomScalePageLayoutView="0" workbookViewId="0" topLeftCell="A37">
      <selection activeCell="E24" sqref="E24"/>
    </sheetView>
  </sheetViews>
  <sheetFormatPr defaultColWidth="8.796875" defaultRowHeight="15"/>
  <cols>
    <col min="1" max="1" width="2.3984375" style="50" customWidth="1"/>
    <col min="2" max="2" width="31.09765625" style="50" customWidth="1"/>
    <col min="3" max="4" width="15.796875" style="50" customWidth="1"/>
    <col min="5" max="5" width="16.09765625" style="50" customWidth="1"/>
    <col min="6" max="6" width="7.3984375" style="50" customWidth="1"/>
    <col min="7" max="7" width="10.19921875" style="50" customWidth="1"/>
    <col min="8" max="8" width="8.8984375" style="50" customWidth="1"/>
    <col min="9" max="9" width="5" style="50" customWidth="1"/>
    <col min="10" max="10" width="10" style="50" customWidth="1"/>
    <col min="11" max="16384" width="8.8984375" style="50" customWidth="1"/>
  </cols>
  <sheetData>
    <row r="1" spans="2:5" ht="15.75">
      <c r="B1" s="201" t="str">
        <f>(inputPrYr!C2)</f>
        <v>Marshall County</v>
      </c>
      <c r="C1" s="62"/>
      <c r="D1" s="62"/>
      <c r="E1" s="255">
        <f>inputPrYr!C4</f>
        <v>2015</v>
      </c>
    </row>
    <row r="2" spans="2:5" ht="15.75">
      <c r="B2" s="62"/>
      <c r="C2" s="62"/>
      <c r="D2" s="62"/>
      <c r="E2" s="208"/>
    </row>
    <row r="3" spans="2:5" ht="15.75">
      <c r="B3" s="127" t="s">
        <v>239</v>
      </c>
      <c r="C3" s="302"/>
      <c r="D3" s="302"/>
      <c r="E3" s="303"/>
    </row>
    <row r="4" spans="2:5" ht="15.75">
      <c r="B4" s="61" t="s">
        <v>157</v>
      </c>
      <c r="C4" s="666" t="s">
        <v>812</v>
      </c>
      <c r="D4" s="667" t="s">
        <v>813</v>
      </c>
      <c r="E4" s="188" t="s">
        <v>814</v>
      </c>
    </row>
    <row r="5" spans="2:5" ht="15.75">
      <c r="B5" s="447" t="str">
        <f>inputPrYr!B29</f>
        <v>Extension Council</v>
      </c>
      <c r="C5" s="420" t="str">
        <f>CONCATENATE("Actual for ",E1-2,"")</f>
        <v>Actual for 2013</v>
      </c>
      <c r="D5" s="420" t="str">
        <f>CONCATENATE("Estimate for ",E1-1,"")</f>
        <v>Estimate for 2014</v>
      </c>
      <c r="E5" s="271" t="str">
        <f>CONCATENATE("Year for ",E1,"")</f>
        <v>Year for 2015</v>
      </c>
    </row>
    <row r="6" spans="2:5" ht="15.75">
      <c r="B6" s="123" t="s">
        <v>272</v>
      </c>
      <c r="C6" s="417">
        <v>1273</v>
      </c>
      <c r="D6" s="421">
        <f>C34</f>
        <v>1658</v>
      </c>
      <c r="E6" s="234">
        <f>D34</f>
        <v>682</v>
      </c>
    </row>
    <row r="7" spans="2:5" ht="15.75">
      <c r="B7" s="259" t="s">
        <v>274</v>
      </c>
      <c r="C7" s="274"/>
      <c r="D7" s="274"/>
      <c r="E7" s="102"/>
    </row>
    <row r="8" spans="2:5" ht="15.75">
      <c r="B8" s="123" t="s">
        <v>158</v>
      </c>
      <c r="C8" s="417">
        <v>142690</v>
      </c>
      <c r="D8" s="421">
        <f>IF(inputPrYr!H29&gt;0,inputPrYr!H29,inputPrYr!E29)</f>
        <v>146590</v>
      </c>
      <c r="E8" s="306" t="s">
        <v>145</v>
      </c>
    </row>
    <row r="9" spans="2:5" ht="15.75">
      <c r="B9" s="123" t="s">
        <v>159</v>
      </c>
      <c r="C9" s="417">
        <v>1056</v>
      </c>
      <c r="D9" s="417"/>
      <c r="E9" s="87"/>
    </row>
    <row r="10" spans="2:5" ht="15.75">
      <c r="B10" s="123" t="s">
        <v>160</v>
      </c>
      <c r="C10" s="417">
        <v>13131</v>
      </c>
      <c r="D10" s="417">
        <v>13560</v>
      </c>
      <c r="E10" s="234">
        <f>mvalloc!E20</f>
        <v>13469</v>
      </c>
    </row>
    <row r="11" spans="2:5" ht="15.75">
      <c r="B11" s="123" t="s">
        <v>161</v>
      </c>
      <c r="C11" s="417">
        <v>202</v>
      </c>
      <c r="D11" s="417">
        <v>221</v>
      </c>
      <c r="E11" s="234">
        <f>mvalloc!F20</f>
        <v>196</v>
      </c>
    </row>
    <row r="12" spans="2:5" ht="15.75">
      <c r="B12" s="274" t="s">
        <v>230</v>
      </c>
      <c r="C12" s="417">
        <v>1768</v>
      </c>
      <c r="D12" s="417">
        <v>1879</v>
      </c>
      <c r="E12" s="234">
        <f>mvalloc!G20</f>
        <v>804</v>
      </c>
    </row>
    <row r="13" spans="2:5" ht="15.75">
      <c r="B13" s="287"/>
      <c r="C13" s="417"/>
      <c r="D13" s="417"/>
      <c r="E13" s="87"/>
    </row>
    <row r="14" spans="2:5" ht="15.75">
      <c r="B14" s="287"/>
      <c r="C14" s="417"/>
      <c r="D14" s="417"/>
      <c r="E14" s="87"/>
    </row>
    <row r="15" spans="2:5" ht="15.75">
      <c r="B15" s="287"/>
      <c r="C15" s="417"/>
      <c r="D15" s="417"/>
      <c r="E15" s="87"/>
    </row>
    <row r="16" spans="2:5" ht="15.75">
      <c r="B16" s="287"/>
      <c r="C16" s="417"/>
      <c r="D16" s="417"/>
      <c r="E16" s="87"/>
    </row>
    <row r="17" spans="2:5" ht="15.75">
      <c r="B17" s="277" t="s">
        <v>165</v>
      </c>
      <c r="C17" s="417"/>
      <c r="D17" s="417"/>
      <c r="E17" s="87"/>
    </row>
    <row r="18" spans="2:5" ht="15.75">
      <c r="B18" s="278" t="s">
        <v>72</v>
      </c>
      <c r="C18" s="417"/>
      <c r="D18" s="417"/>
      <c r="E18" s="87"/>
    </row>
    <row r="19" spans="2:5" ht="15.75">
      <c r="B19" s="278" t="s">
        <v>73</v>
      </c>
      <c r="C19" s="418">
        <f>IF(C20*0.1&lt;C18,"Exceed 10% Rule","")</f>
      </c>
      <c r="D19" s="418">
        <f>IF(D20*0.1&lt;D18,"Exceed 10% Rule","")</f>
      </c>
      <c r="E19" s="313">
        <f>IF(E20*0.1+E40&lt;E18,"Exceed 10% Rule","")</f>
      </c>
    </row>
    <row r="20" spans="2:5" ht="15.75">
      <c r="B20" s="280" t="s">
        <v>166</v>
      </c>
      <c r="C20" s="419">
        <f>SUM(C8:C18)</f>
        <v>158847</v>
      </c>
      <c r="D20" s="419">
        <f>SUM(D8:D18)</f>
        <v>162250</v>
      </c>
      <c r="E20" s="321">
        <f>SUM(E8:E18)</f>
        <v>14469</v>
      </c>
    </row>
    <row r="21" spans="2:5" ht="15.75">
      <c r="B21" s="280" t="s">
        <v>167</v>
      </c>
      <c r="C21" s="419">
        <f>C6+C20</f>
        <v>160120</v>
      </c>
      <c r="D21" s="419">
        <f>D6+D20</f>
        <v>163908</v>
      </c>
      <c r="E21" s="321">
        <f>E6+E20</f>
        <v>15151</v>
      </c>
    </row>
    <row r="22" spans="2:5" ht="15.75">
      <c r="B22" s="123" t="s">
        <v>170</v>
      </c>
      <c r="C22" s="278"/>
      <c r="D22" s="278"/>
      <c r="E22" s="83"/>
    </row>
    <row r="23" spans="2:5" ht="15.75">
      <c r="B23" s="287" t="s">
        <v>1021</v>
      </c>
      <c r="C23" s="417">
        <v>155300</v>
      </c>
      <c r="D23" s="417">
        <v>160500</v>
      </c>
      <c r="E23" s="87">
        <v>146500</v>
      </c>
    </row>
    <row r="24" spans="2:10" ht="15.75">
      <c r="B24" s="287"/>
      <c r="C24" s="417"/>
      <c r="D24" s="417"/>
      <c r="E24" s="87"/>
      <c r="G24" s="832" t="str">
        <f>CONCATENATE("Desired Carryover Into ",E1+1,"")</f>
        <v>Desired Carryover Into 2016</v>
      </c>
      <c r="H24" s="833"/>
      <c r="I24" s="833"/>
      <c r="J24" s="804"/>
    </row>
    <row r="25" spans="2:10" ht="15.75">
      <c r="B25" s="287"/>
      <c r="C25" s="417"/>
      <c r="D25" s="417"/>
      <c r="E25" s="87"/>
      <c r="G25" s="613"/>
      <c r="H25" s="614"/>
      <c r="I25" s="615"/>
      <c r="J25" s="616"/>
    </row>
    <row r="26" spans="2:10" ht="15.75">
      <c r="B26" s="287"/>
      <c r="C26" s="417"/>
      <c r="D26" s="417"/>
      <c r="E26" s="87"/>
      <c r="G26" s="617" t="s">
        <v>660</v>
      </c>
      <c r="H26" s="615"/>
      <c r="I26" s="615"/>
      <c r="J26" s="618">
        <v>0</v>
      </c>
    </row>
    <row r="27" spans="2:10" ht="15.75">
      <c r="B27" s="287"/>
      <c r="C27" s="417"/>
      <c r="D27" s="417"/>
      <c r="E27" s="87"/>
      <c r="G27" s="613" t="s">
        <v>661</v>
      </c>
      <c r="H27" s="614"/>
      <c r="I27" s="614"/>
      <c r="J27" s="619">
        <f>IF(J26=0,"",ROUND((J26+E40-G39)/inputOth!E6*1000,3)-G44)</f>
      </c>
    </row>
    <row r="28" spans="2:10" ht="15.75">
      <c r="B28" s="287"/>
      <c r="C28" s="417"/>
      <c r="D28" s="417"/>
      <c r="E28" s="87"/>
      <c r="G28" s="620" t="str">
        <f>CONCATENATE("",E1," Tot Exp/Non-Appr Must Be:")</f>
        <v>2015 Tot Exp/Non-Appr Must Be:</v>
      </c>
      <c r="H28" s="621"/>
      <c r="I28" s="622"/>
      <c r="J28" s="623">
        <f>IF(J26&gt;0,IF(E37&lt;E21,IF(J26=G39,E37,((J26-G39)*(1-D39))+E21),E37+(J26-G39)),0)</f>
        <v>0</v>
      </c>
    </row>
    <row r="29" spans="2:10" ht="15.75">
      <c r="B29" s="287"/>
      <c r="C29" s="417"/>
      <c r="D29" s="417"/>
      <c r="E29" s="87"/>
      <c r="G29" s="624" t="s">
        <v>810</v>
      </c>
      <c r="H29" s="625"/>
      <c r="I29" s="625"/>
      <c r="J29" s="626">
        <f>IF(J26&gt;0,J28-E37,0)</f>
        <v>0</v>
      </c>
    </row>
    <row r="30" spans="2:10" ht="15.75">
      <c r="B30" s="278" t="s">
        <v>74</v>
      </c>
      <c r="C30" s="417">
        <v>3162</v>
      </c>
      <c r="D30" s="417">
        <v>2726</v>
      </c>
      <c r="E30" s="95">
        <f>Nhood!E19</f>
        <v>2053</v>
      </c>
      <c r="G30" s="1"/>
      <c r="H30" s="1"/>
      <c r="I30" s="1"/>
      <c r="J30" s="1"/>
    </row>
    <row r="31" spans="2:10" ht="15.75">
      <c r="B31" s="278" t="s">
        <v>72</v>
      </c>
      <c r="C31" s="417"/>
      <c r="D31" s="417"/>
      <c r="E31" s="87"/>
      <c r="G31" s="832" t="str">
        <f>CONCATENATE("Projected Carryover Into ",E1+1,"")</f>
        <v>Projected Carryover Into 2016</v>
      </c>
      <c r="H31" s="838"/>
      <c r="I31" s="838"/>
      <c r="J31" s="839"/>
    </row>
    <row r="32" spans="2:10" ht="15.75">
      <c r="B32" s="278" t="s">
        <v>75</v>
      </c>
      <c r="C32" s="418">
        <f>IF(C33*0.1&lt;C31,"Exceed 10% Rule","")</f>
      </c>
      <c r="D32" s="418">
        <f>IF(D33*0.1&lt;D31,"Exceed 10% Rule","")</f>
      </c>
      <c r="E32" s="313">
        <f>IF(E33*0.1&lt;E31,"Exceed 10% Rule","")</f>
      </c>
      <c r="G32" s="613"/>
      <c r="H32" s="615"/>
      <c r="I32" s="615"/>
      <c r="J32" s="641"/>
    </row>
    <row r="33" spans="2:10" ht="15.75">
      <c r="B33" s="280" t="s">
        <v>171</v>
      </c>
      <c r="C33" s="419">
        <f>SUM(C23:C31)</f>
        <v>158462</v>
      </c>
      <c r="D33" s="419">
        <f>SUM(D23:D31)</f>
        <v>163226</v>
      </c>
      <c r="E33" s="321">
        <f>SUM(E23:E31)</f>
        <v>148553</v>
      </c>
      <c r="G33" s="642">
        <f>D34</f>
        <v>682</v>
      </c>
      <c r="H33" s="632" t="str">
        <f>CONCATENATE("",E1-1," Ending Cash Balance (est.)")</f>
        <v>2014 Ending Cash Balance (est.)</v>
      </c>
      <c r="I33" s="643"/>
      <c r="J33" s="641"/>
    </row>
    <row r="34" spans="2:10" ht="15.75">
      <c r="B34" s="123" t="s">
        <v>273</v>
      </c>
      <c r="C34" s="422">
        <f>C21-C33</f>
        <v>1658</v>
      </c>
      <c r="D34" s="422">
        <f>D21-D33</f>
        <v>682</v>
      </c>
      <c r="E34" s="306" t="s">
        <v>145</v>
      </c>
      <c r="G34" s="642">
        <f>E20</f>
        <v>14469</v>
      </c>
      <c r="H34" s="615" t="str">
        <f>CONCATENATE("",E1," Non-AV Receipts (est.)")</f>
        <v>2015 Non-AV Receipts (est.)</v>
      </c>
      <c r="I34" s="643"/>
      <c r="J34" s="641"/>
    </row>
    <row r="35" spans="2:11" ht="15.75">
      <c r="B35" s="270" t="str">
        <f>CONCATENATE("",E1-2,"/",E1-1,"/",E1," Budget Authority Amount:")</f>
        <v>2013/2014/2015 Budget Authority Amount:</v>
      </c>
      <c r="C35" s="308">
        <f>inputOth!B43</f>
        <v>158833</v>
      </c>
      <c r="D35" s="308">
        <f>inputPrYr!D29</f>
        <v>163226</v>
      </c>
      <c r="E35" s="234">
        <f>E33</f>
        <v>148553</v>
      </c>
      <c r="F35" s="289"/>
      <c r="G35" s="644">
        <f>IF(E39&gt;0,E38,E40)</f>
        <v>133402</v>
      </c>
      <c r="H35" s="615" t="str">
        <f>CONCATENATE("",E1," Ad Valorem Tax (est.)")</f>
        <v>2015 Ad Valorem Tax (est.)</v>
      </c>
      <c r="I35" s="643"/>
      <c r="J35" s="641"/>
      <c r="K35" s="629">
        <f>IF(G35=E40,"","Note: Does not include Delinquent Taxes")</f>
      </c>
    </row>
    <row r="36" spans="2:10" ht="15.75">
      <c r="B36" s="256"/>
      <c r="C36" s="822" t="s">
        <v>657</v>
      </c>
      <c r="D36" s="823"/>
      <c r="E36" s="87"/>
      <c r="F36" s="465">
        <f>IF(E33/0.95-E33&lt;E36,"Exceeds 5%","")</f>
      </c>
      <c r="G36" s="642">
        <f>SUM(G33:G35)</f>
        <v>148553</v>
      </c>
      <c r="H36" s="615" t="str">
        <f>CONCATENATE("Total ",E1," Resources Available")</f>
        <v>Total 2015 Resources Available</v>
      </c>
      <c r="I36" s="643"/>
      <c r="J36" s="641"/>
    </row>
    <row r="37" spans="2:10" ht="15.75">
      <c r="B37" s="469" t="str">
        <f>CONCATENATE(C91,"     ",D91)</f>
        <v>     </v>
      </c>
      <c r="C37" s="824" t="s">
        <v>658</v>
      </c>
      <c r="D37" s="825"/>
      <c r="E37" s="234">
        <f>E33+E36</f>
        <v>148553</v>
      </c>
      <c r="G37" s="645"/>
      <c r="H37" s="615"/>
      <c r="I37" s="615"/>
      <c r="J37" s="641"/>
    </row>
    <row r="38" spans="2:10" ht="15.75">
      <c r="B38" s="469" t="str">
        <f>CONCATENATE(C92,"     ",D92)</f>
        <v>     </v>
      </c>
      <c r="C38" s="290"/>
      <c r="D38" s="208" t="s">
        <v>172</v>
      </c>
      <c r="E38" s="95">
        <f>IF(E37-E21&gt;0,E37-E21,0)</f>
        <v>133402</v>
      </c>
      <c r="G38" s="644">
        <f>ROUND(C33*0.05+C33,0)</f>
        <v>166385</v>
      </c>
      <c r="H38" s="615" t="str">
        <f>CONCATENATE("Less ",E1-2," Expenditures + 5%")</f>
        <v>Less 2013 Expenditures + 5%</v>
      </c>
      <c r="I38" s="643"/>
      <c r="J38" s="646"/>
    </row>
    <row r="39" spans="2:10" ht="15.75">
      <c r="B39" s="208"/>
      <c r="C39" s="467" t="s">
        <v>659</v>
      </c>
      <c r="D39" s="612">
        <f>inputOth!$E$23</f>
        <v>0</v>
      </c>
      <c r="E39" s="234">
        <f>ROUND(IF(D39&gt;0,($E$38*D39),0),0)</f>
        <v>0</v>
      </c>
      <c r="G39" s="647">
        <f>G36-G38</f>
        <v>-17832</v>
      </c>
      <c r="H39" s="648" t="str">
        <f>CONCATENATE("Projected ",E1+1," carryover (est.)")</f>
        <v>Projected 2016 carryover (est.)</v>
      </c>
      <c r="I39" s="649"/>
      <c r="J39" s="650"/>
    </row>
    <row r="40" spans="2:10" ht="15.75">
      <c r="B40" s="62"/>
      <c r="C40" s="830" t="str">
        <f>CONCATENATE("Amount of  ",$E$1-1," Ad Valorem Tax")</f>
        <v>Amount of  2014 Ad Valorem Tax</v>
      </c>
      <c r="D40" s="831"/>
      <c r="E40" s="317">
        <f>E38+E39</f>
        <v>133402</v>
      </c>
      <c r="G40" s="1"/>
      <c r="H40" s="1"/>
      <c r="I40" s="1"/>
      <c r="J40" s="1"/>
    </row>
    <row r="41" spans="2:10" ht="15.75">
      <c r="B41" s="62"/>
      <c r="C41" s="296"/>
      <c r="D41" s="296"/>
      <c r="E41" s="296"/>
      <c r="G41" s="834" t="s">
        <v>811</v>
      </c>
      <c r="H41" s="835"/>
      <c r="I41" s="835"/>
      <c r="J41" s="836"/>
    </row>
    <row r="42" spans="2:10" ht="15.75">
      <c r="B42" s="61" t="s">
        <v>157</v>
      </c>
      <c r="C42" s="666" t="str">
        <f aca="true" t="shared" si="0" ref="C42:E43">C4</f>
        <v>Prior Year </v>
      </c>
      <c r="D42" s="667" t="str">
        <f t="shared" si="0"/>
        <v>Current Year </v>
      </c>
      <c r="E42" s="188" t="str">
        <f t="shared" si="0"/>
        <v>Proposed Budget </v>
      </c>
      <c r="G42" s="631"/>
      <c r="H42" s="632"/>
      <c r="I42" s="633"/>
      <c r="J42" s="634"/>
    </row>
    <row r="43" spans="2:10" ht="15.75">
      <c r="B43" s="446" t="str">
        <f>inputPrYr!B30</f>
        <v>Solid Waste</v>
      </c>
      <c r="C43" s="420" t="str">
        <f t="shared" si="0"/>
        <v>Actual for 2013</v>
      </c>
      <c r="D43" s="420" t="str">
        <f t="shared" si="0"/>
        <v>Estimate for 2014</v>
      </c>
      <c r="E43" s="271" t="str">
        <f t="shared" si="0"/>
        <v>Year for 2015</v>
      </c>
      <c r="G43" s="635">
        <f>summ!H29</f>
        <v>1.026</v>
      </c>
      <c r="H43" s="632" t="str">
        <f>CONCATENATE("",E1," Fund Mill Rate")</f>
        <v>2015 Fund Mill Rate</v>
      </c>
      <c r="I43" s="633"/>
      <c r="J43" s="634"/>
    </row>
    <row r="44" spans="2:10" ht="15.75">
      <c r="B44" s="123" t="s">
        <v>272</v>
      </c>
      <c r="C44" s="417">
        <v>383971</v>
      </c>
      <c r="D44" s="421">
        <f>C74</f>
        <v>356958</v>
      </c>
      <c r="E44" s="234">
        <f>D74</f>
        <v>214388</v>
      </c>
      <c r="G44" s="636">
        <f>summ!E29</f>
        <v>1.185</v>
      </c>
      <c r="H44" s="632" t="str">
        <f>CONCATENATE("",E1-1," Fund Mill Rate")</f>
        <v>2014 Fund Mill Rate</v>
      </c>
      <c r="I44" s="633"/>
      <c r="J44" s="634"/>
    </row>
    <row r="45" spans="2:10" ht="15.75">
      <c r="B45" s="272" t="s">
        <v>274</v>
      </c>
      <c r="C45" s="274"/>
      <c r="D45" s="274"/>
      <c r="E45" s="102"/>
      <c r="G45" s="637">
        <f>summ!H61</f>
        <v>51.98700000000003</v>
      </c>
      <c r="H45" s="632" t="str">
        <f>CONCATENATE("Total ",E1," Mill Rate")</f>
        <v>Total 2015 Mill Rate</v>
      </c>
      <c r="I45" s="633"/>
      <c r="J45" s="634"/>
    </row>
    <row r="46" spans="2:10" ht="15.75">
      <c r="B46" s="123" t="s">
        <v>158</v>
      </c>
      <c r="C46" s="417">
        <v>8</v>
      </c>
      <c r="D46" s="421">
        <f>IF(inputPrYr!H30&gt;0,inputPrYr!H30,inputPrYr!E30)</f>
        <v>0</v>
      </c>
      <c r="E46" s="306" t="s">
        <v>145</v>
      </c>
      <c r="G46" s="636">
        <f>summ!E61</f>
        <v>51.56499999999999</v>
      </c>
      <c r="H46" s="638" t="str">
        <f>CONCATENATE("Total ",E1-1," Mill Rate")</f>
        <v>Total 2014 Mill Rate</v>
      </c>
      <c r="I46" s="639"/>
      <c r="J46" s="640"/>
    </row>
    <row r="47" spans="2:10" ht="15.75">
      <c r="B47" s="123" t="s">
        <v>159</v>
      </c>
      <c r="C47" s="417">
        <v>403</v>
      </c>
      <c r="D47" s="417"/>
      <c r="E47" s="87"/>
      <c r="G47" s="1"/>
      <c r="H47" s="1"/>
      <c r="I47" s="1"/>
      <c r="J47" s="1"/>
    </row>
    <row r="48" spans="2:10" ht="15.75">
      <c r="B48" s="123" t="s">
        <v>160</v>
      </c>
      <c r="C48" s="417">
        <v>4457</v>
      </c>
      <c r="D48" s="417">
        <v>0</v>
      </c>
      <c r="E48" s="234" t="str">
        <f>mvalloc!E21</f>
        <v>  </v>
      </c>
      <c r="G48" s="736" t="s">
        <v>886</v>
      </c>
      <c r="H48" s="690"/>
      <c r="I48" s="689" t="str">
        <f>cert!E69</f>
        <v>Yes</v>
      </c>
      <c r="J48" s="1"/>
    </row>
    <row r="49" spans="2:10" ht="15.75">
      <c r="B49" s="123" t="s">
        <v>161</v>
      </c>
      <c r="C49" s="417">
        <v>66</v>
      </c>
      <c r="D49" s="417">
        <v>0</v>
      </c>
      <c r="E49" s="234" t="str">
        <f>mvalloc!F21</f>
        <v>  </v>
      </c>
      <c r="G49" s="1"/>
      <c r="H49" s="1"/>
      <c r="I49" s="1"/>
      <c r="J49" s="1"/>
    </row>
    <row r="50" spans="2:10" ht="15.75">
      <c r="B50" s="274" t="s">
        <v>230</v>
      </c>
      <c r="C50" s="417">
        <v>904</v>
      </c>
      <c r="D50" s="417">
        <v>0</v>
      </c>
      <c r="E50" s="234" t="str">
        <f>mvalloc!G21</f>
        <v>  </v>
      </c>
      <c r="G50" s="1"/>
      <c r="H50" s="1"/>
      <c r="I50" s="1"/>
      <c r="J50" s="1"/>
    </row>
    <row r="51" spans="2:10" ht="15.75">
      <c r="B51" s="287" t="s">
        <v>1052</v>
      </c>
      <c r="C51" s="417">
        <v>286903</v>
      </c>
      <c r="D51" s="417">
        <v>250000</v>
      </c>
      <c r="E51" s="87">
        <v>275000</v>
      </c>
      <c r="G51" s="1"/>
      <c r="H51" s="1"/>
      <c r="I51" s="1"/>
      <c r="J51" s="1"/>
    </row>
    <row r="52" spans="2:10" ht="15.75">
      <c r="B52" s="287"/>
      <c r="C52" s="417"/>
      <c r="D52" s="417"/>
      <c r="E52" s="87"/>
      <c r="G52" s="1"/>
      <c r="H52" s="1"/>
      <c r="I52" s="1"/>
      <c r="J52" s="1"/>
    </row>
    <row r="53" spans="2:10" ht="15.75">
      <c r="B53" s="287"/>
      <c r="C53" s="417"/>
      <c r="D53" s="417"/>
      <c r="E53" s="87"/>
      <c r="G53" s="1"/>
      <c r="H53" s="1"/>
      <c r="I53" s="1"/>
      <c r="J53" s="1"/>
    </row>
    <row r="54" spans="2:10" ht="15.75">
      <c r="B54" s="287"/>
      <c r="C54" s="417"/>
      <c r="D54" s="417"/>
      <c r="E54" s="87"/>
      <c r="G54" s="1"/>
      <c r="H54" s="1"/>
      <c r="I54" s="1"/>
      <c r="J54" s="1"/>
    </row>
    <row r="55" spans="2:10" ht="15.75">
      <c r="B55" s="287"/>
      <c r="C55" s="417"/>
      <c r="D55" s="417"/>
      <c r="E55" s="87"/>
      <c r="G55" s="1"/>
      <c r="H55" s="1"/>
      <c r="I55" s="1"/>
      <c r="J55" s="1"/>
    </row>
    <row r="56" spans="2:10" ht="15.75">
      <c r="B56" s="287"/>
      <c r="C56" s="417"/>
      <c r="D56" s="417"/>
      <c r="E56" s="87"/>
      <c r="G56" s="1"/>
      <c r="H56" s="1"/>
      <c r="I56" s="1"/>
      <c r="J56" s="1"/>
    </row>
    <row r="57" spans="2:10" ht="15.75">
      <c r="B57" s="277" t="s">
        <v>165</v>
      </c>
      <c r="C57" s="417"/>
      <c r="D57" s="417"/>
      <c r="E57" s="87"/>
      <c r="G57" s="1"/>
      <c r="H57" s="1"/>
      <c r="I57" s="1"/>
      <c r="J57" s="1"/>
    </row>
    <row r="58" spans="2:10" ht="15.75">
      <c r="B58" s="278" t="s">
        <v>72</v>
      </c>
      <c r="C58" s="417"/>
      <c r="D58" s="417"/>
      <c r="E58" s="87"/>
      <c r="G58" s="1"/>
      <c r="H58" s="1"/>
      <c r="I58" s="1"/>
      <c r="J58" s="1"/>
    </row>
    <row r="59" spans="2:10" ht="15.75">
      <c r="B59" s="278" t="s">
        <v>73</v>
      </c>
      <c r="C59" s="418">
        <f>IF(C60*0.1&lt;C58,"Exceed 10% Rule","")</f>
      </c>
      <c r="D59" s="418">
        <f>IF(D60*0.1&lt;D58,"Exceed 10% Rule","")</f>
      </c>
      <c r="E59" s="313">
        <f>IF(E60*0.1+E80&lt;E58,"Exceed 10% Rule","")</f>
      </c>
      <c r="G59" s="1"/>
      <c r="H59" s="1"/>
      <c r="I59" s="1"/>
      <c r="J59" s="1"/>
    </row>
    <row r="60" spans="2:10" ht="15.75">
      <c r="B60" s="280" t="s">
        <v>166</v>
      </c>
      <c r="C60" s="419">
        <f>SUM(C46:C58)</f>
        <v>292741</v>
      </c>
      <c r="D60" s="419">
        <f>SUM(D46:D58)</f>
        <v>250000</v>
      </c>
      <c r="E60" s="321">
        <f>SUM(E46:E58)</f>
        <v>275000</v>
      </c>
      <c r="G60" s="1"/>
      <c r="H60" s="1"/>
      <c r="I60" s="1"/>
      <c r="J60" s="1"/>
    </row>
    <row r="61" spans="2:10" ht="15.75">
      <c r="B61" s="280" t="s">
        <v>167</v>
      </c>
      <c r="C61" s="419">
        <f>C44+C60</f>
        <v>676712</v>
      </c>
      <c r="D61" s="419">
        <f>D44+D60</f>
        <v>606958</v>
      </c>
      <c r="E61" s="321">
        <f>E44+E60</f>
        <v>489388</v>
      </c>
      <c r="G61" s="1"/>
      <c r="H61" s="1"/>
      <c r="I61" s="1"/>
      <c r="J61" s="1"/>
    </row>
    <row r="62" spans="2:10" ht="15.75">
      <c r="B62" s="123" t="s">
        <v>170</v>
      </c>
      <c r="C62" s="278"/>
      <c r="D62" s="278"/>
      <c r="E62" s="83"/>
      <c r="G62" s="1"/>
      <c r="H62" s="1"/>
      <c r="I62" s="1"/>
      <c r="J62" s="1"/>
    </row>
    <row r="63" spans="2:10" ht="15.75">
      <c r="B63" s="287" t="s">
        <v>1038</v>
      </c>
      <c r="C63" s="417">
        <v>40452</v>
      </c>
      <c r="D63" s="417">
        <v>36720</v>
      </c>
      <c r="E63" s="87">
        <v>37320</v>
      </c>
      <c r="G63" s="1"/>
      <c r="H63" s="1"/>
      <c r="I63" s="1"/>
      <c r="J63" s="1"/>
    </row>
    <row r="64" spans="2:10" ht="15.75">
      <c r="B64" s="287" t="s">
        <v>1039</v>
      </c>
      <c r="C64" s="417">
        <v>28170</v>
      </c>
      <c r="D64" s="417">
        <v>336250</v>
      </c>
      <c r="E64" s="87">
        <v>336650</v>
      </c>
      <c r="G64" s="832" t="str">
        <f>CONCATENATE("Desired Carryover Into ",E1+1,"")</f>
        <v>Desired Carryover Into 2016</v>
      </c>
      <c r="H64" s="833"/>
      <c r="I64" s="833"/>
      <c r="J64" s="804"/>
    </row>
    <row r="65" spans="2:10" ht="15.75">
      <c r="B65" s="287" t="s">
        <v>1040</v>
      </c>
      <c r="C65" s="417">
        <v>10722</v>
      </c>
      <c r="D65" s="417">
        <v>17100</v>
      </c>
      <c r="E65" s="87">
        <v>16700</v>
      </c>
      <c r="G65" s="613"/>
      <c r="H65" s="614"/>
      <c r="I65" s="615"/>
      <c r="J65" s="616"/>
    </row>
    <row r="66" spans="2:10" ht="15.75">
      <c r="B66" s="287" t="s">
        <v>1041</v>
      </c>
      <c r="C66" s="417">
        <v>2589</v>
      </c>
      <c r="D66" s="417">
        <v>2500</v>
      </c>
      <c r="E66" s="87">
        <v>2500</v>
      </c>
      <c r="G66" s="617" t="s">
        <v>660</v>
      </c>
      <c r="H66" s="615"/>
      <c r="I66" s="615"/>
      <c r="J66" s="618">
        <v>0</v>
      </c>
    </row>
    <row r="67" spans="2:10" ht="15.75">
      <c r="B67" s="287" t="s">
        <v>1053</v>
      </c>
      <c r="C67" s="417">
        <v>237821</v>
      </c>
      <c r="D67" s="417"/>
      <c r="E67" s="87"/>
      <c r="G67" s="613" t="s">
        <v>661</v>
      </c>
      <c r="H67" s="614"/>
      <c r="I67" s="614"/>
      <c r="J67" s="619">
        <f>IF(J66=0,"",ROUND((J66+E80-G79)/inputOth!E6*1000,3)-G84)</f>
      </c>
    </row>
    <row r="68" spans="2:10" ht="15.75">
      <c r="B68" s="287"/>
      <c r="C68" s="417"/>
      <c r="D68" s="417"/>
      <c r="E68" s="87"/>
      <c r="G68" s="620" t="str">
        <f>CONCATENATE("",E1," Tot Exp/Non-Appr Must Be:")</f>
        <v>2015 Tot Exp/Non-Appr Must Be:</v>
      </c>
      <c r="H68" s="621"/>
      <c r="I68" s="622"/>
      <c r="J68" s="623">
        <f>IF(J66&gt;0,IF(E77&lt;E61,IF(J66=G79,E77,((J66-G79)*(1-D79))+E61),E77+(J66-G79)),0)</f>
        <v>0</v>
      </c>
    </row>
    <row r="69" spans="2:10" ht="15.75">
      <c r="B69" s="287"/>
      <c r="C69" s="417"/>
      <c r="D69" s="417"/>
      <c r="E69" s="87"/>
      <c r="G69" s="624" t="s">
        <v>810</v>
      </c>
      <c r="H69" s="625"/>
      <c r="I69" s="625"/>
      <c r="J69" s="626">
        <f>IF(J66&gt;0,J68-E77,0)</f>
        <v>0</v>
      </c>
    </row>
    <row r="70" spans="2:10" ht="15.75">
      <c r="B70" s="278" t="s">
        <v>74</v>
      </c>
      <c r="C70" s="417"/>
      <c r="D70" s="417"/>
      <c r="E70" s="95">
        <f>Nhood!E20</f>
      </c>
      <c r="G70" s="1"/>
      <c r="H70" s="1"/>
      <c r="I70" s="1"/>
      <c r="J70" s="1"/>
    </row>
    <row r="71" spans="2:10" ht="15.75">
      <c r="B71" s="278" t="s">
        <v>72</v>
      </c>
      <c r="C71" s="417"/>
      <c r="D71" s="417"/>
      <c r="E71" s="87"/>
      <c r="G71" s="832" t="str">
        <f>CONCATENATE("Projected Carryover Into ",E1+1,"")</f>
        <v>Projected Carryover Into 2016</v>
      </c>
      <c r="H71" s="840"/>
      <c r="I71" s="840"/>
      <c r="J71" s="839"/>
    </row>
    <row r="72" spans="2:10" ht="15.75">
      <c r="B72" s="278" t="s">
        <v>75</v>
      </c>
      <c r="C72" s="418">
        <f>IF(C73*0.1&lt;C71,"Exceed 10% Rule","")</f>
      </c>
      <c r="D72" s="418">
        <f>IF(D73*0.1&lt;D71,"Exceed 10% Rule","")</f>
      </c>
      <c r="E72" s="313">
        <f>IF(E73*0.1&lt;E71,"Exceed 10% Rule","")</f>
      </c>
      <c r="G72" s="651"/>
      <c r="H72" s="614"/>
      <c r="I72" s="614"/>
      <c r="J72" s="646"/>
    </row>
    <row r="73" spans="2:10" ht="15.75">
      <c r="B73" s="280" t="s">
        <v>171</v>
      </c>
      <c r="C73" s="419">
        <f>SUM(C63:C71)</f>
        <v>319754</v>
      </c>
      <c r="D73" s="419">
        <f>SUM(D63:D71)</f>
        <v>392570</v>
      </c>
      <c r="E73" s="321">
        <f>SUM(E63:E71)</f>
        <v>393170</v>
      </c>
      <c r="G73" s="642">
        <f>D74</f>
        <v>214388</v>
      </c>
      <c r="H73" s="632" t="str">
        <f>CONCATENATE("",E1-1," Ending Cash Balance (est.)")</f>
        <v>2014 Ending Cash Balance (est.)</v>
      </c>
      <c r="I73" s="643"/>
      <c r="J73" s="646"/>
    </row>
    <row r="74" spans="2:10" ht="15.75">
      <c r="B74" s="123" t="s">
        <v>273</v>
      </c>
      <c r="C74" s="422">
        <f>C61-C73</f>
        <v>356958</v>
      </c>
      <c r="D74" s="422">
        <f>D61-D73</f>
        <v>214388</v>
      </c>
      <c r="E74" s="306" t="s">
        <v>145</v>
      </c>
      <c r="G74" s="642">
        <f>E60</f>
        <v>275000</v>
      </c>
      <c r="H74" s="615" t="str">
        <f>CONCATENATE("",E1," Non-AV Receipts (est.)")</f>
        <v>2015 Non-AV Receipts (est.)</v>
      </c>
      <c r="I74" s="643"/>
      <c r="J74" s="646"/>
    </row>
    <row r="75" spans="2:11" ht="15.75">
      <c r="B75" s="270" t="str">
        <f>CONCATENATE("",E1-2,"/",E1-1,"/",E1," Budget Authority Amount:")</f>
        <v>2013/2014/2015 Budget Authority Amount:</v>
      </c>
      <c r="C75" s="308">
        <f>inputOth!B44</f>
        <v>378870</v>
      </c>
      <c r="D75" s="308">
        <f>inputPrYr!D30</f>
        <v>392570</v>
      </c>
      <c r="E75" s="234">
        <f>E73</f>
        <v>393170</v>
      </c>
      <c r="F75" s="289"/>
      <c r="G75" s="644">
        <f>IF(E79&gt;0,E78,E80)</f>
        <v>0</v>
      </c>
      <c r="H75" s="615" t="str">
        <f>CONCATENATE("",E1," Ad Valorem Tax (est.)")</f>
        <v>2015 Ad Valorem Tax (est.)</v>
      </c>
      <c r="I75" s="643"/>
      <c r="J75" s="646"/>
      <c r="K75" s="629">
        <f>IF(G75=E80,"","Note: Does not include Delinquent Taxes")</f>
      </c>
    </row>
    <row r="76" spans="2:10" ht="15.75">
      <c r="B76" s="256"/>
      <c r="C76" s="822" t="s">
        <v>657</v>
      </c>
      <c r="D76" s="823"/>
      <c r="E76" s="87"/>
      <c r="F76" s="465">
        <f>IF(E73/0.95-E73&lt;E76,"Exceeds 5%","")</f>
      </c>
      <c r="G76" s="652">
        <f>SUM(G73:G75)</f>
        <v>489388</v>
      </c>
      <c r="H76" s="615" t="str">
        <f>CONCATENATE("Total ",E1," Resources Available")</f>
        <v>Total 2015 Resources Available</v>
      </c>
      <c r="I76" s="653"/>
      <c r="J76" s="646"/>
    </row>
    <row r="77" spans="2:10" ht="15.75">
      <c r="B77" s="468" t="str">
        <f>CONCATENATE(C93,"     ",D93)</f>
        <v>     </v>
      </c>
      <c r="C77" s="824" t="s">
        <v>658</v>
      </c>
      <c r="D77" s="825"/>
      <c r="E77" s="234">
        <f>E73+E76</f>
        <v>393170</v>
      </c>
      <c r="G77" s="654"/>
      <c r="H77" s="655"/>
      <c r="I77" s="614"/>
      <c r="J77" s="646"/>
    </row>
    <row r="78" spans="2:10" ht="15.75">
      <c r="B78" s="468" t="str">
        <f>CONCATENATE(C94,"     ",D94)</f>
        <v>     </v>
      </c>
      <c r="C78" s="290"/>
      <c r="D78" s="208" t="s">
        <v>172</v>
      </c>
      <c r="E78" s="95">
        <f>IF(E77-E61&gt;0,E77-E61,0)</f>
        <v>0</v>
      </c>
      <c r="G78" s="656">
        <f>ROUND(C73*0.05+C73,0)</f>
        <v>335742</v>
      </c>
      <c r="H78" s="615" t="str">
        <f>CONCATENATE("Less ",E1-2," Expenditures + 5%")</f>
        <v>Less 2013 Expenditures + 5%</v>
      </c>
      <c r="I78" s="653"/>
      <c r="J78" s="646"/>
    </row>
    <row r="79" spans="2:10" ht="15.75">
      <c r="B79" s="208"/>
      <c r="C79" s="467" t="s">
        <v>659</v>
      </c>
      <c r="D79" s="612">
        <f>inputOth!$E$23</f>
        <v>0</v>
      </c>
      <c r="E79" s="234">
        <f>ROUND(IF(D79&gt;0,($E$78*D79),0),0)</f>
        <v>0</v>
      </c>
      <c r="G79" s="657">
        <f>G76-G78</f>
        <v>153646</v>
      </c>
      <c r="H79" s="648" t="str">
        <f>CONCATENATE("Projected ",E1+1," carryover (est.)")</f>
        <v>Projected 2016 carryover (est.)</v>
      </c>
      <c r="I79" s="658"/>
      <c r="J79" s="659"/>
    </row>
    <row r="80" spans="2:10" ht="15.75">
      <c r="B80" s="62"/>
      <c r="C80" s="830" t="str">
        <f>CONCATENATE("Amount of  ",$E$1-1," Ad Valorem Tax")</f>
        <v>Amount of  2014 Ad Valorem Tax</v>
      </c>
      <c r="D80" s="831"/>
      <c r="E80" s="317">
        <f>E78+E79</f>
        <v>0</v>
      </c>
      <c r="G80" s="1"/>
      <c r="H80" s="1"/>
      <c r="I80" s="1"/>
      <c r="J80" s="1"/>
    </row>
    <row r="81" spans="2:10" ht="15.75">
      <c r="B81" s="256" t="s">
        <v>192</v>
      </c>
      <c r="C81" s="318">
        <v>15</v>
      </c>
      <c r="D81" s="62"/>
      <c r="E81" s="62"/>
      <c r="G81" s="834" t="s">
        <v>811</v>
      </c>
      <c r="H81" s="835"/>
      <c r="I81" s="835"/>
      <c r="J81" s="836"/>
    </row>
    <row r="82" spans="7:10" ht="15.75">
      <c r="G82" s="631"/>
      <c r="H82" s="632"/>
      <c r="I82" s="633"/>
      <c r="J82" s="634"/>
    </row>
    <row r="83" spans="7:10" ht="15.75">
      <c r="G83" s="635" t="str">
        <f>summ!H30</f>
        <v>  </v>
      </c>
      <c r="H83" s="632" t="str">
        <f>CONCATENATE("",E1," Fund Mill Rate")</f>
        <v>2015 Fund Mill Rate</v>
      </c>
      <c r="I83" s="633"/>
      <c r="J83" s="634"/>
    </row>
    <row r="84" spans="7:10" ht="15.75">
      <c r="G84" s="636" t="str">
        <f>summ!E30</f>
        <v>  </v>
      </c>
      <c r="H84" s="632" t="str">
        <f>CONCATENATE("",E1-1," Fund Mill Rate")</f>
        <v>2014 Fund Mill Rate</v>
      </c>
      <c r="I84" s="633"/>
      <c r="J84" s="634"/>
    </row>
    <row r="85" spans="7:10" ht="15.75">
      <c r="G85" s="637">
        <f>summ!H61</f>
        <v>51.98700000000003</v>
      </c>
      <c r="H85" s="632" t="str">
        <f>CONCATENATE("Total ",E1," Mill Rate")</f>
        <v>Total 2015 Mill Rate</v>
      </c>
      <c r="I85" s="633"/>
      <c r="J85" s="634"/>
    </row>
    <row r="86" spans="7:10" ht="15.75">
      <c r="G86" s="636">
        <f>summ!E61</f>
        <v>51.56499999999999</v>
      </c>
      <c r="H86" s="638" t="str">
        <f>CONCATENATE("Total ",E1-1," Mill Rate")</f>
        <v>Total 2014 Mill Rate</v>
      </c>
      <c r="I86" s="639"/>
      <c r="J86" s="640"/>
    </row>
    <row r="88" spans="7:9" ht="15.75">
      <c r="G88" s="737" t="s">
        <v>886</v>
      </c>
      <c r="H88" s="690"/>
      <c r="I88" s="689" t="str">
        <f>cert!E69</f>
        <v>Yes</v>
      </c>
    </row>
    <row r="91" spans="3:4" ht="15.75" hidden="1">
      <c r="C91" s="50">
        <f>IF(C33&gt;C35,"See Tab A","")</f>
      </c>
      <c r="D91" s="50">
        <f>IF(D33&gt;D35,"See Tab C","")</f>
      </c>
    </row>
    <row r="92" spans="3:4" ht="15.75" hidden="1">
      <c r="C92" s="50">
        <f>IF(C34&lt;0,"See Tab B","")</f>
      </c>
      <c r="D92" s="50">
        <f>IF(D34&lt;0,"See Tab D","")</f>
      </c>
    </row>
    <row r="93" spans="3:4" ht="15.75" hidden="1">
      <c r="C93" s="50">
        <f>IF(C73&gt;C75,"See Tab A","")</f>
      </c>
      <c r="D93" s="50">
        <f>IF(D73&gt;D75,"See Tab C","")</f>
      </c>
    </row>
    <row r="94" spans="3:4" ht="15.75" hidden="1">
      <c r="C94" s="50">
        <f>IF(C74&lt;0,"See Tab B","")</f>
      </c>
      <c r="D94" s="50">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1">
    <cfRule type="cellIs" priority="3" dxfId="408" operator="greaterThan" stopIfTrue="1">
      <formula>$E$73*0.1</formula>
    </cfRule>
  </conditionalFormatting>
  <conditionalFormatting sqref="E76">
    <cfRule type="cellIs" priority="4" dxfId="408" operator="greaterThan" stopIfTrue="1">
      <formula>$E$73/0.95-$E$73</formula>
    </cfRule>
  </conditionalFormatting>
  <conditionalFormatting sqref="E36">
    <cfRule type="cellIs" priority="5" dxfId="408" operator="greaterThan" stopIfTrue="1">
      <formula>$E$33/0.95-$E$33</formula>
    </cfRule>
  </conditionalFormatting>
  <conditionalFormatting sqref="E31">
    <cfRule type="cellIs" priority="6" dxfId="408" operator="greaterThan" stopIfTrue="1">
      <formula>$E$33*0.1</formula>
    </cfRule>
  </conditionalFormatting>
  <conditionalFormatting sqref="C74 C34">
    <cfRule type="cellIs" priority="7" dxfId="2" operator="lessThan" stopIfTrue="1">
      <formula>0</formula>
    </cfRule>
  </conditionalFormatting>
  <conditionalFormatting sqref="C73">
    <cfRule type="cellIs" priority="8" dxfId="2" operator="greaterThan" stopIfTrue="1">
      <formula>$C$75</formula>
    </cfRule>
  </conditionalFormatting>
  <conditionalFormatting sqref="D73">
    <cfRule type="cellIs" priority="9" dxfId="2" operator="greaterThan" stopIfTrue="1">
      <formula>$D$75</formula>
    </cfRule>
  </conditionalFormatting>
  <conditionalFormatting sqref="C71">
    <cfRule type="cellIs" priority="10" dxfId="2" operator="greaterThan" stopIfTrue="1">
      <formula>$C$73*0.1</formula>
    </cfRule>
  </conditionalFormatting>
  <conditionalFormatting sqref="D71">
    <cfRule type="cellIs" priority="11" dxfId="2" operator="greaterThan" stopIfTrue="1">
      <formula>$D$73*0.1</formula>
    </cfRule>
  </conditionalFormatting>
  <conditionalFormatting sqref="E58">
    <cfRule type="cellIs" priority="12" dxfId="408" operator="greaterThan" stopIfTrue="1">
      <formula>$E$60*0.1+E80</formula>
    </cfRule>
  </conditionalFormatting>
  <conditionalFormatting sqref="C58">
    <cfRule type="cellIs" priority="13" dxfId="2" operator="greaterThan" stopIfTrue="1">
      <formula>$C$60*0.1</formula>
    </cfRule>
  </conditionalFormatting>
  <conditionalFormatting sqref="D58">
    <cfRule type="cellIs" priority="14" dxfId="2" operator="greaterThan" stopIfTrue="1">
      <formula>$D$60*0.1</formula>
    </cfRule>
  </conditionalFormatting>
  <conditionalFormatting sqref="C33">
    <cfRule type="cellIs" priority="15" dxfId="2" operator="greaterThan" stopIfTrue="1">
      <formula>$C$35</formula>
    </cfRule>
  </conditionalFormatting>
  <conditionalFormatting sqref="D33">
    <cfRule type="cellIs" priority="16" dxfId="2" operator="greaterThan" stopIfTrue="1">
      <formula>$D$35</formula>
    </cfRule>
  </conditionalFormatting>
  <conditionalFormatting sqref="C31">
    <cfRule type="cellIs" priority="17" dxfId="2" operator="greaterThan" stopIfTrue="1">
      <formula>$C$33*0.1</formula>
    </cfRule>
  </conditionalFormatting>
  <conditionalFormatting sqref="D31">
    <cfRule type="cellIs" priority="18" dxfId="2" operator="greaterThan" stopIfTrue="1">
      <formula>$D$33*0.1</formula>
    </cfRule>
  </conditionalFormatting>
  <conditionalFormatting sqref="E18">
    <cfRule type="cellIs" priority="19" dxfId="408" operator="greaterThan" stopIfTrue="1">
      <formula>$E$20*0.1+E40</formula>
    </cfRule>
  </conditionalFormatting>
  <conditionalFormatting sqref="C18">
    <cfRule type="cellIs" priority="20" dxfId="2" operator="greaterThan" stopIfTrue="1">
      <formula>$C$20*0.1</formula>
    </cfRule>
  </conditionalFormatting>
  <conditionalFormatting sqref="D18">
    <cfRule type="cellIs" priority="21" dxfId="2" operator="greaterThan" stopIfTrue="1">
      <formula>$D$20*0.1</formula>
    </cfRule>
  </conditionalFormatting>
  <conditionalFormatting sqref="D34 D74">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3" r:id="rId1"/>
  <headerFooter alignWithMargins="0">
    <oddHeader>&amp;RState of Kansas
County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4"/>
  <sheetViews>
    <sheetView zoomScalePageLayoutView="0" workbookViewId="0" topLeftCell="A25">
      <selection activeCell="C28" sqref="C28"/>
    </sheetView>
  </sheetViews>
  <sheetFormatPr defaultColWidth="8.796875" defaultRowHeight="15"/>
  <cols>
    <col min="1" max="1" width="2.3984375" style="50" customWidth="1"/>
    <col min="2" max="2" width="31.09765625" style="50" customWidth="1"/>
    <col min="3" max="4" width="15.796875" style="50" customWidth="1"/>
    <col min="5" max="5" width="16.19921875" style="50" customWidth="1"/>
    <col min="6" max="6" width="7.3984375" style="50" customWidth="1"/>
    <col min="7" max="7" width="10.19921875" style="50" customWidth="1"/>
    <col min="8" max="8" width="8.8984375" style="50" customWidth="1"/>
    <col min="9" max="9" width="5" style="50" customWidth="1"/>
    <col min="10" max="10" width="10" style="50" customWidth="1"/>
    <col min="11" max="16384" width="8.8984375" style="50" customWidth="1"/>
  </cols>
  <sheetData>
    <row r="1" spans="2:5" ht="15.75">
      <c r="B1" s="201" t="str">
        <f>(inputPrYr!C2)</f>
        <v>Marshall County</v>
      </c>
      <c r="C1" s="62"/>
      <c r="D1" s="62"/>
      <c r="E1" s="255">
        <f>inputPrYr!C4</f>
        <v>2015</v>
      </c>
    </row>
    <row r="2" spans="2:5" ht="15.75">
      <c r="B2" s="62"/>
      <c r="C2" s="62"/>
      <c r="D2" s="62"/>
      <c r="E2" s="208"/>
    </row>
    <row r="3" spans="2:5" ht="15.75">
      <c r="B3" s="127" t="s">
        <v>239</v>
      </c>
      <c r="C3" s="302"/>
      <c r="D3" s="302"/>
      <c r="E3" s="303"/>
    </row>
    <row r="4" spans="2:5" ht="15.75">
      <c r="B4" s="61" t="s">
        <v>157</v>
      </c>
      <c r="C4" s="666" t="s">
        <v>812</v>
      </c>
      <c r="D4" s="667" t="s">
        <v>813</v>
      </c>
      <c r="E4" s="188" t="s">
        <v>814</v>
      </c>
    </row>
    <row r="5" spans="2:5" ht="15.75">
      <c r="B5" s="447" t="str">
        <f>inputPrYr!B31</f>
        <v>Ambulance</v>
      </c>
      <c r="C5" s="420" t="str">
        <f>CONCATENATE("Actual for ",E1-2,"")</f>
        <v>Actual for 2013</v>
      </c>
      <c r="D5" s="420" t="str">
        <f>CONCATENATE("Estimate for ",E1-1,"")</f>
        <v>Estimate for 2014</v>
      </c>
      <c r="E5" s="271" t="str">
        <f>CONCATENATE("Year for ",E1,"")</f>
        <v>Year for 2015</v>
      </c>
    </row>
    <row r="6" spans="2:5" ht="15.75">
      <c r="B6" s="123" t="s">
        <v>272</v>
      </c>
      <c r="C6" s="417">
        <v>1415</v>
      </c>
      <c r="D6" s="421">
        <f>C34</f>
        <v>7331</v>
      </c>
      <c r="E6" s="234">
        <f>D34</f>
        <v>6365</v>
      </c>
    </row>
    <row r="7" spans="2:5" ht="15.75">
      <c r="B7" s="259" t="s">
        <v>274</v>
      </c>
      <c r="C7" s="274"/>
      <c r="D7" s="274"/>
      <c r="E7" s="102"/>
    </row>
    <row r="8" spans="2:5" ht="15.75">
      <c r="B8" s="123" t="s">
        <v>158</v>
      </c>
      <c r="C8" s="417">
        <v>306837</v>
      </c>
      <c r="D8" s="421">
        <f>IF(inputPrYr!H31&gt;0,inputPrYr!H31,inputPrYr!E31)</f>
        <v>310635</v>
      </c>
      <c r="E8" s="306" t="s">
        <v>145</v>
      </c>
    </row>
    <row r="9" spans="2:5" ht="15.75">
      <c r="B9" s="123" t="s">
        <v>159</v>
      </c>
      <c r="C9" s="417">
        <v>2234</v>
      </c>
      <c r="D9" s="417"/>
      <c r="E9" s="87"/>
    </row>
    <row r="10" spans="2:5" ht="15.75">
      <c r="B10" s="123" t="s">
        <v>160</v>
      </c>
      <c r="C10" s="417">
        <v>27779</v>
      </c>
      <c r="D10" s="417">
        <v>29160</v>
      </c>
      <c r="E10" s="234">
        <f>mvalloc!E22</f>
        <v>28542</v>
      </c>
    </row>
    <row r="11" spans="2:5" ht="15.75">
      <c r="B11" s="123" t="s">
        <v>161</v>
      </c>
      <c r="C11" s="417">
        <v>427</v>
      </c>
      <c r="D11" s="417">
        <v>475</v>
      </c>
      <c r="E11" s="234">
        <f>mvalloc!F22</f>
        <v>415</v>
      </c>
    </row>
    <row r="12" spans="2:5" ht="15.75">
      <c r="B12" s="274" t="s">
        <v>230</v>
      </c>
      <c r="C12" s="417">
        <v>3935</v>
      </c>
      <c r="D12" s="417">
        <v>4041</v>
      </c>
      <c r="E12" s="234">
        <f>mvalloc!G22</f>
        <v>1705</v>
      </c>
    </row>
    <row r="13" spans="2:5" ht="15.75">
      <c r="B13" s="287"/>
      <c r="C13" s="417"/>
      <c r="D13" s="417"/>
      <c r="E13" s="87"/>
    </row>
    <row r="14" spans="2:5" ht="15.75">
      <c r="B14" s="287"/>
      <c r="C14" s="417"/>
      <c r="D14" s="417"/>
      <c r="E14" s="87"/>
    </row>
    <row r="15" spans="2:5" ht="15.75">
      <c r="B15" s="287"/>
      <c r="C15" s="417"/>
      <c r="D15" s="417"/>
      <c r="E15" s="87"/>
    </row>
    <row r="16" spans="2:5" ht="15.75">
      <c r="B16" s="287"/>
      <c r="C16" s="417"/>
      <c r="D16" s="417"/>
      <c r="E16" s="87"/>
    </row>
    <row r="17" spans="2:5" ht="15.75">
      <c r="B17" s="277" t="s">
        <v>165</v>
      </c>
      <c r="C17" s="417"/>
      <c r="D17" s="417"/>
      <c r="E17" s="87"/>
    </row>
    <row r="18" spans="2:5" ht="15.75">
      <c r="B18" s="278" t="s">
        <v>72</v>
      </c>
      <c r="C18" s="417"/>
      <c r="D18" s="417"/>
      <c r="E18" s="87"/>
    </row>
    <row r="19" spans="2:5" ht="15.75">
      <c r="B19" s="278" t="s">
        <v>654</v>
      </c>
      <c r="C19" s="418">
        <f>IF(C20*0.1&lt;C18,"Exceed 10% Rule","")</f>
      </c>
      <c r="D19" s="418">
        <f>IF(D20*0.1&lt;D18,"Exceed 10% Rule","")</f>
      </c>
      <c r="E19" s="313">
        <f>IF(E20*0.1+E40&lt;E18,"Exceed 10% Rule","")</f>
      </c>
    </row>
    <row r="20" spans="2:5" ht="15.75">
      <c r="B20" s="280" t="s">
        <v>166</v>
      </c>
      <c r="C20" s="419">
        <f>SUM(C8:C18)</f>
        <v>341212</v>
      </c>
      <c r="D20" s="419">
        <f>SUM(D8:D18)</f>
        <v>344311</v>
      </c>
      <c r="E20" s="321">
        <f>SUM(E8:E18)</f>
        <v>30662</v>
      </c>
    </row>
    <row r="21" spans="2:5" ht="15.75">
      <c r="B21" s="280" t="s">
        <v>167</v>
      </c>
      <c r="C21" s="419">
        <f>C6+C20</f>
        <v>342627</v>
      </c>
      <c r="D21" s="419">
        <f>D6+D20</f>
        <v>351642</v>
      </c>
      <c r="E21" s="321">
        <f>E6+E20</f>
        <v>37027</v>
      </c>
    </row>
    <row r="22" spans="2:5" ht="15.75">
      <c r="B22" s="123" t="s">
        <v>170</v>
      </c>
      <c r="C22" s="278"/>
      <c r="D22" s="278"/>
      <c r="E22" s="83"/>
    </row>
    <row r="23" spans="2:5" ht="15.75">
      <c r="B23" s="776" t="s">
        <v>1054</v>
      </c>
      <c r="C23" s="417">
        <v>31852</v>
      </c>
      <c r="D23" s="417">
        <v>32000</v>
      </c>
      <c r="E23" s="87">
        <v>32000</v>
      </c>
    </row>
    <row r="24" spans="2:10" ht="15.75">
      <c r="B24" s="776" t="s">
        <v>1055</v>
      </c>
      <c r="C24" s="417">
        <v>12000</v>
      </c>
      <c r="D24" s="417">
        <v>12000</v>
      </c>
      <c r="E24" s="87">
        <v>12000</v>
      </c>
      <c r="G24" s="832" t="str">
        <f>CONCATENATE("Desired Carryover Into ",E1+1,"")</f>
        <v>Desired Carryover Into 2016</v>
      </c>
      <c r="H24" s="833"/>
      <c r="I24" s="833"/>
      <c r="J24" s="804"/>
    </row>
    <row r="25" spans="2:10" ht="15.75">
      <c r="B25" s="776" t="s">
        <v>1056</v>
      </c>
      <c r="C25" s="417">
        <v>43500</v>
      </c>
      <c r="D25" s="417">
        <v>44000</v>
      </c>
      <c r="E25" s="87">
        <v>44000</v>
      </c>
      <c r="G25" s="613"/>
      <c r="H25" s="614"/>
      <c r="I25" s="615"/>
      <c r="J25" s="616"/>
    </row>
    <row r="26" spans="2:10" ht="15.75">
      <c r="B26" s="776" t="s">
        <v>1057</v>
      </c>
      <c r="C26" s="417">
        <v>216712</v>
      </c>
      <c r="D26" s="417">
        <v>226500</v>
      </c>
      <c r="E26" s="87">
        <v>240000</v>
      </c>
      <c r="G26" s="617" t="s">
        <v>660</v>
      </c>
      <c r="H26" s="615"/>
      <c r="I26" s="615"/>
      <c r="J26" s="618">
        <v>0</v>
      </c>
    </row>
    <row r="27" spans="2:10" ht="15.75">
      <c r="B27" s="776" t="s">
        <v>1058</v>
      </c>
      <c r="C27" s="417">
        <v>24432</v>
      </c>
      <c r="D27" s="417">
        <v>25000</v>
      </c>
      <c r="E27" s="87">
        <v>25000</v>
      </c>
      <c r="G27" s="613" t="s">
        <v>661</v>
      </c>
      <c r="H27" s="614"/>
      <c r="I27" s="614"/>
      <c r="J27" s="619">
        <f>IF(J26=0,"",ROUND((J26+E40-G39)/inputOth!E6*1000,3)-G44)</f>
      </c>
    </row>
    <row r="28" spans="2:10" ht="15.75">
      <c r="B28" s="287"/>
      <c r="C28" s="417"/>
      <c r="D28" s="417"/>
      <c r="E28" s="87"/>
      <c r="G28" s="620" t="str">
        <f>CONCATENATE("",E1," Tot Exp/Non-Appr Must Be:")</f>
        <v>2015 Tot Exp/Non-Appr Must Be:</v>
      </c>
      <c r="H28" s="621"/>
      <c r="I28" s="622"/>
      <c r="J28" s="623">
        <f>IF(J26&gt;0,IF(E37&lt;E21,IF(J26=G39,E37,((J26-G39)*(1-D39))+E21),E37+(J26-G39)),0)</f>
        <v>0</v>
      </c>
    </row>
    <row r="29" spans="2:10" ht="15.75">
      <c r="B29" s="287"/>
      <c r="C29" s="417"/>
      <c r="D29" s="417"/>
      <c r="E29" s="87"/>
      <c r="G29" s="624" t="s">
        <v>810</v>
      </c>
      <c r="H29" s="625"/>
      <c r="I29" s="625"/>
      <c r="J29" s="626">
        <f>IF(J26&gt;0,J28-E37,0)</f>
        <v>0</v>
      </c>
    </row>
    <row r="30" spans="2:10" ht="15.75">
      <c r="B30" s="278" t="s">
        <v>74</v>
      </c>
      <c r="C30" s="417">
        <v>6800</v>
      </c>
      <c r="D30" s="417">
        <v>5777</v>
      </c>
      <c r="E30" s="95">
        <f>Nhood!E21</f>
        <v>4977</v>
      </c>
      <c r="G30" s="1"/>
      <c r="H30" s="1"/>
      <c r="I30" s="1"/>
      <c r="J30" s="1"/>
    </row>
    <row r="31" spans="2:10" ht="15.75">
      <c r="B31" s="278" t="s">
        <v>72</v>
      </c>
      <c r="C31" s="417"/>
      <c r="D31" s="417"/>
      <c r="E31" s="87"/>
      <c r="G31" s="832" t="str">
        <f>CONCATENATE("Projected Carryover Into ",E1+1,"")</f>
        <v>Projected Carryover Into 2016</v>
      </c>
      <c r="H31" s="838"/>
      <c r="I31" s="838"/>
      <c r="J31" s="839"/>
    </row>
    <row r="32" spans="2:10" ht="15.75">
      <c r="B32" s="278" t="s">
        <v>653</v>
      </c>
      <c r="C32" s="418">
        <f>IF(C33*0.1&lt;C31,"Exceed 10% Rule","")</f>
      </c>
      <c r="D32" s="418">
        <f>IF(D33*0.1&lt;D31,"Exceed 10% Rule","")</f>
      </c>
      <c r="E32" s="313">
        <f>IF(E33*0.1&lt;E31,"Exceed 10% Rule","")</f>
      </c>
      <c r="G32" s="613"/>
      <c r="H32" s="615"/>
      <c r="I32" s="615"/>
      <c r="J32" s="641"/>
    </row>
    <row r="33" spans="2:10" ht="15.75">
      <c r="B33" s="280" t="s">
        <v>171</v>
      </c>
      <c r="C33" s="419">
        <f>SUM(C23:C31)</f>
        <v>335296</v>
      </c>
      <c r="D33" s="419">
        <f>SUM(D23:D31)</f>
        <v>345277</v>
      </c>
      <c r="E33" s="321">
        <f>SUM(E23:E31)</f>
        <v>357977</v>
      </c>
      <c r="G33" s="642">
        <f>D34</f>
        <v>6365</v>
      </c>
      <c r="H33" s="632" t="str">
        <f>CONCATENATE("",E1-1," Ending Cash Balance (est.)")</f>
        <v>2014 Ending Cash Balance (est.)</v>
      </c>
      <c r="I33" s="643"/>
      <c r="J33" s="641"/>
    </row>
    <row r="34" spans="2:10" ht="15.75">
      <c r="B34" s="123" t="s">
        <v>273</v>
      </c>
      <c r="C34" s="422">
        <f>C21-C33</f>
        <v>7331</v>
      </c>
      <c r="D34" s="422">
        <f>D21-D33</f>
        <v>6365</v>
      </c>
      <c r="E34" s="306" t="s">
        <v>145</v>
      </c>
      <c r="G34" s="642">
        <f>E20</f>
        <v>30662</v>
      </c>
      <c r="H34" s="615" t="str">
        <f>CONCATENATE("",E1," Non-AV Receipts (est.)")</f>
        <v>2015 Non-AV Receipts (est.)</v>
      </c>
      <c r="I34" s="643"/>
      <c r="J34" s="641"/>
    </row>
    <row r="35" spans="2:11" ht="15.75">
      <c r="B35" s="270" t="str">
        <f>CONCATENATE("",E1-2,"/",E1-1,"/",E1," Budget Authority Amount:")</f>
        <v>2013/2014/2015 Budget Authority Amount:</v>
      </c>
      <c r="C35" s="308">
        <f>inputOth!B45</f>
        <v>340377</v>
      </c>
      <c r="D35" s="308">
        <f>inputPrYr!D31</f>
        <v>345277</v>
      </c>
      <c r="E35" s="234">
        <f>E33</f>
        <v>357977</v>
      </c>
      <c r="F35" s="289"/>
      <c r="G35" s="644">
        <f>IF(E39&gt;0,E38,E40)</f>
        <v>320950</v>
      </c>
      <c r="H35" s="615" t="str">
        <f>CONCATENATE("",E1," Ad Valorem Tax (est.)")</f>
        <v>2015 Ad Valorem Tax (est.)</v>
      </c>
      <c r="I35" s="643"/>
      <c r="J35" s="641"/>
      <c r="K35" s="629">
        <f>IF(G35=E40,"","Note: Does not include Delinquent Taxes")</f>
      </c>
    </row>
    <row r="36" spans="2:10" ht="15.75">
      <c r="B36" s="256"/>
      <c r="C36" s="822" t="s">
        <v>657</v>
      </c>
      <c r="D36" s="823"/>
      <c r="E36" s="87"/>
      <c r="F36" s="465">
        <f>IF(E33/0.95-E33&lt;E36,"Exceeds 5%","")</f>
      </c>
      <c r="G36" s="642">
        <f>SUM(G33:G35)</f>
        <v>357977</v>
      </c>
      <c r="H36" s="615" t="str">
        <f>CONCATENATE("Total ",E1," Resources Available")</f>
        <v>Total 2015 Resources Available</v>
      </c>
      <c r="I36" s="643"/>
      <c r="J36" s="641"/>
    </row>
    <row r="37" spans="2:10" ht="15.75">
      <c r="B37" s="469" t="str">
        <f>CONCATENATE(C91,"     ",D91)</f>
        <v>     </v>
      </c>
      <c r="C37" s="824" t="s">
        <v>658</v>
      </c>
      <c r="D37" s="825"/>
      <c r="E37" s="234">
        <f>E33+E36</f>
        <v>357977</v>
      </c>
      <c r="G37" s="645"/>
      <c r="H37" s="615"/>
      <c r="I37" s="615"/>
      <c r="J37" s="641"/>
    </row>
    <row r="38" spans="2:10" ht="15.75">
      <c r="B38" s="469" t="str">
        <f>CONCATENATE(C92,"     ",D92)</f>
        <v>     </v>
      </c>
      <c r="C38" s="290"/>
      <c r="D38" s="208" t="s">
        <v>172</v>
      </c>
      <c r="E38" s="95">
        <f>IF(E37-E21&gt;0,E37-E21,0)</f>
        <v>320950</v>
      </c>
      <c r="G38" s="644">
        <f>ROUND(C33*0.05+C33,0)</f>
        <v>352061</v>
      </c>
      <c r="H38" s="615" t="str">
        <f>CONCATENATE("Less ",E1-2," Expenditures + 5%")</f>
        <v>Less 2013 Expenditures + 5%</v>
      </c>
      <c r="I38" s="643"/>
      <c r="J38" s="646"/>
    </row>
    <row r="39" spans="2:10" ht="15.75">
      <c r="B39" s="208"/>
      <c r="C39" s="467" t="s">
        <v>659</v>
      </c>
      <c r="D39" s="612">
        <f>inputOth!$E$23</f>
        <v>0</v>
      </c>
      <c r="E39" s="234">
        <f>ROUND(IF(D39&gt;0,($E$38*D39),0),0)</f>
        <v>0</v>
      </c>
      <c r="G39" s="647">
        <f>G36-G38</f>
        <v>5916</v>
      </c>
      <c r="H39" s="648" t="str">
        <f>CONCATENATE("Projected ",E1+1," carryover (est.)")</f>
        <v>Projected 2016 carryover (est.)</v>
      </c>
      <c r="I39" s="649"/>
      <c r="J39" s="650"/>
    </row>
    <row r="40" spans="2:10" ht="15.75">
      <c r="B40" s="62"/>
      <c r="C40" s="830" t="str">
        <f>CONCATENATE("Amount of  ",$E$1-1," Ad Valorem Tax")</f>
        <v>Amount of  2014 Ad Valorem Tax</v>
      </c>
      <c r="D40" s="831"/>
      <c r="E40" s="317">
        <f>E38+E39</f>
        <v>320950</v>
      </c>
      <c r="G40" s="1"/>
      <c r="H40" s="1"/>
      <c r="I40" s="1"/>
      <c r="J40" s="1"/>
    </row>
    <row r="41" spans="2:10" ht="15.75">
      <c r="B41" s="62"/>
      <c r="C41" s="296"/>
      <c r="D41" s="296"/>
      <c r="E41" s="296"/>
      <c r="G41" s="834" t="s">
        <v>811</v>
      </c>
      <c r="H41" s="835"/>
      <c r="I41" s="835"/>
      <c r="J41" s="836"/>
    </row>
    <row r="42" spans="2:10" ht="15.75">
      <c r="B42" s="61" t="s">
        <v>157</v>
      </c>
      <c r="C42" s="666" t="str">
        <f aca="true" t="shared" si="0" ref="C42:E43">C4</f>
        <v>Prior Year </v>
      </c>
      <c r="D42" s="667" t="str">
        <f t="shared" si="0"/>
        <v>Current Year </v>
      </c>
      <c r="E42" s="188" t="str">
        <f t="shared" si="0"/>
        <v>Proposed Budget </v>
      </c>
      <c r="G42" s="631"/>
      <c r="H42" s="632"/>
      <c r="I42" s="633"/>
      <c r="J42" s="634"/>
    </row>
    <row r="43" spans="2:10" ht="15.75">
      <c r="B43" s="446" t="str">
        <f>inputPrYr!B32</f>
        <v>Men Health Ret Workshop</v>
      </c>
      <c r="C43" s="420" t="str">
        <f t="shared" si="0"/>
        <v>Actual for 2013</v>
      </c>
      <c r="D43" s="420" t="str">
        <f t="shared" si="0"/>
        <v>Estimate for 2014</v>
      </c>
      <c r="E43" s="271" t="str">
        <f t="shared" si="0"/>
        <v>Year for 2015</v>
      </c>
      <c r="G43" s="635">
        <f>summ!H31</f>
        <v>2.468</v>
      </c>
      <c r="H43" s="632" t="str">
        <f>CONCATENATE("",E1," Fund Mill Rate")</f>
        <v>2015 Fund Mill Rate</v>
      </c>
      <c r="I43" s="633"/>
      <c r="J43" s="634"/>
    </row>
    <row r="44" spans="2:10" ht="15.75">
      <c r="B44" s="123" t="s">
        <v>272</v>
      </c>
      <c r="C44" s="417">
        <v>651</v>
      </c>
      <c r="D44" s="421">
        <f>C74</f>
        <v>284</v>
      </c>
      <c r="E44" s="234">
        <f>D74</f>
        <v>248</v>
      </c>
      <c r="G44" s="636">
        <f>summ!E31</f>
        <v>2.511</v>
      </c>
      <c r="H44" s="632" t="str">
        <f>CONCATENATE("",E1-1," Fund Mill Rate")</f>
        <v>2014 Fund Mill Rate</v>
      </c>
      <c r="I44" s="633"/>
      <c r="J44" s="634"/>
    </row>
    <row r="45" spans="2:10" ht="15.75">
      <c r="B45" s="272" t="s">
        <v>274</v>
      </c>
      <c r="C45" s="274"/>
      <c r="D45" s="274"/>
      <c r="E45" s="102"/>
      <c r="G45" s="637">
        <f>summ!H61</f>
        <v>51.98700000000003</v>
      </c>
      <c r="H45" s="632" t="str">
        <f>CONCATENATE("Total ",E1," Mill Rate")</f>
        <v>Total 2015 Mill Rate</v>
      </c>
      <c r="I45" s="633"/>
      <c r="J45" s="634"/>
    </row>
    <row r="46" spans="2:10" ht="15.75">
      <c r="B46" s="123" t="s">
        <v>158</v>
      </c>
      <c r="C46" s="417">
        <v>48735</v>
      </c>
      <c r="D46" s="421">
        <f>IF(inputPrYr!H32&gt;0,inputPrYr!H32,inputPrYr!E32)</f>
        <v>50265</v>
      </c>
      <c r="E46" s="306" t="s">
        <v>145</v>
      </c>
      <c r="G46" s="636">
        <f>summ!E61</f>
        <v>51.56499999999999</v>
      </c>
      <c r="H46" s="638" t="str">
        <f>CONCATENATE("Total ",E1-1," Mill Rate")</f>
        <v>Total 2014 Mill Rate</v>
      </c>
      <c r="I46" s="639"/>
      <c r="J46" s="640"/>
    </row>
    <row r="47" spans="2:10" ht="15.75">
      <c r="B47" s="123" t="s">
        <v>159</v>
      </c>
      <c r="C47" s="417">
        <v>394</v>
      </c>
      <c r="D47" s="417"/>
      <c r="E47" s="87"/>
      <c r="G47" s="1"/>
      <c r="H47" s="1"/>
      <c r="I47" s="1"/>
      <c r="J47" s="1"/>
    </row>
    <row r="48" spans="2:10" ht="15.75">
      <c r="B48" s="123" t="s">
        <v>160</v>
      </c>
      <c r="C48" s="417">
        <v>4878</v>
      </c>
      <c r="D48" s="417">
        <v>4636</v>
      </c>
      <c r="E48" s="234">
        <f>mvalloc!E23</f>
        <v>4619</v>
      </c>
      <c r="G48" s="738" t="s">
        <v>886</v>
      </c>
      <c r="H48" s="690"/>
      <c r="I48" s="689" t="str">
        <f>cert!E69</f>
        <v>Yes</v>
      </c>
      <c r="J48" s="1"/>
    </row>
    <row r="49" spans="2:10" ht="15.75">
      <c r="B49" s="123" t="s">
        <v>161</v>
      </c>
      <c r="C49" s="417">
        <v>75</v>
      </c>
      <c r="D49" s="417">
        <v>75</v>
      </c>
      <c r="E49" s="234">
        <f>mvalloc!F23</f>
        <v>67</v>
      </c>
      <c r="G49" s="1"/>
      <c r="H49" s="1"/>
      <c r="I49" s="1"/>
      <c r="J49" s="1"/>
    </row>
    <row r="50" spans="2:10" ht="15.75">
      <c r="B50" s="274" t="s">
        <v>230</v>
      </c>
      <c r="C50" s="417">
        <v>671</v>
      </c>
      <c r="D50" s="417">
        <v>643</v>
      </c>
      <c r="E50" s="234">
        <f>mvalloc!G23</f>
        <v>276</v>
      </c>
      <c r="G50" s="1"/>
      <c r="H50" s="1"/>
      <c r="I50" s="1"/>
      <c r="J50" s="1"/>
    </row>
    <row r="51" spans="2:10" ht="15.75">
      <c r="B51" s="287"/>
      <c r="C51" s="417"/>
      <c r="D51" s="417"/>
      <c r="E51" s="87"/>
      <c r="G51" s="1"/>
      <c r="H51" s="1"/>
      <c r="I51" s="1"/>
      <c r="J51" s="1"/>
    </row>
    <row r="52" spans="2:10" ht="15.75">
      <c r="B52" s="287"/>
      <c r="C52" s="417"/>
      <c r="D52" s="417"/>
      <c r="E52" s="87"/>
      <c r="G52" s="1"/>
      <c r="H52" s="1"/>
      <c r="I52" s="1"/>
      <c r="J52" s="1"/>
    </row>
    <row r="53" spans="2:10" ht="15.75">
      <c r="B53" s="287"/>
      <c r="C53" s="417"/>
      <c r="D53" s="417"/>
      <c r="E53" s="87"/>
      <c r="G53" s="1"/>
      <c r="H53" s="1"/>
      <c r="I53" s="1"/>
      <c r="J53" s="1"/>
    </row>
    <row r="54" spans="2:10" ht="15.75">
      <c r="B54" s="287"/>
      <c r="C54" s="417"/>
      <c r="D54" s="417"/>
      <c r="E54" s="87"/>
      <c r="G54" s="1"/>
      <c r="H54" s="1"/>
      <c r="I54" s="1"/>
      <c r="J54" s="1"/>
    </row>
    <row r="55" spans="2:10" ht="15.75">
      <c r="B55" s="287"/>
      <c r="C55" s="417"/>
      <c r="D55" s="417"/>
      <c r="E55" s="87"/>
      <c r="G55" s="1"/>
      <c r="H55" s="1"/>
      <c r="I55" s="1"/>
      <c r="J55" s="1"/>
    </row>
    <row r="56" spans="2:10" ht="15.75">
      <c r="B56" s="287"/>
      <c r="C56" s="417"/>
      <c r="D56" s="417"/>
      <c r="E56" s="87"/>
      <c r="G56" s="1"/>
      <c r="H56" s="1"/>
      <c r="I56" s="1"/>
      <c r="J56" s="1"/>
    </row>
    <row r="57" spans="2:10" ht="15.75">
      <c r="B57" s="277" t="s">
        <v>165</v>
      </c>
      <c r="C57" s="417"/>
      <c r="D57" s="417"/>
      <c r="E57" s="87"/>
      <c r="G57" s="1"/>
      <c r="H57" s="1"/>
      <c r="I57" s="1"/>
      <c r="J57" s="1"/>
    </row>
    <row r="58" spans="2:10" ht="15.75">
      <c r="B58" s="278" t="s">
        <v>72</v>
      </c>
      <c r="C58" s="417"/>
      <c r="D58" s="417"/>
      <c r="E58" s="87"/>
      <c r="G58" s="1"/>
      <c r="H58" s="1"/>
      <c r="I58" s="1"/>
      <c r="J58" s="1"/>
    </row>
    <row r="59" spans="2:10" ht="15.75">
      <c r="B59" s="278" t="s">
        <v>654</v>
      </c>
      <c r="C59" s="418">
        <f>IF(C60*0.1&lt;C58,"Exceed 10% Rule","")</f>
      </c>
      <c r="D59" s="418">
        <f>IF(D60*0.1&lt;D58,"Exceed 10% Rule","")</f>
      </c>
      <c r="E59" s="313">
        <f>IF(E60*0.1+E80&lt;E58,"Exceed 10% Rule","")</f>
      </c>
      <c r="G59" s="1"/>
      <c r="H59" s="1"/>
      <c r="I59" s="1"/>
      <c r="J59" s="1"/>
    </row>
    <row r="60" spans="2:10" ht="15.75">
      <c r="B60" s="280" t="s">
        <v>166</v>
      </c>
      <c r="C60" s="419">
        <f>SUM(C46:C58)</f>
        <v>54753</v>
      </c>
      <c r="D60" s="419">
        <f>SUM(D46:D58)</f>
        <v>55619</v>
      </c>
      <c r="E60" s="321">
        <f>SUM(E46:E58)</f>
        <v>4962</v>
      </c>
      <c r="G60" s="1"/>
      <c r="H60" s="1"/>
      <c r="I60" s="1"/>
      <c r="J60" s="1"/>
    </row>
    <row r="61" spans="2:10" ht="15.75">
      <c r="B61" s="280" t="s">
        <v>167</v>
      </c>
      <c r="C61" s="419">
        <f>C44+C60</f>
        <v>55404</v>
      </c>
      <c r="D61" s="419">
        <f>D44+D60</f>
        <v>55903</v>
      </c>
      <c r="E61" s="321">
        <f>E44+E60</f>
        <v>5210</v>
      </c>
      <c r="G61" s="1"/>
      <c r="H61" s="1"/>
      <c r="I61" s="1"/>
      <c r="J61" s="1"/>
    </row>
    <row r="62" spans="2:10" ht="15.75">
      <c r="B62" s="123" t="s">
        <v>170</v>
      </c>
      <c r="C62" s="278"/>
      <c r="D62" s="278"/>
      <c r="E62" s="83"/>
      <c r="G62" s="1"/>
      <c r="H62" s="1"/>
      <c r="I62" s="1"/>
      <c r="J62" s="1"/>
    </row>
    <row r="63" spans="2:10" ht="15.75">
      <c r="B63" s="287" t="s">
        <v>1050</v>
      </c>
      <c r="C63" s="417">
        <v>54040</v>
      </c>
      <c r="D63" s="417">
        <v>54720</v>
      </c>
      <c r="E63" s="87">
        <v>55000</v>
      </c>
      <c r="G63" s="1"/>
      <c r="H63" s="1"/>
      <c r="I63" s="1"/>
      <c r="J63" s="1"/>
    </row>
    <row r="64" spans="2:10" ht="15.75">
      <c r="B64" s="287"/>
      <c r="C64" s="417"/>
      <c r="D64" s="417"/>
      <c r="E64" s="87"/>
      <c r="G64" s="832" t="str">
        <f>CONCATENATE("Desired Carryover Into ",E1+1,"")</f>
        <v>Desired Carryover Into 2016</v>
      </c>
      <c r="H64" s="833"/>
      <c r="I64" s="833"/>
      <c r="J64" s="804"/>
    </row>
    <row r="65" spans="2:10" ht="15.75">
      <c r="B65" s="287"/>
      <c r="C65" s="417"/>
      <c r="D65" s="417"/>
      <c r="E65" s="87"/>
      <c r="G65" s="613"/>
      <c r="H65" s="614"/>
      <c r="I65" s="615"/>
      <c r="J65" s="616"/>
    </row>
    <row r="66" spans="2:10" ht="15.75">
      <c r="B66" s="287"/>
      <c r="C66" s="417"/>
      <c r="D66" s="417"/>
      <c r="E66" s="87"/>
      <c r="G66" s="617" t="s">
        <v>660</v>
      </c>
      <c r="H66" s="615"/>
      <c r="I66" s="615"/>
      <c r="J66" s="618">
        <v>0</v>
      </c>
    </row>
    <row r="67" spans="2:10" ht="15.75">
      <c r="B67" s="287"/>
      <c r="C67" s="417"/>
      <c r="D67" s="417"/>
      <c r="E67" s="87"/>
      <c r="G67" s="613" t="s">
        <v>661</v>
      </c>
      <c r="H67" s="614"/>
      <c r="I67" s="614"/>
      <c r="J67" s="619">
        <f>IF(J66=0,"",ROUND((J66+E80-G79)/inputOth!E6*1000,3)-G84)</f>
      </c>
    </row>
    <row r="68" spans="2:10" ht="15.75">
      <c r="B68" s="287"/>
      <c r="C68" s="417"/>
      <c r="D68" s="417"/>
      <c r="E68" s="87"/>
      <c r="G68" s="620" t="str">
        <f>CONCATENATE("",E1," Tot Exp/Non-Appr Must Be:")</f>
        <v>2015 Tot Exp/Non-Appr Must Be:</v>
      </c>
      <c r="H68" s="621"/>
      <c r="I68" s="622"/>
      <c r="J68" s="623">
        <f>IF(J66&gt;0,IF(E77&lt;E61,IF(J66=G79,E77,((J66-G79)*(1-D79))+E61),E77+(J66-G79)),0)</f>
        <v>0</v>
      </c>
    </row>
    <row r="69" spans="2:10" ht="15.75">
      <c r="B69" s="287"/>
      <c r="C69" s="417"/>
      <c r="D69" s="417"/>
      <c r="E69" s="87"/>
      <c r="G69" s="624" t="s">
        <v>810</v>
      </c>
      <c r="H69" s="625"/>
      <c r="I69" s="625"/>
      <c r="J69" s="626">
        <f>IF(J66&gt;0,J68-E77,0)</f>
        <v>0</v>
      </c>
    </row>
    <row r="70" spans="2:10" ht="15.75">
      <c r="B70" s="278" t="s">
        <v>74</v>
      </c>
      <c r="C70" s="417">
        <v>1080</v>
      </c>
      <c r="D70" s="417">
        <v>935</v>
      </c>
      <c r="E70" s="95">
        <f>Nhood!E22</f>
        <v>784</v>
      </c>
      <c r="G70" s="1"/>
      <c r="H70" s="1"/>
      <c r="I70" s="1"/>
      <c r="J70" s="1"/>
    </row>
    <row r="71" spans="2:10" ht="15.75">
      <c r="B71" s="278" t="s">
        <v>72</v>
      </c>
      <c r="C71" s="417"/>
      <c r="D71" s="417"/>
      <c r="E71" s="87"/>
      <c r="G71" s="832" t="str">
        <f>CONCATENATE("Projected Carryover Into ",E1+1,"")</f>
        <v>Projected Carryover Into 2016</v>
      </c>
      <c r="H71" s="840"/>
      <c r="I71" s="840"/>
      <c r="J71" s="839"/>
    </row>
    <row r="72" spans="2:10" ht="15.75">
      <c r="B72" s="278" t="s">
        <v>653</v>
      </c>
      <c r="C72" s="418">
        <f>IF(C73*0.1&lt;C71,"Exceed 10% Rule","")</f>
      </c>
      <c r="D72" s="418">
        <f>IF(D73*0.1&lt;D71,"Exceed 10% Rule","")</f>
      </c>
      <c r="E72" s="313">
        <f>IF(E73*0.1&lt;E71,"Exceed 10% Rule","")</f>
      </c>
      <c r="G72" s="651"/>
      <c r="H72" s="614"/>
      <c r="I72" s="614"/>
      <c r="J72" s="646"/>
    </row>
    <row r="73" spans="2:10" ht="15.75">
      <c r="B73" s="280" t="s">
        <v>171</v>
      </c>
      <c r="C73" s="419">
        <f>SUM(C63:C71)</f>
        <v>55120</v>
      </c>
      <c r="D73" s="419">
        <f>SUM(D63:D71)</f>
        <v>55655</v>
      </c>
      <c r="E73" s="321">
        <f>SUM(E63:E71)</f>
        <v>55784</v>
      </c>
      <c r="G73" s="642">
        <f>D74</f>
        <v>248</v>
      </c>
      <c r="H73" s="632" t="str">
        <f>CONCATENATE("",E1-1," Ending Cash Balance (est.)")</f>
        <v>2014 Ending Cash Balance (est.)</v>
      </c>
      <c r="I73" s="643"/>
      <c r="J73" s="646"/>
    </row>
    <row r="74" spans="2:10" ht="15.75">
      <c r="B74" s="123" t="s">
        <v>273</v>
      </c>
      <c r="C74" s="422">
        <f>C61-C73</f>
        <v>284</v>
      </c>
      <c r="D74" s="422">
        <f>D61-D73</f>
        <v>248</v>
      </c>
      <c r="E74" s="306" t="s">
        <v>145</v>
      </c>
      <c r="G74" s="642">
        <f>E60</f>
        <v>4962</v>
      </c>
      <c r="H74" s="615" t="str">
        <f>CONCATENATE("",E1," Non-AV Receipts (est.)")</f>
        <v>2015 Non-AV Receipts (est.)</v>
      </c>
      <c r="I74" s="643"/>
      <c r="J74" s="646"/>
    </row>
    <row r="75" spans="2:11" ht="15.75">
      <c r="B75" s="270" t="str">
        <f>CONCATENATE("",E1-2,"/",E1-1,"/",E1," Budget Authority Amount:")</f>
        <v>2013/2014/2015 Budget Authority Amount:</v>
      </c>
      <c r="C75" s="308">
        <f>inputOth!B46</f>
        <v>55513</v>
      </c>
      <c r="D75" s="308">
        <f>inputPrYr!D32</f>
        <v>55655</v>
      </c>
      <c r="E75" s="234">
        <f>E73</f>
        <v>55784</v>
      </c>
      <c r="F75" s="289"/>
      <c r="G75" s="644">
        <f>IF(E79&gt;0,E78,E80)</f>
        <v>50574</v>
      </c>
      <c r="H75" s="615" t="str">
        <f>CONCATENATE("",E1," Ad Valorem Tax (est.)")</f>
        <v>2015 Ad Valorem Tax (est.)</v>
      </c>
      <c r="I75" s="643"/>
      <c r="J75" s="646"/>
      <c r="K75" s="629">
        <f>IF(G75=E80,"","Note: Does not include Delinquent Taxes")</f>
      </c>
    </row>
    <row r="76" spans="2:10" ht="15.75">
      <c r="B76" s="256"/>
      <c r="C76" s="822" t="s">
        <v>657</v>
      </c>
      <c r="D76" s="823"/>
      <c r="E76" s="87"/>
      <c r="F76" s="465">
        <f>IF(E73/0.95-E73&lt;E76,"Exceeds 5%","")</f>
      </c>
      <c r="G76" s="652">
        <f>SUM(G73:G75)</f>
        <v>55784</v>
      </c>
      <c r="H76" s="615" t="str">
        <f>CONCATENATE("Total ",E1," Resources Available")</f>
        <v>Total 2015 Resources Available</v>
      </c>
      <c r="I76" s="653"/>
      <c r="J76" s="646"/>
    </row>
    <row r="77" spans="2:10" ht="15.75">
      <c r="B77" s="468" t="str">
        <f>CONCATENATE(C93,"     ",D93)</f>
        <v>     </v>
      </c>
      <c r="C77" s="824" t="s">
        <v>658</v>
      </c>
      <c r="D77" s="825"/>
      <c r="E77" s="234">
        <f>E73+E76</f>
        <v>55784</v>
      </c>
      <c r="G77" s="654"/>
      <c r="H77" s="655"/>
      <c r="I77" s="614"/>
      <c r="J77" s="646"/>
    </row>
    <row r="78" spans="2:10" ht="15.75">
      <c r="B78" s="468" t="str">
        <f>CONCATENATE(C94,"     ",D94)</f>
        <v>     </v>
      </c>
      <c r="C78" s="290"/>
      <c r="D78" s="208" t="s">
        <v>172</v>
      </c>
      <c r="E78" s="95">
        <f>IF(E77-E61&gt;0,E77-E61,0)</f>
        <v>50574</v>
      </c>
      <c r="G78" s="656">
        <f>ROUND(C73*0.05+C73,0)</f>
        <v>57876</v>
      </c>
      <c r="H78" s="615" t="str">
        <f>CONCATENATE("Less ",E1-2," Expenditures + 5%")</f>
        <v>Less 2013 Expenditures + 5%</v>
      </c>
      <c r="I78" s="653"/>
      <c r="J78" s="646"/>
    </row>
    <row r="79" spans="2:10" ht="15.75">
      <c r="B79" s="208"/>
      <c r="C79" s="467" t="s">
        <v>659</v>
      </c>
      <c r="D79" s="612">
        <f>inputOth!$E$23</f>
        <v>0</v>
      </c>
      <c r="E79" s="234">
        <f>ROUND(IF(D79&gt;0,($E$78*D79),0),0)</f>
        <v>0</v>
      </c>
      <c r="G79" s="657">
        <f>G76-G78</f>
        <v>-2092</v>
      </c>
      <c r="H79" s="648" t="str">
        <f>CONCATENATE("Projected ",E1+1," carryover (est.)")</f>
        <v>Projected 2016 carryover (est.)</v>
      </c>
      <c r="I79" s="658"/>
      <c r="J79" s="659"/>
    </row>
    <row r="80" spans="2:10" ht="15.75">
      <c r="B80" s="62"/>
      <c r="C80" s="830" t="str">
        <f>CONCATENATE("Amount of  ",$E$1-1," Ad Valorem Tax")</f>
        <v>Amount of  2014 Ad Valorem Tax</v>
      </c>
      <c r="D80" s="831"/>
      <c r="E80" s="317">
        <f>E78+E79</f>
        <v>50574</v>
      </c>
      <c r="G80" s="1"/>
      <c r="H80" s="1"/>
      <c r="I80" s="1"/>
      <c r="J80" s="1"/>
    </row>
    <row r="81" spans="2:10" ht="15.75">
      <c r="B81" s="256" t="s">
        <v>192</v>
      </c>
      <c r="C81" s="318">
        <v>16</v>
      </c>
      <c r="D81" s="62"/>
      <c r="E81" s="62"/>
      <c r="G81" s="834" t="s">
        <v>811</v>
      </c>
      <c r="H81" s="835"/>
      <c r="I81" s="835"/>
      <c r="J81" s="836"/>
    </row>
    <row r="82" spans="7:10" ht="15.75">
      <c r="G82" s="631"/>
      <c r="H82" s="632"/>
      <c r="I82" s="633"/>
      <c r="J82" s="634"/>
    </row>
    <row r="83" spans="7:10" ht="15.75">
      <c r="G83" s="635">
        <f>summ!H32</f>
        <v>0.389</v>
      </c>
      <c r="H83" s="632" t="str">
        <f>CONCATENATE("",E1," Fund Mill Rate")</f>
        <v>2015 Fund Mill Rate</v>
      </c>
      <c r="I83" s="633"/>
      <c r="J83" s="634"/>
    </row>
    <row r="84" spans="7:10" ht="15.75">
      <c r="G84" s="636">
        <f>summ!E32</f>
        <v>0.406</v>
      </c>
      <c r="H84" s="632" t="str">
        <f>CONCATENATE("",E1-1," Fund Mill Rate")</f>
        <v>2014 Fund Mill Rate</v>
      </c>
      <c r="I84" s="633"/>
      <c r="J84" s="634"/>
    </row>
    <row r="85" spans="7:10" ht="15.75">
      <c r="G85" s="637">
        <f>summ!H61</f>
        <v>51.98700000000003</v>
      </c>
      <c r="H85" s="632" t="str">
        <f>CONCATENATE("Total ",E1," Mill Rate")</f>
        <v>Total 2015 Mill Rate</v>
      </c>
      <c r="I85" s="633"/>
      <c r="J85" s="634"/>
    </row>
    <row r="86" spans="7:10" ht="15.75">
      <c r="G86" s="636">
        <f>summ!E61</f>
        <v>51.56499999999999</v>
      </c>
      <c r="H86" s="638" t="str">
        <f>CONCATENATE("Total ",E1-1," Mill Rate")</f>
        <v>Total 2014 Mill Rate</v>
      </c>
      <c r="I86" s="639"/>
      <c r="J86" s="640"/>
    </row>
    <row r="88" spans="7:9" ht="15.75">
      <c r="G88" s="739" t="s">
        <v>886</v>
      </c>
      <c r="H88" s="690"/>
      <c r="I88" s="689" t="str">
        <f>cert!E69</f>
        <v>Yes</v>
      </c>
    </row>
    <row r="91" spans="3:4" ht="15.75" hidden="1">
      <c r="C91" s="50">
        <f>IF(C33&gt;C35,"See Tab A","")</f>
      </c>
      <c r="D91" s="50">
        <f>IF(D33&gt;D35,"See Tab C","")</f>
      </c>
    </row>
    <row r="92" spans="3:4" ht="15.75" hidden="1">
      <c r="C92" s="50">
        <f>IF(C34&lt;0,"See Tab B","")</f>
      </c>
      <c r="D92" s="50">
        <f>IF(D34&lt;0,"See Tab D","")</f>
      </c>
    </row>
    <row r="93" spans="3:4" ht="15.75" hidden="1">
      <c r="C93" s="50">
        <f>IF(C73&gt;C75,"See Tab A","")</f>
      </c>
      <c r="D93" s="50">
        <f>IF(D73&gt;D75,"See Tab C","")</f>
      </c>
    </row>
    <row r="94" spans="3:4" ht="15.75" hidden="1">
      <c r="C94" s="50">
        <f>IF(C74&lt;0,"See Tab B","")</f>
      </c>
      <c r="D94" s="50">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1">
    <cfRule type="cellIs" priority="3" dxfId="408" operator="greaterThan" stopIfTrue="1">
      <formula>$E$73*0.1</formula>
    </cfRule>
  </conditionalFormatting>
  <conditionalFormatting sqref="E76">
    <cfRule type="cellIs" priority="4" dxfId="408" operator="greaterThan" stopIfTrue="1">
      <formula>$E$73/0.95-$E$73</formula>
    </cfRule>
  </conditionalFormatting>
  <conditionalFormatting sqref="E36">
    <cfRule type="cellIs" priority="5" dxfId="408" operator="greaterThan" stopIfTrue="1">
      <formula>$E$33/0.95-$E$33</formula>
    </cfRule>
  </conditionalFormatting>
  <conditionalFormatting sqref="E31">
    <cfRule type="cellIs" priority="6" dxfId="408" operator="greaterThan" stopIfTrue="1">
      <formula>$E$33*0.1</formula>
    </cfRule>
  </conditionalFormatting>
  <conditionalFormatting sqref="C74 C34">
    <cfRule type="cellIs" priority="7" dxfId="2" operator="lessThan" stopIfTrue="1">
      <formula>0</formula>
    </cfRule>
  </conditionalFormatting>
  <conditionalFormatting sqref="C73">
    <cfRule type="cellIs" priority="8" dxfId="2" operator="greaterThan" stopIfTrue="1">
      <formula>$C$75</formula>
    </cfRule>
  </conditionalFormatting>
  <conditionalFormatting sqref="D73">
    <cfRule type="cellIs" priority="9" dxfId="2" operator="greaterThan" stopIfTrue="1">
      <formula>$D$75</formula>
    </cfRule>
  </conditionalFormatting>
  <conditionalFormatting sqref="C71">
    <cfRule type="cellIs" priority="10" dxfId="2" operator="greaterThan" stopIfTrue="1">
      <formula>$C$73*0.1</formula>
    </cfRule>
  </conditionalFormatting>
  <conditionalFormatting sqref="D71">
    <cfRule type="cellIs" priority="11" dxfId="2" operator="greaterThan" stopIfTrue="1">
      <formula>$D$73*0.1</formula>
    </cfRule>
  </conditionalFormatting>
  <conditionalFormatting sqref="E58">
    <cfRule type="cellIs" priority="12" dxfId="408" operator="greaterThan" stopIfTrue="1">
      <formula>$E$60*0.1+E80</formula>
    </cfRule>
  </conditionalFormatting>
  <conditionalFormatting sqref="C58">
    <cfRule type="cellIs" priority="13" dxfId="2" operator="greaterThan" stopIfTrue="1">
      <formula>$C$60*0.1</formula>
    </cfRule>
  </conditionalFormatting>
  <conditionalFormatting sqref="D58">
    <cfRule type="cellIs" priority="14" dxfId="2" operator="greaterThan" stopIfTrue="1">
      <formula>$D$60*0.1</formula>
    </cfRule>
  </conditionalFormatting>
  <conditionalFormatting sqref="C33">
    <cfRule type="cellIs" priority="15" dxfId="2" operator="greaterThan" stopIfTrue="1">
      <formula>$C$35</formula>
    </cfRule>
  </conditionalFormatting>
  <conditionalFormatting sqref="D33">
    <cfRule type="cellIs" priority="16" dxfId="2" operator="greaterThan" stopIfTrue="1">
      <formula>$D$35</formula>
    </cfRule>
  </conditionalFormatting>
  <conditionalFormatting sqref="C31">
    <cfRule type="cellIs" priority="17" dxfId="2" operator="greaterThan" stopIfTrue="1">
      <formula>$C$33*0.1</formula>
    </cfRule>
  </conditionalFormatting>
  <conditionalFormatting sqref="D31">
    <cfRule type="cellIs" priority="18" dxfId="2" operator="greaterThan" stopIfTrue="1">
      <formula>$D$33*0.1</formula>
    </cfRule>
  </conditionalFormatting>
  <conditionalFormatting sqref="E18">
    <cfRule type="cellIs" priority="19" dxfId="408" operator="greaterThan" stopIfTrue="1">
      <formula>$E$20*0.1+E40</formula>
    </cfRule>
  </conditionalFormatting>
  <conditionalFormatting sqref="C18">
    <cfRule type="cellIs" priority="20" dxfId="2" operator="greaterThan" stopIfTrue="1">
      <formula>$C$20*0.1</formula>
    </cfRule>
  </conditionalFormatting>
  <conditionalFormatting sqref="D18">
    <cfRule type="cellIs" priority="21" dxfId="2" operator="greaterThan" stopIfTrue="1">
      <formula>$D$20*0.1</formula>
    </cfRule>
  </conditionalFormatting>
  <conditionalFormatting sqref="D34 D74">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3" r:id="rId1"/>
  <headerFooter alignWithMargins="0">
    <oddHeader>&amp;RState of Kansas
County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94"/>
  <sheetViews>
    <sheetView zoomScalePageLayoutView="0" workbookViewId="0" topLeftCell="A46">
      <selection activeCell="C81" sqref="C81"/>
    </sheetView>
  </sheetViews>
  <sheetFormatPr defaultColWidth="8.796875" defaultRowHeight="15"/>
  <cols>
    <col min="1" max="1" width="2.3984375" style="50" customWidth="1"/>
    <col min="2" max="2" width="31.09765625" style="50" customWidth="1"/>
    <col min="3" max="4" width="15.796875" style="50" customWidth="1"/>
    <col min="5" max="5" width="16.19921875" style="50" customWidth="1"/>
    <col min="6" max="6" width="7.3984375" style="50" customWidth="1"/>
    <col min="7" max="7" width="10.19921875" style="50" customWidth="1"/>
    <col min="8" max="8" width="8.8984375" style="50" customWidth="1"/>
    <col min="9" max="9" width="5" style="50" customWidth="1"/>
    <col min="10" max="10" width="10" style="50" customWidth="1"/>
    <col min="11" max="16384" width="8.8984375" style="50" customWidth="1"/>
  </cols>
  <sheetData>
    <row r="1" spans="2:5" ht="15.75">
      <c r="B1" s="201" t="str">
        <f>inputPrYr!C2</f>
        <v>Marshall County</v>
      </c>
      <c r="C1" s="62"/>
      <c r="D1" s="62"/>
      <c r="E1" s="255">
        <f>inputPrYr!C4</f>
        <v>2015</v>
      </c>
    </row>
    <row r="2" spans="2:5" ht="15.75">
      <c r="B2" s="62"/>
      <c r="C2" s="62"/>
      <c r="D2" s="62"/>
      <c r="E2" s="208"/>
    </row>
    <row r="3" spans="2:5" ht="15.75">
      <c r="B3" s="127" t="s">
        <v>239</v>
      </c>
      <c r="C3" s="302"/>
      <c r="D3" s="302"/>
      <c r="E3" s="303"/>
    </row>
    <row r="4" spans="2:5" ht="15.75">
      <c r="B4" s="61" t="s">
        <v>157</v>
      </c>
      <c r="C4" s="666" t="s">
        <v>812</v>
      </c>
      <c r="D4" s="667" t="s">
        <v>813</v>
      </c>
      <c r="E4" s="188" t="s">
        <v>814</v>
      </c>
    </row>
    <row r="5" spans="2:5" ht="15.75">
      <c r="B5" s="447" t="str">
        <f>inputPrYr!B33</f>
        <v>Pawnee Mental Health </v>
      </c>
      <c r="C5" s="420" t="str">
        <f>CONCATENATE("Actual for ",E1-2,"")</f>
        <v>Actual for 2013</v>
      </c>
      <c r="D5" s="420" t="str">
        <f>CONCATENATE("Estimate for ",E1-1,"")</f>
        <v>Estimate for 2014</v>
      </c>
      <c r="E5" s="271" t="str">
        <f>CONCATENATE("Year for ",E1,"")</f>
        <v>Year for 2015</v>
      </c>
    </row>
    <row r="6" spans="2:5" ht="15.75">
      <c r="B6" s="123" t="s">
        <v>272</v>
      </c>
      <c r="C6" s="417">
        <v>542</v>
      </c>
      <c r="D6" s="421">
        <f>C34</f>
        <v>677</v>
      </c>
      <c r="E6" s="234">
        <f>D34</f>
        <v>419</v>
      </c>
    </row>
    <row r="7" spans="2:5" ht="15.75">
      <c r="B7" s="259" t="s">
        <v>274</v>
      </c>
      <c r="C7" s="274"/>
      <c r="D7" s="274"/>
      <c r="E7" s="102"/>
    </row>
    <row r="8" spans="2:5" ht="15.75">
      <c r="B8" s="123" t="s">
        <v>158</v>
      </c>
      <c r="C8" s="417">
        <v>73589</v>
      </c>
      <c r="D8" s="421">
        <f>IF(inputPrYr!H33&gt;0,inputPrYr!H33,inputPrYr!E33)</f>
        <v>73776</v>
      </c>
      <c r="E8" s="306" t="s">
        <v>145</v>
      </c>
    </row>
    <row r="9" spans="2:5" ht="15.75">
      <c r="B9" s="123" t="s">
        <v>159</v>
      </c>
      <c r="C9" s="417">
        <v>582</v>
      </c>
      <c r="D9" s="417"/>
      <c r="E9" s="87"/>
    </row>
    <row r="10" spans="2:5" ht="15.75">
      <c r="B10" s="123" t="s">
        <v>160</v>
      </c>
      <c r="C10" s="417">
        <v>7207</v>
      </c>
      <c r="D10" s="417">
        <v>6993</v>
      </c>
      <c r="E10" s="234">
        <f>mvalloc!E24</f>
        <v>6779</v>
      </c>
    </row>
    <row r="11" spans="2:5" ht="15.75">
      <c r="B11" s="123" t="s">
        <v>161</v>
      </c>
      <c r="C11" s="417">
        <v>111</v>
      </c>
      <c r="D11" s="417">
        <v>114</v>
      </c>
      <c r="E11" s="234">
        <f>mvalloc!F24</f>
        <v>99</v>
      </c>
    </row>
    <row r="12" spans="2:5" ht="15.75">
      <c r="B12" s="274" t="s">
        <v>230</v>
      </c>
      <c r="C12" s="417">
        <v>1016</v>
      </c>
      <c r="D12" s="417">
        <v>969</v>
      </c>
      <c r="E12" s="234">
        <f>mvalloc!G24</f>
        <v>405</v>
      </c>
    </row>
    <row r="13" spans="2:5" ht="15.75">
      <c r="B13" s="287"/>
      <c r="C13" s="417"/>
      <c r="D13" s="417"/>
      <c r="E13" s="87"/>
    </row>
    <row r="14" spans="2:5" ht="15.75">
      <c r="B14" s="287"/>
      <c r="C14" s="417"/>
      <c r="D14" s="417"/>
      <c r="E14" s="87"/>
    </row>
    <row r="15" spans="2:5" ht="15.75">
      <c r="B15" s="287"/>
      <c r="C15" s="417"/>
      <c r="D15" s="417"/>
      <c r="E15" s="87"/>
    </row>
    <row r="16" spans="2:5" ht="15.75">
      <c r="B16" s="287"/>
      <c r="C16" s="417"/>
      <c r="D16" s="417"/>
      <c r="E16" s="87"/>
    </row>
    <row r="17" spans="2:5" ht="15.75">
      <c r="B17" s="277" t="s">
        <v>165</v>
      </c>
      <c r="C17" s="417"/>
      <c r="D17" s="417"/>
      <c r="E17" s="87"/>
    </row>
    <row r="18" spans="2:5" ht="15.75">
      <c r="B18" s="278" t="s">
        <v>72</v>
      </c>
      <c r="C18" s="417"/>
      <c r="D18" s="417"/>
      <c r="E18" s="87"/>
    </row>
    <row r="19" spans="2:5" ht="15.75">
      <c r="B19" s="278" t="s">
        <v>654</v>
      </c>
      <c r="C19" s="418">
        <f>IF(C20*0.1&lt;C18,"Exceed 10% Rule","")</f>
      </c>
      <c r="D19" s="418">
        <f>IF(D20*0.1&lt;D18,"Exceed 10% Rule","")</f>
      </c>
      <c r="E19" s="313">
        <f>IF(E20*0.1+E40&lt;E18,"Exceed 10% Rule","")</f>
      </c>
    </row>
    <row r="20" spans="2:5" ht="15.75">
      <c r="B20" s="280" t="s">
        <v>166</v>
      </c>
      <c r="C20" s="419">
        <f>SUM(C8:C18)</f>
        <v>82505</v>
      </c>
      <c r="D20" s="419">
        <f>SUM(D8:D18)</f>
        <v>81852</v>
      </c>
      <c r="E20" s="321">
        <f>SUM(E8:E18)</f>
        <v>7283</v>
      </c>
    </row>
    <row r="21" spans="2:5" ht="15.75">
      <c r="B21" s="280" t="s">
        <v>167</v>
      </c>
      <c r="C21" s="419">
        <f>C6+C20</f>
        <v>83047</v>
      </c>
      <c r="D21" s="419">
        <f>D6+D20</f>
        <v>82529</v>
      </c>
      <c r="E21" s="321">
        <f>E6+E20</f>
        <v>7702</v>
      </c>
    </row>
    <row r="22" spans="2:5" ht="15.75">
      <c r="B22" s="123" t="s">
        <v>170</v>
      </c>
      <c r="C22" s="278"/>
      <c r="D22" s="278"/>
      <c r="E22" s="83"/>
    </row>
    <row r="23" spans="2:5" ht="15.75">
      <c r="B23" s="287" t="s">
        <v>1050</v>
      </c>
      <c r="C23" s="417">
        <v>80739</v>
      </c>
      <c r="D23" s="417">
        <v>80738</v>
      </c>
      <c r="E23" s="87">
        <v>80738</v>
      </c>
    </row>
    <row r="24" spans="2:10" ht="15.75">
      <c r="B24" s="287"/>
      <c r="C24" s="417"/>
      <c r="D24" s="417"/>
      <c r="E24" s="87"/>
      <c r="G24" s="832" t="str">
        <f>CONCATENATE("Desired Carryover Into ",E1+1,"")</f>
        <v>Desired Carryover Into 2016</v>
      </c>
      <c r="H24" s="833"/>
      <c r="I24" s="833"/>
      <c r="J24" s="804"/>
    </row>
    <row r="25" spans="2:10" ht="15.75">
      <c r="B25" s="287"/>
      <c r="C25" s="417"/>
      <c r="D25" s="417"/>
      <c r="E25" s="87"/>
      <c r="G25" s="613"/>
      <c r="H25" s="614"/>
      <c r="I25" s="615"/>
      <c r="J25" s="616"/>
    </row>
    <row r="26" spans="2:10" ht="15.75">
      <c r="B26" s="287"/>
      <c r="C26" s="417"/>
      <c r="D26" s="417"/>
      <c r="E26" s="87"/>
      <c r="G26" s="617" t="s">
        <v>660</v>
      </c>
      <c r="H26" s="615"/>
      <c r="I26" s="615"/>
      <c r="J26" s="618">
        <v>0</v>
      </c>
    </row>
    <row r="27" spans="2:10" ht="15.75">
      <c r="B27" s="287"/>
      <c r="C27" s="417"/>
      <c r="D27" s="417"/>
      <c r="E27" s="87"/>
      <c r="G27" s="613" t="s">
        <v>661</v>
      </c>
      <c r="H27" s="614"/>
      <c r="I27" s="614"/>
      <c r="J27" s="619">
        <f>IF(J26=0,"",ROUND((J26+E40-G39)/inputOth!E6*1000,3)-G44)</f>
      </c>
    </row>
    <row r="28" spans="2:10" ht="15.75">
      <c r="B28" s="287"/>
      <c r="C28" s="417"/>
      <c r="D28" s="417"/>
      <c r="E28" s="87"/>
      <c r="G28" s="620" t="str">
        <f>CONCATENATE("",E1," Tot Exp/Non-Appr Must Be:")</f>
        <v>2015 Tot Exp/Non-Appr Must Be:</v>
      </c>
      <c r="H28" s="621"/>
      <c r="I28" s="622"/>
      <c r="J28" s="623">
        <f>IF(J26&gt;0,IF(E37&lt;E21,IF(J26=G39,E37,((J26-G39)*(1-D39))+E21),E37+(J26-G39)),0)</f>
        <v>0</v>
      </c>
    </row>
    <row r="29" spans="2:10" ht="15.75">
      <c r="B29" s="287"/>
      <c r="C29" s="417"/>
      <c r="D29" s="417"/>
      <c r="E29" s="87"/>
      <c r="G29" s="624" t="s">
        <v>810</v>
      </c>
      <c r="H29" s="625"/>
      <c r="I29" s="625"/>
      <c r="J29" s="626">
        <f>IF(J26&gt;0,J28-E37,0)</f>
        <v>0</v>
      </c>
    </row>
    <row r="30" spans="2:10" ht="15.75">
      <c r="B30" s="278" t="s">
        <v>74</v>
      </c>
      <c r="C30" s="417">
        <v>1631</v>
      </c>
      <c r="D30" s="417">
        <v>1372</v>
      </c>
      <c r="E30" s="95">
        <f>Nhood!E23</f>
        <v>1150</v>
      </c>
      <c r="G30" s="1"/>
      <c r="H30" s="1"/>
      <c r="I30" s="1"/>
      <c r="J30" s="1"/>
    </row>
    <row r="31" spans="2:10" ht="15.75">
      <c r="B31" s="278" t="s">
        <v>72</v>
      </c>
      <c r="C31" s="417"/>
      <c r="D31" s="417"/>
      <c r="E31" s="87"/>
      <c r="G31" s="832" t="str">
        <f>CONCATENATE("Projected Carryover Into ",E1+1,"")</f>
        <v>Projected Carryover Into 2016</v>
      </c>
      <c r="H31" s="838"/>
      <c r="I31" s="838"/>
      <c r="J31" s="839"/>
    </row>
    <row r="32" spans="2:10" ht="15.75">
      <c r="B32" s="278" t="s">
        <v>653</v>
      </c>
      <c r="C32" s="418">
        <f>IF(C33*0.1&lt;C31,"Exceed 10% Rule","")</f>
      </c>
      <c r="D32" s="418">
        <f>IF(D33*0.1&lt;D31,"Exceed 10% Rule","")</f>
      </c>
      <c r="E32" s="313">
        <f>IF(E33*0.1&lt;E31,"Exceed 10% Rule","")</f>
      </c>
      <c r="G32" s="613"/>
      <c r="H32" s="615"/>
      <c r="I32" s="615"/>
      <c r="J32" s="641"/>
    </row>
    <row r="33" spans="2:10" ht="15.75">
      <c r="B33" s="280" t="s">
        <v>171</v>
      </c>
      <c r="C33" s="419">
        <f>SUM(C23:C31)</f>
        <v>82370</v>
      </c>
      <c r="D33" s="419">
        <f>SUM(D23:D31)</f>
        <v>82110</v>
      </c>
      <c r="E33" s="321">
        <f>SUM(E23:E31)</f>
        <v>81888</v>
      </c>
      <c r="G33" s="642">
        <f>D34</f>
        <v>419</v>
      </c>
      <c r="H33" s="632" t="str">
        <f>CONCATENATE("",E1-1," Ending Cash Balance (est.)")</f>
        <v>2014 Ending Cash Balance (est.)</v>
      </c>
      <c r="I33" s="643"/>
      <c r="J33" s="641"/>
    </row>
    <row r="34" spans="2:10" ht="15.75">
      <c r="B34" s="123" t="s">
        <v>273</v>
      </c>
      <c r="C34" s="422">
        <f>C21-C33</f>
        <v>677</v>
      </c>
      <c r="D34" s="422">
        <f>D21-D33</f>
        <v>419</v>
      </c>
      <c r="E34" s="306" t="s">
        <v>145</v>
      </c>
      <c r="G34" s="642">
        <f>E20</f>
        <v>7283</v>
      </c>
      <c r="H34" s="615" t="str">
        <f>CONCATENATE("",E1," Non-AV Receipts (est.)")</f>
        <v>2015 Non-AV Receipts (est.)</v>
      </c>
      <c r="I34" s="643"/>
      <c r="J34" s="641"/>
    </row>
    <row r="35" spans="2:11" ht="15.75">
      <c r="B35" s="270" t="str">
        <f>CONCATENATE("",E1-2,"/",E1-1,"/",E1," Budget Authority Amount:")</f>
        <v>2013/2014/2015 Budget Authority Amount:</v>
      </c>
      <c r="C35" s="308">
        <f>inputOth!B47</f>
        <v>82417</v>
      </c>
      <c r="D35" s="308">
        <f>inputPrYr!D33</f>
        <v>82110</v>
      </c>
      <c r="E35" s="234">
        <f>E33</f>
        <v>81888</v>
      </c>
      <c r="F35" s="289"/>
      <c r="G35" s="644">
        <f>IF(E39&gt;0,E38,E40)</f>
        <v>74186</v>
      </c>
      <c r="H35" s="615" t="str">
        <f>CONCATENATE("",E1," Ad Valorem Tax (est.)")</f>
        <v>2015 Ad Valorem Tax (est.)</v>
      </c>
      <c r="I35" s="643"/>
      <c r="J35" s="641"/>
      <c r="K35" s="629">
        <f>IF(G35=E40,"","Note: Does not include Delinquent Taxes")</f>
      </c>
    </row>
    <row r="36" spans="2:10" ht="15.75">
      <c r="B36" s="256"/>
      <c r="C36" s="822" t="s">
        <v>657</v>
      </c>
      <c r="D36" s="823"/>
      <c r="E36" s="87"/>
      <c r="F36" s="465">
        <f>IF(E33/0.95-E33&lt;E36,"Exceeds 5%","")</f>
      </c>
      <c r="G36" s="642">
        <f>SUM(G33:G35)</f>
        <v>81888</v>
      </c>
      <c r="H36" s="615" t="str">
        <f>CONCATENATE("Total ",E1," Resources Available")</f>
        <v>Total 2015 Resources Available</v>
      </c>
      <c r="I36" s="643"/>
      <c r="J36" s="641"/>
    </row>
    <row r="37" spans="2:10" ht="15.75">
      <c r="B37" s="469" t="str">
        <f>CONCATENATE(C91,"     ",D91)</f>
        <v>     </v>
      </c>
      <c r="C37" s="824" t="s">
        <v>658</v>
      </c>
      <c r="D37" s="825"/>
      <c r="E37" s="234">
        <f>E33+E36</f>
        <v>81888</v>
      </c>
      <c r="G37" s="645"/>
      <c r="H37" s="615"/>
      <c r="I37" s="615"/>
      <c r="J37" s="641"/>
    </row>
    <row r="38" spans="2:10" ht="15.75">
      <c r="B38" s="469" t="str">
        <f>CONCATENATE(C92,"     ",D92)</f>
        <v>     </v>
      </c>
      <c r="C38" s="290"/>
      <c r="D38" s="208" t="s">
        <v>172</v>
      </c>
      <c r="E38" s="95">
        <f>IF(E37-E21&gt;0,E37-E21,0)</f>
        <v>74186</v>
      </c>
      <c r="G38" s="644">
        <f>ROUND(C33*0.05+C33,0)</f>
        <v>86489</v>
      </c>
      <c r="H38" s="615" t="str">
        <f>CONCATENATE("Less ",E1-2," Expenditures + 5%")</f>
        <v>Less 2013 Expenditures + 5%</v>
      </c>
      <c r="I38" s="643"/>
      <c r="J38" s="646"/>
    </row>
    <row r="39" spans="2:10" ht="15.75">
      <c r="B39" s="208"/>
      <c r="C39" s="467" t="s">
        <v>659</v>
      </c>
      <c r="D39" s="612">
        <f>inputOth!$E$23</f>
        <v>0</v>
      </c>
      <c r="E39" s="234">
        <f>ROUND(IF(D39&gt;0,($E$38*D39),0),0)</f>
        <v>0</v>
      </c>
      <c r="G39" s="647">
        <f>G36-G38</f>
        <v>-4601</v>
      </c>
      <c r="H39" s="648" t="str">
        <f>CONCATENATE("Projected ",E1+1," carryover (est.)")</f>
        <v>Projected 2016 carryover (est.)</v>
      </c>
      <c r="I39" s="649"/>
      <c r="J39" s="650"/>
    </row>
    <row r="40" spans="2:10" ht="15.75">
      <c r="B40" s="62"/>
      <c r="C40" s="830" t="str">
        <f>CONCATENATE("Amount of  ",$E$1-1," Ad Valorem Tax")</f>
        <v>Amount of  2014 Ad Valorem Tax</v>
      </c>
      <c r="D40" s="831"/>
      <c r="E40" s="317">
        <f>E38+E39</f>
        <v>74186</v>
      </c>
      <c r="G40" s="1"/>
      <c r="H40" s="1"/>
      <c r="I40" s="1"/>
      <c r="J40" s="1"/>
    </row>
    <row r="41" spans="2:10" ht="15.75">
      <c r="B41" s="61"/>
      <c r="C41" s="296"/>
      <c r="D41" s="296"/>
      <c r="E41" s="296"/>
      <c r="G41" s="834" t="s">
        <v>811</v>
      </c>
      <c r="H41" s="835"/>
      <c r="I41" s="835"/>
      <c r="J41" s="836"/>
    </row>
    <row r="42" spans="2:10" ht="15.75">
      <c r="B42" s="61" t="s">
        <v>157</v>
      </c>
      <c r="C42" s="666" t="str">
        <f aca="true" t="shared" si="0" ref="C42:E43">C4</f>
        <v>Prior Year </v>
      </c>
      <c r="D42" s="667" t="str">
        <f t="shared" si="0"/>
        <v>Current Year </v>
      </c>
      <c r="E42" s="188" t="str">
        <f t="shared" si="0"/>
        <v>Proposed Budget </v>
      </c>
      <c r="G42" s="631"/>
      <c r="H42" s="632"/>
      <c r="I42" s="633"/>
      <c r="J42" s="634"/>
    </row>
    <row r="43" spans="2:10" ht="15.75">
      <c r="B43" s="446" t="str">
        <f>inputPrYr!B34</f>
        <v>Emp Ben (Health Insurance)</v>
      </c>
      <c r="C43" s="420" t="str">
        <f t="shared" si="0"/>
        <v>Actual for 2013</v>
      </c>
      <c r="D43" s="420" t="str">
        <f t="shared" si="0"/>
        <v>Estimate for 2014</v>
      </c>
      <c r="E43" s="271" t="str">
        <f t="shared" si="0"/>
        <v>Year for 2015</v>
      </c>
      <c r="G43" s="635">
        <f>summ!H33</f>
        <v>0.57</v>
      </c>
      <c r="H43" s="632" t="str">
        <f>CONCATENATE("",E1," Fund Mill Rate")</f>
        <v>2015 Fund Mill Rate</v>
      </c>
      <c r="I43" s="633"/>
      <c r="J43" s="634"/>
    </row>
    <row r="44" spans="2:10" ht="15.75">
      <c r="B44" s="123" t="s">
        <v>272</v>
      </c>
      <c r="C44" s="417">
        <v>103104</v>
      </c>
      <c r="D44" s="421">
        <f>C74</f>
        <v>212722</v>
      </c>
      <c r="E44" s="234">
        <f>D74</f>
        <v>74910</v>
      </c>
      <c r="G44" s="636">
        <f>summ!E33</f>
        <v>0.596</v>
      </c>
      <c r="H44" s="632" t="str">
        <f>CONCATENATE("",E1-1," Fund Mill Rate")</f>
        <v>2014 Fund Mill Rate</v>
      </c>
      <c r="I44" s="633"/>
      <c r="J44" s="634"/>
    </row>
    <row r="45" spans="2:10" ht="15.75">
      <c r="B45" s="272" t="s">
        <v>274</v>
      </c>
      <c r="C45" s="274"/>
      <c r="D45" s="274"/>
      <c r="E45" s="102"/>
      <c r="G45" s="637">
        <f>summ!H61</f>
        <v>51.98700000000003</v>
      </c>
      <c r="H45" s="632" t="str">
        <f>CONCATENATE("Total ",E1," Mill Rate")</f>
        <v>Total 2015 Mill Rate</v>
      </c>
      <c r="I45" s="633"/>
      <c r="J45" s="634"/>
    </row>
    <row r="46" spans="2:10" ht="15.75">
      <c r="B46" s="123" t="s">
        <v>158</v>
      </c>
      <c r="C46" s="417">
        <v>1050818</v>
      </c>
      <c r="D46" s="421">
        <f>IF(inputPrYr!H34&gt;0,inputPrYr!H34,inputPrYr!E34)</f>
        <v>1277876</v>
      </c>
      <c r="E46" s="306" t="s">
        <v>145</v>
      </c>
      <c r="G46" s="636">
        <f>summ!E61</f>
        <v>51.56499999999999</v>
      </c>
      <c r="H46" s="638" t="str">
        <f>CONCATENATE("Total ",E1-1," Mill Rate")</f>
        <v>Total 2014 Mill Rate</v>
      </c>
      <c r="I46" s="639"/>
      <c r="J46" s="640"/>
    </row>
    <row r="47" spans="2:10" ht="15.75">
      <c r="B47" s="123" t="s">
        <v>159</v>
      </c>
      <c r="C47" s="417">
        <v>6603</v>
      </c>
      <c r="D47" s="417"/>
      <c r="E47" s="87"/>
      <c r="G47" s="1"/>
      <c r="H47" s="1"/>
      <c r="I47" s="1"/>
      <c r="J47" s="1"/>
    </row>
    <row r="48" spans="2:10" ht="15.75">
      <c r="B48" s="123" t="s">
        <v>160</v>
      </c>
      <c r="C48" s="417">
        <v>82171</v>
      </c>
      <c r="D48" s="417">
        <v>6993</v>
      </c>
      <c r="E48" s="234">
        <f>mvalloc!E25</f>
        <v>117416</v>
      </c>
      <c r="G48" s="740" t="s">
        <v>886</v>
      </c>
      <c r="H48" s="690"/>
      <c r="I48" s="689" t="str">
        <f>cert!E69</f>
        <v>Yes</v>
      </c>
      <c r="J48" s="1"/>
    </row>
    <row r="49" spans="2:10" ht="15.75">
      <c r="B49" s="123" t="s">
        <v>161</v>
      </c>
      <c r="C49" s="417">
        <v>1267</v>
      </c>
      <c r="D49" s="417">
        <v>114</v>
      </c>
      <c r="E49" s="234">
        <f>mvalloc!F25</f>
        <v>1707</v>
      </c>
      <c r="G49" s="1"/>
      <c r="H49" s="1"/>
      <c r="I49" s="1"/>
      <c r="J49" s="1"/>
    </row>
    <row r="50" spans="2:10" ht="15.75">
      <c r="B50" s="274" t="s">
        <v>230</v>
      </c>
      <c r="C50" s="417">
        <v>11085</v>
      </c>
      <c r="D50" s="417">
        <v>969</v>
      </c>
      <c r="E50" s="234">
        <f>mvalloc!G25</f>
        <v>7012</v>
      </c>
      <c r="G50" s="1"/>
      <c r="H50" s="1"/>
      <c r="I50" s="1"/>
      <c r="J50" s="1"/>
    </row>
    <row r="51" spans="2:10" ht="15.75">
      <c r="B51" s="287" t="s">
        <v>1059</v>
      </c>
      <c r="C51" s="417">
        <v>11586</v>
      </c>
      <c r="D51" s="417"/>
      <c r="E51" s="87"/>
      <c r="G51" s="1"/>
      <c r="H51" s="1"/>
      <c r="I51" s="1"/>
      <c r="J51" s="1"/>
    </row>
    <row r="52" spans="2:10" ht="15.75">
      <c r="B52" s="287"/>
      <c r="C52" s="417"/>
      <c r="D52" s="417"/>
      <c r="E52" s="87"/>
      <c r="G52" s="1"/>
      <c r="H52" s="1"/>
      <c r="I52" s="1"/>
      <c r="J52" s="1"/>
    </row>
    <row r="53" spans="2:10" ht="15.75">
      <c r="B53" s="287"/>
      <c r="C53" s="417"/>
      <c r="D53" s="417"/>
      <c r="E53" s="87"/>
      <c r="G53" s="1"/>
      <c r="H53" s="1"/>
      <c r="I53" s="1"/>
      <c r="J53" s="1"/>
    </row>
    <row r="54" spans="2:10" ht="15.75">
      <c r="B54" s="287"/>
      <c r="C54" s="417"/>
      <c r="D54" s="417"/>
      <c r="E54" s="87"/>
      <c r="G54" s="1"/>
      <c r="H54" s="1"/>
      <c r="I54" s="1"/>
      <c r="J54" s="1"/>
    </row>
    <row r="55" spans="2:10" ht="15.75">
      <c r="B55" s="287"/>
      <c r="C55" s="417"/>
      <c r="D55" s="417"/>
      <c r="E55" s="87"/>
      <c r="G55" s="1"/>
      <c r="H55" s="1"/>
      <c r="I55" s="1"/>
      <c r="J55" s="1"/>
    </row>
    <row r="56" spans="2:10" ht="15.75">
      <c r="B56" s="277"/>
      <c r="C56" s="417"/>
      <c r="D56" s="417"/>
      <c r="E56" s="87"/>
      <c r="G56" s="1"/>
      <c r="H56" s="1"/>
      <c r="I56" s="1"/>
      <c r="J56" s="1"/>
    </row>
    <row r="57" spans="2:10" ht="15.75">
      <c r="B57" s="277" t="s">
        <v>165</v>
      </c>
      <c r="C57" s="417"/>
      <c r="D57" s="417"/>
      <c r="E57" s="442"/>
      <c r="G57" s="1"/>
      <c r="H57" s="1"/>
      <c r="I57" s="1"/>
      <c r="J57" s="1"/>
    </row>
    <row r="58" spans="2:10" ht="15.75">
      <c r="B58" s="278" t="s">
        <v>72</v>
      </c>
      <c r="C58" s="417"/>
      <c r="D58" s="417"/>
      <c r="E58" s="87"/>
      <c r="G58" s="1"/>
      <c r="H58" s="1"/>
      <c r="I58" s="1"/>
      <c r="J58" s="1"/>
    </row>
    <row r="59" spans="2:10" ht="15.75">
      <c r="B59" s="278" t="s">
        <v>654</v>
      </c>
      <c r="C59" s="418">
        <f>IF(C60*0.1&lt;C58,"Exceed 10% Rule","")</f>
      </c>
      <c r="D59" s="418">
        <f>IF(D60*0.1&lt;D58,"Exceed 10% Rule","")</f>
      </c>
      <c r="E59" s="313">
        <f>IF(E60*0.1+E80&lt;E58,"Exceed 10% Rule","")</f>
      </c>
      <c r="G59" s="1"/>
      <c r="H59" s="1"/>
      <c r="I59" s="1"/>
      <c r="J59" s="1"/>
    </row>
    <row r="60" spans="2:10" ht="15.75">
      <c r="B60" s="280" t="s">
        <v>166</v>
      </c>
      <c r="C60" s="419">
        <f>SUM(C46:C58)</f>
        <v>1163530</v>
      </c>
      <c r="D60" s="419">
        <f>SUM(D46:D58)</f>
        <v>1285952</v>
      </c>
      <c r="E60" s="321">
        <f>SUM(E46:E58)</f>
        <v>126135</v>
      </c>
      <c r="G60" s="1"/>
      <c r="H60" s="1"/>
      <c r="I60" s="1"/>
      <c r="J60" s="1"/>
    </row>
    <row r="61" spans="2:10" ht="15.75">
      <c r="B61" s="280" t="s">
        <v>167</v>
      </c>
      <c r="C61" s="419">
        <f>C44+C60</f>
        <v>1266634</v>
      </c>
      <c r="D61" s="419">
        <f>D44+D60</f>
        <v>1498674</v>
      </c>
      <c r="E61" s="321">
        <f>E44+E60</f>
        <v>201045</v>
      </c>
      <c r="G61" s="1"/>
      <c r="H61" s="1"/>
      <c r="I61" s="1"/>
      <c r="J61" s="1"/>
    </row>
    <row r="62" spans="2:10" ht="15.75">
      <c r="B62" s="123" t="s">
        <v>170</v>
      </c>
      <c r="C62" s="278"/>
      <c r="D62" s="278"/>
      <c r="E62" s="83"/>
      <c r="G62" s="1"/>
      <c r="H62" s="1"/>
      <c r="I62" s="1"/>
      <c r="J62" s="1"/>
    </row>
    <row r="63" spans="2:10" ht="15.75">
      <c r="B63" s="287" t="s">
        <v>1050</v>
      </c>
      <c r="C63" s="417">
        <v>1030624</v>
      </c>
      <c r="D63" s="417">
        <v>1400000</v>
      </c>
      <c r="E63" s="87">
        <v>1500000</v>
      </c>
      <c r="G63" s="1"/>
      <c r="H63" s="1"/>
      <c r="I63" s="1"/>
      <c r="J63" s="1"/>
    </row>
    <row r="64" spans="2:10" ht="15.75">
      <c r="B64" s="287"/>
      <c r="C64" s="417"/>
      <c r="D64" s="417"/>
      <c r="E64" s="87"/>
      <c r="G64" s="832" t="str">
        <f>CONCATENATE("Desired Carryover Into ",E1+1,"")</f>
        <v>Desired Carryover Into 2016</v>
      </c>
      <c r="H64" s="833"/>
      <c r="I64" s="833"/>
      <c r="J64" s="804"/>
    </row>
    <row r="65" spans="2:10" ht="15.75">
      <c r="B65" s="287"/>
      <c r="C65" s="417"/>
      <c r="D65" s="417"/>
      <c r="E65" s="87"/>
      <c r="G65" s="613"/>
      <c r="H65" s="614"/>
      <c r="I65" s="615"/>
      <c r="J65" s="616"/>
    </row>
    <row r="66" spans="2:10" ht="15.75">
      <c r="B66" s="287"/>
      <c r="C66" s="417"/>
      <c r="D66" s="417"/>
      <c r="E66" s="87"/>
      <c r="G66" s="617" t="s">
        <v>660</v>
      </c>
      <c r="H66" s="615"/>
      <c r="I66" s="615"/>
      <c r="J66" s="618">
        <v>0</v>
      </c>
    </row>
    <row r="67" spans="2:10" ht="15.75">
      <c r="B67" s="287"/>
      <c r="C67" s="417"/>
      <c r="D67" s="417"/>
      <c r="E67" s="87"/>
      <c r="G67" s="613" t="s">
        <v>661</v>
      </c>
      <c r="H67" s="614"/>
      <c r="I67" s="614"/>
      <c r="J67" s="619">
        <f>IF(J66=0,"",ROUND((J66+E80-G79)/inputOth!E6*1000,3)-G84)</f>
      </c>
    </row>
    <row r="68" spans="2:10" ht="15.75">
      <c r="B68" s="287"/>
      <c r="C68" s="417"/>
      <c r="D68" s="417"/>
      <c r="E68" s="87"/>
      <c r="G68" s="620" t="str">
        <f>CONCATENATE("",E1," Tot Exp/Non-Appr Must Be:")</f>
        <v>2015 Tot Exp/Non-Appr Must Be:</v>
      </c>
      <c r="H68" s="621"/>
      <c r="I68" s="622"/>
      <c r="J68" s="623">
        <f>IF(J66&gt;0,IF(E77&lt;E61,IF(J66=G79,E77,((J66-G79)*(1-D79))+E61),E77+(J66-G79)),0)</f>
        <v>0</v>
      </c>
    </row>
    <row r="69" spans="2:10" ht="15.75">
      <c r="B69" s="287"/>
      <c r="C69" s="417"/>
      <c r="D69" s="417"/>
      <c r="E69" s="87"/>
      <c r="G69" s="624" t="s">
        <v>810</v>
      </c>
      <c r="H69" s="625"/>
      <c r="I69" s="625"/>
      <c r="J69" s="626">
        <f>IF(J66&gt;0,J68-E77,0)</f>
        <v>0</v>
      </c>
    </row>
    <row r="70" spans="2:10" ht="15.75">
      <c r="B70" s="278" t="s">
        <v>74</v>
      </c>
      <c r="C70" s="417">
        <v>23288</v>
      </c>
      <c r="D70" s="417">
        <v>23764</v>
      </c>
      <c r="E70" s="95">
        <f>Nhood!E24</f>
        <v>20459</v>
      </c>
      <c r="G70" s="1"/>
      <c r="H70" s="1"/>
      <c r="I70" s="1"/>
      <c r="J70" s="1"/>
    </row>
    <row r="71" spans="2:10" ht="15.75">
      <c r="B71" s="278" t="s">
        <v>72</v>
      </c>
      <c r="C71" s="417"/>
      <c r="D71" s="417"/>
      <c r="E71" s="87"/>
      <c r="G71" s="832" t="str">
        <f>CONCATENATE("Projected Carryover Into ",E1+1,"")</f>
        <v>Projected Carryover Into 2016</v>
      </c>
      <c r="H71" s="840"/>
      <c r="I71" s="840"/>
      <c r="J71" s="839"/>
    </row>
    <row r="72" spans="2:10" ht="15.75">
      <c r="B72" s="278" t="s">
        <v>653</v>
      </c>
      <c r="C72" s="418">
        <f>IF(C73*0.1&lt;C71,"Exceed 10% Rule","")</f>
      </c>
      <c r="D72" s="418">
        <f>IF(D73*0.1&lt;D71,"Exceed 10% Rule","")</f>
      </c>
      <c r="E72" s="313">
        <f>IF(E73*0.1&lt;E71,"Exceed 10% Rule","")</f>
      </c>
      <c r="G72" s="651"/>
      <c r="H72" s="614"/>
      <c r="I72" s="614"/>
      <c r="J72" s="646"/>
    </row>
    <row r="73" spans="2:10" ht="15.75">
      <c r="B73" s="280" t="s">
        <v>171</v>
      </c>
      <c r="C73" s="419">
        <f>SUM(C63:C71)</f>
        <v>1053912</v>
      </c>
      <c r="D73" s="419">
        <f>SUM(D63:D71)</f>
        <v>1423764</v>
      </c>
      <c r="E73" s="321">
        <f>SUM(E63:E71)</f>
        <v>1520459</v>
      </c>
      <c r="G73" s="642">
        <f>D74</f>
        <v>74910</v>
      </c>
      <c r="H73" s="632" t="str">
        <f>CONCATENATE("",E1-1," Ending Cash Balance (est.)")</f>
        <v>2014 Ending Cash Balance (est.)</v>
      </c>
      <c r="I73" s="643"/>
      <c r="J73" s="646"/>
    </row>
    <row r="74" spans="2:10" ht="15.75">
      <c r="B74" s="123" t="s">
        <v>273</v>
      </c>
      <c r="C74" s="422">
        <f>C61-C73</f>
        <v>212722</v>
      </c>
      <c r="D74" s="422">
        <f>D61-D73</f>
        <v>74910</v>
      </c>
      <c r="E74" s="306" t="s">
        <v>145</v>
      </c>
      <c r="G74" s="642">
        <f>E60</f>
        <v>126135</v>
      </c>
      <c r="H74" s="615" t="str">
        <f>CONCATENATE("",E1," Non-AV Receipts (est.)")</f>
        <v>2015 Non-AV Receipts (est.)</v>
      </c>
      <c r="I74" s="643"/>
      <c r="J74" s="646"/>
    </row>
    <row r="75" spans="2:11" ht="15.75">
      <c r="B75" s="270" t="str">
        <f>CONCATENATE("",E1-2,"/",E1-1,"/",E1," Budget Authority Amount:")</f>
        <v>2013/2014/2015 Budget Authority Amount:</v>
      </c>
      <c r="C75" s="308">
        <f>inputOth!B48</f>
        <v>1223980</v>
      </c>
      <c r="D75" s="308">
        <f>inputPrYr!D34</f>
        <v>1423764</v>
      </c>
      <c r="E75" s="234">
        <f>E73</f>
        <v>1520459</v>
      </c>
      <c r="F75" s="289"/>
      <c r="G75" s="644">
        <f>IF(E79&gt;0,E78,E80)</f>
        <v>1319414</v>
      </c>
      <c r="H75" s="615" t="str">
        <f>CONCATENATE("",E1," Ad Valorem Tax (est.)")</f>
        <v>2015 Ad Valorem Tax (est.)</v>
      </c>
      <c r="I75" s="643"/>
      <c r="J75" s="646"/>
      <c r="K75" s="629">
        <f>IF(G75=E80,"","Note: Does not include Delinquent Taxes")</f>
      </c>
    </row>
    <row r="76" spans="2:10" ht="15.75">
      <c r="B76" s="256"/>
      <c r="C76" s="822" t="s">
        <v>657</v>
      </c>
      <c r="D76" s="823"/>
      <c r="E76" s="87"/>
      <c r="F76" s="465">
        <f>IF(E73/0.95-E73&lt;E76,"Exceeds 5%","")</f>
      </c>
      <c r="G76" s="652">
        <f>SUM(G73:G75)</f>
        <v>1520459</v>
      </c>
      <c r="H76" s="615" t="str">
        <f>CONCATENATE("Total ",E1," Resources Available")</f>
        <v>Total 2015 Resources Available</v>
      </c>
      <c r="I76" s="653"/>
      <c r="J76" s="646"/>
    </row>
    <row r="77" spans="2:10" ht="15.75">
      <c r="B77" s="468" t="str">
        <f>CONCATENATE(C93,"     ",D93)</f>
        <v>     </v>
      </c>
      <c r="C77" s="824" t="s">
        <v>658</v>
      </c>
      <c r="D77" s="825"/>
      <c r="E77" s="234">
        <f>E73+E76</f>
        <v>1520459</v>
      </c>
      <c r="G77" s="654"/>
      <c r="H77" s="655"/>
      <c r="I77" s="614"/>
      <c r="J77" s="646"/>
    </row>
    <row r="78" spans="2:10" ht="15.75">
      <c r="B78" s="468" t="str">
        <f>CONCATENATE(C94,"     ",D94)</f>
        <v>     </v>
      </c>
      <c r="C78" s="290"/>
      <c r="D78" s="208" t="s">
        <v>172</v>
      </c>
      <c r="E78" s="95">
        <f>IF(E77-E61&gt;0,E77-E61,0)</f>
        <v>1319414</v>
      </c>
      <c r="G78" s="656">
        <f>ROUND(C73*0.05+C73,0)</f>
        <v>1106608</v>
      </c>
      <c r="H78" s="615" t="str">
        <f>CONCATENATE("Less ",E1-2," Expenditures + 5%")</f>
        <v>Less 2013 Expenditures + 5%</v>
      </c>
      <c r="I78" s="653"/>
      <c r="J78" s="646"/>
    </row>
    <row r="79" spans="2:10" ht="15.75">
      <c r="B79" s="208"/>
      <c r="C79" s="467" t="s">
        <v>659</v>
      </c>
      <c r="D79" s="612">
        <f>inputOth!$E$23</f>
        <v>0</v>
      </c>
      <c r="E79" s="234">
        <f>ROUND(IF(D79&gt;0,($E$78*D79),0),0)</f>
        <v>0</v>
      </c>
      <c r="G79" s="657">
        <f>G76-G78</f>
        <v>413851</v>
      </c>
      <c r="H79" s="648" t="str">
        <f>CONCATENATE("Projected ",E1+1," carryover (est.)")</f>
        <v>Projected 2016 carryover (est.)</v>
      </c>
      <c r="I79" s="658"/>
      <c r="J79" s="659"/>
    </row>
    <row r="80" spans="2:10" ht="15.75">
      <c r="B80" s="62"/>
      <c r="C80" s="830" t="str">
        <f>CONCATENATE("Amount of  ",$E$1-1," Ad Valorem Tax")</f>
        <v>Amount of  2014 Ad Valorem Tax</v>
      </c>
      <c r="D80" s="831"/>
      <c r="E80" s="317">
        <f>E78+E79</f>
        <v>1319414</v>
      </c>
      <c r="G80" s="1"/>
      <c r="H80" s="1"/>
      <c r="I80" s="1"/>
      <c r="J80" s="1"/>
    </row>
    <row r="81" spans="2:10" ht="15.75">
      <c r="B81" s="256" t="s">
        <v>192</v>
      </c>
      <c r="C81" s="318">
        <v>17</v>
      </c>
      <c r="D81" s="62"/>
      <c r="E81" s="62"/>
      <c r="G81" s="834" t="s">
        <v>811</v>
      </c>
      <c r="H81" s="835"/>
      <c r="I81" s="835"/>
      <c r="J81" s="836"/>
    </row>
    <row r="82" spans="7:10" ht="15.75">
      <c r="G82" s="631"/>
      <c r="H82" s="632"/>
      <c r="I82" s="633"/>
      <c r="J82" s="634"/>
    </row>
    <row r="83" spans="7:10" ht="15.75">
      <c r="G83" s="635">
        <f>summ!H34</f>
        <v>10.146</v>
      </c>
      <c r="H83" s="632" t="str">
        <f>CONCATENATE("",E1," Fund Mill Rate")</f>
        <v>2015 Fund Mill Rate</v>
      </c>
      <c r="I83" s="633"/>
      <c r="J83" s="634"/>
    </row>
    <row r="84" spans="7:10" ht="15.75">
      <c r="G84" s="636">
        <f>summ!E34</f>
        <v>10.33</v>
      </c>
      <c r="H84" s="632" t="str">
        <f>CONCATENATE("",E1-1," Fund Mill Rate")</f>
        <v>2014 Fund Mill Rate</v>
      </c>
      <c r="I84" s="633"/>
      <c r="J84" s="634"/>
    </row>
    <row r="85" spans="7:10" ht="15.75">
      <c r="G85" s="637">
        <f>summ!H61</f>
        <v>51.98700000000003</v>
      </c>
      <c r="H85" s="632" t="str">
        <f>CONCATENATE("Total ",E1," Mill Rate")</f>
        <v>Total 2015 Mill Rate</v>
      </c>
      <c r="I85" s="633"/>
      <c r="J85" s="634"/>
    </row>
    <row r="86" spans="7:10" ht="15.75">
      <c r="G86" s="636">
        <f>summ!E61</f>
        <v>51.56499999999999</v>
      </c>
      <c r="H86" s="638" t="str">
        <f>CONCATENATE("Total ",E1-1," Mill Rate")</f>
        <v>Total 2014 Mill Rate</v>
      </c>
      <c r="I86" s="639"/>
      <c r="J86" s="640"/>
    </row>
    <row r="88" spans="7:9" ht="15.75">
      <c r="G88" s="741" t="s">
        <v>886</v>
      </c>
      <c r="H88" s="690"/>
      <c r="I88" s="689" t="str">
        <f>cert!E69</f>
        <v>Yes</v>
      </c>
    </row>
    <row r="91" spans="3:4" ht="15.75" hidden="1">
      <c r="C91" s="50">
        <f>IF(C33&gt;C35,"See Tab A","")</f>
      </c>
      <c r="D91" s="50">
        <f>IF(D33&gt;D35,"See Tab C","")</f>
      </c>
    </row>
    <row r="92" spans="3:4" ht="15.75" hidden="1">
      <c r="C92" s="50">
        <f>IF(C34&lt;0,"See Tab B","")</f>
      </c>
      <c r="D92" s="50">
        <f>IF(D34&lt;0,"See Tab D","")</f>
      </c>
    </row>
    <row r="93" spans="3:4" ht="15.75" hidden="1">
      <c r="C93" s="50">
        <f>IF(C73&gt;C75,"See Tab A","")</f>
      </c>
      <c r="D93" s="50">
        <f>IF(D73&gt;D75,"See Tab C","")</f>
      </c>
    </row>
    <row r="94" spans="3:4" ht="15.75" hidden="1">
      <c r="C94" s="50">
        <f>IF(C74&lt;0,"See Tab B","")</f>
      </c>
      <c r="D94" s="50">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1">
    <cfRule type="cellIs" priority="3" dxfId="408" operator="greaterThan" stopIfTrue="1">
      <formula>$E$73*0.1</formula>
    </cfRule>
  </conditionalFormatting>
  <conditionalFormatting sqref="E76">
    <cfRule type="cellIs" priority="4" dxfId="408" operator="greaterThan" stopIfTrue="1">
      <formula>$E$73/0.95-$E$73</formula>
    </cfRule>
  </conditionalFormatting>
  <conditionalFormatting sqref="E36">
    <cfRule type="cellIs" priority="5" dxfId="408" operator="greaterThan" stopIfTrue="1">
      <formula>$E$33/0.95-$E$33</formula>
    </cfRule>
  </conditionalFormatting>
  <conditionalFormatting sqref="E31">
    <cfRule type="cellIs" priority="6" dxfId="408" operator="greaterThan" stopIfTrue="1">
      <formula>$E$33*0.1</formula>
    </cfRule>
  </conditionalFormatting>
  <conditionalFormatting sqref="C74 C34">
    <cfRule type="cellIs" priority="7" dxfId="2" operator="lessThan" stopIfTrue="1">
      <formula>0</formula>
    </cfRule>
  </conditionalFormatting>
  <conditionalFormatting sqref="C73">
    <cfRule type="cellIs" priority="8" dxfId="2" operator="greaterThan" stopIfTrue="1">
      <formula>$C$75</formula>
    </cfRule>
  </conditionalFormatting>
  <conditionalFormatting sqref="D73">
    <cfRule type="cellIs" priority="9" dxfId="2" operator="greaterThan" stopIfTrue="1">
      <formula>$D$75</formula>
    </cfRule>
  </conditionalFormatting>
  <conditionalFormatting sqref="C71">
    <cfRule type="cellIs" priority="10" dxfId="2" operator="greaterThan" stopIfTrue="1">
      <formula>$C$73*0.1</formula>
    </cfRule>
  </conditionalFormatting>
  <conditionalFormatting sqref="D71">
    <cfRule type="cellIs" priority="11" dxfId="2" operator="greaterThan" stopIfTrue="1">
      <formula>$D$73*0.1</formula>
    </cfRule>
  </conditionalFormatting>
  <conditionalFormatting sqref="E58">
    <cfRule type="cellIs" priority="12" dxfId="408" operator="greaterThan" stopIfTrue="1">
      <formula>$E$60*0.1+E80</formula>
    </cfRule>
  </conditionalFormatting>
  <conditionalFormatting sqref="C58">
    <cfRule type="cellIs" priority="13" dxfId="2" operator="greaterThan" stopIfTrue="1">
      <formula>$C$60*0.1</formula>
    </cfRule>
  </conditionalFormatting>
  <conditionalFormatting sqref="D58">
    <cfRule type="cellIs" priority="14" dxfId="2" operator="greaterThan" stopIfTrue="1">
      <formula>$D$60*0.1</formula>
    </cfRule>
  </conditionalFormatting>
  <conditionalFormatting sqref="C33">
    <cfRule type="cellIs" priority="15" dxfId="2" operator="greaterThan" stopIfTrue="1">
      <formula>$C$35</formula>
    </cfRule>
  </conditionalFormatting>
  <conditionalFormatting sqref="D33">
    <cfRule type="cellIs" priority="16" dxfId="2" operator="greaterThan" stopIfTrue="1">
      <formula>$D$35</formula>
    </cfRule>
  </conditionalFormatting>
  <conditionalFormatting sqref="C31">
    <cfRule type="cellIs" priority="17" dxfId="2" operator="greaterThan" stopIfTrue="1">
      <formula>$C$33*0.1</formula>
    </cfRule>
  </conditionalFormatting>
  <conditionalFormatting sqref="D31">
    <cfRule type="cellIs" priority="18" dxfId="2" operator="greaterThan" stopIfTrue="1">
      <formula>$D$33*0.1</formula>
    </cfRule>
  </conditionalFormatting>
  <conditionalFormatting sqref="E18">
    <cfRule type="cellIs" priority="19" dxfId="408" operator="greaterThan" stopIfTrue="1">
      <formula>$E$20*0.1+E40</formula>
    </cfRule>
  </conditionalFormatting>
  <conditionalFormatting sqref="C18">
    <cfRule type="cellIs" priority="20" dxfId="2" operator="greaterThan" stopIfTrue="1">
      <formula>$C$20*0.1</formula>
    </cfRule>
  </conditionalFormatting>
  <conditionalFormatting sqref="D18">
    <cfRule type="cellIs" priority="21" dxfId="2" operator="greaterThan" stopIfTrue="1">
      <formula>$D$20*0.1</formula>
    </cfRule>
  </conditionalFormatting>
  <conditionalFormatting sqref="D34 D74">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3" r:id="rId1"/>
  <headerFooter alignWithMargins="0">
    <oddHeader>&amp;RState of Kansas
County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4"/>
  <sheetViews>
    <sheetView zoomScalePageLayoutView="0" workbookViewId="0" topLeftCell="A52">
      <selection activeCell="I55" sqref="I55"/>
    </sheetView>
  </sheetViews>
  <sheetFormatPr defaultColWidth="8.796875" defaultRowHeight="15"/>
  <cols>
    <col min="1" max="1" width="2.3984375" style="50" customWidth="1"/>
    <col min="2" max="2" width="31.09765625" style="50" customWidth="1"/>
    <col min="3" max="4" width="15.796875" style="50" customWidth="1"/>
    <col min="5" max="5" width="16.19921875" style="50" customWidth="1"/>
    <col min="6" max="6" width="7.3984375" style="50" customWidth="1"/>
    <col min="7" max="7" width="10.19921875" style="50" customWidth="1"/>
    <col min="8" max="8" width="8.8984375" style="50" customWidth="1"/>
    <col min="9" max="9" width="5" style="50" customWidth="1"/>
    <col min="10" max="10" width="10" style="50" customWidth="1"/>
    <col min="11" max="16384" width="8.8984375" style="50" customWidth="1"/>
  </cols>
  <sheetData>
    <row r="1" spans="2:5" ht="15.75">
      <c r="B1" s="201" t="str">
        <f>inputPrYr!C2</f>
        <v>Marshall County</v>
      </c>
      <c r="C1" s="62"/>
      <c r="D1" s="62"/>
      <c r="E1" s="255">
        <f>inputPrYr!C4</f>
        <v>2015</v>
      </c>
    </row>
    <row r="2" spans="2:5" ht="15.75">
      <c r="B2" s="62"/>
      <c r="C2" s="62"/>
      <c r="D2" s="62"/>
      <c r="E2" s="208"/>
    </row>
    <row r="3" spans="2:5" ht="15.75">
      <c r="B3" s="127" t="s">
        <v>239</v>
      </c>
      <c r="C3" s="302"/>
      <c r="D3" s="302"/>
      <c r="E3" s="303"/>
    </row>
    <row r="4" spans="2:5" ht="15.75">
      <c r="B4" s="61" t="s">
        <v>157</v>
      </c>
      <c r="C4" s="666" t="s">
        <v>812</v>
      </c>
      <c r="D4" s="667" t="s">
        <v>813</v>
      </c>
      <c r="E4" s="188" t="s">
        <v>814</v>
      </c>
    </row>
    <row r="5" spans="2:5" ht="15.75">
      <c r="B5" s="447" t="str">
        <f>inputPrYr!B35</f>
        <v>Unemployment</v>
      </c>
      <c r="C5" s="420" t="str">
        <f>CONCATENATE("Actual for ",E1-2,"")</f>
        <v>Actual for 2013</v>
      </c>
      <c r="D5" s="420" t="str">
        <f>CONCATENATE("Estimate for ",E1-1,"")</f>
        <v>Estimate for 2014</v>
      </c>
      <c r="E5" s="271" t="str">
        <f>CONCATENATE("Year for ",E1,"")</f>
        <v>Year for 2015</v>
      </c>
    </row>
    <row r="6" spans="2:5" ht="15.75">
      <c r="B6" s="123" t="s">
        <v>272</v>
      </c>
      <c r="C6" s="417">
        <v>5462</v>
      </c>
      <c r="D6" s="421">
        <f>C34</f>
        <v>5153</v>
      </c>
      <c r="E6" s="234">
        <f>D34</f>
        <v>1532</v>
      </c>
    </row>
    <row r="7" spans="2:5" ht="15.75">
      <c r="B7" s="259" t="s">
        <v>274</v>
      </c>
      <c r="C7" s="274"/>
      <c r="D7" s="274"/>
      <c r="E7" s="102"/>
    </row>
    <row r="8" spans="2:5" ht="15.75">
      <c r="B8" s="123" t="s">
        <v>158</v>
      </c>
      <c r="C8" s="417">
        <v>1940</v>
      </c>
      <c r="D8" s="421">
        <f>IF(inputPrYr!H35&gt;0,inputPrYr!H35,inputPrYr!E35)</f>
        <v>2206</v>
      </c>
      <c r="E8" s="306" t="s">
        <v>145</v>
      </c>
    </row>
    <row r="9" spans="2:5" ht="15.75">
      <c r="B9" s="123" t="s">
        <v>159</v>
      </c>
      <c r="C9" s="417">
        <v>17</v>
      </c>
      <c r="D9" s="417"/>
      <c r="E9" s="87"/>
    </row>
    <row r="10" spans="2:5" ht="15.75">
      <c r="B10" s="123" t="s">
        <v>160</v>
      </c>
      <c r="C10" s="417">
        <v>208</v>
      </c>
      <c r="D10" s="417">
        <v>185</v>
      </c>
      <c r="E10" s="234">
        <f>mvalloc!E26</f>
        <v>203</v>
      </c>
    </row>
    <row r="11" spans="2:5" ht="15.75">
      <c r="B11" s="123" t="s">
        <v>161</v>
      </c>
      <c r="C11" s="417">
        <v>3</v>
      </c>
      <c r="D11" s="417">
        <v>3</v>
      </c>
      <c r="E11" s="234">
        <f>mvalloc!F26</f>
        <v>3</v>
      </c>
    </row>
    <row r="12" spans="2:5" ht="15.75">
      <c r="B12" s="274" t="s">
        <v>230</v>
      </c>
      <c r="C12" s="417">
        <v>24</v>
      </c>
      <c r="D12" s="417">
        <v>26</v>
      </c>
      <c r="E12" s="234">
        <f>mvalloc!G26</f>
        <v>12</v>
      </c>
    </row>
    <row r="13" spans="2:5" ht="15.75">
      <c r="B13" s="287" t="s">
        <v>1060</v>
      </c>
      <c r="C13" s="417">
        <v>19</v>
      </c>
      <c r="D13" s="417"/>
      <c r="E13" s="87"/>
    </row>
    <row r="14" spans="2:5" ht="15.75">
      <c r="B14" s="287"/>
      <c r="C14" s="417"/>
      <c r="D14" s="417"/>
      <c r="E14" s="87"/>
    </row>
    <row r="15" spans="2:5" ht="15.75">
      <c r="B15" s="287"/>
      <c r="C15" s="417"/>
      <c r="D15" s="417"/>
      <c r="E15" s="87"/>
    </row>
    <row r="16" spans="2:5" ht="15.75">
      <c r="B16" s="287"/>
      <c r="C16" s="417"/>
      <c r="D16" s="417"/>
      <c r="E16" s="87"/>
    </row>
    <row r="17" spans="2:5" ht="15.75">
      <c r="B17" s="277" t="s">
        <v>165</v>
      </c>
      <c r="C17" s="417"/>
      <c r="D17" s="417"/>
      <c r="E17" s="87"/>
    </row>
    <row r="18" spans="2:5" ht="15.75">
      <c r="B18" s="278" t="s">
        <v>72</v>
      </c>
      <c r="C18" s="417"/>
      <c r="D18" s="417"/>
      <c r="E18" s="87"/>
    </row>
    <row r="19" spans="2:5" ht="15.75">
      <c r="B19" s="278" t="s">
        <v>654</v>
      </c>
      <c r="C19" s="418">
        <f>IF(C20*0.1&lt;C18,"Exceed 10% Rule","")</f>
      </c>
      <c r="D19" s="418">
        <f>IF(D20*0.1&lt;D18,"Exceed 10% Rule","")</f>
      </c>
      <c r="E19" s="313">
        <f>IF(E20*0.1+E40&lt;E18,"Exceed 10% Rule","")</f>
      </c>
    </row>
    <row r="20" spans="2:5" ht="15.75">
      <c r="B20" s="280" t="s">
        <v>166</v>
      </c>
      <c r="C20" s="419">
        <f>SUM(C8:C18)</f>
        <v>2211</v>
      </c>
      <c r="D20" s="419">
        <f>SUM(D8:D18)</f>
        <v>2420</v>
      </c>
      <c r="E20" s="321">
        <f>SUM(E8:E18)</f>
        <v>218</v>
      </c>
    </row>
    <row r="21" spans="2:5" ht="15.75">
      <c r="B21" s="280" t="s">
        <v>167</v>
      </c>
      <c r="C21" s="419">
        <f>C6+C20</f>
        <v>7673</v>
      </c>
      <c r="D21" s="419">
        <f>D6+D20</f>
        <v>7573</v>
      </c>
      <c r="E21" s="321">
        <f>E6+E20</f>
        <v>1750</v>
      </c>
    </row>
    <row r="22" spans="2:5" ht="15.75">
      <c r="B22" s="123" t="s">
        <v>170</v>
      </c>
      <c r="C22" s="278"/>
      <c r="D22" s="278"/>
      <c r="E22" s="83"/>
    </row>
    <row r="23" spans="2:5" ht="15.75">
      <c r="B23" s="287" t="s">
        <v>1061</v>
      </c>
      <c r="C23" s="417">
        <v>2477</v>
      </c>
      <c r="D23" s="417">
        <v>6000</v>
      </c>
      <c r="E23" s="87">
        <v>6000</v>
      </c>
    </row>
    <row r="24" spans="2:10" ht="15.75">
      <c r="B24" s="287"/>
      <c r="C24" s="417"/>
      <c r="D24" s="417"/>
      <c r="E24" s="87"/>
      <c r="G24" s="832" t="str">
        <f>CONCATENATE("Desired Carryover Into ",E1+1,"")</f>
        <v>Desired Carryover Into 2016</v>
      </c>
      <c r="H24" s="833"/>
      <c r="I24" s="833"/>
      <c r="J24" s="804"/>
    </row>
    <row r="25" spans="2:10" ht="15.75">
      <c r="B25" s="287"/>
      <c r="C25" s="417"/>
      <c r="D25" s="417"/>
      <c r="E25" s="87"/>
      <c r="G25" s="613"/>
      <c r="H25" s="614"/>
      <c r="I25" s="615"/>
      <c r="J25" s="616"/>
    </row>
    <row r="26" spans="2:10" ht="15.75">
      <c r="B26" s="287"/>
      <c r="C26" s="417"/>
      <c r="D26" s="417"/>
      <c r="E26" s="87"/>
      <c r="G26" s="617" t="s">
        <v>660</v>
      </c>
      <c r="H26" s="615"/>
      <c r="I26" s="615"/>
      <c r="J26" s="618">
        <v>0</v>
      </c>
    </row>
    <row r="27" spans="2:10" ht="15.75">
      <c r="B27" s="287"/>
      <c r="C27" s="417"/>
      <c r="D27" s="417"/>
      <c r="E27" s="87"/>
      <c r="G27" s="613" t="s">
        <v>661</v>
      </c>
      <c r="H27" s="614"/>
      <c r="I27" s="614"/>
      <c r="J27" s="619">
        <f>IF(J26=0,"",ROUND((J26+E40-G39)/inputOth!E6*1000,3)-G44)</f>
      </c>
    </row>
    <row r="28" spans="2:10" ht="15.75">
      <c r="B28" s="287"/>
      <c r="C28" s="417"/>
      <c r="D28" s="417"/>
      <c r="E28" s="87"/>
      <c r="G28" s="620" t="str">
        <f>CONCATENATE("",E1," Tot Exp/Non-Appr Must Be:")</f>
        <v>2015 Tot Exp/Non-Appr Must Be:</v>
      </c>
      <c r="H28" s="621"/>
      <c r="I28" s="622"/>
      <c r="J28" s="623">
        <f>IF(J26&gt;0,IF(E37&lt;E21,IF(J26=G39,E37,((J26-G39)*(1-D39))+E21),E37+(J26-G39)),0)</f>
        <v>0</v>
      </c>
    </row>
    <row r="29" spans="2:10" ht="15.75">
      <c r="B29" s="287"/>
      <c r="C29" s="417"/>
      <c r="D29" s="417"/>
      <c r="E29" s="87"/>
      <c r="G29" s="624" t="s">
        <v>810</v>
      </c>
      <c r="H29" s="625"/>
      <c r="I29" s="625"/>
      <c r="J29" s="626">
        <f>IF(J26&gt;0,J28-E37,0)</f>
        <v>0</v>
      </c>
    </row>
    <row r="30" spans="2:10" ht="15.75">
      <c r="B30" s="278" t="s">
        <v>74</v>
      </c>
      <c r="C30" s="417">
        <v>43</v>
      </c>
      <c r="D30" s="417">
        <v>41</v>
      </c>
      <c r="E30" s="95">
        <f>Nhood!E25</f>
        <v>67</v>
      </c>
      <c r="G30" s="1"/>
      <c r="H30" s="1"/>
      <c r="I30" s="1"/>
      <c r="J30" s="1"/>
    </row>
    <row r="31" spans="2:10" ht="15.75">
      <c r="B31" s="278" t="s">
        <v>72</v>
      </c>
      <c r="C31" s="417"/>
      <c r="D31" s="417"/>
      <c r="E31" s="87"/>
      <c r="G31" s="832" t="str">
        <f>CONCATENATE("Projected Carryover Into ",E1+1,"")</f>
        <v>Projected Carryover Into 2016</v>
      </c>
      <c r="H31" s="838"/>
      <c r="I31" s="838"/>
      <c r="J31" s="839"/>
    </row>
    <row r="32" spans="2:10" ht="15.75">
      <c r="B32" s="278" t="s">
        <v>653</v>
      </c>
      <c r="C32" s="418">
        <f>IF(C33*0.1&lt;C31,"Exceed 10% Rule","")</f>
      </c>
      <c r="D32" s="418">
        <f>IF(D33*0.1&lt;D31,"Exceed 10% Rule","")</f>
      </c>
      <c r="E32" s="313">
        <f>IF(E33*0.1&lt;E31,"Exceed 10% Rule","")</f>
      </c>
      <c r="G32" s="613"/>
      <c r="H32" s="615"/>
      <c r="I32" s="615"/>
      <c r="J32" s="641"/>
    </row>
    <row r="33" spans="2:10" ht="15.75">
      <c r="B33" s="280" t="s">
        <v>171</v>
      </c>
      <c r="C33" s="419">
        <f>SUM(C23:C31)</f>
        <v>2520</v>
      </c>
      <c r="D33" s="419">
        <f>SUM(D23:D31)</f>
        <v>6041</v>
      </c>
      <c r="E33" s="321">
        <f>SUM(E23:E31)</f>
        <v>6067</v>
      </c>
      <c r="G33" s="642">
        <f>D34</f>
        <v>1532</v>
      </c>
      <c r="H33" s="632" t="str">
        <f>CONCATENATE("",E1-1," Ending Cash Balance (est.)")</f>
        <v>2014 Ending Cash Balance (est.)</v>
      </c>
      <c r="I33" s="643"/>
      <c r="J33" s="641"/>
    </row>
    <row r="34" spans="2:10" ht="15.75">
      <c r="B34" s="123" t="s">
        <v>273</v>
      </c>
      <c r="C34" s="422">
        <f>C21-C33</f>
        <v>5153</v>
      </c>
      <c r="D34" s="422">
        <f>D21-D33</f>
        <v>1532</v>
      </c>
      <c r="E34" s="306" t="s">
        <v>145</v>
      </c>
      <c r="G34" s="642">
        <f>E20</f>
        <v>218</v>
      </c>
      <c r="H34" s="615" t="str">
        <f>CONCATENATE("",E1," Non-AV Receipts (est.)")</f>
        <v>2015 Non-AV Receipts (est.)</v>
      </c>
      <c r="I34" s="643"/>
      <c r="J34" s="641"/>
    </row>
    <row r="35" spans="2:11" ht="15.75">
      <c r="B35" s="270" t="str">
        <f>CONCATENATE("",E1-2,"/",E1-1,"/",E1," Budget Authority Amount:")</f>
        <v>2013/2014/2015 Budget Authority Amount:</v>
      </c>
      <c r="C35" s="308">
        <f>inputOth!B49</f>
        <v>4045</v>
      </c>
      <c r="D35" s="308">
        <f>inputPrYr!D35</f>
        <v>6041</v>
      </c>
      <c r="E35" s="234">
        <f>E33</f>
        <v>6067</v>
      </c>
      <c r="F35" s="289"/>
      <c r="G35" s="644">
        <f>IF(E39&gt;0,E38,E40)</f>
        <v>4317</v>
      </c>
      <c r="H35" s="615" t="str">
        <f>CONCATENATE("",E1," Ad Valorem Tax (est.)")</f>
        <v>2015 Ad Valorem Tax (est.)</v>
      </c>
      <c r="I35" s="643"/>
      <c r="J35" s="641"/>
      <c r="K35" s="629">
        <f>IF(G35=E40,"","Note: Does not include Delinquent Taxes")</f>
      </c>
    </row>
    <row r="36" spans="2:10" ht="15.75">
      <c r="B36" s="256"/>
      <c r="C36" s="822" t="s">
        <v>657</v>
      </c>
      <c r="D36" s="823"/>
      <c r="E36" s="87"/>
      <c r="F36" s="465">
        <f>IF(E33/0.95-E33&lt;E36,"Exceeds 5%","")</f>
      </c>
      <c r="G36" s="642">
        <f>SUM(G33:G35)</f>
        <v>6067</v>
      </c>
      <c r="H36" s="615" t="str">
        <f>CONCATENATE("Total ",E1," Resources Available")</f>
        <v>Total 2015 Resources Available</v>
      </c>
      <c r="I36" s="643"/>
      <c r="J36" s="641"/>
    </row>
    <row r="37" spans="2:10" ht="15.75">
      <c r="B37" s="469" t="str">
        <f>CONCATENATE(C91,"     ",D91)</f>
        <v>     </v>
      </c>
      <c r="C37" s="824" t="s">
        <v>658</v>
      </c>
      <c r="D37" s="825"/>
      <c r="E37" s="234">
        <f>E33+E36</f>
        <v>6067</v>
      </c>
      <c r="G37" s="645"/>
      <c r="H37" s="615"/>
      <c r="I37" s="615"/>
      <c r="J37" s="641"/>
    </row>
    <row r="38" spans="2:10" ht="15.75">
      <c r="B38" s="469" t="str">
        <f>CONCATENATE(C92,"     ",D92)</f>
        <v>     </v>
      </c>
      <c r="C38" s="290"/>
      <c r="D38" s="208" t="s">
        <v>172</v>
      </c>
      <c r="E38" s="95">
        <f>IF(E37-E21&gt;0,E37-E21,0)</f>
        <v>4317</v>
      </c>
      <c r="G38" s="644">
        <f>ROUND(C33*0.05+C33,0)</f>
        <v>2646</v>
      </c>
      <c r="H38" s="615" t="str">
        <f>CONCATENATE("Less ",E1-2," Expenditures + 5%")</f>
        <v>Less 2013 Expenditures + 5%</v>
      </c>
      <c r="I38" s="643"/>
      <c r="J38" s="646"/>
    </row>
    <row r="39" spans="2:10" ht="15.75">
      <c r="B39" s="208"/>
      <c r="C39" s="467" t="s">
        <v>659</v>
      </c>
      <c r="D39" s="612">
        <f>inputOth!$E$23</f>
        <v>0</v>
      </c>
      <c r="E39" s="234">
        <f>ROUND(IF(D39&gt;0,($E$38*D39),0),0)</f>
        <v>0</v>
      </c>
      <c r="G39" s="647">
        <f>G36-G38</f>
        <v>3421</v>
      </c>
      <c r="H39" s="648" t="str">
        <f>CONCATENATE("Projected ",E1+1," carryover (est.)")</f>
        <v>Projected 2016 carryover (est.)</v>
      </c>
      <c r="I39" s="649"/>
      <c r="J39" s="650"/>
    </row>
    <row r="40" spans="2:10" ht="15.75">
      <c r="B40" s="62"/>
      <c r="C40" s="830" t="str">
        <f>CONCATENATE("Amount of  ",$E$1-1," Ad Valorem Tax")</f>
        <v>Amount of  2014 Ad Valorem Tax</v>
      </c>
      <c r="D40" s="831"/>
      <c r="E40" s="317">
        <f>E38+E39</f>
        <v>4317</v>
      </c>
      <c r="G40" s="1"/>
      <c r="H40" s="1"/>
      <c r="I40" s="1"/>
      <c r="J40" s="1"/>
    </row>
    <row r="41" spans="2:10" ht="15.75">
      <c r="B41" s="62"/>
      <c r="C41" s="296"/>
      <c r="D41" s="296"/>
      <c r="E41" s="296"/>
      <c r="G41" s="834" t="s">
        <v>811</v>
      </c>
      <c r="H41" s="835"/>
      <c r="I41" s="835"/>
      <c r="J41" s="836"/>
    </row>
    <row r="42" spans="2:10" ht="15.75">
      <c r="B42" s="61" t="s">
        <v>157</v>
      </c>
      <c r="C42" s="666" t="str">
        <f aca="true" t="shared" si="0" ref="C42:E43">C4</f>
        <v>Prior Year </v>
      </c>
      <c r="D42" s="667" t="str">
        <f t="shared" si="0"/>
        <v>Current Year </v>
      </c>
      <c r="E42" s="188" t="str">
        <f t="shared" si="0"/>
        <v>Proposed Budget </v>
      </c>
      <c r="G42" s="631"/>
      <c r="H42" s="632"/>
      <c r="I42" s="633"/>
      <c r="J42" s="634"/>
    </row>
    <row r="43" spans="2:10" ht="15.75">
      <c r="B43" s="446" t="str">
        <f>inputPrYr!B36</f>
        <v>Liability </v>
      </c>
      <c r="C43" s="420" t="str">
        <f t="shared" si="0"/>
        <v>Actual for 2013</v>
      </c>
      <c r="D43" s="420" t="str">
        <f t="shared" si="0"/>
        <v>Estimate for 2014</v>
      </c>
      <c r="E43" s="271" t="str">
        <f t="shared" si="0"/>
        <v>Year for 2015</v>
      </c>
      <c r="G43" s="635">
        <f>summ!H35</f>
        <v>0.033</v>
      </c>
      <c r="H43" s="632" t="str">
        <f>CONCATENATE("",E1," Fund Mill Rate")</f>
        <v>2015 Fund Mill Rate</v>
      </c>
      <c r="I43" s="633"/>
      <c r="J43" s="634"/>
    </row>
    <row r="44" spans="2:10" ht="15.75">
      <c r="B44" s="123" t="s">
        <v>272</v>
      </c>
      <c r="C44" s="417">
        <v>39842</v>
      </c>
      <c r="D44" s="421">
        <f>C74</f>
        <v>38381</v>
      </c>
      <c r="E44" s="234">
        <f>D74</f>
        <v>19195</v>
      </c>
      <c r="G44" s="636">
        <f>summ!E35</f>
        <v>0.018</v>
      </c>
      <c r="H44" s="632" t="str">
        <f>CONCATENATE("",E1-1," Fund Mill Rate")</f>
        <v>2014 Fund Mill Rate</v>
      </c>
      <c r="I44" s="633"/>
      <c r="J44" s="634"/>
    </row>
    <row r="45" spans="2:10" ht="15.75">
      <c r="B45" s="272" t="s">
        <v>274</v>
      </c>
      <c r="C45" s="274"/>
      <c r="D45" s="274"/>
      <c r="E45" s="102"/>
      <c r="G45" s="637">
        <f>summ!H61</f>
        <v>51.98700000000003</v>
      </c>
      <c r="H45" s="632" t="str">
        <f>CONCATENATE("Total ",E1," Mill Rate")</f>
        <v>Total 2015 Mill Rate</v>
      </c>
      <c r="I45" s="633"/>
      <c r="J45" s="634"/>
    </row>
    <row r="46" spans="2:10" ht="15.75">
      <c r="B46" s="123" t="s">
        <v>158</v>
      </c>
      <c r="C46" s="417">
        <v>54797</v>
      </c>
      <c r="D46" s="421">
        <f>IF(inputPrYr!H36&gt;0,inputPrYr!H36,inputPrYr!E36)</f>
        <v>55836</v>
      </c>
      <c r="E46" s="306" t="s">
        <v>145</v>
      </c>
      <c r="G46" s="636">
        <f>summ!E61</f>
        <v>51.56499999999999</v>
      </c>
      <c r="H46" s="638" t="str">
        <f>CONCATENATE("Total ",E1-1," Mill Rate")</f>
        <v>Total 2014 Mill Rate</v>
      </c>
      <c r="I46" s="639"/>
      <c r="J46" s="640"/>
    </row>
    <row r="47" spans="2:10" ht="15.75">
      <c r="B47" s="123" t="s">
        <v>159</v>
      </c>
      <c r="C47" s="417">
        <v>401</v>
      </c>
      <c r="D47" s="417"/>
      <c r="E47" s="87"/>
      <c r="G47" s="1"/>
      <c r="H47" s="1"/>
      <c r="I47" s="1"/>
      <c r="J47" s="1"/>
    </row>
    <row r="48" spans="2:10" ht="15.75">
      <c r="B48" s="123" t="s">
        <v>160</v>
      </c>
      <c r="C48" s="417">
        <v>4834</v>
      </c>
      <c r="D48" s="417">
        <v>5209</v>
      </c>
      <c r="E48" s="234">
        <f>mvalloc!E27</f>
        <v>5130</v>
      </c>
      <c r="G48" s="742" t="s">
        <v>886</v>
      </c>
      <c r="H48" s="690"/>
      <c r="I48" s="689" t="str">
        <f>cert!E69</f>
        <v>Yes</v>
      </c>
      <c r="J48" s="1"/>
    </row>
    <row r="49" spans="2:10" ht="15.75">
      <c r="B49" s="123" t="s">
        <v>161</v>
      </c>
      <c r="C49" s="417">
        <v>74</v>
      </c>
      <c r="D49" s="417">
        <v>85</v>
      </c>
      <c r="E49" s="234">
        <f>mvalloc!F27</f>
        <v>75</v>
      </c>
      <c r="G49" s="1"/>
      <c r="H49" s="1"/>
      <c r="I49" s="1"/>
      <c r="J49" s="1"/>
    </row>
    <row r="50" spans="2:10" ht="15.75">
      <c r="B50" s="274" t="s">
        <v>230</v>
      </c>
      <c r="C50" s="417">
        <v>676</v>
      </c>
      <c r="D50" s="417">
        <v>722</v>
      </c>
      <c r="E50" s="234">
        <f>mvalloc!G27</f>
        <v>306</v>
      </c>
      <c r="G50" s="1"/>
      <c r="H50" s="1"/>
      <c r="I50" s="1"/>
      <c r="J50" s="1"/>
    </row>
    <row r="51" spans="2:10" ht="15.75">
      <c r="B51" s="287"/>
      <c r="C51" s="417"/>
      <c r="D51" s="417"/>
      <c r="E51" s="87"/>
      <c r="G51" s="1"/>
      <c r="H51" s="1"/>
      <c r="I51" s="1"/>
      <c r="J51" s="1"/>
    </row>
    <row r="52" spans="2:10" ht="15.75">
      <c r="B52" s="287"/>
      <c r="C52" s="417"/>
      <c r="D52" s="417"/>
      <c r="E52" s="87"/>
      <c r="G52" s="1"/>
      <c r="H52" s="1"/>
      <c r="I52" s="1"/>
      <c r="J52" s="1"/>
    </row>
    <row r="53" spans="2:10" ht="15.75">
      <c r="B53" s="287"/>
      <c r="C53" s="417"/>
      <c r="D53" s="417"/>
      <c r="E53" s="87"/>
      <c r="G53" s="1"/>
      <c r="H53" s="1"/>
      <c r="I53" s="1"/>
      <c r="J53" s="1"/>
    </row>
    <row r="54" spans="2:10" ht="15.75">
      <c r="B54" s="287"/>
      <c r="C54" s="417"/>
      <c r="D54" s="417"/>
      <c r="E54" s="87"/>
      <c r="G54" s="1"/>
      <c r="H54" s="1"/>
      <c r="I54" s="1"/>
      <c r="J54" s="1"/>
    </row>
    <row r="55" spans="2:10" ht="15.75">
      <c r="B55" s="287"/>
      <c r="C55" s="417"/>
      <c r="D55" s="417"/>
      <c r="E55" s="87"/>
      <c r="G55" s="1"/>
      <c r="H55" s="1"/>
      <c r="I55" s="1"/>
      <c r="J55" s="1"/>
    </row>
    <row r="56" spans="2:10" ht="15.75">
      <c r="B56" s="287"/>
      <c r="C56" s="417"/>
      <c r="D56" s="417"/>
      <c r="E56" s="87"/>
      <c r="G56" s="1"/>
      <c r="H56" s="1"/>
      <c r="I56" s="1"/>
      <c r="J56" s="1"/>
    </row>
    <row r="57" spans="2:10" ht="15.75">
      <c r="B57" s="277" t="s">
        <v>165</v>
      </c>
      <c r="C57" s="417"/>
      <c r="D57" s="417"/>
      <c r="E57" s="87"/>
      <c r="G57" s="1"/>
      <c r="H57" s="1"/>
      <c r="I57" s="1"/>
      <c r="J57" s="1"/>
    </row>
    <row r="58" spans="2:10" ht="15.75">
      <c r="B58" s="278" t="s">
        <v>72</v>
      </c>
      <c r="C58" s="417"/>
      <c r="D58" s="417"/>
      <c r="E58" s="87"/>
      <c r="G58" s="1"/>
      <c r="H58" s="1"/>
      <c r="I58" s="1"/>
      <c r="J58" s="1"/>
    </row>
    <row r="59" spans="2:10" ht="15.75">
      <c r="B59" s="278" t="s">
        <v>654</v>
      </c>
      <c r="C59" s="418">
        <f>IF(C60*0.1&lt;C58,"Exceed 10% Rule","")</f>
      </c>
      <c r="D59" s="418">
        <f>IF(D60*0.1&lt;D58,"Exceed 10% Rule","")</f>
      </c>
      <c r="E59" s="313">
        <f>IF(E60*0.1+E80&lt;E58,"Exceed 10% Rule","")</f>
      </c>
      <c r="G59" s="1"/>
      <c r="H59" s="1"/>
      <c r="I59" s="1"/>
      <c r="J59" s="1"/>
    </row>
    <row r="60" spans="2:10" ht="15.75">
      <c r="B60" s="280" t="s">
        <v>166</v>
      </c>
      <c r="C60" s="419">
        <f>SUM(C46:C58)</f>
        <v>60782</v>
      </c>
      <c r="D60" s="419">
        <f>SUM(D46:D58)</f>
        <v>61852</v>
      </c>
      <c r="E60" s="321">
        <f>SUM(E46:E58)</f>
        <v>5511</v>
      </c>
      <c r="G60" s="1"/>
      <c r="H60" s="1"/>
      <c r="I60" s="1"/>
      <c r="J60" s="1"/>
    </row>
    <row r="61" spans="2:10" ht="15.75">
      <c r="B61" s="280" t="s">
        <v>167</v>
      </c>
      <c r="C61" s="419">
        <f>C44+C60</f>
        <v>100624</v>
      </c>
      <c r="D61" s="419">
        <f>D44+D60</f>
        <v>100233</v>
      </c>
      <c r="E61" s="321">
        <f>E44+E60</f>
        <v>24706</v>
      </c>
      <c r="G61" s="1"/>
      <c r="H61" s="1"/>
      <c r="I61" s="1"/>
      <c r="J61" s="1"/>
    </row>
    <row r="62" spans="2:10" ht="15.75">
      <c r="B62" s="123" t="s">
        <v>170</v>
      </c>
      <c r="C62" s="278"/>
      <c r="D62" s="278"/>
      <c r="E62" s="83"/>
      <c r="G62" s="1"/>
      <c r="H62" s="1"/>
      <c r="I62" s="1"/>
      <c r="J62" s="1"/>
    </row>
    <row r="63" spans="2:10" ht="15.75">
      <c r="B63" s="287" t="s">
        <v>1062</v>
      </c>
      <c r="C63" s="417">
        <v>61029</v>
      </c>
      <c r="D63" s="417">
        <v>80000</v>
      </c>
      <c r="E63" s="87">
        <v>75000</v>
      </c>
      <c r="G63" s="1"/>
      <c r="H63" s="1"/>
      <c r="I63" s="1"/>
      <c r="J63" s="1"/>
    </row>
    <row r="64" spans="2:10" ht="15.75">
      <c r="B64" s="287"/>
      <c r="C64" s="417"/>
      <c r="D64" s="417"/>
      <c r="E64" s="87"/>
      <c r="G64" s="832" t="str">
        <f>CONCATENATE("Desired Carryover Into ",E1+1,"")</f>
        <v>Desired Carryover Into 2016</v>
      </c>
      <c r="H64" s="833"/>
      <c r="I64" s="833"/>
      <c r="J64" s="804"/>
    </row>
    <row r="65" spans="2:10" ht="15.75">
      <c r="B65" s="287"/>
      <c r="C65" s="417"/>
      <c r="D65" s="417"/>
      <c r="E65" s="87"/>
      <c r="G65" s="613"/>
      <c r="H65" s="614"/>
      <c r="I65" s="615"/>
      <c r="J65" s="616"/>
    </row>
    <row r="66" spans="2:10" ht="15.75">
      <c r="B66" s="287"/>
      <c r="C66" s="417"/>
      <c r="D66" s="417"/>
      <c r="E66" s="87"/>
      <c r="G66" s="617" t="s">
        <v>660</v>
      </c>
      <c r="H66" s="615"/>
      <c r="I66" s="615"/>
      <c r="J66" s="618">
        <v>0</v>
      </c>
    </row>
    <row r="67" spans="2:10" ht="15.75">
      <c r="B67" s="287"/>
      <c r="C67" s="417"/>
      <c r="D67" s="417"/>
      <c r="E67" s="87"/>
      <c r="G67" s="613" t="s">
        <v>661</v>
      </c>
      <c r="H67" s="614"/>
      <c r="I67" s="614"/>
      <c r="J67" s="619">
        <f>IF(J66=0,"",ROUND((J66+E80-G79)/inputOth!E6*1000,3)-G84)</f>
      </c>
    </row>
    <row r="68" spans="2:10" ht="15.75">
      <c r="B68" s="287"/>
      <c r="C68" s="417"/>
      <c r="D68" s="417"/>
      <c r="E68" s="87"/>
      <c r="G68" s="620" t="str">
        <f>CONCATENATE("",E1," Tot Exp/Non-Appr Must Be:")</f>
        <v>2015 Tot Exp/Non-Appr Must Be:</v>
      </c>
      <c r="H68" s="621"/>
      <c r="I68" s="622"/>
      <c r="J68" s="623">
        <f>IF(J66&gt;0,IF(E77&lt;E61,IF(J66=G79,E77,((J66-G79)*(1-D79))+E61),E77+(J66-G79)),0)</f>
        <v>0</v>
      </c>
    </row>
    <row r="69" spans="2:10" ht="15.75">
      <c r="B69" s="287"/>
      <c r="C69" s="417"/>
      <c r="D69" s="417"/>
      <c r="E69" s="87"/>
      <c r="G69" s="624" t="s">
        <v>810</v>
      </c>
      <c r="H69" s="625"/>
      <c r="I69" s="625"/>
      <c r="J69" s="626">
        <f>IF(J66&gt;0,J68-E77,0)</f>
        <v>0</v>
      </c>
    </row>
    <row r="70" spans="2:10" ht="15.75">
      <c r="B70" s="278" t="s">
        <v>74</v>
      </c>
      <c r="C70" s="417">
        <v>1214</v>
      </c>
      <c r="D70" s="417">
        <v>1038</v>
      </c>
      <c r="E70" s="95">
        <f>Nhood!E26</f>
        <v>792</v>
      </c>
      <c r="G70" s="1"/>
      <c r="H70" s="1"/>
      <c r="I70" s="1"/>
      <c r="J70" s="1"/>
    </row>
    <row r="71" spans="2:10" ht="15.75">
      <c r="B71" s="278" t="s">
        <v>72</v>
      </c>
      <c r="C71" s="417"/>
      <c r="D71" s="417"/>
      <c r="E71" s="87"/>
      <c r="G71" s="832" t="str">
        <f>CONCATENATE("Projected Carryover Into ",E1+1,"")</f>
        <v>Projected Carryover Into 2016</v>
      </c>
      <c r="H71" s="840"/>
      <c r="I71" s="840"/>
      <c r="J71" s="839"/>
    </row>
    <row r="72" spans="2:10" ht="15.75">
      <c r="B72" s="278" t="s">
        <v>653</v>
      </c>
      <c r="C72" s="418">
        <f>IF(C73*0.1&lt;C71,"Exceed 10% Rule","")</f>
      </c>
      <c r="D72" s="418">
        <f>IF(D73*0.1&lt;D71,"Exceed 10% Rule","")</f>
      </c>
      <c r="E72" s="313">
        <f>IF(E73*0.1&lt;E71,"Exceed 10% Rule","")</f>
      </c>
      <c r="G72" s="651"/>
      <c r="H72" s="614"/>
      <c r="I72" s="614"/>
      <c r="J72" s="646"/>
    </row>
    <row r="73" spans="2:10" ht="15.75">
      <c r="B73" s="280" t="s">
        <v>171</v>
      </c>
      <c r="C73" s="419">
        <f>SUM(C63:C71)</f>
        <v>62243</v>
      </c>
      <c r="D73" s="419">
        <f>SUM(D63:D71)</f>
        <v>81038</v>
      </c>
      <c r="E73" s="321">
        <f>SUM(E63:E71)</f>
        <v>75792</v>
      </c>
      <c r="G73" s="642">
        <f>D74</f>
        <v>19195</v>
      </c>
      <c r="H73" s="632" t="str">
        <f>CONCATENATE("",E1-1," Ending Cash Balance (est.)")</f>
        <v>2014 Ending Cash Balance (est.)</v>
      </c>
      <c r="I73" s="643"/>
      <c r="J73" s="646"/>
    </row>
    <row r="74" spans="2:10" ht="15.75">
      <c r="B74" s="123" t="s">
        <v>273</v>
      </c>
      <c r="C74" s="422">
        <f>C61-C73</f>
        <v>38381</v>
      </c>
      <c r="D74" s="422">
        <f>D61-D73</f>
        <v>19195</v>
      </c>
      <c r="E74" s="306" t="s">
        <v>145</v>
      </c>
      <c r="G74" s="642">
        <f>E60</f>
        <v>5511</v>
      </c>
      <c r="H74" s="615" t="str">
        <f>CONCATENATE("",E1," Non-AV Receipts (est.)")</f>
        <v>2015 Non-AV Receipts (est.)</v>
      </c>
      <c r="I74" s="643"/>
      <c r="J74" s="646"/>
    </row>
    <row r="75" spans="2:11" ht="15.75">
      <c r="B75" s="270" t="str">
        <f>CONCATENATE("",E1-2,"/",E1-1,"/",E1," Budget Authority Amount:")</f>
        <v>2013/2014/2015 Budget Authority Amount:</v>
      </c>
      <c r="C75" s="308">
        <f>inputOth!B50</f>
        <v>81251</v>
      </c>
      <c r="D75" s="308">
        <f>inputPrYr!D36</f>
        <v>81038</v>
      </c>
      <c r="E75" s="234">
        <f>E73</f>
        <v>75792</v>
      </c>
      <c r="F75" s="289"/>
      <c r="G75" s="644">
        <f>IF(E79&gt;0,E78,E80)</f>
        <v>51086</v>
      </c>
      <c r="H75" s="615" t="str">
        <f>CONCATENATE("",E1," Ad Valorem Tax (est.)")</f>
        <v>2015 Ad Valorem Tax (est.)</v>
      </c>
      <c r="I75" s="643"/>
      <c r="J75" s="646"/>
      <c r="K75" s="629">
        <f>IF(G75=E80,"","Note: Does not include Delinquent Taxes")</f>
      </c>
    </row>
    <row r="76" spans="2:10" ht="15.75">
      <c r="B76" s="256"/>
      <c r="C76" s="822" t="s">
        <v>657</v>
      </c>
      <c r="D76" s="823"/>
      <c r="E76" s="87"/>
      <c r="F76" s="465">
        <f>IF(E73/0.95-E73&lt;E76,"Exceeds 5%","")</f>
      </c>
      <c r="G76" s="652">
        <f>SUM(G73:G75)</f>
        <v>75792</v>
      </c>
      <c r="H76" s="615" t="str">
        <f>CONCATENATE("Total ",E1," Resources Available")</f>
        <v>Total 2015 Resources Available</v>
      </c>
      <c r="I76" s="653"/>
      <c r="J76" s="646"/>
    </row>
    <row r="77" spans="2:10" ht="15.75">
      <c r="B77" s="468" t="str">
        <f>CONCATENATE(C93,"     ",D93)</f>
        <v>     </v>
      </c>
      <c r="C77" s="824" t="s">
        <v>658</v>
      </c>
      <c r="D77" s="825"/>
      <c r="E77" s="234">
        <f>E73+E76</f>
        <v>75792</v>
      </c>
      <c r="G77" s="654"/>
      <c r="H77" s="655"/>
      <c r="I77" s="614"/>
      <c r="J77" s="646"/>
    </row>
    <row r="78" spans="2:10" ht="15.75">
      <c r="B78" s="468" t="str">
        <f>CONCATENATE(C94,"     ",D94)</f>
        <v>     </v>
      </c>
      <c r="C78" s="290"/>
      <c r="D78" s="208" t="s">
        <v>172</v>
      </c>
      <c r="E78" s="95">
        <f>IF(E77-E61&gt;0,E77-E61,0)</f>
        <v>51086</v>
      </c>
      <c r="G78" s="656">
        <f>ROUND(C73*0.05+C73,0)</f>
        <v>65355</v>
      </c>
      <c r="H78" s="615" t="str">
        <f>CONCATENATE("Less ",E1-2," Expenditures + 5%")</f>
        <v>Less 2013 Expenditures + 5%</v>
      </c>
      <c r="I78" s="653"/>
      <c r="J78" s="646"/>
    </row>
    <row r="79" spans="2:10" ht="15.75">
      <c r="B79" s="208"/>
      <c r="C79" s="467" t="s">
        <v>659</v>
      </c>
      <c r="D79" s="612">
        <f>inputOth!$E$23</f>
        <v>0</v>
      </c>
      <c r="E79" s="234">
        <f>ROUND(IF(D79&gt;0,($E$78*D79),0),0)</f>
        <v>0</v>
      </c>
      <c r="G79" s="657">
        <f>G76-G78</f>
        <v>10437</v>
      </c>
      <c r="H79" s="648" t="str">
        <f>CONCATENATE("Projected ",E1+1," carryover (est.)")</f>
        <v>Projected 2016 carryover (est.)</v>
      </c>
      <c r="I79" s="658"/>
      <c r="J79" s="659"/>
    </row>
    <row r="80" spans="2:10" ht="15.75">
      <c r="B80" s="62"/>
      <c r="C80" s="830" t="str">
        <f>CONCATENATE("Amount of  ",$E$1-1," Ad Valorem Tax")</f>
        <v>Amount of  2014 Ad Valorem Tax</v>
      </c>
      <c r="D80" s="831"/>
      <c r="E80" s="317">
        <f>E78+E79</f>
        <v>51086</v>
      </c>
      <c r="G80" s="1"/>
      <c r="H80" s="1"/>
      <c r="I80" s="1"/>
      <c r="J80" s="1"/>
    </row>
    <row r="81" spans="2:10" ht="15.75">
      <c r="B81" s="256" t="s">
        <v>192</v>
      </c>
      <c r="C81" s="318">
        <v>18</v>
      </c>
      <c r="D81" s="62"/>
      <c r="E81" s="62"/>
      <c r="G81" s="834" t="s">
        <v>811</v>
      </c>
      <c r="H81" s="835"/>
      <c r="I81" s="835"/>
      <c r="J81" s="836"/>
    </row>
    <row r="82" spans="7:10" ht="15.75">
      <c r="G82" s="631"/>
      <c r="H82" s="632"/>
      <c r="I82" s="633"/>
      <c r="J82" s="634"/>
    </row>
    <row r="83" spans="7:10" ht="15.75">
      <c r="G83" s="635">
        <f>summ!H36</f>
        <v>0.393</v>
      </c>
      <c r="H83" s="632" t="str">
        <f>CONCATENATE("",E1," Fund Mill Rate")</f>
        <v>2015 Fund Mill Rate</v>
      </c>
      <c r="I83" s="633"/>
      <c r="J83" s="634"/>
    </row>
    <row r="84" spans="7:10" ht="15.75">
      <c r="G84" s="636">
        <f>summ!E36</f>
        <v>0.451</v>
      </c>
      <c r="H84" s="632" t="str">
        <f>CONCATENATE("",E1-1," Fund Mill Rate")</f>
        <v>2014 Fund Mill Rate</v>
      </c>
      <c r="I84" s="633"/>
      <c r="J84" s="634"/>
    </row>
    <row r="85" spans="7:10" ht="15.75">
      <c r="G85" s="637">
        <f>summ!H61</f>
        <v>51.98700000000003</v>
      </c>
      <c r="H85" s="632" t="str">
        <f>CONCATENATE("Total ",E1," Mill Rate")</f>
        <v>Total 2015 Mill Rate</v>
      </c>
      <c r="I85" s="633"/>
      <c r="J85" s="634"/>
    </row>
    <row r="86" spans="7:10" ht="15.75">
      <c r="G86" s="636">
        <f>summ!E61</f>
        <v>51.56499999999999</v>
      </c>
      <c r="H86" s="638" t="str">
        <f>CONCATENATE("Total ",E1-1," Mill Rate")</f>
        <v>Total 2014 Mill Rate</v>
      </c>
      <c r="I86" s="639"/>
      <c r="J86" s="640"/>
    </row>
    <row r="88" spans="7:9" ht="15.75">
      <c r="G88" s="743" t="s">
        <v>886</v>
      </c>
      <c r="H88" s="690"/>
      <c r="I88" s="689" t="str">
        <f>cert!E69</f>
        <v>Yes</v>
      </c>
    </row>
    <row r="91" spans="3:4" ht="15.75" hidden="1">
      <c r="C91" s="50">
        <f>IF(C33&gt;C35,"See Tab A","")</f>
      </c>
      <c r="D91" s="50">
        <f>IF(D33&gt;D35,"See Tab C","")</f>
      </c>
    </row>
    <row r="92" spans="3:4" ht="15.75" hidden="1">
      <c r="C92" s="50">
        <f>IF(C34&lt;0,"See Tab B","")</f>
      </c>
      <c r="D92" s="50">
        <f>IF(D34&lt;0,"See Tab D","")</f>
      </c>
    </row>
    <row r="93" spans="3:4" ht="15.75" hidden="1">
      <c r="C93" s="50">
        <f>IF(C73&gt;C75,"See Tab A","")</f>
      </c>
      <c r="D93" s="50">
        <f>IF(D73&gt;D75,"See Tab C","")</f>
      </c>
    </row>
    <row r="94" spans="3:4" ht="15.75" hidden="1">
      <c r="C94" s="50">
        <f>IF(C74&lt;0,"See Tab B","")</f>
      </c>
      <c r="D94" s="50">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1">
    <cfRule type="cellIs" priority="3" dxfId="408" operator="greaterThan" stopIfTrue="1">
      <formula>$E$73*0.1</formula>
    </cfRule>
  </conditionalFormatting>
  <conditionalFormatting sqref="E76">
    <cfRule type="cellIs" priority="4" dxfId="408" operator="greaterThan" stopIfTrue="1">
      <formula>$E$73/0.95-$E$73</formula>
    </cfRule>
  </conditionalFormatting>
  <conditionalFormatting sqref="E36">
    <cfRule type="cellIs" priority="5" dxfId="408" operator="greaterThan" stopIfTrue="1">
      <formula>$E$33/0.95-$E$33</formula>
    </cfRule>
  </conditionalFormatting>
  <conditionalFormatting sqref="E31">
    <cfRule type="cellIs" priority="6" dxfId="408" operator="greaterThan" stopIfTrue="1">
      <formula>$E$33*0.1</formula>
    </cfRule>
  </conditionalFormatting>
  <conditionalFormatting sqref="C74 C34">
    <cfRule type="cellIs" priority="7" dxfId="2" operator="lessThan" stopIfTrue="1">
      <formula>0</formula>
    </cfRule>
  </conditionalFormatting>
  <conditionalFormatting sqref="C73">
    <cfRule type="cellIs" priority="8" dxfId="2" operator="greaterThan" stopIfTrue="1">
      <formula>$C$75</formula>
    </cfRule>
  </conditionalFormatting>
  <conditionalFormatting sqref="D73">
    <cfRule type="cellIs" priority="9" dxfId="2" operator="greaterThan" stopIfTrue="1">
      <formula>$D$75</formula>
    </cfRule>
  </conditionalFormatting>
  <conditionalFormatting sqref="C71">
    <cfRule type="cellIs" priority="10" dxfId="2" operator="greaterThan" stopIfTrue="1">
      <formula>$C$73*0.1</formula>
    </cfRule>
  </conditionalFormatting>
  <conditionalFormatting sqref="D71">
    <cfRule type="cellIs" priority="11" dxfId="2" operator="greaterThan" stopIfTrue="1">
      <formula>$D$73*0.1</formula>
    </cfRule>
  </conditionalFormatting>
  <conditionalFormatting sqref="E58">
    <cfRule type="cellIs" priority="12" dxfId="408" operator="greaterThan" stopIfTrue="1">
      <formula>$E$60*0.1+E80</formula>
    </cfRule>
  </conditionalFormatting>
  <conditionalFormatting sqref="C58">
    <cfRule type="cellIs" priority="13" dxfId="2" operator="greaterThan" stopIfTrue="1">
      <formula>$C$60*0.1</formula>
    </cfRule>
  </conditionalFormatting>
  <conditionalFormatting sqref="D58">
    <cfRule type="cellIs" priority="14" dxfId="2" operator="greaterThan" stopIfTrue="1">
      <formula>$D$60*0.1</formula>
    </cfRule>
  </conditionalFormatting>
  <conditionalFormatting sqref="C33">
    <cfRule type="cellIs" priority="15" dxfId="2" operator="greaterThan" stopIfTrue="1">
      <formula>$C$35</formula>
    </cfRule>
  </conditionalFormatting>
  <conditionalFormatting sqref="D33">
    <cfRule type="cellIs" priority="16" dxfId="2" operator="greaterThan" stopIfTrue="1">
      <formula>$D$35</formula>
    </cfRule>
  </conditionalFormatting>
  <conditionalFormatting sqref="C31">
    <cfRule type="cellIs" priority="17" dxfId="2" operator="greaterThan" stopIfTrue="1">
      <formula>$C$33*0.1</formula>
    </cfRule>
  </conditionalFormatting>
  <conditionalFormatting sqref="D31">
    <cfRule type="cellIs" priority="18" dxfId="2" operator="greaterThan" stopIfTrue="1">
      <formula>$D$33*0.1</formula>
    </cfRule>
  </conditionalFormatting>
  <conditionalFormatting sqref="E18">
    <cfRule type="cellIs" priority="19" dxfId="408" operator="greaterThan" stopIfTrue="1">
      <formula>$E$20*0.1+E40</formula>
    </cfRule>
  </conditionalFormatting>
  <conditionalFormatting sqref="C18">
    <cfRule type="cellIs" priority="20" dxfId="2" operator="greaterThan" stopIfTrue="1">
      <formula>$C$20*0.1</formula>
    </cfRule>
  </conditionalFormatting>
  <conditionalFormatting sqref="D18">
    <cfRule type="cellIs" priority="21" dxfId="2" operator="greaterThan" stopIfTrue="1">
      <formula>$D$20*0.1</formula>
    </cfRule>
  </conditionalFormatting>
  <conditionalFormatting sqref="D34 D74">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3" r:id="rId1"/>
  <headerFooter alignWithMargins="0">
    <oddHeader>&amp;RState of Kansas
County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0">
      <selection activeCell="M10" sqref="M1:M16384"/>
    </sheetView>
  </sheetViews>
  <sheetFormatPr defaultColWidth="8.796875" defaultRowHeight="15"/>
  <cols>
    <col min="1" max="1" width="2.3984375" style="50" customWidth="1"/>
    <col min="2" max="2" width="31.09765625" style="50" customWidth="1"/>
    <col min="3" max="4" width="15.796875" style="50" customWidth="1"/>
    <col min="5" max="5" width="16.19921875" style="50" customWidth="1"/>
    <col min="6" max="6" width="8.8984375" style="50" customWidth="1"/>
    <col min="7" max="7" width="10.19921875" style="50" customWidth="1"/>
    <col min="8" max="8" width="8.8984375" style="50" customWidth="1"/>
    <col min="9" max="9" width="5" style="50" customWidth="1"/>
    <col min="10" max="10" width="10" style="50" customWidth="1"/>
    <col min="11" max="16384" width="8.8984375" style="50" customWidth="1"/>
  </cols>
  <sheetData>
    <row r="1" spans="2:5" ht="15.75">
      <c r="B1" s="201">
        <f>inputPrYr!C3</f>
        <v>0</v>
      </c>
      <c r="C1" s="62"/>
      <c r="D1" s="62"/>
      <c r="E1" s="255">
        <f>inputPrYr!C4</f>
        <v>2015</v>
      </c>
    </row>
    <row r="2" spans="2:5" ht="15.75">
      <c r="B2" s="127"/>
      <c r="C2" s="302"/>
      <c r="D2" s="302"/>
      <c r="E2" s="303"/>
    </row>
    <row r="3" spans="2:5" ht="15.75">
      <c r="B3" s="665" t="s">
        <v>239</v>
      </c>
      <c r="C3" s="296"/>
      <c r="D3" s="296"/>
      <c r="E3" s="296"/>
    </row>
    <row r="4" spans="2:5" ht="15.75">
      <c r="B4" s="61" t="s">
        <v>157</v>
      </c>
      <c r="C4" s="666" t="s">
        <v>812</v>
      </c>
      <c r="D4" s="667" t="s">
        <v>813</v>
      </c>
      <c r="E4" s="188" t="s">
        <v>814</v>
      </c>
    </row>
    <row r="5" spans="2:5" ht="15.75">
      <c r="B5" s="201" t="str">
        <f>inputPrYr!B37</f>
        <v>Employee Retirement</v>
      </c>
      <c r="C5" s="420" t="str">
        <f>CONCATENATE("Actual for ",E1-2,"")</f>
        <v>Actual for 2013</v>
      </c>
      <c r="D5" s="420" t="str">
        <f>CONCATENATE("Estimate for ",E1-1,"")</f>
        <v>Estimate for 2014</v>
      </c>
      <c r="E5" s="271" t="str">
        <f>CONCATENATE("Year for ",E1,"")</f>
        <v>Year for 2015</v>
      </c>
    </row>
    <row r="6" spans="2:5" ht="15.75">
      <c r="B6" s="123" t="s">
        <v>272</v>
      </c>
      <c r="C6" s="417">
        <v>168642</v>
      </c>
      <c r="D6" s="421">
        <f>C34</f>
        <v>180025</v>
      </c>
      <c r="E6" s="234">
        <f>D34</f>
        <v>98314</v>
      </c>
    </row>
    <row r="7" spans="2:5" ht="15.75">
      <c r="B7" s="259" t="s">
        <v>274</v>
      </c>
      <c r="C7" s="274"/>
      <c r="D7" s="274"/>
      <c r="E7" s="102"/>
    </row>
    <row r="8" spans="2:5" ht="15.75">
      <c r="B8" s="123" t="s">
        <v>158</v>
      </c>
      <c r="C8" s="417">
        <v>222942</v>
      </c>
      <c r="D8" s="421">
        <f>IF(inputPrYr!H37&gt;0,inputPrYr!H37,inputPrYr!E37)</f>
        <v>273915</v>
      </c>
      <c r="E8" s="306" t="s">
        <v>145</v>
      </c>
    </row>
    <row r="9" spans="2:5" ht="15.75">
      <c r="B9" s="123" t="s">
        <v>159</v>
      </c>
      <c r="C9" s="417">
        <v>1352</v>
      </c>
      <c r="D9" s="417"/>
      <c r="E9" s="87"/>
    </row>
    <row r="10" spans="2:5" ht="15.75">
      <c r="B10" s="123" t="s">
        <v>160</v>
      </c>
      <c r="C10" s="417">
        <v>15665</v>
      </c>
      <c r="D10" s="417">
        <v>21187</v>
      </c>
      <c r="E10" s="234">
        <f>mvalloc!E28</f>
        <v>25168</v>
      </c>
    </row>
    <row r="11" spans="2:5" ht="15.75">
      <c r="B11" s="123" t="s">
        <v>161</v>
      </c>
      <c r="C11" s="417">
        <v>245</v>
      </c>
      <c r="D11" s="417">
        <v>345</v>
      </c>
      <c r="E11" s="234">
        <f>mvalloc!F28</f>
        <v>366</v>
      </c>
    </row>
    <row r="12" spans="2:5" ht="15.75">
      <c r="B12" s="274" t="s">
        <v>230</v>
      </c>
      <c r="C12" s="417">
        <v>1768</v>
      </c>
      <c r="D12" s="417">
        <v>2936</v>
      </c>
      <c r="E12" s="234">
        <f>mvalloc!G28</f>
        <v>1503</v>
      </c>
    </row>
    <row r="13" spans="2:5" ht="15.75">
      <c r="B13" s="287" t="s">
        <v>1059</v>
      </c>
      <c r="C13" s="417">
        <v>8321</v>
      </c>
      <c r="D13" s="417"/>
      <c r="E13" s="87"/>
    </row>
    <row r="14" spans="2:5" ht="15.75">
      <c r="B14" s="287"/>
      <c r="C14" s="417"/>
      <c r="D14" s="417"/>
      <c r="E14" s="87"/>
    </row>
    <row r="15" spans="2:5" ht="15.75">
      <c r="B15" s="287"/>
      <c r="C15" s="417"/>
      <c r="D15" s="417"/>
      <c r="E15" s="87"/>
    </row>
    <row r="16" spans="2:5" ht="15.75">
      <c r="B16" s="287"/>
      <c r="C16" s="417"/>
      <c r="D16" s="417"/>
      <c r="E16" s="87"/>
    </row>
    <row r="17" spans="2:5" ht="15.75">
      <c r="B17" s="277" t="s">
        <v>165</v>
      </c>
      <c r="C17" s="417"/>
      <c r="D17" s="417"/>
      <c r="E17" s="87"/>
    </row>
    <row r="18" spans="2:5" ht="15.75">
      <c r="B18" s="278" t="s">
        <v>72</v>
      </c>
      <c r="C18" s="417"/>
      <c r="D18" s="417"/>
      <c r="E18" s="87"/>
    </row>
    <row r="19" spans="2:5" ht="15.75">
      <c r="B19" s="278" t="s">
        <v>73</v>
      </c>
      <c r="C19" s="418">
        <f>IF(C20*0.1&lt;C18,"Exceed 10% Rule","")</f>
      </c>
      <c r="D19" s="418">
        <f>IF(D20*0.1&lt;D18,"Exceed 10% Rule","")</f>
      </c>
      <c r="E19" s="313">
        <f>IF(E20*0.1+E40&lt;E18,"Exceed 10% Rule","")</f>
      </c>
    </row>
    <row r="20" spans="2:5" ht="15.75">
      <c r="B20" s="280" t="s">
        <v>166</v>
      </c>
      <c r="C20" s="419">
        <f>SUM(C8:C18)</f>
        <v>250293</v>
      </c>
      <c r="D20" s="419">
        <f>SUM(D8:D18)</f>
        <v>298383</v>
      </c>
      <c r="E20" s="321">
        <f>SUM(E8:E18)</f>
        <v>27037</v>
      </c>
    </row>
    <row r="21" spans="2:5" ht="15.75">
      <c r="B21" s="280" t="s">
        <v>167</v>
      </c>
      <c r="C21" s="419">
        <f>C6+C20</f>
        <v>418935</v>
      </c>
      <c r="D21" s="419">
        <f>D6+D20</f>
        <v>478408</v>
      </c>
      <c r="E21" s="321">
        <f>E6+E20</f>
        <v>125351</v>
      </c>
    </row>
    <row r="22" spans="2:5" ht="15.75">
      <c r="B22" s="123" t="s">
        <v>170</v>
      </c>
      <c r="C22" s="278"/>
      <c r="D22" s="278"/>
      <c r="E22" s="83"/>
    </row>
    <row r="23" spans="2:5" ht="15.75">
      <c r="B23" s="287" t="s">
        <v>1063</v>
      </c>
      <c r="C23" s="417">
        <v>233969</v>
      </c>
      <c r="D23" s="417">
        <v>375000</v>
      </c>
      <c r="E23" s="87">
        <v>375000</v>
      </c>
    </row>
    <row r="24" spans="2:10" ht="15.75">
      <c r="B24" s="287"/>
      <c r="C24" s="417"/>
      <c r="D24" s="417"/>
      <c r="E24" s="87"/>
      <c r="G24" s="832" t="str">
        <f>CONCATENATE("Desired Carryover Into ",E1+1,"")</f>
        <v>Desired Carryover Into 2016</v>
      </c>
      <c r="H24" s="833"/>
      <c r="I24" s="833"/>
      <c r="J24" s="804"/>
    </row>
    <row r="25" spans="2:10" ht="15.75">
      <c r="B25" s="287"/>
      <c r="C25" s="417"/>
      <c r="D25" s="417"/>
      <c r="E25" s="87"/>
      <c r="G25" s="613"/>
      <c r="H25" s="614"/>
      <c r="I25" s="615"/>
      <c r="J25" s="616"/>
    </row>
    <row r="26" spans="2:10" ht="15.75">
      <c r="B26" s="287"/>
      <c r="C26" s="417"/>
      <c r="D26" s="417"/>
      <c r="E26" s="87"/>
      <c r="G26" s="617" t="s">
        <v>660</v>
      </c>
      <c r="H26" s="615"/>
      <c r="I26" s="615"/>
      <c r="J26" s="618">
        <v>0</v>
      </c>
    </row>
    <row r="27" spans="2:10" ht="15.75">
      <c r="B27" s="287"/>
      <c r="C27" s="417"/>
      <c r="D27" s="417"/>
      <c r="E27" s="87"/>
      <c r="G27" s="613" t="s">
        <v>661</v>
      </c>
      <c r="H27" s="614"/>
      <c r="I27" s="614"/>
      <c r="J27" s="619">
        <f>IF(J26=0,"",ROUND((J26+E40-G39)/inputOth!E6*1000,3)-G44)</f>
      </c>
    </row>
    <row r="28" spans="2:10" ht="15.75">
      <c r="B28" s="287"/>
      <c r="C28" s="417"/>
      <c r="D28" s="417"/>
      <c r="E28" s="87"/>
      <c r="G28" s="620" t="str">
        <f>CONCATENATE("",E1," Tot Exp/Non-Appr Must Be:")</f>
        <v>2015 Tot Exp/Non-Appr Must Be:</v>
      </c>
      <c r="H28" s="621"/>
      <c r="I28" s="622"/>
      <c r="J28" s="623">
        <f>IF(J26&gt;0,IF(E37&lt;E21,IF(J26=G39,E37,((J26-G39)*(1-D39))+E21),E37+(J26-G39)),0)</f>
        <v>0</v>
      </c>
    </row>
    <row r="29" spans="2:10" ht="15.75">
      <c r="B29" s="287"/>
      <c r="C29" s="417"/>
      <c r="D29" s="417"/>
      <c r="E29" s="87"/>
      <c r="G29" s="624" t="s">
        <v>810</v>
      </c>
      <c r="H29" s="625"/>
      <c r="I29" s="625"/>
      <c r="J29" s="626">
        <f>IF(J26&gt;0,J28-E37,0)</f>
        <v>0</v>
      </c>
    </row>
    <row r="30" spans="2:10" ht="15.75">
      <c r="B30" s="278" t="s">
        <v>74</v>
      </c>
      <c r="C30" s="417">
        <v>4941</v>
      </c>
      <c r="D30" s="417">
        <v>5094</v>
      </c>
      <c r="E30" s="95">
        <f>Nhood!E27</f>
        <v>3932</v>
      </c>
      <c r="G30" s="1"/>
      <c r="H30" s="1"/>
      <c r="I30" s="1"/>
      <c r="J30" s="1"/>
    </row>
    <row r="31" spans="2:10" ht="15.75">
      <c r="B31" s="278" t="s">
        <v>72</v>
      </c>
      <c r="C31" s="417"/>
      <c r="D31" s="417"/>
      <c r="E31" s="87"/>
      <c r="G31" s="832" t="str">
        <f>CONCATENATE("Projected Carryover Into ",E1+1,"")</f>
        <v>Projected Carryover Into 2016</v>
      </c>
      <c r="H31" s="838"/>
      <c r="I31" s="838"/>
      <c r="J31" s="839"/>
    </row>
    <row r="32" spans="2:10" ht="15.75">
      <c r="B32" s="278" t="s">
        <v>75</v>
      </c>
      <c r="C32" s="418">
        <f>IF(C33*0.1&lt;C31,"Exceed 10% Rule","")</f>
      </c>
      <c r="D32" s="418">
        <f>IF(D33*0.1&lt;D31,"Exceed 10% Rule","")</f>
      </c>
      <c r="E32" s="313">
        <f>IF(E33*0.1&lt;E31,"Exceed 10% Rule","")</f>
      </c>
      <c r="G32" s="613"/>
      <c r="H32" s="615"/>
      <c r="I32" s="615"/>
      <c r="J32" s="641"/>
    </row>
    <row r="33" spans="2:10" ht="15.75">
      <c r="B33" s="280" t="s">
        <v>171</v>
      </c>
      <c r="C33" s="419">
        <f>SUM(C23:C31)</f>
        <v>238910</v>
      </c>
      <c r="D33" s="419">
        <f>SUM(D23:D31)</f>
        <v>380094</v>
      </c>
      <c r="E33" s="321">
        <f>SUM(E23:E31)</f>
        <v>378932</v>
      </c>
      <c r="G33" s="642">
        <f>D34</f>
        <v>98314</v>
      </c>
      <c r="H33" s="632" t="str">
        <f>CONCATENATE("",E1-1," Ending Cash Balance (est.)")</f>
        <v>2014 Ending Cash Balance (est.)</v>
      </c>
      <c r="I33" s="643"/>
      <c r="J33" s="641"/>
    </row>
    <row r="34" spans="2:10" ht="15.75">
      <c r="B34" s="123" t="s">
        <v>273</v>
      </c>
      <c r="C34" s="422">
        <f>C21-C33</f>
        <v>180025</v>
      </c>
      <c r="D34" s="422">
        <f>D21-D33</f>
        <v>98314</v>
      </c>
      <c r="E34" s="306" t="s">
        <v>145</v>
      </c>
      <c r="G34" s="642">
        <f>E20</f>
        <v>27037</v>
      </c>
      <c r="H34" s="615" t="str">
        <f>CONCATENATE("",E1," Non-AV Receipts (est.)")</f>
        <v>2015 Non-AV Receipts (est.)</v>
      </c>
      <c r="I34" s="643"/>
      <c r="J34" s="641"/>
    </row>
    <row r="35" spans="2:11" ht="15.75">
      <c r="B35" s="270" t="str">
        <f>CONCATENATE("",E1-2,"/",E1-1,"/",E1," Budget Authority Amount:")</f>
        <v>2013/2014/2015 Budget Authority Amount:</v>
      </c>
      <c r="C35" s="308">
        <f>inputOth!B51</f>
        <v>330087</v>
      </c>
      <c r="D35" s="308">
        <f>inputPrYr!D37</f>
        <v>380094</v>
      </c>
      <c r="E35" s="234">
        <f>E33</f>
        <v>378932</v>
      </c>
      <c r="F35" s="289"/>
      <c r="G35" s="644">
        <f>IF(E39&gt;0,E38,E40)</f>
        <v>253581</v>
      </c>
      <c r="H35" s="615" t="str">
        <f>CONCATENATE("",E1," Ad Valorem Tax (est.)")</f>
        <v>2015 Ad Valorem Tax (est.)</v>
      </c>
      <c r="I35" s="643"/>
      <c r="J35" s="641"/>
      <c r="K35" s="629">
        <f>IF(G35=E40,"","Note: Does not include Delinquent Taxes")</f>
      </c>
    </row>
    <row r="36" spans="2:10" ht="15.75">
      <c r="B36" s="256"/>
      <c r="C36" s="822" t="s">
        <v>657</v>
      </c>
      <c r="D36" s="823"/>
      <c r="E36" s="87"/>
      <c r="F36" s="465">
        <f>IF(E33/0.95-E33&lt;E36,"Exceeds 5%","")</f>
      </c>
      <c r="G36" s="642">
        <f>SUM(G33:G35)</f>
        <v>378932</v>
      </c>
      <c r="H36" s="615" t="str">
        <f>CONCATENATE("Total ",E1," Resources Available")</f>
        <v>Total 2015 Resources Available</v>
      </c>
      <c r="I36" s="643"/>
      <c r="J36" s="641"/>
    </row>
    <row r="37" spans="2:10" ht="15.75">
      <c r="B37" s="668" t="str">
        <f>CONCATENATE(C88,"     ",D88)</f>
        <v>     </v>
      </c>
      <c r="C37" s="824" t="s">
        <v>658</v>
      </c>
      <c r="D37" s="825"/>
      <c r="E37" s="234">
        <f>E33+E36</f>
        <v>378932</v>
      </c>
      <c r="G37" s="645"/>
      <c r="H37" s="615"/>
      <c r="I37" s="615"/>
      <c r="J37" s="641"/>
    </row>
    <row r="38" spans="2:10" ht="15.75">
      <c r="B38" s="668" t="str">
        <f>CONCATENATE(C89,"      ",D89)</f>
        <v>      </v>
      </c>
      <c r="C38" s="290"/>
      <c r="D38" s="208" t="s">
        <v>172</v>
      </c>
      <c r="E38" s="95">
        <f>IF(E37-E21&gt;0,E37-E21,0)</f>
        <v>253581</v>
      </c>
      <c r="G38" s="644">
        <f>ROUND(C33*0.05+C33,0)</f>
        <v>250856</v>
      </c>
      <c r="H38" s="615" t="str">
        <f>CONCATENATE("Less ",E1-2," Expenditures + 5%")</f>
        <v>Less 2013 Expenditures + 5%</v>
      </c>
      <c r="I38" s="643"/>
      <c r="J38" s="646"/>
    </row>
    <row r="39" spans="2:10" ht="15.75">
      <c r="B39" s="208"/>
      <c r="C39" s="467" t="s">
        <v>659</v>
      </c>
      <c r="D39" s="612">
        <f>inputOth!$E$23</f>
        <v>0</v>
      </c>
      <c r="E39" s="234">
        <f>ROUND(IF(D39&gt;0,(E38*D39),0),0)</f>
        <v>0</v>
      </c>
      <c r="G39" s="647">
        <f>G36-G38</f>
        <v>128076</v>
      </c>
      <c r="H39" s="648" t="str">
        <f>CONCATENATE("Projected ",E1+1," carryover (est.)")</f>
        <v>Projected 2016 carryover (est.)</v>
      </c>
      <c r="I39" s="649"/>
      <c r="J39" s="650"/>
    </row>
    <row r="40" spans="2:10" ht="15.75">
      <c r="B40" s="62"/>
      <c r="C40" s="830" t="str">
        <f>CONCATENATE("Amount of  ",$E$1-1," Ad Valorem Tax")</f>
        <v>Amount of  2014 Ad Valorem Tax</v>
      </c>
      <c r="D40" s="831"/>
      <c r="E40" s="317">
        <f>E38+E39</f>
        <v>253581</v>
      </c>
      <c r="G40" s="1"/>
      <c r="H40" s="1"/>
      <c r="I40" s="1"/>
      <c r="J40" s="1"/>
    </row>
    <row r="41" spans="2:10" ht="15.75">
      <c r="B41" s="62"/>
      <c r="C41" s="596"/>
      <c r="D41" s="62"/>
      <c r="E41" s="62"/>
      <c r="G41" s="834" t="s">
        <v>811</v>
      </c>
      <c r="H41" s="835"/>
      <c r="I41" s="835"/>
      <c r="J41" s="836"/>
    </row>
    <row r="42" spans="2:10" ht="15.75">
      <c r="B42" s="62"/>
      <c r="C42" s="596"/>
      <c r="D42" s="62"/>
      <c r="E42" s="62"/>
      <c r="G42" s="631"/>
      <c r="H42" s="632"/>
      <c r="I42" s="633"/>
      <c r="J42" s="634"/>
    </row>
    <row r="43" spans="2:10" ht="15.75">
      <c r="B43" s="62"/>
      <c r="C43" s="296"/>
      <c r="D43" s="296"/>
      <c r="E43" s="296"/>
      <c r="G43" s="635">
        <f>summ!H37</f>
        <v>1.95</v>
      </c>
      <c r="H43" s="632" t="str">
        <f>CONCATENATE("",E1," Fund Mill Rate")</f>
        <v>2015 Fund Mill Rate</v>
      </c>
      <c r="I43" s="633"/>
      <c r="J43" s="634"/>
    </row>
    <row r="44" spans="2:10" ht="15.75">
      <c r="B44" s="61" t="s">
        <v>157</v>
      </c>
      <c r="C44" s="666" t="str">
        <f aca="true" t="shared" si="0" ref="C44:E45">C4</f>
        <v>Prior Year </v>
      </c>
      <c r="D44" s="667" t="str">
        <f t="shared" si="0"/>
        <v>Current Year </v>
      </c>
      <c r="E44" s="188" t="str">
        <f t="shared" si="0"/>
        <v>Proposed Budget </v>
      </c>
      <c r="G44" s="636">
        <f>summ!E37</f>
        <v>2.214</v>
      </c>
      <c r="H44" s="632" t="str">
        <f>CONCATENATE("",E1-1," Fund Mill Rate")</f>
        <v>2014 Fund Mill Rate</v>
      </c>
      <c r="I44" s="633"/>
      <c r="J44" s="634"/>
    </row>
    <row r="45" spans="2:10" ht="15.75">
      <c r="B45" s="669" t="str">
        <f>inputPrYr!$B$38</f>
        <v>Workers Compensation</v>
      </c>
      <c r="C45" s="420" t="str">
        <f t="shared" si="0"/>
        <v>Actual for 2013</v>
      </c>
      <c r="D45" s="420" t="str">
        <f t="shared" si="0"/>
        <v>Estimate for 2014</v>
      </c>
      <c r="E45" s="284" t="str">
        <f t="shared" si="0"/>
        <v>Year for 2015</v>
      </c>
      <c r="G45" s="637">
        <f>summ!H61</f>
        <v>51.98700000000003</v>
      </c>
      <c r="H45" s="632" t="str">
        <f>CONCATENATE("Total ",E1," Mill Rate")</f>
        <v>Total 2015 Mill Rate</v>
      </c>
      <c r="I45" s="633"/>
      <c r="J45" s="634"/>
    </row>
    <row r="46" spans="2:10" ht="15.75">
      <c r="B46" s="123" t="s">
        <v>272</v>
      </c>
      <c r="C46" s="417">
        <v>55413</v>
      </c>
      <c r="D46" s="421">
        <f>C74</f>
        <v>71075</v>
      </c>
      <c r="E46" s="234">
        <f>D74</f>
        <v>46802</v>
      </c>
      <c r="G46" s="636">
        <f>summ!E61</f>
        <v>51.56499999999999</v>
      </c>
      <c r="H46" s="638" t="str">
        <f>CONCATENATE("Total ",E1-1," Mill Rate")</f>
        <v>Total 2014 Mill Rate</v>
      </c>
      <c r="I46" s="639"/>
      <c r="J46" s="640"/>
    </row>
    <row r="47" spans="2:10" ht="15.75">
      <c r="B47" s="272" t="s">
        <v>274</v>
      </c>
      <c r="C47" s="274"/>
      <c r="D47" s="274"/>
      <c r="E47" s="102"/>
      <c r="G47" s="1"/>
      <c r="H47" s="1"/>
      <c r="I47" s="1"/>
      <c r="J47" s="1"/>
    </row>
    <row r="48" spans="2:10" ht="15.75">
      <c r="B48" s="123" t="s">
        <v>158</v>
      </c>
      <c r="C48" s="417">
        <v>55646</v>
      </c>
      <c r="D48" s="421">
        <f>IF(inputPrYr!H38&gt;0,inputPrYr!H38,inputPrYr!E38)</f>
        <v>60745</v>
      </c>
      <c r="E48" s="306" t="s">
        <v>145</v>
      </c>
      <c r="G48" s="744" t="s">
        <v>886</v>
      </c>
      <c r="H48" s="690"/>
      <c r="I48" s="689" t="str">
        <f>cert!E69</f>
        <v>Yes</v>
      </c>
      <c r="J48" s="1"/>
    </row>
    <row r="49" spans="2:10" ht="15.75">
      <c r="B49" s="123" t="s">
        <v>159</v>
      </c>
      <c r="C49" s="417">
        <v>529</v>
      </c>
      <c r="D49" s="417"/>
      <c r="E49" s="87"/>
      <c r="G49" s="1"/>
      <c r="H49" s="1"/>
      <c r="I49" s="1"/>
      <c r="J49" s="1"/>
    </row>
    <row r="50" spans="2:10" ht="15.75">
      <c r="B50" s="123" t="s">
        <v>160</v>
      </c>
      <c r="C50" s="417">
        <v>7186</v>
      </c>
      <c r="D50" s="417">
        <v>5292</v>
      </c>
      <c r="E50" s="234">
        <f>mvalloc!E29</f>
        <v>5581</v>
      </c>
      <c r="G50" s="1"/>
      <c r="H50" s="1"/>
      <c r="I50" s="1"/>
      <c r="J50" s="1"/>
    </row>
    <row r="51" spans="2:10" ht="15.75">
      <c r="B51" s="123" t="s">
        <v>161</v>
      </c>
      <c r="C51" s="417">
        <v>114</v>
      </c>
      <c r="D51" s="417">
        <v>86</v>
      </c>
      <c r="E51" s="234">
        <f>mvalloc!F29</f>
        <v>81</v>
      </c>
      <c r="G51" s="1"/>
      <c r="H51" s="1"/>
      <c r="I51" s="1"/>
      <c r="J51" s="1"/>
    </row>
    <row r="52" spans="2:10" ht="15.75">
      <c r="B52" s="274" t="s">
        <v>230</v>
      </c>
      <c r="C52" s="417">
        <v>585</v>
      </c>
      <c r="D52" s="417">
        <v>734</v>
      </c>
      <c r="E52" s="234">
        <f>mvalloc!G29</f>
        <v>333</v>
      </c>
      <c r="G52" s="1"/>
      <c r="H52" s="1"/>
      <c r="I52" s="1"/>
      <c r="J52" s="1"/>
    </row>
    <row r="53" spans="2:10" ht="15.75">
      <c r="B53" s="287" t="s">
        <v>1059</v>
      </c>
      <c r="C53" s="417">
        <v>12653</v>
      </c>
      <c r="D53" s="417"/>
      <c r="E53" s="87"/>
      <c r="G53" s="1"/>
      <c r="H53" s="1"/>
      <c r="I53" s="1"/>
      <c r="J53" s="1"/>
    </row>
    <row r="54" spans="2:10" ht="15.75">
      <c r="B54" s="287"/>
      <c r="C54" s="417"/>
      <c r="D54" s="417"/>
      <c r="E54" s="87"/>
      <c r="G54" s="1"/>
      <c r="H54" s="1"/>
      <c r="I54" s="1"/>
      <c r="J54" s="1"/>
    </row>
    <row r="55" spans="2:10" ht="15.75">
      <c r="B55" s="287"/>
      <c r="C55" s="417"/>
      <c r="D55" s="417"/>
      <c r="E55" s="87"/>
      <c r="G55" s="1"/>
      <c r="H55" s="1"/>
      <c r="I55" s="1"/>
      <c r="J55" s="1"/>
    </row>
    <row r="56" spans="2:10" ht="15.75">
      <c r="B56" s="287"/>
      <c r="C56" s="417"/>
      <c r="D56" s="417"/>
      <c r="E56" s="87"/>
      <c r="G56" s="1"/>
      <c r="H56" s="1"/>
      <c r="I56" s="1"/>
      <c r="J56" s="1"/>
    </row>
    <row r="57" spans="2:10" ht="15.75">
      <c r="B57" s="277" t="s">
        <v>165</v>
      </c>
      <c r="C57" s="417"/>
      <c r="D57" s="417"/>
      <c r="E57" s="87"/>
      <c r="G57" s="1"/>
      <c r="H57" s="1"/>
      <c r="I57" s="1"/>
      <c r="J57" s="1"/>
    </row>
    <row r="58" spans="2:10" ht="15.75">
      <c r="B58" s="278" t="s">
        <v>72</v>
      </c>
      <c r="C58" s="417"/>
      <c r="D58" s="417"/>
      <c r="E58" s="87"/>
      <c r="G58" s="1"/>
      <c r="H58" s="1"/>
      <c r="I58" s="1"/>
      <c r="J58" s="1"/>
    </row>
    <row r="59" spans="2:10" ht="15.75">
      <c r="B59" s="278" t="s">
        <v>73</v>
      </c>
      <c r="C59" s="418">
        <f>IF(C60*0.1&lt;C58,"Exceed 10% Rule","")</f>
      </c>
      <c r="D59" s="418">
        <f>IF(D60*0.1&lt;D58,"Exceed 10% Rule","")</f>
      </c>
      <c r="E59" s="313">
        <f>IF(E60*0.1+E80&lt;E58,"Exceed 10% Rule","")</f>
      </c>
      <c r="G59" s="1"/>
      <c r="H59" s="1"/>
      <c r="I59" s="1"/>
      <c r="J59" s="1"/>
    </row>
    <row r="60" spans="2:10" ht="15.75">
      <c r="B60" s="280" t="s">
        <v>166</v>
      </c>
      <c r="C60" s="419">
        <f>SUM(C48:C58)</f>
        <v>76713</v>
      </c>
      <c r="D60" s="419">
        <f>SUM(D48:D58)</f>
        <v>66857</v>
      </c>
      <c r="E60" s="321">
        <f>SUM(E48:E58)</f>
        <v>5995</v>
      </c>
      <c r="G60" s="1"/>
      <c r="H60" s="1"/>
      <c r="I60" s="1"/>
      <c r="J60" s="1"/>
    </row>
    <row r="61" spans="2:10" ht="15.75">
      <c r="B61" s="280" t="s">
        <v>167</v>
      </c>
      <c r="C61" s="419">
        <f>C46+C60</f>
        <v>132126</v>
      </c>
      <c r="D61" s="419">
        <f>D46+D60</f>
        <v>137932</v>
      </c>
      <c r="E61" s="321">
        <f>E46+E60</f>
        <v>52797</v>
      </c>
      <c r="G61" s="1"/>
      <c r="H61" s="1"/>
      <c r="I61" s="1"/>
      <c r="J61" s="1"/>
    </row>
    <row r="62" spans="2:10" ht="15.75">
      <c r="B62" s="123" t="s">
        <v>170</v>
      </c>
      <c r="C62" s="278"/>
      <c r="D62" s="278"/>
      <c r="E62" s="83"/>
      <c r="G62" s="1"/>
      <c r="H62" s="1"/>
      <c r="I62" s="1"/>
      <c r="J62" s="1"/>
    </row>
    <row r="63" spans="2:10" ht="15.75">
      <c r="B63" s="287" t="s">
        <v>1062</v>
      </c>
      <c r="C63" s="417">
        <v>59818</v>
      </c>
      <c r="D63" s="417">
        <v>90000</v>
      </c>
      <c r="E63" s="87">
        <v>80000</v>
      </c>
      <c r="G63" s="1"/>
      <c r="H63" s="1"/>
      <c r="I63" s="1"/>
      <c r="J63" s="1"/>
    </row>
    <row r="64" spans="2:10" ht="15.75">
      <c r="B64" s="287"/>
      <c r="C64" s="417"/>
      <c r="D64" s="417"/>
      <c r="E64" s="87"/>
      <c r="G64" s="832" t="str">
        <f>CONCATENATE("Desired Carryover Into ",E1+1,"")</f>
        <v>Desired Carryover Into 2016</v>
      </c>
      <c r="H64" s="833"/>
      <c r="I64" s="833"/>
      <c r="J64" s="804"/>
    </row>
    <row r="65" spans="2:10" ht="15.75">
      <c r="B65" s="287"/>
      <c r="C65" s="417"/>
      <c r="D65" s="417"/>
      <c r="E65" s="87"/>
      <c r="G65" s="613"/>
      <c r="H65" s="614"/>
      <c r="I65" s="615"/>
      <c r="J65" s="616"/>
    </row>
    <row r="66" spans="2:10" ht="15.75">
      <c r="B66" s="287"/>
      <c r="C66" s="417"/>
      <c r="D66" s="417"/>
      <c r="E66" s="87"/>
      <c r="G66" s="617" t="s">
        <v>660</v>
      </c>
      <c r="H66" s="615"/>
      <c r="I66" s="615"/>
      <c r="J66" s="618">
        <v>0</v>
      </c>
    </row>
    <row r="67" spans="2:10" ht="15.75">
      <c r="B67" s="287"/>
      <c r="C67" s="417"/>
      <c r="D67" s="417"/>
      <c r="E67" s="87"/>
      <c r="G67" s="613" t="s">
        <v>661</v>
      </c>
      <c r="H67" s="614"/>
      <c r="I67" s="614"/>
      <c r="J67" s="619">
        <f>IF(J66=0,"",ROUND((J66+E80-G79)/inputOth!E6*1000,3)-G84)</f>
      </c>
    </row>
    <row r="68" spans="2:10" ht="15.75">
      <c r="B68" s="287"/>
      <c r="C68" s="417"/>
      <c r="D68" s="417"/>
      <c r="E68" s="87"/>
      <c r="G68" s="620" t="str">
        <f>CONCATENATE("",E1," Tot Exp/Non-Appr Must Be:")</f>
        <v>2015 Tot Exp/Non-Appr Must Be:</v>
      </c>
      <c r="H68" s="621"/>
      <c r="I68" s="622"/>
      <c r="J68" s="623">
        <f>IF(J66&gt;0,IF(E77&lt;E61,IF(J66=G79,E77,((J66-G79)*(1-D79))+E61),E77+(J66-G79)),0)</f>
        <v>0</v>
      </c>
    </row>
    <row r="69" spans="2:10" ht="15.75">
      <c r="B69" s="287"/>
      <c r="C69" s="417"/>
      <c r="D69" s="417"/>
      <c r="E69" s="87"/>
      <c r="G69" s="624" t="s">
        <v>810</v>
      </c>
      <c r="H69" s="625"/>
      <c r="I69" s="625"/>
      <c r="J69" s="626">
        <f>IF(J66&gt;0,J68-E77,0)</f>
        <v>0</v>
      </c>
    </row>
    <row r="70" spans="2:10" ht="15.75">
      <c r="B70" s="278" t="s">
        <v>74</v>
      </c>
      <c r="C70" s="417">
        <v>1233</v>
      </c>
      <c r="D70" s="417">
        <v>1130</v>
      </c>
      <c r="E70" s="95">
        <f>Nhood!E28</f>
        <v>428</v>
      </c>
      <c r="G70" s="1"/>
      <c r="H70" s="1"/>
      <c r="I70" s="1"/>
      <c r="J70" s="1"/>
    </row>
    <row r="71" spans="2:10" ht="15.75">
      <c r="B71" s="278" t="s">
        <v>72</v>
      </c>
      <c r="C71" s="417"/>
      <c r="D71" s="417"/>
      <c r="E71" s="87"/>
      <c r="G71" s="832" t="str">
        <f>CONCATENATE("Projected Carryover Into ",E1+1,"")</f>
        <v>Projected Carryover Into 2016</v>
      </c>
      <c r="H71" s="840"/>
      <c r="I71" s="840"/>
      <c r="J71" s="839"/>
    </row>
    <row r="72" spans="2:10" ht="15.75">
      <c r="B72" s="278" t="s">
        <v>75</v>
      </c>
      <c r="C72" s="418">
        <f>IF(C73*0.1&lt;C71,"Exceed 10% Rule","")</f>
      </c>
      <c r="D72" s="418">
        <f>IF(D73*0.1&lt;D71,"Exceed 10% Rule","")</f>
      </c>
      <c r="E72" s="313">
        <f>IF(E73*0.1&lt;E71,"Exceed 10% Rule","")</f>
      </c>
      <c r="G72" s="651"/>
      <c r="H72" s="614"/>
      <c r="I72" s="614"/>
      <c r="J72" s="646"/>
    </row>
    <row r="73" spans="2:10" ht="15.75">
      <c r="B73" s="280" t="s">
        <v>171</v>
      </c>
      <c r="C73" s="419">
        <f>SUM(C63:C71)</f>
        <v>61051</v>
      </c>
      <c r="D73" s="419">
        <f>SUM(D63:D71)</f>
        <v>91130</v>
      </c>
      <c r="E73" s="321">
        <f>SUM(E63:E71)</f>
        <v>80428</v>
      </c>
      <c r="G73" s="642">
        <f>D74</f>
        <v>46802</v>
      </c>
      <c r="H73" s="632" t="str">
        <f>CONCATENATE("",E1-1," Ending Cash Balance (est.)")</f>
        <v>2014 Ending Cash Balance (est.)</v>
      </c>
      <c r="I73" s="643"/>
      <c r="J73" s="646"/>
    </row>
    <row r="74" spans="2:10" ht="15.75">
      <c r="B74" s="123" t="s">
        <v>273</v>
      </c>
      <c r="C74" s="422">
        <f>C61-C73</f>
        <v>71075</v>
      </c>
      <c r="D74" s="422">
        <f>D61-D73</f>
        <v>46802</v>
      </c>
      <c r="E74" s="306" t="s">
        <v>145</v>
      </c>
      <c r="G74" s="642">
        <f>E60</f>
        <v>5995</v>
      </c>
      <c r="H74" s="615" t="str">
        <f>CONCATENATE("",E1," Non-AV Receipts (est.)")</f>
        <v>2015 Non-AV Receipts (est.)</v>
      </c>
      <c r="I74" s="643"/>
      <c r="J74" s="646"/>
    </row>
    <row r="75" spans="2:11" ht="15.75">
      <c r="B75" s="270" t="str">
        <f>CONCATENATE("",E1-2,"/",E1-1,"/",E1," Budget Authority Amount:")</f>
        <v>2013/2014/2015 Budget Authority Amount:</v>
      </c>
      <c r="C75" s="308">
        <f>inputOth!B52</f>
        <v>96271</v>
      </c>
      <c r="D75" s="308">
        <f>inputPrYr!D38</f>
        <v>91130</v>
      </c>
      <c r="E75" s="234">
        <f>E73</f>
        <v>80428</v>
      </c>
      <c r="F75" s="289"/>
      <c r="G75" s="644">
        <f>IF(E79&gt;0,E78,E80)</f>
        <v>27631</v>
      </c>
      <c r="H75" s="615" t="str">
        <f>CONCATENATE("",E1," Ad Valorem Tax (est.)")</f>
        <v>2015 Ad Valorem Tax (est.)</v>
      </c>
      <c r="I75" s="643"/>
      <c r="J75" s="646"/>
      <c r="K75" s="629">
        <f>IF(G75=E80,"","Note: Does not include Delinquent Taxes")</f>
      </c>
    </row>
    <row r="76" spans="2:10" ht="15.75">
      <c r="B76" s="256"/>
      <c r="C76" s="822" t="s">
        <v>657</v>
      </c>
      <c r="D76" s="823"/>
      <c r="E76" s="87"/>
      <c r="F76" s="465">
        <f>IF(E73/0.95-E73&lt;E76,"Exceeds 5%","")</f>
      </c>
      <c r="G76" s="652">
        <f>SUM(G73:G75)</f>
        <v>80428</v>
      </c>
      <c r="H76" s="615" t="str">
        <f>CONCATENATE("Total ",E1," Resources Available")</f>
        <v>Total 2015 Resources Available</v>
      </c>
      <c r="I76" s="653"/>
      <c r="J76" s="646"/>
    </row>
    <row r="77" spans="2:10" ht="15.75">
      <c r="B77" s="668" t="str">
        <f>CONCATENATE(C90,"      ",D90)</f>
        <v>      </v>
      </c>
      <c r="C77" s="824" t="s">
        <v>658</v>
      </c>
      <c r="D77" s="825"/>
      <c r="E77" s="234">
        <f>E73+E76</f>
        <v>80428</v>
      </c>
      <c r="G77" s="654"/>
      <c r="H77" s="655"/>
      <c r="I77" s="614"/>
      <c r="J77" s="646"/>
    </row>
    <row r="78" spans="2:10" ht="15.75">
      <c r="B78" s="668" t="str">
        <f>CONCATENATE(C91,"      ",D91)</f>
        <v>      </v>
      </c>
      <c r="C78" s="290"/>
      <c r="D78" s="208" t="s">
        <v>172</v>
      </c>
      <c r="E78" s="95">
        <f>IF(E77-E61&gt;0,E77-E61,0)</f>
        <v>27631</v>
      </c>
      <c r="G78" s="656">
        <f>ROUND(C73*0.05+C73,0)</f>
        <v>64104</v>
      </c>
      <c r="H78" s="615" t="str">
        <f>CONCATENATE("Less ",E1-2," Expenditures + 5%")</f>
        <v>Less 2013 Expenditures + 5%</v>
      </c>
      <c r="I78" s="653"/>
      <c r="J78" s="646"/>
    </row>
    <row r="79" spans="2:10" ht="15.75">
      <c r="B79" s="208"/>
      <c r="C79" s="467" t="s">
        <v>659</v>
      </c>
      <c r="D79" s="612">
        <f>inputOth!$E$23</f>
        <v>0</v>
      </c>
      <c r="E79" s="234">
        <f>ROUND(IF(D79&gt;0,(E78*D79),0),0)</f>
        <v>0</v>
      </c>
      <c r="G79" s="657">
        <f>G76-G78</f>
        <v>16324</v>
      </c>
      <c r="H79" s="648" t="str">
        <f>CONCATENATE("Projected ",E1+1," carryover (est.)")</f>
        <v>Projected 2016 carryover (est.)</v>
      </c>
      <c r="I79" s="658"/>
      <c r="J79" s="659"/>
    </row>
    <row r="80" spans="2:10" ht="15.75">
      <c r="B80" s="62"/>
      <c r="C80" s="830" t="str">
        <f>CONCATENATE("Amount of  ",$E$1-1," Ad Valorem Tax")</f>
        <v>Amount of  2014 Ad Valorem Tax</v>
      </c>
      <c r="D80" s="831"/>
      <c r="E80" s="317">
        <f>E78+E79</f>
        <v>27631</v>
      </c>
      <c r="G80" s="1"/>
      <c r="H80" s="1"/>
      <c r="I80" s="1"/>
      <c r="J80" s="1"/>
    </row>
    <row r="81" spans="2:10" ht="15.75">
      <c r="B81" s="291" t="s">
        <v>192</v>
      </c>
      <c r="C81" s="318">
        <v>19</v>
      </c>
      <c r="D81" s="62"/>
      <c r="E81" s="62"/>
      <c r="G81" s="834" t="s">
        <v>811</v>
      </c>
      <c r="H81" s="835"/>
      <c r="I81" s="835"/>
      <c r="J81" s="836"/>
    </row>
    <row r="82" spans="7:10" ht="15.75">
      <c r="G82" s="631"/>
      <c r="H82" s="632"/>
      <c r="I82" s="633"/>
      <c r="J82" s="634"/>
    </row>
    <row r="83" spans="7:10" ht="15.75">
      <c r="G83" s="635">
        <f>summ!H38</f>
        <v>0.212</v>
      </c>
      <c r="H83" s="632" t="str">
        <f>CONCATENATE("",E1," Fund Mill Rate")</f>
        <v>2015 Fund Mill Rate</v>
      </c>
      <c r="I83" s="633"/>
      <c r="J83" s="634"/>
    </row>
    <row r="84" spans="7:10" ht="15.75">
      <c r="G84" s="636">
        <f>summ!E38</f>
        <v>0.491</v>
      </c>
      <c r="H84" s="632" t="str">
        <f>CONCATENATE("",E1-1," Fund Mill Rate")</f>
        <v>2014 Fund Mill Rate</v>
      </c>
      <c r="I84" s="633"/>
      <c r="J84" s="634"/>
    </row>
    <row r="85" spans="7:10" ht="15.75">
      <c r="G85" s="637">
        <f>summ!H61</f>
        <v>51.98700000000003</v>
      </c>
      <c r="H85" s="632" t="str">
        <f>CONCATENATE("Total ",E1," Mill Rate")</f>
        <v>Total 2015 Mill Rate</v>
      </c>
      <c r="I85" s="633"/>
      <c r="J85" s="634"/>
    </row>
    <row r="86" spans="7:10" ht="15.75">
      <c r="G86" s="636">
        <f>summ!E61</f>
        <v>51.56499999999999</v>
      </c>
      <c r="H86" s="638" t="str">
        <f>CONCATENATE("Total ",E1-1," Mill Rate")</f>
        <v>Total 2014 Mill Rate</v>
      </c>
      <c r="I86" s="639"/>
      <c r="J86" s="640"/>
    </row>
    <row r="88" spans="3:4" ht="15.75" hidden="1">
      <c r="C88" s="50">
        <f>IF(C33&gt;C35,"See Tab A","")</f>
      </c>
      <c r="D88" s="50">
        <f>IF(D33&gt;D35,"See Tab C","")</f>
      </c>
    </row>
    <row r="89" spans="3:4" ht="15.75" hidden="1">
      <c r="C89" s="50">
        <f>IF(C34&lt;0,"See Tab B","")</f>
      </c>
      <c r="D89" s="50">
        <f>IF(D34&lt;0,"See Tab D","")</f>
      </c>
    </row>
    <row r="90" spans="3:4" ht="15.75" hidden="1">
      <c r="C90" s="50">
        <f>IF(C73&gt;C75,"See Tab A","")</f>
      </c>
      <c r="D90" s="50">
        <f>IF(D73&gt;D75,"See Tab C","")</f>
      </c>
    </row>
    <row r="91" spans="3:4" ht="15.75" hidden="1">
      <c r="C91" s="50">
        <f>IF(C74&lt;0,"See Tab B","")</f>
      </c>
      <c r="D91" s="50">
        <f>IF(D74&lt;0,"See Tab D","")</f>
      </c>
    </row>
    <row r="92" spans="7:9" ht="15.75">
      <c r="G92" s="745" t="s">
        <v>886</v>
      </c>
      <c r="H92" s="690"/>
      <c r="I92" s="689" t="str">
        <f>cert!E69</f>
        <v>Yes</v>
      </c>
    </row>
  </sheetData>
  <sheetProtection sheet="1"/>
  <mergeCells count="12">
    <mergeCell ref="G64:J64"/>
    <mergeCell ref="C37:D37"/>
    <mergeCell ref="C77:D77"/>
    <mergeCell ref="G71:J71"/>
    <mergeCell ref="C76:D76"/>
    <mergeCell ref="C80:D80"/>
    <mergeCell ref="G81:J81"/>
    <mergeCell ref="G24:J24"/>
    <mergeCell ref="G31:J31"/>
    <mergeCell ref="C36:D36"/>
    <mergeCell ref="C40:D40"/>
    <mergeCell ref="G41:J41"/>
  </mergeCells>
  <conditionalFormatting sqref="E36">
    <cfRule type="cellIs" priority="20" dxfId="408" operator="greaterThan" stopIfTrue="1">
      <formula>$E$33/0.95-$E$33</formula>
    </cfRule>
  </conditionalFormatting>
  <conditionalFormatting sqref="E76">
    <cfRule type="cellIs" priority="19" dxfId="408" operator="greaterThan" stopIfTrue="1">
      <formula>$E$73/0.95-$E$73</formula>
    </cfRule>
  </conditionalFormatting>
  <conditionalFormatting sqref="E71">
    <cfRule type="cellIs" priority="18" dxfId="408" operator="greaterThan" stopIfTrue="1">
      <formula>$E$73*0.1</formula>
    </cfRule>
  </conditionalFormatting>
  <conditionalFormatting sqref="C18">
    <cfRule type="cellIs" priority="17" dxfId="408" operator="greaterThan" stopIfTrue="1">
      <formula>$C$20*0.1</formula>
    </cfRule>
  </conditionalFormatting>
  <conditionalFormatting sqref="D18">
    <cfRule type="cellIs" priority="16" dxfId="408" operator="greaterThan" stopIfTrue="1">
      <formula>$D$20*0.1</formula>
    </cfRule>
  </conditionalFormatting>
  <conditionalFormatting sqref="E31">
    <cfRule type="cellIs" priority="15" dxfId="408" operator="greaterThan" stopIfTrue="1">
      <formula>$E$33*0.1</formula>
    </cfRule>
  </conditionalFormatting>
  <conditionalFormatting sqref="E18">
    <cfRule type="cellIs" priority="14" dxfId="408" operator="greaterThan" stopIfTrue="1">
      <formula>$E$20*0.1+E40</formula>
    </cfRule>
  </conditionalFormatting>
  <conditionalFormatting sqref="E58">
    <cfRule type="cellIs" priority="13" dxfId="408" operator="greaterThan" stopIfTrue="1">
      <formula>$E$60*0.1+E80</formula>
    </cfRule>
  </conditionalFormatting>
  <conditionalFormatting sqref="C71">
    <cfRule type="cellIs" priority="12" dxfId="2" operator="greaterThan" stopIfTrue="1">
      <formula>$C$73*0.1</formula>
    </cfRule>
  </conditionalFormatting>
  <conditionalFormatting sqref="D71">
    <cfRule type="cellIs" priority="11" dxfId="2" operator="greaterThan" stopIfTrue="1">
      <formula>$D$73*0.1</formula>
    </cfRule>
  </conditionalFormatting>
  <conditionalFormatting sqref="D58">
    <cfRule type="cellIs" priority="10" dxfId="2" operator="greaterThan" stopIfTrue="1">
      <formula>$D$60*0.1</formula>
    </cfRule>
  </conditionalFormatting>
  <conditionalFormatting sqref="C58">
    <cfRule type="cellIs" priority="9" dxfId="2" operator="greaterThan" stopIfTrue="1">
      <formula>$C$60*0.1</formula>
    </cfRule>
  </conditionalFormatting>
  <conditionalFormatting sqref="C31">
    <cfRule type="cellIs" priority="8" dxfId="2" operator="greaterThan" stopIfTrue="1">
      <formula>$C$33*0.1</formula>
    </cfRule>
  </conditionalFormatting>
  <conditionalFormatting sqref="D31">
    <cfRule type="cellIs" priority="7" dxfId="2" operator="greaterThan" stopIfTrue="1">
      <formula>$D$33*0.1</formula>
    </cfRule>
  </conditionalFormatting>
  <conditionalFormatting sqref="C33">
    <cfRule type="cellIs" priority="6" dxfId="2" operator="greaterThan" stopIfTrue="1">
      <formula>$C$35</formula>
    </cfRule>
  </conditionalFormatting>
  <conditionalFormatting sqref="D33">
    <cfRule type="cellIs" priority="5" dxfId="2" operator="greaterThan" stopIfTrue="1">
      <formula>$D$35</formula>
    </cfRule>
  </conditionalFormatting>
  <conditionalFormatting sqref="C74 C34">
    <cfRule type="cellIs" priority="4" dxfId="2" operator="lessThan" stopIfTrue="1">
      <formula>0</formula>
    </cfRule>
  </conditionalFormatting>
  <conditionalFormatting sqref="C73">
    <cfRule type="cellIs" priority="3" dxfId="2" operator="greaterThan" stopIfTrue="1">
      <formula>$C$75</formula>
    </cfRule>
  </conditionalFormatting>
  <conditionalFormatting sqref="D73">
    <cfRule type="cellIs" priority="2" dxfId="2" operator="greaterThan" stopIfTrue="1">
      <formula>$D$75</formula>
    </cfRule>
  </conditionalFormatting>
  <conditionalFormatting sqref="D74 D34">
    <cfRule type="cellIs" priority="1" dxfId="0" operator="lessThan" stopIfTrue="1">
      <formula>0</formula>
    </cfRule>
  </conditionalFormatting>
  <printOptions/>
  <pageMargins left="1.12" right="0.5" top="0.74" bottom="0.34" header="0.5" footer="0"/>
  <pageSetup blackAndWhite="1" fitToHeight="1" fitToWidth="1" horizontalDpi="300" verticalDpi="300" orientation="portrait" scale="53" r:id="rId1"/>
  <headerFooter alignWithMargins="0">
    <oddHeader>&amp;RState of Kansas
County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K94"/>
  <sheetViews>
    <sheetView zoomScalePageLayoutView="0" workbookViewId="0" topLeftCell="A1">
      <selection activeCell="C81" sqref="C81"/>
    </sheetView>
  </sheetViews>
  <sheetFormatPr defaultColWidth="8.796875" defaultRowHeight="15"/>
  <cols>
    <col min="1" max="1" width="2.3984375" style="50" customWidth="1"/>
    <col min="2" max="2" width="31.09765625" style="50" customWidth="1"/>
    <col min="3" max="4" width="15.796875" style="50" customWidth="1"/>
    <col min="5" max="5" width="16.296875" style="50" customWidth="1"/>
    <col min="6" max="6" width="7.3984375" style="50" customWidth="1"/>
    <col min="7" max="7" width="10.19921875" style="50" customWidth="1"/>
    <col min="8" max="8" width="8.8984375" style="50" customWidth="1"/>
    <col min="9" max="9" width="5" style="50" customWidth="1"/>
    <col min="10" max="10" width="10" style="50" customWidth="1"/>
    <col min="11" max="16384" width="8.8984375" style="50" customWidth="1"/>
  </cols>
  <sheetData>
    <row r="1" spans="2:5" ht="15.75">
      <c r="B1" s="201" t="str">
        <f>inputPrYr!C2</f>
        <v>Marshall County</v>
      </c>
      <c r="C1" s="62"/>
      <c r="D1" s="62"/>
      <c r="E1" s="255">
        <f>inputPrYr!C4</f>
        <v>2015</v>
      </c>
    </row>
    <row r="2" spans="2:5" ht="15.75">
      <c r="B2" s="62"/>
      <c r="C2" s="62"/>
      <c r="D2" s="62"/>
      <c r="E2" s="208"/>
    </row>
    <row r="3" spans="2:5" ht="15.75">
      <c r="B3" s="127" t="s">
        <v>239</v>
      </c>
      <c r="C3" s="302"/>
      <c r="D3" s="302"/>
      <c r="E3" s="303"/>
    </row>
    <row r="4" spans="2:5" ht="15.75">
      <c r="B4" s="61" t="s">
        <v>157</v>
      </c>
      <c r="C4" s="666" t="s">
        <v>812</v>
      </c>
      <c r="D4" s="667" t="s">
        <v>813</v>
      </c>
      <c r="E4" s="188" t="s">
        <v>814</v>
      </c>
    </row>
    <row r="5" spans="2:5" ht="15.75">
      <c r="B5" s="447" t="str">
        <f>inputPrYr!B39</f>
        <v>Social Security</v>
      </c>
      <c r="C5" s="420" t="str">
        <f>CONCATENATE("Actual for ",E1-2,"")</f>
        <v>Actual for 2013</v>
      </c>
      <c r="D5" s="420" t="str">
        <f>CONCATENATE("Estimate for ",E1-1,"")</f>
        <v>Estimate for 2014</v>
      </c>
      <c r="E5" s="271" t="str">
        <f>CONCATENATE("Year for ",E1,"")</f>
        <v>Year for 2015</v>
      </c>
    </row>
    <row r="6" spans="2:5" ht="15.75">
      <c r="B6" s="123" t="s">
        <v>272</v>
      </c>
      <c r="C6" s="417">
        <v>90029</v>
      </c>
      <c r="D6" s="421">
        <f>C34</f>
        <v>114762</v>
      </c>
      <c r="E6" s="234">
        <f>D34</f>
        <v>69227</v>
      </c>
    </row>
    <row r="7" spans="2:5" ht="15.75">
      <c r="B7" s="259" t="s">
        <v>274</v>
      </c>
      <c r="C7" s="274"/>
      <c r="D7" s="274"/>
      <c r="E7" s="102"/>
    </row>
    <row r="8" spans="2:5" ht="15.75">
      <c r="B8" s="123" t="s">
        <v>158</v>
      </c>
      <c r="C8" s="417">
        <v>203063</v>
      </c>
      <c r="D8" s="421">
        <f>IF(inputPrYr!H39&gt;0,inputPrYr!H39,inputPrYr!E39)</f>
        <v>211101</v>
      </c>
      <c r="E8" s="306" t="s">
        <v>145</v>
      </c>
    </row>
    <row r="9" spans="2:5" ht="15.75">
      <c r="B9" s="123" t="s">
        <v>159</v>
      </c>
      <c r="C9" s="417">
        <v>1492</v>
      </c>
      <c r="D9" s="417"/>
      <c r="E9" s="87"/>
    </row>
    <row r="10" spans="2:5" ht="15.75">
      <c r="B10" s="123" t="s">
        <v>160</v>
      </c>
      <c r="C10" s="417">
        <v>18330</v>
      </c>
      <c r="D10" s="417">
        <v>19301</v>
      </c>
      <c r="E10" s="234">
        <f>mvalloc!E30</f>
        <v>19397</v>
      </c>
    </row>
    <row r="11" spans="2:5" ht="15.75">
      <c r="B11" s="123" t="s">
        <v>161</v>
      </c>
      <c r="C11" s="417">
        <v>282</v>
      </c>
      <c r="D11" s="417">
        <v>314</v>
      </c>
      <c r="E11" s="234">
        <f>mvalloc!F30</f>
        <v>282</v>
      </c>
    </row>
    <row r="12" spans="2:5" ht="15.75">
      <c r="B12" s="274" t="s">
        <v>230</v>
      </c>
      <c r="C12" s="417">
        <v>2514</v>
      </c>
      <c r="D12" s="417">
        <v>2675</v>
      </c>
      <c r="E12" s="234">
        <f>mvalloc!G30</f>
        <v>1158</v>
      </c>
    </row>
    <row r="13" spans="2:5" ht="15.75">
      <c r="B13" s="287" t="s">
        <v>1035</v>
      </c>
      <c r="C13" s="417">
        <v>7457</v>
      </c>
      <c r="D13" s="417"/>
      <c r="E13" s="87"/>
    </row>
    <row r="14" spans="2:5" ht="15.75">
      <c r="B14" s="287"/>
      <c r="C14" s="417"/>
      <c r="D14" s="417"/>
      <c r="E14" s="87"/>
    </row>
    <row r="15" spans="2:5" ht="15.75">
      <c r="B15" s="287"/>
      <c r="C15" s="417"/>
      <c r="D15" s="417"/>
      <c r="E15" s="87"/>
    </row>
    <row r="16" spans="2:5" ht="15.75">
      <c r="B16" s="287"/>
      <c r="C16" s="417"/>
      <c r="D16" s="417"/>
      <c r="E16" s="87"/>
    </row>
    <row r="17" spans="2:5" ht="15.75">
      <c r="B17" s="277" t="s">
        <v>165</v>
      </c>
      <c r="C17" s="417"/>
      <c r="D17" s="417"/>
      <c r="E17" s="87"/>
    </row>
    <row r="18" spans="2:5" ht="15.75">
      <c r="B18" s="278" t="s">
        <v>72</v>
      </c>
      <c r="C18" s="417"/>
      <c r="D18" s="417"/>
      <c r="E18" s="87"/>
    </row>
    <row r="19" spans="2:5" ht="15.75">
      <c r="B19" s="278" t="s">
        <v>654</v>
      </c>
      <c r="C19" s="418">
        <f>IF(C20*0.1&lt;C18,"Exceed 10% Rule","")</f>
      </c>
      <c r="D19" s="418">
        <f>IF(D20*0.1&lt;D18,"Exceed 10% Rule","")</f>
      </c>
      <c r="E19" s="313">
        <f>IF(E20*0.1+E40&lt;E18,"Exceed 10% Rule","")</f>
      </c>
    </row>
    <row r="20" spans="2:5" ht="15.75">
      <c r="B20" s="280" t="s">
        <v>166</v>
      </c>
      <c r="C20" s="419">
        <f>SUM(C8:C18)</f>
        <v>233138</v>
      </c>
      <c r="D20" s="419">
        <f>SUM(D8:D18)</f>
        <v>233391</v>
      </c>
      <c r="E20" s="321">
        <f>SUM(E8:E18)</f>
        <v>20837</v>
      </c>
    </row>
    <row r="21" spans="2:5" ht="15.75">
      <c r="B21" s="280" t="s">
        <v>167</v>
      </c>
      <c r="C21" s="419">
        <f>C6+C20</f>
        <v>323167</v>
      </c>
      <c r="D21" s="419">
        <f>D6+D20</f>
        <v>348153</v>
      </c>
      <c r="E21" s="321">
        <f>E6+E20</f>
        <v>90064</v>
      </c>
    </row>
    <row r="22" spans="2:5" ht="15.75">
      <c r="B22" s="123" t="s">
        <v>170</v>
      </c>
      <c r="C22" s="278"/>
      <c r="D22" s="278"/>
      <c r="E22" s="83"/>
    </row>
    <row r="23" spans="2:5" ht="15.75">
      <c r="B23" s="287" t="s">
        <v>1064</v>
      </c>
      <c r="C23" s="417">
        <v>203905</v>
      </c>
      <c r="D23" s="417">
        <v>275000</v>
      </c>
      <c r="E23" s="87">
        <v>285000</v>
      </c>
    </row>
    <row r="24" spans="2:10" ht="15.75">
      <c r="B24" s="287"/>
      <c r="C24" s="417"/>
      <c r="D24" s="417"/>
      <c r="E24" s="87"/>
      <c r="G24" s="832" t="str">
        <f>CONCATENATE("Desired Carryover Into ",E1+1,"")</f>
        <v>Desired Carryover Into 2016</v>
      </c>
      <c r="H24" s="833"/>
      <c r="I24" s="833"/>
      <c r="J24" s="804"/>
    </row>
    <row r="25" spans="2:10" ht="15.75">
      <c r="B25" s="287"/>
      <c r="C25" s="417"/>
      <c r="D25" s="417"/>
      <c r="E25" s="87"/>
      <c r="G25" s="613"/>
      <c r="H25" s="614"/>
      <c r="I25" s="615"/>
      <c r="J25" s="616"/>
    </row>
    <row r="26" spans="2:10" ht="15.75">
      <c r="B26" s="287"/>
      <c r="C26" s="417"/>
      <c r="D26" s="417"/>
      <c r="E26" s="87"/>
      <c r="G26" s="617" t="s">
        <v>660</v>
      </c>
      <c r="H26" s="615"/>
      <c r="I26" s="615"/>
      <c r="J26" s="618">
        <v>0</v>
      </c>
    </row>
    <row r="27" spans="2:10" ht="15.75">
      <c r="B27" s="287"/>
      <c r="C27" s="417"/>
      <c r="D27" s="417"/>
      <c r="E27" s="87"/>
      <c r="G27" s="613" t="s">
        <v>661</v>
      </c>
      <c r="H27" s="614"/>
      <c r="I27" s="614"/>
      <c r="J27" s="619">
        <f>IF(J26=0,"",ROUND((J26+E40-G39)/inputOth!E6*1000,3)-G44)</f>
      </c>
    </row>
    <row r="28" spans="2:10" ht="15.75">
      <c r="B28" s="287"/>
      <c r="C28" s="417"/>
      <c r="D28" s="417"/>
      <c r="E28" s="87"/>
      <c r="G28" s="620" t="str">
        <f>CONCATENATE("",E1," Tot Exp/Non-Appr Must Be:")</f>
        <v>2015 Tot Exp/Non-Appr Must Be:</v>
      </c>
      <c r="H28" s="621"/>
      <c r="I28" s="622"/>
      <c r="J28" s="623">
        <f>IF(J26&gt;0,IF(E37&lt;E21,IF(J26=G39,E37,((J26-G39)*(1-D39))+E21),E37+(J26-G39)),0)</f>
        <v>0</v>
      </c>
    </row>
    <row r="29" spans="2:10" ht="15.75">
      <c r="B29" s="287"/>
      <c r="C29" s="417"/>
      <c r="D29" s="417"/>
      <c r="E29" s="87"/>
      <c r="G29" s="624" t="s">
        <v>810</v>
      </c>
      <c r="H29" s="625"/>
      <c r="I29" s="625"/>
      <c r="J29" s="626">
        <f>IF(J26&gt;0,J28-E37,0)</f>
        <v>0</v>
      </c>
    </row>
    <row r="30" spans="2:10" ht="15.75">
      <c r="B30" s="278" t="s">
        <v>74</v>
      </c>
      <c r="C30" s="417">
        <v>4500</v>
      </c>
      <c r="D30" s="417">
        <v>3926</v>
      </c>
      <c r="E30" s="95">
        <f>Nhood!E29</f>
        <v>3070</v>
      </c>
      <c r="G30" s="1"/>
      <c r="H30" s="1"/>
      <c r="I30" s="1"/>
      <c r="J30" s="1"/>
    </row>
    <row r="31" spans="2:10" ht="15.75">
      <c r="B31" s="278" t="s">
        <v>72</v>
      </c>
      <c r="C31" s="417"/>
      <c r="D31" s="417"/>
      <c r="E31" s="87"/>
      <c r="G31" s="832" t="str">
        <f>CONCATENATE("Projected Carryover Into ",E1+1,"")</f>
        <v>Projected Carryover Into 2016</v>
      </c>
      <c r="H31" s="838"/>
      <c r="I31" s="838"/>
      <c r="J31" s="839"/>
    </row>
    <row r="32" spans="2:10" ht="15.75">
      <c r="B32" s="278" t="s">
        <v>653</v>
      </c>
      <c r="C32" s="418">
        <f>IF(C33*0.1&lt;C31,"Exceed 10% Rule","")</f>
      </c>
      <c r="D32" s="418">
        <f>IF(D33*0.1&lt;D31,"Exceed 10% Rule","")</f>
      </c>
      <c r="E32" s="313">
        <f>IF(E33*0.1&lt;E31,"Exceed 10% Rule","")</f>
      </c>
      <c r="G32" s="613"/>
      <c r="H32" s="615"/>
      <c r="I32" s="615"/>
      <c r="J32" s="641"/>
    </row>
    <row r="33" spans="2:10" ht="15.75">
      <c r="B33" s="280" t="s">
        <v>171</v>
      </c>
      <c r="C33" s="419">
        <f>SUM(C23:C31)</f>
        <v>208405</v>
      </c>
      <c r="D33" s="419">
        <f>SUM(D23:D31)</f>
        <v>278926</v>
      </c>
      <c r="E33" s="321">
        <f>SUM(E23:E31)</f>
        <v>288070</v>
      </c>
      <c r="G33" s="642">
        <f>D34</f>
        <v>69227</v>
      </c>
      <c r="H33" s="632" t="str">
        <f>CONCATENATE("",E1-1," Ending Cash Balance (est.)")</f>
        <v>2014 Ending Cash Balance (est.)</v>
      </c>
      <c r="I33" s="643"/>
      <c r="J33" s="641"/>
    </row>
    <row r="34" spans="2:10" ht="15.75">
      <c r="B34" s="123" t="s">
        <v>273</v>
      </c>
      <c r="C34" s="422">
        <f>C21-C33</f>
        <v>114762</v>
      </c>
      <c r="D34" s="422">
        <f>D21-D33</f>
        <v>69227</v>
      </c>
      <c r="E34" s="306" t="s">
        <v>145</v>
      </c>
      <c r="G34" s="642">
        <f>E20</f>
        <v>20837</v>
      </c>
      <c r="H34" s="615" t="str">
        <f>CONCATENATE("",E1," Non-AV Receipts (est.)")</f>
        <v>2015 Non-AV Receipts (est.)</v>
      </c>
      <c r="I34" s="643"/>
      <c r="J34" s="641"/>
    </row>
    <row r="35" spans="2:11" ht="15.75">
      <c r="B35" s="270" t="str">
        <f>CONCATENATE("",E1-2,"/",E1-1,"/",E1," Budget Authority Amount:")</f>
        <v>2013/2014/2015 Budget Authority Amount:</v>
      </c>
      <c r="C35" s="308">
        <f>inputOth!B53</f>
        <v>269634</v>
      </c>
      <c r="D35" s="308">
        <f>inputPrYr!D39</f>
        <v>278926</v>
      </c>
      <c r="E35" s="234">
        <f>E33</f>
        <v>288070</v>
      </c>
      <c r="F35" s="289"/>
      <c r="G35" s="644">
        <f>IF(E39&gt;0,E38,E40)</f>
        <v>198006</v>
      </c>
      <c r="H35" s="615" t="str">
        <f>CONCATENATE("",E1," Ad Valorem Tax (est.)")</f>
        <v>2015 Ad Valorem Tax (est.)</v>
      </c>
      <c r="I35" s="643"/>
      <c r="J35" s="641"/>
      <c r="K35" s="629">
        <f>IF(G35=E40,"","Note: Does not include Delinquent Taxes")</f>
      </c>
    </row>
    <row r="36" spans="2:10" ht="15.75">
      <c r="B36" s="256"/>
      <c r="C36" s="822" t="s">
        <v>657</v>
      </c>
      <c r="D36" s="823"/>
      <c r="E36" s="87"/>
      <c r="F36" s="465">
        <f>IF(E33/0.95-E33&lt;E36,"Exceeds 5%","")</f>
      </c>
      <c r="G36" s="642">
        <f>SUM(G33:G35)</f>
        <v>288070</v>
      </c>
      <c r="H36" s="615" t="str">
        <f>CONCATENATE("Total ",E1," Resources Available")</f>
        <v>Total 2015 Resources Available</v>
      </c>
      <c r="I36" s="643"/>
      <c r="J36" s="641"/>
    </row>
    <row r="37" spans="2:10" ht="15.75">
      <c r="B37" s="469" t="str">
        <f>CONCATENATE(C91,"     ",D91)</f>
        <v>     </v>
      </c>
      <c r="C37" s="824" t="s">
        <v>658</v>
      </c>
      <c r="D37" s="825"/>
      <c r="E37" s="234">
        <f>E33+E36</f>
        <v>288070</v>
      </c>
      <c r="G37" s="645"/>
      <c r="H37" s="615"/>
      <c r="I37" s="615"/>
      <c r="J37" s="641"/>
    </row>
    <row r="38" spans="2:10" ht="15.75">
      <c r="B38" s="469" t="str">
        <f>CONCATENATE(C92,"     ",D92)</f>
        <v>     </v>
      </c>
      <c r="C38" s="290"/>
      <c r="D38" s="208" t="s">
        <v>172</v>
      </c>
      <c r="E38" s="95">
        <f>IF(E37-E21&gt;0,E37-E21,0)</f>
        <v>198006</v>
      </c>
      <c r="G38" s="644">
        <f>ROUND(C33*0.05+C33,0)</f>
        <v>218825</v>
      </c>
      <c r="H38" s="615" t="str">
        <f>CONCATENATE("Less ",E1-2," Expenditures + 5%")</f>
        <v>Less 2013 Expenditures + 5%</v>
      </c>
      <c r="I38" s="643"/>
      <c r="J38" s="646"/>
    </row>
    <row r="39" spans="2:10" ht="15.75">
      <c r="B39" s="208"/>
      <c r="C39" s="467" t="s">
        <v>659</v>
      </c>
      <c r="D39" s="612">
        <f>inputOth!$E$23</f>
        <v>0</v>
      </c>
      <c r="E39" s="234">
        <f>ROUND(IF(D39&gt;0,($E$38*D39),0),0)</f>
        <v>0</v>
      </c>
      <c r="G39" s="647">
        <f>G36-G38</f>
        <v>69245</v>
      </c>
      <c r="H39" s="648" t="str">
        <f>CONCATENATE("Projected ",E1+1," carryover (est.)")</f>
        <v>Projected 2016 carryover (est.)</v>
      </c>
      <c r="I39" s="649"/>
      <c r="J39" s="650"/>
    </row>
    <row r="40" spans="2:10" ht="15.75">
      <c r="B40" s="62"/>
      <c r="C40" s="830" t="str">
        <f>CONCATENATE("Amount of  ",$E$1-1," Ad Valorem Tax")</f>
        <v>Amount of  2014 Ad Valorem Tax</v>
      </c>
      <c r="D40" s="831"/>
      <c r="E40" s="317">
        <f>E38+E39</f>
        <v>198006</v>
      </c>
      <c r="G40" s="1"/>
      <c r="H40" s="1"/>
      <c r="I40" s="1"/>
      <c r="J40" s="1"/>
    </row>
    <row r="41" spans="2:10" ht="15.75">
      <c r="B41" s="62"/>
      <c r="C41" s="296"/>
      <c r="D41" s="296"/>
      <c r="E41" s="296"/>
      <c r="G41" s="834" t="s">
        <v>811</v>
      </c>
      <c r="H41" s="835"/>
      <c r="I41" s="835"/>
      <c r="J41" s="836"/>
    </row>
    <row r="42" spans="2:10" ht="15.75">
      <c r="B42" s="61" t="s">
        <v>157</v>
      </c>
      <c r="C42" s="666" t="str">
        <f aca="true" t="shared" si="0" ref="C42:E43">C4</f>
        <v>Prior Year </v>
      </c>
      <c r="D42" s="667" t="str">
        <f t="shared" si="0"/>
        <v>Current Year </v>
      </c>
      <c r="E42" s="188" t="str">
        <f t="shared" si="0"/>
        <v>Proposed Budget </v>
      </c>
      <c r="G42" s="631"/>
      <c r="H42" s="632"/>
      <c r="I42" s="633"/>
      <c r="J42" s="634"/>
    </row>
    <row r="43" spans="2:10" ht="15.75">
      <c r="B43" s="446">
        <f>inputPrYr!B40</f>
        <v>0</v>
      </c>
      <c r="C43" s="420" t="str">
        <f t="shared" si="0"/>
        <v>Actual for 2013</v>
      </c>
      <c r="D43" s="420" t="str">
        <f t="shared" si="0"/>
        <v>Estimate for 2014</v>
      </c>
      <c r="E43" s="271" t="str">
        <f t="shared" si="0"/>
        <v>Year for 2015</v>
      </c>
      <c r="G43" s="635">
        <f>summ!H39</f>
        <v>1.523</v>
      </c>
      <c r="H43" s="632" t="str">
        <f>CONCATENATE("",E1," Fund Mill Rate")</f>
        <v>2015 Fund Mill Rate</v>
      </c>
      <c r="I43" s="633"/>
      <c r="J43" s="634"/>
    </row>
    <row r="44" spans="2:10" ht="15.75">
      <c r="B44" s="123" t="s">
        <v>272</v>
      </c>
      <c r="C44" s="417"/>
      <c r="D44" s="421">
        <f>C74</f>
        <v>0</v>
      </c>
      <c r="E44" s="234">
        <f>D74</f>
        <v>0</v>
      </c>
      <c r="G44" s="636">
        <f>summ!E39</f>
        <v>1.707</v>
      </c>
      <c r="H44" s="632" t="str">
        <f>CONCATENATE("",E1-1," Fund Mill Rate")</f>
        <v>2014 Fund Mill Rate</v>
      </c>
      <c r="I44" s="633"/>
      <c r="J44" s="634"/>
    </row>
    <row r="45" spans="2:10" ht="15.75">
      <c r="B45" s="272" t="s">
        <v>274</v>
      </c>
      <c r="C45" s="274"/>
      <c r="D45" s="274"/>
      <c r="E45" s="102"/>
      <c r="G45" s="637">
        <f>summ!H61</f>
        <v>51.98700000000003</v>
      </c>
      <c r="H45" s="632" t="str">
        <f>CONCATENATE("Total ",E1," Mill Rate")</f>
        <v>Total 2015 Mill Rate</v>
      </c>
      <c r="I45" s="633"/>
      <c r="J45" s="634"/>
    </row>
    <row r="46" spans="2:10" ht="15.75">
      <c r="B46" s="123" t="s">
        <v>158</v>
      </c>
      <c r="C46" s="417"/>
      <c r="D46" s="421">
        <f>IF(inputPrYr!H40&gt;0,inputPrYr!H40,inputPrYr!E40)</f>
        <v>0</v>
      </c>
      <c r="E46" s="306" t="s">
        <v>145</v>
      </c>
      <c r="G46" s="636">
        <f>summ!E61</f>
        <v>51.56499999999999</v>
      </c>
      <c r="H46" s="638" t="str">
        <f>CONCATENATE("Total ",E1-1," Mill Rate")</f>
        <v>Total 2014 Mill Rate</v>
      </c>
      <c r="I46" s="639"/>
      <c r="J46" s="640"/>
    </row>
    <row r="47" spans="2:10" ht="15.75">
      <c r="B47" s="123" t="s">
        <v>159</v>
      </c>
      <c r="C47" s="417"/>
      <c r="D47" s="417"/>
      <c r="E47" s="87"/>
      <c r="G47" s="1"/>
      <c r="H47" s="1"/>
      <c r="I47" s="1"/>
      <c r="J47" s="1"/>
    </row>
    <row r="48" spans="2:10" ht="15.75">
      <c r="B48" s="123" t="s">
        <v>160</v>
      </c>
      <c r="C48" s="417"/>
      <c r="D48" s="417"/>
      <c r="E48" s="234" t="str">
        <f>mvalloc!E31</f>
        <v>  </v>
      </c>
      <c r="G48" s="746" t="s">
        <v>886</v>
      </c>
      <c r="H48" s="690"/>
      <c r="I48" s="689" t="str">
        <f>cert!E69</f>
        <v>Yes</v>
      </c>
      <c r="J48" s="1"/>
    </row>
    <row r="49" spans="2:10" ht="15.75">
      <c r="B49" s="123" t="s">
        <v>161</v>
      </c>
      <c r="C49" s="417"/>
      <c r="D49" s="417"/>
      <c r="E49" s="234" t="str">
        <f>mvalloc!F31</f>
        <v>  </v>
      </c>
      <c r="G49" s="1"/>
      <c r="H49" s="1"/>
      <c r="I49" s="1"/>
      <c r="J49" s="1"/>
    </row>
    <row r="50" spans="2:10" ht="15.75">
      <c r="B50" s="274" t="s">
        <v>230</v>
      </c>
      <c r="C50" s="417"/>
      <c r="D50" s="417"/>
      <c r="E50" s="234" t="str">
        <f>mvalloc!G31</f>
        <v>  </v>
      </c>
      <c r="G50" s="1"/>
      <c r="H50" s="1"/>
      <c r="I50" s="1"/>
      <c r="J50" s="1"/>
    </row>
    <row r="51" spans="2:10" ht="15.75">
      <c r="B51" s="287"/>
      <c r="C51" s="417"/>
      <c r="D51" s="417"/>
      <c r="E51" s="87"/>
      <c r="G51" s="1"/>
      <c r="H51" s="1"/>
      <c r="I51" s="1"/>
      <c r="J51" s="1"/>
    </row>
    <row r="52" spans="2:10" ht="15.75">
      <c r="B52" s="287"/>
      <c r="C52" s="417"/>
      <c r="D52" s="417"/>
      <c r="E52" s="87"/>
      <c r="G52" s="1"/>
      <c r="H52" s="1"/>
      <c r="I52" s="1"/>
      <c r="J52" s="1"/>
    </row>
    <row r="53" spans="2:10" ht="15.75">
      <c r="B53" s="287"/>
      <c r="C53" s="417"/>
      <c r="D53" s="417"/>
      <c r="E53" s="87"/>
      <c r="G53" s="1"/>
      <c r="H53" s="1"/>
      <c r="I53" s="1"/>
      <c r="J53" s="1"/>
    </row>
    <row r="54" spans="2:10" ht="15.75">
      <c r="B54" s="287"/>
      <c r="C54" s="417"/>
      <c r="D54" s="417"/>
      <c r="E54" s="87"/>
      <c r="G54" s="1"/>
      <c r="H54" s="1"/>
      <c r="I54" s="1"/>
      <c r="J54" s="1"/>
    </row>
    <row r="55" spans="2:10" ht="15.75">
      <c r="B55" s="287"/>
      <c r="C55" s="417"/>
      <c r="D55" s="417"/>
      <c r="E55" s="87"/>
      <c r="G55" s="1"/>
      <c r="H55" s="1"/>
      <c r="I55" s="1"/>
      <c r="J55" s="1"/>
    </row>
    <row r="56" spans="2:10" ht="15.75">
      <c r="B56" s="287"/>
      <c r="C56" s="417"/>
      <c r="D56" s="417"/>
      <c r="E56" s="87"/>
      <c r="G56" s="1"/>
      <c r="H56" s="1"/>
      <c r="I56" s="1"/>
      <c r="J56" s="1"/>
    </row>
    <row r="57" spans="2:10" ht="15.75">
      <c r="B57" s="277" t="s">
        <v>165</v>
      </c>
      <c r="C57" s="417"/>
      <c r="D57" s="417"/>
      <c r="E57" s="87"/>
      <c r="G57" s="1"/>
      <c r="H57" s="1"/>
      <c r="I57" s="1"/>
      <c r="J57" s="1"/>
    </row>
    <row r="58" spans="2:10" ht="15.75">
      <c r="B58" s="278" t="s">
        <v>72</v>
      </c>
      <c r="C58" s="417"/>
      <c r="D58" s="417"/>
      <c r="E58" s="87"/>
      <c r="G58" s="1"/>
      <c r="H58" s="1"/>
      <c r="I58" s="1"/>
      <c r="J58" s="1"/>
    </row>
    <row r="59" spans="2:10" ht="15.75">
      <c r="B59" s="278" t="s">
        <v>654</v>
      </c>
      <c r="C59" s="418">
        <f>IF(C60*0.1&lt;C58,"Exceed 10% Rule","")</f>
      </c>
      <c r="D59" s="418">
        <f>IF(D60*0.1&lt;D58,"Exceed 10% Rule","")</f>
      </c>
      <c r="E59" s="313">
        <f>IF(E60*0.1+E80&lt;E58,"Exceed 10% Rule","")</f>
      </c>
      <c r="G59" s="1"/>
      <c r="H59" s="1"/>
      <c r="I59" s="1"/>
      <c r="J59" s="1"/>
    </row>
    <row r="60" spans="2:10" ht="15.75">
      <c r="B60" s="280" t="s">
        <v>166</v>
      </c>
      <c r="C60" s="419">
        <f>SUM(C46:C58)</f>
        <v>0</v>
      </c>
      <c r="D60" s="419">
        <f>SUM(D46:D58)</f>
        <v>0</v>
      </c>
      <c r="E60" s="321">
        <f>SUM(E46:E58)</f>
        <v>0</v>
      </c>
      <c r="G60" s="1"/>
      <c r="H60" s="1"/>
      <c r="I60" s="1"/>
      <c r="J60" s="1"/>
    </row>
    <row r="61" spans="2:10" ht="15.75">
      <c r="B61" s="280" t="s">
        <v>167</v>
      </c>
      <c r="C61" s="419">
        <f>C44+C60</f>
        <v>0</v>
      </c>
      <c r="D61" s="419">
        <f>D44+D60</f>
        <v>0</v>
      </c>
      <c r="E61" s="321">
        <f>E44+E60</f>
        <v>0</v>
      </c>
      <c r="G61" s="1"/>
      <c r="H61" s="1"/>
      <c r="I61" s="1"/>
      <c r="J61" s="1"/>
    </row>
    <row r="62" spans="2:10" ht="15.75">
      <c r="B62" s="123" t="s">
        <v>170</v>
      </c>
      <c r="C62" s="278"/>
      <c r="D62" s="278"/>
      <c r="E62" s="83"/>
      <c r="G62" s="1"/>
      <c r="H62" s="1"/>
      <c r="I62" s="1"/>
      <c r="J62" s="1"/>
    </row>
    <row r="63" spans="2:10" ht="15.75">
      <c r="B63" s="287"/>
      <c r="C63" s="417"/>
      <c r="D63" s="417"/>
      <c r="E63" s="87"/>
      <c r="G63" s="1"/>
      <c r="H63" s="1"/>
      <c r="I63" s="1"/>
      <c r="J63" s="1"/>
    </row>
    <row r="64" spans="2:10" ht="15.75">
      <c r="B64" s="287"/>
      <c r="C64" s="417"/>
      <c r="D64" s="417"/>
      <c r="E64" s="87"/>
      <c r="G64" s="832" t="str">
        <f>CONCATENATE("Desired Carryover Into ",E1+1,"")</f>
        <v>Desired Carryover Into 2016</v>
      </c>
      <c r="H64" s="833"/>
      <c r="I64" s="833"/>
      <c r="J64" s="804"/>
    </row>
    <row r="65" spans="2:10" ht="15.75">
      <c r="B65" s="287"/>
      <c r="C65" s="417"/>
      <c r="D65" s="417"/>
      <c r="E65" s="87"/>
      <c r="G65" s="613"/>
      <c r="H65" s="614"/>
      <c r="I65" s="615"/>
      <c r="J65" s="616"/>
    </row>
    <row r="66" spans="2:10" ht="15.75">
      <c r="B66" s="287"/>
      <c r="C66" s="417"/>
      <c r="D66" s="417"/>
      <c r="E66" s="87"/>
      <c r="G66" s="617" t="s">
        <v>660</v>
      </c>
      <c r="H66" s="615"/>
      <c r="I66" s="615"/>
      <c r="J66" s="618">
        <v>0</v>
      </c>
    </row>
    <row r="67" spans="2:10" ht="15.75">
      <c r="B67" s="287"/>
      <c r="C67" s="417"/>
      <c r="D67" s="417"/>
      <c r="E67" s="87"/>
      <c r="G67" s="613" t="s">
        <v>661</v>
      </c>
      <c r="H67" s="614"/>
      <c r="I67" s="614"/>
      <c r="J67" s="619">
        <f>IF(J66=0,"",ROUND((J66+E80-G79)/inputOth!E6*1000,3)-G84)</f>
      </c>
    </row>
    <row r="68" spans="2:10" ht="15.75">
      <c r="B68" s="287"/>
      <c r="C68" s="417"/>
      <c r="D68" s="417"/>
      <c r="E68" s="87"/>
      <c r="G68" s="620" t="str">
        <f>CONCATENATE("",E1," Tot Exp/Non-Appr Must Be:")</f>
        <v>2015 Tot Exp/Non-Appr Must Be:</v>
      </c>
      <c r="H68" s="621"/>
      <c r="I68" s="622"/>
      <c r="J68" s="623">
        <f>IF(J66&gt;0,IF(E77&lt;E61,IF(J66=G79,E77,((J66-G79)*(1-D79))+E61),E77+(J66-G79)),0)</f>
        <v>0</v>
      </c>
    </row>
    <row r="69" spans="2:10" ht="15.75">
      <c r="B69" s="287"/>
      <c r="C69" s="417"/>
      <c r="D69" s="417"/>
      <c r="E69" s="87"/>
      <c r="G69" s="624" t="s">
        <v>810</v>
      </c>
      <c r="H69" s="625"/>
      <c r="I69" s="625"/>
      <c r="J69" s="626">
        <f>IF(J66&gt;0,J68-E77,0)</f>
        <v>0</v>
      </c>
    </row>
    <row r="70" spans="2:10" ht="15.75">
      <c r="B70" s="278" t="s">
        <v>74</v>
      </c>
      <c r="C70" s="417"/>
      <c r="D70" s="417"/>
      <c r="E70" s="95">
        <f>Nhood!E30</f>
      </c>
      <c r="G70" s="1"/>
      <c r="H70" s="1"/>
      <c r="I70" s="1"/>
      <c r="J70" s="1"/>
    </row>
    <row r="71" spans="2:10" ht="15.75">
      <c r="B71" s="278" t="s">
        <v>72</v>
      </c>
      <c r="C71" s="417"/>
      <c r="D71" s="417"/>
      <c r="E71" s="87"/>
      <c r="G71" s="832" t="str">
        <f>CONCATENATE("Projected Carryover Into ",E1+1,"")</f>
        <v>Projected Carryover Into 2016</v>
      </c>
      <c r="H71" s="840"/>
      <c r="I71" s="840"/>
      <c r="J71" s="839"/>
    </row>
    <row r="72" spans="2:10" ht="15.75">
      <c r="B72" s="278" t="s">
        <v>653</v>
      </c>
      <c r="C72" s="418">
        <f>IF(C73*0.1&lt;C71,"Exceed 10% Rule","")</f>
      </c>
      <c r="D72" s="418">
        <f>IF(D73*0.1&lt;D71,"Exceed 10% Rule","")</f>
      </c>
      <c r="E72" s="313">
        <f>IF(E73*0.1&lt;E71,"Exceed 10% Rule","")</f>
      </c>
      <c r="G72" s="651"/>
      <c r="H72" s="614"/>
      <c r="I72" s="614"/>
      <c r="J72" s="646"/>
    </row>
    <row r="73" spans="2:10" ht="15.75">
      <c r="B73" s="280" t="s">
        <v>171</v>
      </c>
      <c r="C73" s="419">
        <f>SUM(C63:C71)</f>
        <v>0</v>
      </c>
      <c r="D73" s="419">
        <f>SUM(D63:D71)</f>
        <v>0</v>
      </c>
      <c r="E73" s="321">
        <f>SUM(E63:E71)</f>
        <v>0</v>
      </c>
      <c r="G73" s="642">
        <f>D74</f>
        <v>0</v>
      </c>
      <c r="H73" s="632" t="str">
        <f>CONCATENATE("",E1-1," Ending Cash Balance (est.)")</f>
        <v>2014 Ending Cash Balance (est.)</v>
      </c>
      <c r="I73" s="643"/>
      <c r="J73" s="646"/>
    </row>
    <row r="74" spans="2:10" ht="15.75">
      <c r="B74" s="123" t="s">
        <v>273</v>
      </c>
      <c r="C74" s="422">
        <f>C61-C73</f>
        <v>0</v>
      </c>
      <c r="D74" s="422">
        <f>D61-D73</f>
        <v>0</v>
      </c>
      <c r="E74" s="306" t="s">
        <v>145</v>
      </c>
      <c r="G74" s="642">
        <f>E60</f>
        <v>0</v>
      </c>
      <c r="H74" s="615" t="str">
        <f>CONCATENATE("",E1," Non-AV Receipts (est.)")</f>
        <v>2015 Non-AV Receipts (est.)</v>
      </c>
      <c r="I74" s="643"/>
      <c r="J74" s="646"/>
    </row>
    <row r="75" spans="2:11" ht="15.75">
      <c r="B75" s="270" t="str">
        <f>CONCATENATE("",E1-2,"/",E1-1,"/",E1," Budget Authority Amount:")</f>
        <v>2013/2014/2015 Budget Authority Amount:</v>
      </c>
      <c r="C75" s="308">
        <f>inputOth!B54</f>
        <v>0</v>
      </c>
      <c r="D75" s="308">
        <f>inputPrYr!D40</f>
        <v>0</v>
      </c>
      <c r="E75" s="234">
        <f>E73</f>
        <v>0</v>
      </c>
      <c r="F75" s="289"/>
      <c r="G75" s="644">
        <f>IF(E79&gt;0,E78,E80)</f>
        <v>0</v>
      </c>
      <c r="H75" s="615" t="str">
        <f>CONCATENATE("",E1," Ad Valorem Tax (est.)")</f>
        <v>2015 Ad Valorem Tax (est.)</v>
      </c>
      <c r="I75" s="643"/>
      <c r="J75" s="646"/>
      <c r="K75" s="629">
        <f>IF(G75=E80,"","Note: Does not include Delinquent Taxes")</f>
      </c>
    </row>
    <row r="76" spans="2:10" ht="15.75">
      <c r="B76" s="256"/>
      <c r="C76" s="822" t="s">
        <v>657</v>
      </c>
      <c r="D76" s="823"/>
      <c r="E76" s="87"/>
      <c r="F76" s="465">
        <f>IF(E73/0.95-E73&lt;E76,"Exceeds 5%","")</f>
      </c>
      <c r="G76" s="652">
        <f>SUM(G73:G75)</f>
        <v>0</v>
      </c>
      <c r="H76" s="615" t="str">
        <f>CONCATENATE("Total ",E1," Resources Available")</f>
        <v>Total 2015 Resources Available</v>
      </c>
      <c r="I76" s="653"/>
      <c r="J76" s="646"/>
    </row>
    <row r="77" spans="2:10" ht="15.75">
      <c r="B77" s="468" t="str">
        <f>CONCATENATE(C93,"     ",D93)</f>
        <v>     </v>
      </c>
      <c r="C77" s="824" t="s">
        <v>658</v>
      </c>
      <c r="D77" s="825"/>
      <c r="E77" s="234">
        <f>E73+E76</f>
        <v>0</v>
      </c>
      <c r="G77" s="654"/>
      <c r="H77" s="655"/>
      <c r="I77" s="614"/>
      <c r="J77" s="646"/>
    </row>
    <row r="78" spans="2:10" ht="15.75">
      <c r="B78" s="468" t="str">
        <f>CONCATENATE(C94,"     ",D94)</f>
        <v>     </v>
      </c>
      <c r="C78" s="290"/>
      <c r="D78" s="208" t="s">
        <v>172</v>
      </c>
      <c r="E78" s="95">
        <f>IF(E77-E61&gt;0,E77-E61,0)</f>
        <v>0</v>
      </c>
      <c r="G78" s="656">
        <f>ROUND(C73*0.05+C73,0)</f>
        <v>0</v>
      </c>
      <c r="H78" s="615" t="str">
        <f>CONCATENATE("Less ",E1-2," Expenditures + 5%")</f>
        <v>Less 2013 Expenditures + 5%</v>
      </c>
      <c r="I78" s="653"/>
      <c r="J78" s="646"/>
    </row>
    <row r="79" spans="2:10" ht="15.75">
      <c r="B79" s="208"/>
      <c r="C79" s="467" t="s">
        <v>659</v>
      </c>
      <c r="D79" s="612">
        <f>inputOth!$E$23</f>
        <v>0</v>
      </c>
      <c r="E79" s="234">
        <f>ROUND(IF(D79&gt;0,($E$78*D79),0),0)</f>
        <v>0</v>
      </c>
      <c r="G79" s="657">
        <f>G76-G78</f>
        <v>0</v>
      </c>
      <c r="H79" s="648" t="str">
        <f>CONCATENATE("Projected ",E1+1," carryover (est.)")</f>
        <v>Projected 2016 carryover (est.)</v>
      </c>
      <c r="I79" s="658"/>
      <c r="J79" s="659"/>
    </row>
    <row r="80" spans="2:10" ht="15.75">
      <c r="B80" s="62"/>
      <c r="C80" s="830" t="str">
        <f>CONCATENATE("Amount of  ",$E$1-1," Ad Valorem Tax")</f>
        <v>Amount of  2014 Ad Valorem Tax</v>
      </c>
      <c r="D80" s="831"/>
      <c r="E80" s="317">
        <f>E78+E79</f>
        <v>0</v>
      </c>
      <c r="G80" s="1"/>
      <c r="H80" s="1"/>
      <c r="I80" s="1"/>
      <c r="J80" s="1"/>
    </row>
    <row r="81" spans="2:10" ht="15.75">
      <c r="B81" s="256" t="s">
        <v>192</v>
      </c>
      <c r="C81" s="318">
        <v>20</v>
      </c>
      <c r="D81" s="62"/>
      <c r="E81" s="62"/>
      <c r="G81" s="834" t="s">
        <v>811</v>
      </c>
      <c r="H81" s="835"/>
      <c r="I81" s="835"/>
      <c r="J81" s="836"/>
    </row>
    <row r="82" spans="7:10" ht="15.75">
      <c r="G82" s="631"/>
      <c r="H82" s="632"/>
      <c r="I82" s="633"/>
      <c r="J82" s="634"/>
    </row>
    <row r="83" spans="7:10" ht="15.75">
      <c r="G83" s="635" t="str">
        <f>summ!H40</f>
        <v>  </v>
      </c>
      <c r="H83" s="632" t="str">
        <f>CONCATENATE("",E1," Fund Mill Rate")</f>
        <v>2015 Fund Mill Rate</v>
      </c>
      <c r="I83" s="633"/>
      <c r="J83" s="634"/>
    </row>
    <row r="84" spans="7:10" ht="15.75">
      <c r="G84" s="636" t="str">
        <f>summ!E40</f>
        <v>  </v>
      </c>
      <c r="H84" s="632" t="str">
        <f>CONCATENATE("",E1-1," Fund Mill Rate")</f>
        <v>2014 Fund Mill Rate</v>
      </c>
      <c r="I84" s="633"/>
      <c r="J84" s="634"/>
    </row>
    <row r="85" spans="7:10" ht="15.75">
      <c r="G85" s="637">
        <f>summ!H61</f>
        <v>51.98700000000003</v>
      </c>
      <c r="H85" s="632" t="str">
        <f>CONCATENATE("Total ",E1," Mill Rate")</f>
        <v>Total 2015 Mill Rate</v>
      </c>
      <c r="I85" s="633"/>
      <c r="J85" s="634"/>
    </row>
    <row r="86" spans="7:10" ht="15.75">
      <c r="G86" s="636">
        <f>summ!E61</f>
        <v>51.56499999999999</v>
      </c>
      <c r="H86" s="638" t="str">
        <f>CONCATENATE("Total ",E1-1," Mill Rate")</f>
        <v>Total 2014 Mill Rate</v>
      </c>
      <c r="I86" s="639"/>
      <c r="J86" s="640"/>
    </row>
    <row r="88" spans="7:9" ht="15.75">
      <c r="G88" s="747" t="s">
        <v>886</v>
      </c>
      <c r="H88" s="690"/>
      <c r="I88" s="689" t="str">
        <f>cert!E69</f>
        <v>Yes</v>
      </c>
    </row>
    <row r="91" spans="3:4" ht="15.75" hidden="1">
      <c r="C91" s="50">
        <f>IF(C33&gt;C35,"See Tab A","")</f>
      </c>
      <c r="D91" s="50">
        <f>IF(D33&gt;D35,"See Tab C","")</f>
      </c>
    </row>
    <row r="92" spans="3:4" ht="15.75" hidden="1">
      <c r="C92" s="50">
        <f>IF(C34&lt;0,"See Tab B","")</f>
      </c>
      <c r="D92" s="50">
        <f>IF(D34&lt;0,"See Tab D","")</f>
      </c>
    </row>
    <row r="93" spans="3:4" ht="15.75" hidden="1">
      <c r="C93" s="50">
        <f>IF(C73&gt;C75,"See Tab A","")</f>
      </c>
      <c r="D93" s="50">
        <f>IF(D73&gt;D75,"See Tab C","")</f>
      </c>
    </row>
    <row r="94" spans="3:4" ht="15.75" hidden="1">
      <c r="C94" s="50">
        <f>IF(C74&lt;0,"See Tab B","")</f>
      </c>
      <c r="D94" s="50">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1">
    <cfRule type="cellIs" priority="3" dxfId="408" operator="greaterThan" stopIfTrue="1">
      <formula>$E$73*0.1</formula>
    </cfRule>
  </conditionalFormatting>
  <conditionalFormatting sqref="E76">
    <cfRule type="cellIs" priority="4" dxfId="408" operator="greaterThan" stopIfTrue="1">
      <formula>$E$73/0.95-$E$73</formula>
    </cfRule>
  </conditionalFormatting>
  <conditionalFormatting sqref="E36">
    <cfRule type="cellIs" priority="5" dxfId="408" operator="greaterThan" stopIfTrue="1">
      <formula>$E$33/0.95-$E$33</formula>
    </cfRule>
  </conditionalFormatting>
  <conditionalFormatting sqref="E31">
    <cfRule type="cellIs" priority="6" dxfId="408" operator="greaterThan" stopIfTrue="1">
      <formula>$E$33*0.1</formula>
    </cfRule>
  </conditionalFormatting>
  <conditionalFormatting sqref="C74 C34">
    <cfRule type="cellIs" priority="7" dxfId="2" operator="lessThan" stopIfTrue="1">
      <formula>0</formula>
    </cfRule>
  </conditionalFormatting>
  <conditionalFormatting sqref="C73">
    <cfRule type="cellIs" priority="8" dxfId="2" operator="greaterThan" stopIfTrue="1">
      <formula>$C$75</formula>
    </cfRule>
  </conditionalFormatting>
  <conditionalFormatting sqref="D73">
    <cfRule type="cellIs" priority="9" dxfId="2" operator="greaterThan" stopIfTrue="1">
      <formula>$D$75</formula>
    </cfRule>
  </conditionalFormatting>
  <conditionalFormatting sqref="C71">
    <cfRule type="cellIs" priority="10" dxfId="2" operator="greaterThan" stopIfTrue="1">
      <formula>$C$73*0.1</formula>
    </cfRule>
  </conditionalFormatting>
  <conditionalFormatting sqref="D71">
    <cfRule type="cellIs" priority="11" dxfId="2" operator="greaterThan" stopIfTrue="1">
      <formula>$D$73*0.1</formula>
    </cfRule>
  </conditionalFormatting>
  <conditionalFormatting sqref="E58">
    <cfRule type="cellIs" priority="12" dxfId="408" operator="greaterThan" stopIfTrue="1">
      <formula>$E$60*0.1+E80</formula>
    </cfRule>
  </conditionalFormatting>
  <conditionalFormatting sqref="C58">
    <cfRule type="cellIs" priority="13" dxfId="2" operator="greaterThan" stopIfTrue="1">
      <formula>$C$60*0.1</formula>
    </cfRule>
  </conditionalFormatting>
  <conditionalFormatting sqref="D58">
    <cfRule type="cellIs" priority="14" dxfId="2" operator="greaterThan" stopIfTrue="1">
      <formula>$D$60*0.1</formula>
    </cfRule>
  </conditionalFormatting>
  <conditionalFormatting sqref="C33">
    <cfRule type="cellIs" priority="15" dxfId="2" operator="greaterThan" stopIfTrue="1">
      <formula>$C$35</formula>
    </cfRule>
  </conditionalFormatting>
  <conditionalFormatting sqref="D33">
    <cfRule type="cellIs" priority="16" dxfId="2" operator="greaterThan" stopIfTrue="1">
      <formula>$D$35</formula>
    </cfRule>
  </conditionalFormatting>
  <conditionalFormatting sqref="C31">
    <cfRule type="cellIs" priority="17" dxfId="2" operator="greaterThan" stopIfTrue="1">
      <formula>$C$33*0.1</formula>
    </cfRule>
  </conditionalFormatting>
  <conditionalFormatting sqref="D31">
    <cfRule type="cellIs" priority="18" dxfId="2" operator="greaterThan" stopIfTrue="1">
      <formula>$D$33*0.1</formula>
    </cfRule>
  </conditionalFormatting>
  <conditionalFormatting sqref="E18">
    <cfRule type="cellIs" priority="19" dxfId="408" operator="greaterThan" stopIfTrue="1">
      <formula>$E$20*0.1+E40</formula>
    </cfRule>
  </conditionalFormatting>
  <conditionalFormatting sqref="C18">
    <cfRule type="cellIs" priority="20" dxfId="2" operator="greaterThan" stopIfTrue="1">
      <formula>$C$20*0.1</formula>
    </cfRule>
  </conditionalFormatting>
  <conditionalFormatting sqref="D18">
    <cfRule type="cellIs" priority="21" dxfId="2" operator="greaterThan" stopIfTrue="1">
      <formula>$D$20*0.1</formula>
    </cfRule>
  </conditionalFormatting>
  <conditionalFormatting sqref="D34 D74">
    <cfRule type="cellIs" priority="2" dxfId="0" operator="lessThan" stopIfTrue="1">
      <formula>0</formula>
    </cfRule>
  </conditionalFormatting>
  <printOptions/>
  <pageMargins left="1.12" right="0.5" top="0.74" bottom="0.34" header="0.5" footer="0"/>
  <pageSetup blackAndWhite="1" fitToHeight="1" fitToWidth="1" horizontalDpi="300" verticalDpi="300" orientation="portrait" scale="53" r:id="rId1"/>
  <headerFooter alignWithMargins="0">
    <oddHeader>&amp;RState of Kansas
County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31">
      <selection activeCell="D49" sqref="D49"/>
    </sheetView>
  </sheetViews>
  <sheetFormatPr defaultColWidth="8.796875" defaultRowHeight="15"/>
  <cols>
    <col min="1" max="1" width="2.3984375" style="50" customWidth="1"/>
    <col min="2" max="2" width="31.09765625" style="50" customWidth="1"/>
    <col min="3" max="4" width="15.796875" style="50" customWidth="1"/>
    <col min="5" max="5" width="16.09765625" style="50" customWidth="1"/>
    <col min="6" max="16384" width="8.8984375" style="50" customWidth="1"/>
  </cols>
  <sheetData>
    <row r="1" spans="2:5" ht="15.75">
      <c r="B1" s="201" t="str">
        <f>(inputPrYr!C2)</f>
        <v>Marshall County</v>
      </c>
      <c r="C1" s="62"/>
      <c r="D1" s="62"/>
      <c r="E1" s="255">
        <f>inputPrYr!C4</f>
        <v>2015</v>
      </c>
    </row>
    <row r="2" spans="2:5" ht="15.75">
      <c r="B2" s="62"/>
      <c r="C2" s="62"/>
      <c r="D2" s="62"/>
      <c r="E2" s="208"/>
    </row>
    <row r="3" spans="2:5" ht="15.75">
      <c r="B3" s="127" t="s">
        <v>240</v>
      </c>
      <c r="C3" s="302"/>
      <c r="D3" s="302"/>
      <c r="E3" s="303"/>
    </row>
    <row r="4" spans="2:5" ht="15.75">
      <c r="B4" s="62"/>
      <c r="C4" s="296"/>
      <c r="D4" s="296"/>
      <c r="E4" s="296"/>
    </row>
    <row r="5" spans="2:5" ht="15.75">
      <c r="B5" s="61" t="s">
        <v>157</v>
      </c>
      <c r="C5" s="292" t="str">
        <f>general!C4</f>
        <v>Prior Year </v>
      </c>
      <c r="D5" s="188" t="str">
        <f>general!D4</f>
        <v>Current Year </v>
      </c>
      <c r="E5" s="188" t="str">
        <f>general!E4</f>
        <v>Proposed Budget </v>
      </c>
    </row>
    <row r="6" spans="2:5" ht="15.75">
      <c r="B6" s="447" t="str">
        <f>inputPrYr!B43</f>
        <v>Special Park &amp; Rec</v>
      </c>
      <c r="C6" s="284" t="str">
        <f>general!C5</f>
        <v>Actual for 2013</v>
      </c>
      <c r="D6" s="284" t="str">
        <f>general!D5</f>
        <v>Estimate for 2014</v>
      </c>
      <c r="E6" s="271" t="str">
        <f>general!E5</f>
        <v>Year for 2015</v>
      </c>
    </row>
    <row r="7" spans="2:5" ht="15.75">
      <c r="B7" s="123" t="s">
        <v>272</v>
      </c>
      <c r="C7" s="87">
        <v>36027</v>
      </c>
      <c r="D7" s="234">
        <f>C30</f>
        <v>39059</v>
      </c>
      <c r="E7" s="234">
        <f>D30</f>
        <v>42059</v>
      </c>
    </row>
    <row r="8" spans="2:5" ht="15.75">
      <c r="B8" s="305" t="s">
        <v>274</v>
      </c>
      <c r="C8" s="83"/>
      <c r="D8" s="83"/>
      <c r="E8" s="83"/>
    </row>
    <row r="9" spans="2:5" ht="15.75">
      <c r="B9" s="287" t="s">
        <v>1065</v>
      </c>
      <c r="C9" s="87">
        <v>3032</v>
      </c>
      <c r="D9" s="87">
        <v>3000</v>
      </c>
      <c r="E9" s="87">
        <v>3000</v>
      </c>
    </row>
    <row r="10" spans="2:5" ht="15.75">
      <c r="B10" s="287"/>
      <c r="C10" s="87"/>
      <c r="D10" s="87"/>
      <c r="E10" s="87"/>
    </row>
    <row r="11" spans="2:5" ht="15.75">
      <c r="B11" s="287"/>
      <c r="C11" s="87"/>
      <c r="D11" s="87"/>
      <c r="E11" s="87"/>
    </row>
    <row r="12" spans="2:5" ht="15.75">
      <c r="B12" s="277" t="s">
        <v>165</v>
      </c>
      <c r="C12" s="87"/>
      <c r="D12" s="87"/>
      <c r="E12" s="87"/>
    </row>
    <row r="13" spans="2:5" ht="15.75">
      <c r="B13" s="278" t="s">
        <v>72</v>
      </c>
      <c r="C13" s="87"/>
      <c r="D13" s="273"/>
      <c r="E13" s="273"/>
    </row>
    <row r="14" spans="2:5" ht="15.75">
      <c r="B14" s="278" t="s">
        <v>654</v>
      </c>
      <c r="C14" s="443">
        <f>IF(C15*0.1&lt;C13,"Exceed 10% Rule","")</f>
      </c>
      <c r="D14" s="279">
        <f>IF(D15*0.1&lt;D13,"Exceed 10% Rule","")</f>
      </c>
      <c r="E14" s="279">
        <f>IF(E15*0.1&lt;E13,"Exceed 10% Rule","")</f>
      </c>
    </row>
    <row r="15" spans="2:5" ht="15.75">
      <c r="B15" s="280" t="s">
        <v>166</v>
      </c>
      <c r="C15" s="321">
        <f>SUM(C9:C13)</f>
        <v>3032</v>
      </c>
      <c r="D15" s="321">
        <f>SUM(D9:D13)</f>
        <v>3000</v>
      </c>
      <c r="E15" s="321">
        <f>SUM(E9:E13)</f>
        <v>3000</v>
      </c>
    </row>
    <row r="16" spans="2:5" ht="15.75">
      <c r="B16" s="280" t="s">
        <v>167</v>
      </c>
      <c r="C16" s="321">
        <f>C15+C7</f>
        <v>39059</v>
      </c>
      <c r="D16" s="321">
        <f>D15+D7</f>
        <v>42059</v>
      </c>
      <c r="E16" s="321">
        <f>E15+E7</f>
        <v>45059</v>
      </c>
    </row>
    <row r="17" spans="2:5" ht="15.75">
      <c r="B17" s="123" t="s">
        <v>170</v>
      </c>
      <c r="C17" s="234"/>
      <c r="D17" s="234"/>
      <c r="E17" s="234"/>
    </row>
    <row r="18" spans="2:5" ht="15.75">
      <c r="B18" s="287"/>
      <c r="C18" s="87"/>
      <c r="D18" s="87"/>
      <c r="E18" s="87"/>
    </row>
    <row r="19" spans="2:5" ht="15.75">
      <c r="B19" s="287"/>
      <c r="C19" s="87"/>
      <c r="D19" s="87"/>
      <c r="E19" s="87"/>
    </row>
    <row r="20" spans="2:5" ht="15.75">
      <c r="B20" s="287"/>
      <c r="C20" s="87"/>
      <c r="D20" s="87"/>
      <c r="E20" s="87"/>
    </row>
    <row r="21" spans="2:5" ht="15.75">
      <c r="B21" s="287"/>
      <c r="C21" s="87"/>
      <c r="D21" s="87"/>
      <c r="E21" s="87"/>
    </row>
    <row r="22" spans="2:5" ht="15.75">
      <c r="B22" s="287"/>
      <c r="C22" s="87"/>
      <c r="D22" s="87"/>
      <c r="E22" s="87"/>
    </row>
    <row r="23" spans="2:5" ht="15.75">
      <c r="B23" s="287"/>
      <c r="C23" s="87"/>
      <c r="D23" s="87"/>
      <c r="E23" s="87"/>
    </row>
    <row r="24" spans="2:5" ht="15.75">
      <c r="B24" s="287"/>
      <c r="C24" s="87"/>
      <c r="D24" s="87"/>
      <c r="E24" s="87"/>
    </row>
    <row r="25" spans="2:5" ht="15.75">
      <c r="B25" s="287"/>
      <c r="C25" s="87"/>
      <c r="D25" s="87"/>
      <c r="E25" s="87"/>
    </row>
    <row r="26" spans="2:5" ht="15.75">
      <c r="B26" s="287"/>
      <c r="C26" s="87"/>
      <c r="D26" s="87"/>
      <c r="E26" s="87"/>
    </row>
    <row r="27" spans="2:5" ht="15.75">
      <c r="B27" s="278" t="s">
        <v>72</v>
      </c>
      <c r="C27" s="87"/>
      <c r="D27" s="273"/>
      <c r="E27" s="273"/>
    </row>
    <row r="28" spans="2:5" ht="15.75">
      <c r="B28" s="278" t="s">
        <v>653</v>
      </c>
      <c r="C28" s="443">
        <f>IF(C29*0.1&lt;C27,"Exceed 10% Rule","")</f>
      </c>
      <c r="D28" s="279">
        <f>IF(D29*0.1&lt;D27,"Exceed 10% Rule","")</f>
      </c>
      <c r="E28" s="279">
        <f>IF(E29*0.1&lt;E27,"Exceed 10% Rule","")</f>
      </c>
    </row>
    <row r="29" spans="2:5" ht="15.75">
      <c r="B29" s="280" t="s">
        <v>171</v>
      </c>
      <c r="C29" s="321">
        <f>SUM(C18:C27)</f>
        <v>0</v>
      </c>
      <c r="D29" s="321">
        <f>SUM(D18:D27)</f>
        <v>0</v>
      </c>
      <c r="E29" s="321">
        <f>SUM(E18:E27)</f>
        <v>0</v>
      </c>
    </row>
    <row r="30" spans="2:5" ht="15.75">
      <c r="B30" s="123" t="s">
        <v>273</v>
      </c>
      <c r="C30" s="95">
        <f>C16-C29</f>
        <v>39059</v>
      </c>
      <c r="D30" s="95">
        <f>D16-D29</f>
        <v>42059</v>
      </c>
      <c r="E30" s="95">
        <f>E16-E29</f>
        <v>45059</v>
      </c>
    </row>
    <row r="31" spans="2:5" ht="15.75">
      <c r="B31" s="270" t="str">
        <f>CONCATENATE("",E1-2,"/",E1-1,"/",E1," Budget Authority Amount:")</f>
        <v>2013/2014/2015 Budget Authority Amount:</v>
      </c>
      <c r="C31" s="308">
        <f>inputOth!B55</f>
        <v>3000</v>
      </c>
      <c r="D31" s="308">
        <f>inputPrYr!D43</f>
        <v>3000</v>
      </c>
      <c r="E31" s="697">
        <f>E29</f>
        <v>0</v>
      </c>
    </row>
    <row r="32" spans="2:5" ht="15.75">
      <c r="B32" s="256"/>
      <c r="C32" s="290">
        <f>IF(C29&gt;C31,"See Tab A","")</f>
      </c>
      <c r="D32" s="290">
        <f>IF(D29&gt;D31,"See Tab C","")</f>
      </c>
      <c r="E32" s="698">
        <f>IF(E30&lt;0,"See Tab E","")</f>
      </c>
    </row>
    <row r="33" spans="2:5" ht="15.75">
      <c r="B33" s="256"/>
      <c r="C33" s="290">
        <f>IF(C30&lt;0,"See Tab B","")</f>
      </c>
      <c r="D33" s="290">
        <f>IF(D30&lt;0,"See Tab D","")</f>
      </c>
      <c r="E33" s="120"/>
    </row>
    <row r="34" spans="2:5" ht="15.75">
      <c r="B34" s="62"/>
      <c r="C34" s="120"/>
      <c r="D34" s="120"/>
      <c r="E34" s="120"/>
    </row>
    <row r="35" spans="2:5" ht="15.75">
      <c r="B35" s="61" t="s">
        <v>157</v>
      </c>
      <c r="C35" s="296"/>
      <c r="D35" s="296"/>
      <c r="E35" s="296"/>
    </row>
    <row r="36" spans="2:5" ht="15.75">
      <c r="B36" s="62"/>
      <c r="C36" s="292" t="str">
        <f aca="true" t="shared" si="0" ref="C36:E37">C5</f>
        <v>Prior Year </v>
      </c>
      <c r="D36" s="188" t="str">
        <f t="shared" si="0"/>
        <v>Current Year </v>
      </c>
      <c r="E36" s="188" t="str">
        <f t="shared" si="0"/>
        <v>Proposed Budget </v>
      </c>
    </row>
    <row r="37" spans="2:5" ht="15.75">
      <c r="B37" s="446" t="str">
        <f>inputPrYr!B44</f>
        <v>Special Alcohol</v>
      </c>
      <c r="C37" s="284" t="str">
        <f t="shared" si="0"/>
        <v>Actual for 2013</v>
      </c>
      <c r="D37" s="284" t="str">
        <f t="shared" si="0"/>
        <v>Estimate for 2014</v>
      </c>
      <c r="E37" s="271" t="str">
        <f t="shared" si="0"/>
        <v>Year for 2015</v>
      </c>
    </row>
    <row r="38" spans="2:5" ht="15.75">
      <c r="B38" s="123" t="s">
        <v>272</v>
      </c>
      <c r="C38" s="87">
        <v>58842</v>
      </c>
      <c r="D38" s="234">
        <f>C61</f>
        <v>64241</v>
      </c>
      <c r="E38" s="234">
        <f>D61</f>
        <v>69241</v>
      </c>
    </row>
    <row r="39" spans="2:5" ht="15.75">
      <c r="B39" s="123" t="s">
        <v>274</v>
      </c>
      <c r="C39" s="83"/>
      <c r="D39" s="83"/>
      <c r="E39" s="83"/>
    </row>
    <row r="40" spans="2:5" ht="15.75">
      <c r="B40" s="287" t="s">
        <v>1065</v>
      </c>
      <c r="C40" s="87">
        <v>5799</v>
      </c>
      <c r="D40" s="87">
        <v>5000</v>
      </c>
      <c r="E40" s="87">
        <v>5000</v>
      </c>
    </row>
    <row r="41" spans="2:5" ht="15.75">
      <c r="B41" s="287"/>
      <c r="C41" s="87"/>
      <c r="D41" s="87"/>
      <c r="E41" s="87"/>
    </row>
    <row r="42" spans="2:5" ht="15.75">
      <c r="B42" s="287"/>
      <c r="C42" s="87"/>
      <c r="D42" s="87"/>
      <c r="E42" s="87"/>
    </row>
    <row r="43" spans="2:5" ht="15.75">
      <c r="B43" s="277" t="s">
        <v>165</v>
      </c>
      <c r="C43" s="87"/>
      <c r="D43" s="87"/>
      <c r="E43" s="87"/>
    </row>
    <row r="44" spans="2:5" ht="15.75">
      <c r="B44" s="278" t="s">
        <v>72</v>
      </c>
      <c r="C44" s="87"/>
      <c r="D44" s="273"/>
      <c r="E44" s="273"/>
    </row>
    <row r="45" spans="2:5" ht="15.75">
      <c r="B45" s="278" t="s">
        <v>654</v>
      </c>
      <c r="C45" s="443">
        <f>IF(C46*0.1&lt;C44,"Exceed 10% Rule","")</f>
      </c>
      <c r="D45" s="279">
        <f>IF(D46*0.1&lt;D44,"Exceed 10% Rule","")</f>
      </c>
      <c r="E45" s="279">
        <f>IF(E46*0.1&lt;E44,"Exceed 10% Rule","")</f>
      </c>
    </row>
    <row r="46" spans="2:5" ht="15.75">
      <c r="B46" s="280" t="s">
        <v>166</v>
      </c>
      <c r="C46" s="321">
        <f>SUM(C40:C44)</f>
        <v>5799</v>
      </c>
      <c r="D46" s="321">
        <f>SUM(D40:D44)</f>
        <v>5000</v>
      </c>
      <c r="E46" s="321">
        <f>SUM(E40:E44)</f>
        <v>5000</v>
      </c>
    </row>
    <row r="47" spans="2:5" ht="15.75">
      <c r="B47" s="280" t="s">
        <v>167</v>
      </c>
      <c r="C47" s="321">
        <f>C38+C46</f>
        <v>64641</v>
      </c>
      <c r="D47" s="321">
        <f>D38+D46</f>
        <v>69241</v>
      </c>
      <c r="E47" s="321">
        <f>E38+E46</f>
        <v>74241</v>
      </c>
    </row>
    <row r="48" spans="2:5" ht="15.75">
      <c r="B48" s="123" t="s">
        <v>170</v>
      </c>
      <c r="C48" s="234"/>
      <c r="D48" s="234"/>
      <c r="E48" s="234"/>
    </row>
    <row r="49" spans="2:5" ht="15.75">
      <c r="B49" s="287" t="s">
        <v>1066</v>
      </c>
      <c r="C49" s="87">
        <v>400</v>
      </c>
      <c r="D49" s="87"/>
      <c r="E49" s="87"/>
    </row>
    <row r="50" spans="2:5" ht="15.75">
      <c r="B50" s="287"/>
      <c r="C50" s="87"/>
      <c r="D50" s="87"/>
      <c r="E50" s="87"/>
    </row>
    <row r="51" spans="2:5" ht="15.75">
      <c r="B51" s="287"/>
      <c r="C51" s="87"/>
      <c r="D51" s="87"/>
      <c r="E51" s="87"/>
    </row>
    <row r="52" spans="2:5" ht="15.75">
      <c r="B52" s="287"/>
      <c r="C52" s="87"/>
      <c r="D52" s="87"/>
      <c r="E52" s="87"/>
    </row>
    <row r="53" spans="2:5" ht="15.75">
      <c r="B53" s="287"/>
      <c r="C53" s="87"/>
      <c r="D53" s="87"/>
      <c r="E53" s="87"/>
    </row>
    <row r="54" spans="2:5" ht="15.75">
      <c r="B54" s="287"/>
      <c r="C54" s="87"/>
      <c r="D54" s="87"/>
      <c r="E54" s="87"/>
    </row>
    <row r="55" spans="2:5" ht="15.75">
      <c r="B55" s="287"/>
      <c r="C55" s="87"/>
      <c r="D55" s="87"/>
      <c r="E55" s="87"/>
    </row>
    <row r="56" spans="2:5" ht="15.75">
      <c r="B56" s="287"/>
      <c r="C56" s="87"/>
      <c r="D56" s="87"/>
      <c r="E56" s="87"/>
    </row>
    <row r="57" spans="2:5" ht="15.75">
      <c r="B57" s="287"/>
      <c r="C57" s="87"/>
      <c r="D57" s="87"/>
      <c r="E57" s="87"/>
    </row>
    <row r="58" spans="2:5" ht="15.75">
      <c r="B58" s="278" t="s">
        <v>72</v>
      </c>
      <c r="C58" s="87"/>
      <c r="D58" s="273"/>
      <c r="E58" s="273"/>
    </row>
    <row r="59" spans="2:5" ht="15.75">
      <c r="B59" s="278" t="s">
        <v>653</v>
      </c>
      <c r="C59" s="443">
        <f>IF(C60*0.1&lt;C58,"Exceed 10% Rule","")</f>
      </c>
      <c r="D59" s="279">
        <f>IF(D60*0.1&lt;D58,"Exceed 10% Rule","")</f>
      </c>
      <c r="E59" s="279">
        <f>IF(E60*0.1&lt;E58,"Exceed 10% Rule","")</f>
      </c>
    </row>
    <row r="60" spans="2:5" ht="15.75">
      <c r="B60" s="280" t="s">
        <v>171</v>
      </c>
      <c r="C60" s="321">
        <f>SUM(C49:C58)</f>
        <v>400</v>
      </c>
      <c r="D60" s="321">
        <f>SUM(D49:D58)</f>
        <v>0</v>
      </c>
      <c r="E60" s="321">
        <f>SUM(E49:E58)</f>
        <v>0</v>
      </c>
    </row>
    <row r="61" spans="2:5" ht="15.75">
      <c r="B61" s="123" t="s">
        <v>273</v>
      </c>
      <c r="C61" s="95">
        <f>C47-C60</f>
        <v>64241</v>
      </c>
      <c r="D61" s="95">
        <f>D47-D60</f>
        <v>69241</v>
      </c>
      <c r="E61" s="95">
        <f>E47-E60</f>
        <v>74241</v>
      </c>
    </row>
    <row r="62" spans="2:5" ht="15.75">
      <c r="B62" s="270" t="str">
        <f>CONCATENATE("",E1-2,"/",E1-1,"/",E1," Budget Authority Amount:")</f>
        <v>2013/2014/2015 Budget Authority Amount:</v>
      </c>
      <c r="C62" s="308">
        <f>inputOth!B56</f>
        <v>10000</v>
      </c>
      <c r="D62" s="308">
        <f>inputPrYr!D44</f>
        <v>10000</v>
      </c>
      <c r="E62" s="697">
        <f>E60</f>
        <v>0</v>
      </c>
    </row>
    <row r="63" spans="2:5" ht="15.75">
      <c r="B63" s="256"/>
      <c r="C63" s="290">
        <f>IF(C60&gt;C62,"See Tab A","")</f>
      </c>
      <c r="D63" s="290">
        <f>IF(D60&gt;D62,"See Tab C","")</f>
      </c>
      <c r="E63" s="699">
        <f>IF(E61&lt;0,"See Tab E","")</f>
      </c>
    </row>
    <row r="64" spans="2:5" ht="15.75">
      <c r="B64" s="256"/>
      <c r="C64" s="290">
        <f>IF(C61&lt;0,"See Tab B","")</f>
      </c>
      <c r="D64" s="290">
        <f>IF(D61&lt;0,"See Tab D","")</f>
      </c>
      <c r="E64" s="62"/>
    </row>
    <row r="65" spans="2:5" ht="15.75">
      <c r="B65" s="62"/>
      <c r="C65" s="62"/>
      <c r="D65" s="62"/>
      <c r="E65" s="62"/>
    </row>
    <row r="66" spans="2:5" ht="15.75">
      <c r="B66" s="256" t="s">
        <v>192</v>
      </c>
      <c r="C66" s="318">
        <v>21</v>
      </c>
      <c r="D66" s="62"/>
      <c r="E66" s="62"/>
    </row>
  </sheetData>
  <sheetProtection sheet="1"/>
  <conditionalFormatting sqref="C27">
    <cfRule type="cellIs" priority="7" dxfId="408" operator="greaterThan" stopIfTrue="1">
      <formula>$C$29*0.1</formula>
    </cfRule>
  </conditionalFormatting>
  <conditionalFormatting sqref="D27">
    <cfRule type="cellIs" priority="8" dxfId="408" operator="greaterThan" stopIfTrue="1">
      <formula>$D$29*0.1</formula>
    </cfRule>
  </conditionalFormatting>
  <conditionalFormatting sqref="E27">
    <cfRule type="cellIs" priority="9" dxfId="408" operator="greaterThan" stopIfTrue="1">
      <formula>$E$29*0.1</formula>
    </cfRule>
  </conditionalFormatting>
  <conditionalFormatting sqref="C13">
    <cfRule type="cellIs" priority="10" dxfId="408" operator="greaterThan" stopIfTrue="1">
      <formula>$C$15*0.1</formula>
    </cfRule>
  </conditionalFormatting>
  <conditionalFormatting sqref="D13">
    <cfRule type="cellIs" priority="11" dxfId="408" operator="greaterThan" stopIfTrue="1">
      <formula>$D$15*0.1</formula>
    </cfRule>
  </conditionalFormatting>
  <conditionalFormatting sqref="E13">
    <cfRule type="cellIs" priority="12" dxfId="408" operator="greaterThan" stopIfTrue="1">
      <formula>$E$15*0.1</formula>
    </cfRule>
  </conditionalFormatting>
  <conditionalFormatting sqref="C44">
    <cfRule type="cellIs" priority="13" dxfId="408" operator="greaterThan" stopIfTrue="1">
      <formula>$C$46*0.1</formula>
    </cfRule>
  </conditionalFormatting>
  <conditionalFormatting sqref="D44">
    <cfRule type="cellIs" priority="14" dxfId="408" operator="greaterThan" stopIfTrue="1">
      <formula>$D$46*0.1</formula>
    </cfRule>
  </conditionalFormatting>
  <conditionalFormatting sqref="E44">
    <cfRule type="cellIs" priority="15" dxfId="408" operator="greaterThan" stopIfTrue="1">
      <formula>$E$46*0.1</formula>
    </cfRule>
  </conditionalFormatting>
  <conditionalFormatting sqref="C58">
    <cfRule type="cellIs" priority="16" dxfId="408" operator="greaterThan" stopIfTrue="1">
      <formula>$C$60*0.1</formula>
    </cfRule>
  </conditionalFormatting>
  <conditionalFormatting sqref="D58">
    <cfRule type="cellIs" priority="17" dxfId="408" operator="greaterThan" stopIfTrue="1">
      <formula>$D$60*0.1</formula>
    </cfRule>
  </conditionalFormatting>
  <conditionalFormatting sqref="E58">
    <cfRule type="cellIs" priority="18" dxfId="408" operator="greaterThan" stopIfTrue="1">
      <formula>$E$60*0.1</formula>
    </cfRule>
  </conditionalFormatting>
  <conditionalFormatting sqref="E61 C61 E30">
    <cfRule type="cellIs" priority="19" dxfId="2" operator="lessThan" stopIfTrue="1">
      <formula>0</formula>
    </cfRule>
  </conditionalFormatting>
  <conditionalFormatting sqref="D60">
    <cfRule type="cellIs" priority="20" dxfId="2" operator="greaterThan" stopIfTrue="1">
      <formula>$D$62</formula>
    </cfRule>
  </conditionalFormatting>
  <conditionalFormatting sqref="C60">
    <cfRule type="cellIs" priority="21" dxfId="2" operator="greaterThan" stopIfTrue="1">
      <formula>$C$62</formula>
    </cfRule>
  </conditionalFormatting>
  <conditionalFormatting sqref="C29">
    <cfRule type="cellIs" priority="6" dxfId="0" operator="greaterThan" stopIfTrue="1">
      <formula>$C$31</formula>
    </cfRule>
  </conditionalFormatting>
  <conditionalFormatting sqref="D29">
    <cfRule type="cellIs" priority="5" dxfId="0" operator="greaterThan" stopIfTrue="1">
      <formula>$D$31</formula>
    </cfRule>
  </conditionalFormatting>
  <conditionalFormatting sqref="C30">
    <cfRule type="cellIs" priority="4" dxfId="0" operator="lessThan" stopIfTrue="1">
      <formula>0</formula>
    </cfRule>
  </conditionalFormatting>
  <conditionalFormatting sqref="D30">
    <cfRule type="cellIs" priority="2" dxfId="0" operator="lessThan" stopIfTrue="1">
      <formula>0</formula>
    </cfRule>
    <cfRule type="cellIs" priority="3" dxfId="0" operator="lessThan" stopIfTrue="1">
      <formula>0</formula>
    </cfRule>
  </conditionalFormatting>
  <conditionalFormatting sqref="D61">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70" r:id="rId1"/>
  <headerFooter alignWithMargins="0">
    <oddHeader>&amp;RState of Kansas
County
</oddHeader>
  </headerFooter>
</worksheet>
</file>

<file path=xl/worksheets/sheet3.xml><?xml version="1.0" encoding="utf-8"?>
<worksheet xmlns="http://schemas.openxmlformats.org/spreadsheetml/2006/main" xmlns:r="http://schemas.openxmlformats.org/officeDocument/2006/relationships">
  <dimension ref="A1:E70"/>
  <sheetViews>
    <sheetView zoomScalePageLayoutView="0" workbookViewId="0" topLeftCell="A40">
      <selection activeCell="B71" sqref="B71"/>
    </sheetView>
  </sheetViews>
  <sheetFormatPr defaultColWidth="8.796875" defaultRowHeight="15"/>
  <cols>
    <col min="1" max="1" width="15.796875" style="50" customWidth="1"/>
    <col min="2" max="2" width="20.796875" style="50" customWidth="1"/>
    <col min="3" max="3" width="9.796875" style="50" customWidth="1"/>
    <col min="4" max="4" width="15.296875" style="50" customWidth="1"/>
    <col min="5" max="5" width="15.796875" style="50" customWidth="1"/>
    <col min="6" max="16384" width="8.8984375" style="50" customWidth="1"/>
  </cols>
  <sheetData>
    <row r="1" spans="1:5" ht="15.75">
      <c r="A1" s="119" t="str">
        <f>inputPrYr!C2</f>
        <v>Marshall County</v>
      </c>
      <c r="B1" s="100"/>
      <c r="C1" s="100"/>
      <c r="D1" s="100"/>
      <c r="E1" s="100">
        <f>inputPrYr!C4</f>
        <v>2015</v>
      </c>
    </row>
    <row r="2" spans="1:5" ht="15.75">
      <c r="A2" s="119"/>
      <c r="B2" s="100"/>
      <c r="C2" s="100"/>
      <c r="D2" s="100"/>
      <c r="E2" s="100"/>
    </row>
    <row r="3" spans="1:5" ht="15.75">
      <c r="A3" s="779" t="s">
        <v>57</v>
      </c>
      <c r="B3" s="780"/>
      <c r="C3" s="780"/>
      <c r="D3" s="780"/>
      <c r="E3" s="780"/>
    </row>
    <row r="4" spans="1:5" ht="15.75">
      <c r="A4" s="100"/>
      <c r="B4" s="100"/>
      <c r="C4" s="100"/>
      <c r="D4" s="100"/>
      <c r="E4" s="100"/>
    </row>
    <row r="5" spans="1:5" ht="15.75">
      <c r="A5" s="99" t="str">
        <f>CONCATENATE("From the County Clerks ",E1," Budget Information:")</f>
        <v>From the County Clerks 2015 Budget Information:</v>
      </c>
      <c r="B5" s="101"/>
      <c r="C5" s="70"/>
      <c r="D5" s="62"/>
      <c r="E5" s="120"/>
    </row>
    <row r="6" spans="1:5" ht="15.75">
      <c r="A6" s="121" t="str">
        <f>CONCATENATE("Total Assessed Valuation for ",E1-1,"")</f>
        <v>Total Assessed Valuation for 2014</v>
      </c>
      <c r="B6" s="107"/>
      <c r="C6" s="107"/>
      <c r="D6" s="107"/>
      <c r="E6" s="87">
        <v>130046357</v>
      </c>
    </row>
    <row r="7" spans="1:5" ht="15.75">
      <c r="A7" s="121" t="str">
        <f>CONCATENATE("New Improvements for ",E1-1,"")</f>
        <v>New Improvements for 2014</v>
      </c>
      <c r="B7" s="107"/>
      <c r="C7" s="107"/>
      <c r="D7" s="107"/>
      <c r="E7" s="122">
        <v>1252937</v>
      </c>
    </row>
    <row r="8" spans="1:5" ht="15.75">
      <c r="A8" s="121" t="str">
        <f>CONCATENATE("Personal Property excluding oil, gas, and mobile homes- ",E1-1,"")</f>
        <v>Personal Property excluding oil, gas, and mobile homes- 2014</v>
      </c>
      <c r="B8" s="107"/>
      <c r="C8" s="107"/>
      <c r="D8" s="107"/>
      <c r="E8" s="122">
        <v>4763198</v>
      </c>
    </row>
    <row r="9" spans="1:5" ht="15.75">
      <c r="A9" s="121" t="str">
        <f>CONCATENATE("Property that has changed in use for ",E1-1,"")</f>
        <v>Property that has changed in use for 2014</v>
      </c>
      <c r="B9" s="107"/>
      <c r="C9" s="107"/>
      <c r="D9" s="107"/>
      <c r="E9" s="122">
        <v>659096</v>
      </c>
    </row>
    <row r="10" spans="1:5" ht="15.75">
      <c r="A10" s="121" t="str">
        <f>CONCATENATE("Personal Property excluding oil, gas, and mobile homes- ",E1-2,"")</f>
        <v>Personal Property excluding oil, gas, and mobile homes- 2013</v>
      </c>
      <c r="B10" s="107"/>
      <c r="C10" s="107"/>
      <c r="D10" s="107"/>
      <c r="E10" s="122">
        <v>5959151</v>
      </c>
    </row>
    <row r="11" spans="1:5" ht="15.75">
      <c r="A11" s="121" t="str">
        <f>CONCATENATE("Gross earnings (intangible) tax esitmate for ",E1,"")</f>
        <v>Gross earnings (intangible) tax esitmate for 2015</v>
      </c>
      <c r="B11" s="107"/>
      <c r="C11" s="107"/>
      <c r="D11" s="107"/>
      <c r="E11" s="87">
        <v>24674</v>
      </c>
    </row>
    <row r="12" spans="1:5" ht="15.75">
      <c r="A12" s="123" t="s">
        <v>313</v>
      </c>
      <c r="B12" s="107"/>
      <c r="C12" s="107"/>
      <c r="D12" s="90"/>
      <c r="E12" s="87">
        <v>2048266</v>
      </c>
    </row>
    <row r="13" spans="1:5" ht="15.75">
      <c r="A13" s="62"/>
      <c r="B13" s="62"/>
      <c r="C13" s="62"/>
      <c r="D13" s="76"/>
      <c r="E13" s="76"/>
    </row>
    <row r="14" spans="1:5" ht="15.75">
      <c r="A14" s="99" t="str">
        <f>CONCATENATE("From the County Treasurer's ",E1," Budget Information:")</f>
        <v>From the County Treasurer's 2015 Budget Information:</v>
      </c>
      <c r="B14" s="101"/>
      <c r="C14" s="101"/>
      <c r="D14" s="120"/>
      <c r="E14" s="120"/>
    </row>
    <row r="15" spans="1:5" ht="15.75">
      <c r="A15" s="88" t="s">
        <v>130</v>
      </c>
      <c r="B15" s="89"/>
      <c r="C15" s="89"/>
      <c r="D15" s="124"/>
      <c r="E15" s="87">
        <v>586081</v>
      </c>
    </row>
    <row r="16" spans="1:5" ht="15.75">
      <c r="A16" s="121" t="s">
        <v>131</v>
      </c>
      <c r="B16" s="107"/>
      <c r="C16" s="107"/>
      <c r="D16" s="125"/>
      <c r="E16" s="87">
        <v>8521</v>
      </c>
    </row>
    <row r="17" spans="1:5" ht="15.75">
      <c r="A17" s="121" t="s">
        <v>244</v>
      </c>
      <c r="B17" s="107"/>
      <c r="C17" s="107"/>
      <c r="D17" s="125"/>
      <c r="E17" s="87">
        <v>35000</v>
      </c>
    </row>
    <row r="18" spans="1:5" ht="15.75">
      <c r="A18" s="121" t="s">
        <v>314</v>
      </c>
      <c r="B18" s="107"/>
      <c r="C18" s="107"/>
      <c r="D18" s="126"/>
      <c r="E18" s="87"/>
    </row>
    <row r="19" spans="1:5" ht="15.75">
      <c r="A19" s="121" t="s">
        <v>315</v>
      </c>
      <c r="B19" s="107"/>
      <c r="C19" s="107"/>
      <c r="D19" s="126"/>
      <c r="E19" s="87"/>
    </row>
    <row r="20" spans="1:5" ht="15.75">
      <c r="A20" s="62"/>
      <c r="B20" s="62"/>
      <c r="C20" s="62"/>
      <c r="D20" s="62"/>
      <c r="E20" s="62"/>
    </row>
    <row r="21" spans="1:5" ht="15.75">
      <c r="A21" s="127" t="s">
        <v>316</v>
      </c>
      <c r="B21" s="62"/>
      <c r="C21" s="62"/>
      <c r="D21" s="62"/>
      <c r="E21" s="62"/>
    </row>
    <row r="22" spans="1:5" ht="15.75">
      <c r="A22" s="661" t="str">
        <f>CONCATENATE("Actual Delinquency for ",E1-3," Tax - (rate .01213 = 1.213%, key in 1.2)")</f>
        <v>Actual Delinquency for 2012 Tax - (rate .01213 = 1.213%, key in 1.2)</v>
      </c>
      <c r="B22" s="89"/>
      <c r="C22" s="89"/>
      <c r="D22" s="94"/>
      <c r="E22" s="660">
        <v>0.344</v>
      </c>
    </row>
    <row r="23" spans="1:5" ht="15.75">
      <c r="A23" s="664" t="s">
        <v>807</v>
      </c>
      <c r="B23" s="89"/>
      <c r="C23" s="89"/>
      <c r="D23" s="89"/>
      <c r="E23" s="663">
        <v>0</v>
      </c>
    </row>
    <row r="24" spans="1:5" ht="15.75">
      <c r="A24" s="59" t="s">
        <v>317</v>
      </c>
      <c r="B24" s="59"/>
      <c r="C24" s="59"/>
      <c r="D24" s="59"/>
      <c r="E24" s="59"/>
    </row>
    <row r="25" spans="1:5" ht="15.75">
      <c r="A25" s="129"/>
      <c r="B25" s="129"/>
      <c r="C25" s="129"/>
      <c r="D25" s="129"/>
      <c r="E25" s="129"/>
    </row>
    <row r="26" spans="1:5" ht="15.75">
      <c r="A26" s="784" t="str">
        <f>CONCATENATE("From the ",E1-2," Budget Certificate Page")</f>
        <v>From the 2013 Budget Certificate Page</v>
      </c>
      <c r="B26" s="785"/>
      <c r="C26" s="129"/>
      <c r="D26" s="129"/>
      <c r="E26" s="129"/>
    </row>
    <row r="27" spans="1:5" ht="15.75">
      <c r="A27" s="130"/>
      <c r="B27" s="786" t="str">
        <f>CONCATENATE("",E1-2,"                         Expenditure Amt Budget Authority")</f>
        <v>2013                         Expenditure Amt Budget Authority</v>
      </c>
      <c r="C27" s="789" t="str">
        <f>CONCATENATE("Note: If the ",E1-2," budget was amended, then the")</f>
        <v>Note: If the 2013 budget was amended, then the</v>
      </c>
      <c r="D27" s="790"/>
      <c r="E27" s="790"/>
    </row>
    <row r="28" spans="1:5" ht="15.75">
      <c r="A28" s="131" t="s">
        <v>68</v>
      </c>
      <c r="B28" s="787"/>
      <c r="C28" s="132" t="s">
        <v>69</v>
      </c>
      <c r="D28" s="133"/>
      <c r="E28" s="133"/>
    </row>
    <row r="29" spans="1:5" ht="15.75">
      <c r="A29" s="134"/>
      <c r="B29" s="788"/>
      <c r="C29" s="132" t="s">
        <v>70</v>
      </c>
      <c r="D29" s="133"/>
      <c r="E29" s="133"/>
    </row>
    <row r="30" spans="1:5" ht="15.75">
      <c r="A30" s="135" t="str">
        <f>inputPrYr!B16</f>
        <v>General</v>
      </c>
      <c r="B30" s="136">
        <v>2776801</v>
      </c>
      <c r="C30" s="132"/>
      <c r="D30" s="133"/>
      <c r="E30" s="133"/>
    </row>
    <row r="31" spans="1:5" ht="15.75">
      <c r="A31" s="135" t="str">
        <f>inputPrYr!B17</f>
        <v>Debt Service</v>
      </c>
      <c r="B31" s="80">
        <v>10000</v>
      </c>
      <c r="C31" s="132"/>
      <c r="D31" s="133"/>
      <c r="E31" s="133"/>
    </row>
    <row r="32" spans="1:5" ht="15.75">
      <c r="A32" s="135" t="str">
        <f>inputPrYr!B18</f>
        <v>Road &amp; Bridge</v>
      </c>
      <c r="B32" s="80">
        <v>2640461</v>
      </c>
      <c r="C32" s="129"/>
      <c r="D32" s="129"/>
      <c r="E32" s="129"/>
    </row>
    <row r="33" spans="1:5" ht="15.75">
      <c r="A33" s="135" t="str">
        <f>inputPrYr!B19</f>
        <v>Health Nurse</v>
      </c>
      <c r="B33" s="80">
        <v>545927</v>
      </c>
      <c r="C33" s="129"/>
      <c r="D33" s="129"/>
      <c r="E33" s="129"/>
    </row>
    <row r="34" spans="1:5" ht="15.75">
      <c r="A34" s="135" t="str">
        <f>inputPrYr!B20</f>
        <v>Fair</v>
      </c>
      <c r="B34" s="80">
        <v>30217</v>
      </c>
      <c r="C34" s="129"/>
      <c r="D34" s="129"/>
      <c r="E34" s="129"/>
    </row>
    <row r="35" spans="1:5" ht="15.75">
      <c r="A35" s="135" t="str">
        <f>inputPrYr!B21</f>
        <v>4-H Building</v>
      </c>
      <c r="B35" s="80">
        <v>7555</v>
      </c>
      <c r="C35" s="129"/>
      <c r="D35" s="129"/>
      <c r="E35" s="129"/>
    </row>
    <row r="36" spans="1:5" ht="15.75">
      <c r="A36" s="135" t="str">
        <f>inputPrYr!B22</f>
        <v>Recycling/HHW</v>
      </c>
      <c r="B36" s="80">
        <v>65761</v>
      </c>
      <c r="C36" s="129"/>
      <c r="D36" s="129"/>
      <c r="E36" s="129"/>
    </row>
    <row r="37" spans="1:5" ht="15.75">
      <c r="A37" s="135" t="str">
        <f>inputPrYr!B23</f>
        <v>Agency on Aging</v>
      </c>
      <c r="B37" s="80">
        <v>223336</v>
      </c>
      <c r="C37" s="129"/>
      <c r="D37" s="129"/>
      <c r="E37" s="129"/>
    </row>
    <row r="38" spans="1:5" ht="15.75">
      <c r="A38" s="135" t="str">
        <f>inputPrYr!B24</f>
        <v>Soil Conservation</v>
      </c>
      <c r="B38" s="80">
        <v>23481</v>
      </c>
      <c r="C38" s="129"/>
      <c r="D38" s="129"/>
      <c r="E38" s="129"/>
    </row>
    <row r="39" spans="1:5" ht="15.75">
      <c r="A39" s="135" t="str">
        <f>inputPrYr!B25</f>
        <v>Historical</v>
      </c>
      <c r="B39" s="80">
        <v>12251</v>
      </c>
      <c r="C39" s="129"/>
      <c r="D39" s="129"/>
      <c r="E39" s="129"/>
    </row>
    <row r="40" spans="1:5" ht="15.75">
      <c r="A40" s="135" t="str">
        <f>inputPrYr!B26</f>
        <v>Appraiser</v>
      </c>
      <c r="B40" s="80">
        <v>173686</v>
      </c>
      <c r="C40" s="129"/>
      <c r="D40" s="129"/>
      <c r="E40" s="129"/>
    </row>
    <row r="41" spans="1:5" ht="15.75">
      <c r="A41" s="135" t="str">
        <f>inputPrYr!B27</f>
        <v>Noxious Weed</v>
      </c>
      <c r="B41" s="80">
        <v>92194</v>
      </c>
      <c r="C41" s="129"/>
      <c r="D41" s="129"/>
      <c r="E41" s="129"/>
    </row>
    <row r="42" spans="1:5" ht="15.75">
      <c r="A42" s="135" t="str">
        <f>inputPrYr!B28</f>
        <v>Election</v>
      </c>
      <c r="B42" s="80">
        <v>90542</v>
      </c>
      <c r="C42" s="129"/>
      <c r="D42" s="129"/>
      <c r="E42" s="129"/>
    </row>
    <row r="43" spans="1:5" ht="15.75">
      <c r="A43" s="135" t="str">
        <f>inputPrYr!B29</f>
        <v>Extension Council</v>
      </c>
      <c r="B43" s="80">
        <v>158833</v>
      </c>
      <c r="C43" s="129"/>
      <c r="D43" s="129"/>
      <c r="E43" s="129"/>
    </row>
    <row r="44" spans="1:5" ht="15.75">
      <c r="A44" s="135" t="str">
        <f>inputPrYr!B30</f>
        <v>Solid Waste</v>
      </c>
      <c r="B44" s="80">
        <v>378870</v>
      </c>
      <c r="C44" s="129"/>
      <c r="D44" s="129"/>
      <c r="E44" s="129"/>
    </row>
    <row r="45" spans="1:5" ht="15.75">
      <c r="A45" s="135" t="str">
        <f>inputPrYr!B31</f>
        <v>Ambulance</v>
      </c>
      <c r="B45" s="80">
        <v>340377</v>
      </c>
      <c r="C45" s="129"/>
      <c r="D45" s="129"/>
      <c r="E45" s="129"/>
    </row>
    <row r="46" spans="1:5" ht="15.75">
      <c r="A46" s="135" t="str">
        <f>inputPrYr!B32</f>
        <v>Men Health Ret Workshop</v>
      </c>
      <c r="B46" s="80">
        <v>55513</v>
      </c>
      <c r="C46" s="129"/>
      <c r="D46" s="129"/>
      <c r="E46" s="129"/>
    </row>
    <row r="47" spans="1:5" ht="15.75">
      <c r="A47" s="135" t="str">
        <f>inputPrYr!B33</f>
        <v>Pawnee Mental Health </v>
      </c>
      <c r="B47" s="80">
        <v>82417</v>
      </c>
      <c r="C47" s="129"/>
      <c r="D47" s="129"/>
      <c r="E47" s="129"/>
    </row>
    <row r="48" spans="1:5" ht="15.75">
      <c r="A48" s="135" t="str">
        <f>inputPrYr!B34</f>
        <v>Emp Ben (Health Insurance)</v>
      </c>
      <c r="B48" s="80">
        <v>1223980</v>
      </c>
      <c r="C48" s="129"/>
      <c r="D48" s="129"/>
      <c r="E48" s="129"/>
    </row>
    <row r="49" spans="1:5" ht="15.75">
      <c r="A49" s="135" t="str">
        <f>inputPrYr!B35</f>
        <v>Unemployment</v>
      </c>
      <c r="B49" s="80">
        <v>4045</v>
      </c>
      <c r="C49" s="129"/>
      <c r="D49" s="129"/>
      <c r="E49" s="129"/>
    </row>
    <row r="50" spans="1:5" ht="15.75">
      <c r="A50" s="135" t="str">
        <f>inputPrYr!B36</f>
        <v>Liability </v>
      </c>
      <c r="B50" s="80">
        <v>81251</v>
      </c>
      <c r="C50" s="129"/>
      <c r="D50" s="129"/>
      <c r="E50" s="129"/>
    </row>
    <row r="51" spans="1:5" ht="15.75">
      <c r="A51" s="135" t="str">
        <f>inputPrYr!B37</f>
        <v>Employee Retirement</v>
      </c>
      <c r="B51" s="80">
        <v>330087</v>
      </c>
      <c r="C51" s="129"/>
      <c r="D51" s="129"/>
      <c r="E51" s="129"/>
    </row>
    <row r="52" spans="1:5" ht="15.75">
      <c r="A52" s="135" t="str">
        <f>inputPrYr!B38</f>
        <v>Workers Compensation</v>
      </c>
      <c r="B52" s="80">
        <v>96271</v>
      </c>
      <c r="C52" s="129"/>
      <c r="D52" s="129"/>
      <c r="E52" s="129"/>
    </row>
    <row r="53" spans="1:5" ht="15.75">
      <c r="A53" s="135" t="str">
        <f>inputPrYr!B39</f>
        <v>Social Security</v>
      </c>
      <c r="B53" s="80">
        <v>269634</v>
      </c>
      <c r="C53" s="129"/>
      <c r="D53" s="129"/>
      <c r="E53" s="129"/>
    </row>
    <row r="54" spans="1:5" ht="15.75">
      <c r="A54" s="135">
        <f>inputPrYr!B40</f>
        <v>0</v>
      </c>
      <c r="B54" s="80"/>
      <c r="C54" s="129"/>
      <c r="D54" s="129"/>
      <c r="E54" s="129"/>
    </row>
    <row r="55" spans="1:5" ht="15.75">
      <c r="A55" s="135" t="str">
        <f>inputPrYr!B43</f>
        <v>Special Park &amp; Rec</v>
      </c>
      <c r="B55" s="80">
        <v>3000</v>
      </c>
      <c r="C55" s="129"/>
      <c r="D55" s="129"/>
      <c r="E55" s="129"/>
    </row>
    <row r="56" spans="1:5" ht="15.75">
      <c r="A56" s="135" t="str">
        <f>inputPrYr!B44</f>
        <v>Special Alcohol</v>
      </c>
      <c r="B56" s="80">
        <v>10000</v>
      </c>
      <c r="C56" s="129"/>
      <c r="D56" s="129"/>
      <c r="E56" s="129"/>
    </row>
    <row r="57" spans="1:5" ht="15.75">
      <c r="A57" s="135" t="str">
        <f>inputPrYr!B45</f>
        <v>Aging - KDOT</v>
      </c>
      <c r="B57" s="80">
        <v>149500</v>
      </c>
      <c r="C57" s="129"/>
      <c r="D57" s="129"/>
      <c r="E57" s="129"/>
    </row>
    <row r="58" spans="1:5" ht="15.75">
      <c r="A58" s="135" t="str">
        <f>inputPrYr!B46</f>
        <v>Aging - Kitchen Equip</v>
      </c>
      <c r="B58" s="80"/>
      <c r="C58" s="129"/>
      <c r="D58" s="129"/>
      <c r="E58" s="129"/>
    </row>
    <row r="59" spans="1:5" ht="15.75">
      <c r="A59" s="135" t="str">
        <f>inputPrYr!B47</f>
        <v>Health Cap Outlay</v>
      </c>
      <c r="B59" s="80">
        <v>20000</v>
      </c>
      <c r="C59" s="129"/>
      <c r="D59" s="129"/>
      <c r="E59" s="129"/>
    </row>
    <row r="60" spans="1:5" ht="15.75">
      <c r="A60" s="135" t="str">
        <f>inputPrYr!B48</f>
        <v>911 Local</v>
      </c>
      <c r="B60" s="80">
        <v>75000</v>
      </c>
      <c r="C60" s="129"/>
      <c r="D60" s="129"/>
      <c r="E60" s="129"/>
    </row>
    <row r="61" spans="1:5" ht="15.75">
      <c r="A61" s="135" t="str">
        <f>inputPrYr!B49</f>
        <v>911 Special</v>
      </c>
      <c r="B61" s="80">
        <v>65000</v>
      </c>
      <c r="C61" s="129"/>
      <c r="D61" s="129"/>
      <c r="E61" s="129"/>
    </row>
    <row r="62" spans="1:5" ht="15.75">
      <c r="A62" s="135" t="str">
        <f>inputPrYr!B50</f>
        <v>EM Capital Outlay</v>
      </c>
      <c r="B62" s="80">
        <v>0</v>
      </c>
      <c r="C62" s="129"/>
      <c r="D62" s="129"/>
      <c r="E62" s="129"/>
    </row>
    <row r="63" spans="1:5" ht="15.75">
      <c r="A63" s="135" t="str">
        <f>inputPrYr!B51</f>
        <v>Title III C</v>
      </c>
      <c r="B63" s="80">
        <v>250000</v>
      </c>
      <c r="C63" s="129"/>
      <c r="D63" s="129"/>
      <c r="E63" s="129"/>
    </row>
    <row r="64" spans="1:5" ht="15.75">
      <c r="A64" s="135" t="str">
        <f>inputPrYr!B52</f>
        <v>Special Machinery</v>
      </c>
      <c r="B64" s="80">
        <v>500000</v>
      </c>
      <c r="C64" s="129"/>
      <c r="D64" s="129"/>
      <c r="E64" s="129"/>
    </row>
    <row r="65" spans="1:5" ht="15.75">
      <c r="A65" s="135" t="str">
        <f>inputPrYr!B53</f>
        <v>Motor Vehicle Operating</v>
      </c>
      <c r="B65" s="80">
        <v>130500</v>
      </c>
      <c r="C65" s="129"/>
      <c r="D65" s="129"/>
      <c r="E65" s="129"/>
    </row>
    <row r="66" spans="1:5" ht="15.75">
      <c r="A66" s="135" t="str">
        <f>inputPrYr!B54</f>
        <v>Election Equipment Reserve</v>
      </c>
      <c r="B66" s="80">
        <v>10000</v>
      </c>
      <c r="C66" s="129"/>
      <c r="D66" s="129"/>
      <c r="E66" s="129"/>
    </row>
    <row r="67" spans="1:5" ht="15.75">
      <c r="A67" s="135" t="str">
        <f>inputPrYr!B55</f>
        <v>Nox Weed Capital Outlay</v>
      </c>
      <c r="B67" s="80">
        <v>0</v>
      </c>
      <c r="C67" s="129"/>
      <c r="D67" s="129"/>
      <c r="E67" s="129"/>
    </row>
    <row r="68" spans="1:5" ht="15.75">
      <c r="A68" s="135" t="str">
        <f>inputPrYr!B56</f>
        <v>Appraiser Capital Outlay</v>
      </c>
      <c r="B68" s="80">
        <v>0</v>
      </c>
      <c r="C68" s="129"/>
      <c r="D68" s="129"/>
      <c r="E68" s="129"/>
    </row>
    <row r="69" spans="1:5" ht="15.75">
      <c r="A69" s="135" t="str">
        <f>inputPrYr!B57</f>
        <v>Health Dept Building </v>
      </c>
      <c r="B69" s="80">
        <v>10000</v>
      </c>
      <c r="C69" s="129"/>
      <c r="D69" s="129"/>
      <c r="E69" s="129"/>
    </row>
    <row r="70" spans="1:5" ht="15.75">
      <c r="A70" s="135" t="str">
        <f>inputPrYr!B58</f>
        <v>Road &amp; Bridge Machinery</v>
      </c>
      <c r="B70" s="80">
        <v>100000</v>
      </c>
      <c r="C70" s="129"/>
      <c r="D70" s="129"/>
      <c r="E70" s="129"/>
    </row>
  </sheetData>
  <sheetProtection sheet="1"/>
  <mergeCells count="4">
    <mergeCell ref="A3:E3"/>
    <mergeCell ref="A26:B26"/>
    <mergeCell ref="B27:B29"/>
    <mergeCell ref="C27:E27"/>
  </mergeCells>
  <printOptions/>
  <pageMargins left="0.75" right="0.75" top="1" bottom="1" header="0.5" footer="0.5"/>
  <pageSetup horizontalDpi="600" verticalDpi="600" orientation="portrait" r:id="rId1"/>
</worksheet>
</file>

<file path=xl/worksheets/sheet30.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B12" sqref="B12"/>
    </sheetView>
  </sheetViews>
  <sheetFormatPr defaultColWidth="8.796875" defaultRowHeight="15"/>
  <cols>
    <col min="1" max="1" width="2.3984375" style="50" customWidth="1"/>
    <col min="2" max="2" width="31.09765625" style="50" customWidth="1"/>
    <col min="3" max="4" width="15.796875" style="50" customWidth="1"/>
    <col min="5" max="5" width="16.09765625" style="50" customWidth="1"/>
    <col min="6" max="16384" width="8.8984375" style="50" customWidth="1"/>
  </cols>
  <sheetData>
    <row r="1" spans="2:5" ht="15.75">
      <c r="B1" s="201" t="str">
        <f>(inputPrYr!C2)</f>
        <v>Marshall County</v>
      </c>
      <c r="C1" s="62"/>
      <c r="D1" s="62"/>
      <c r="E1" s="255">
        <f>inputPrYr!C4</f>
        <v>2015</v>
      </c>
    </row>
    <row r="2" spans="2:5" ht="15.75">
      <c r="B2" s="62"/>
      <c r="C2" s="62"/>
      <c r="D2" s="62"/>
      <c r="E2" s="208"/>
    </row>
    <row r="3" spans="2:5" ht="15.75">
      <c r="B3" s="127" t="s">
        <v>240</v>
      </c>
      <c r="C3" s="302"/>
      <c r="D3" s="302"/>
      <c r="E3" s="303"/>
    </row>
    <row r="4" spans="2:5" ht="15.75">
      <c r="B4" s="62"/>
      <c r="C4" s="296"/>
      <c r="D4" s="296"/>
      <c r="E4" s="296"/>
    </row>
    <row r="5" spans="2:5" ht="15.75">
      <c r="B5" s="61" t="s">
        <v>157</v>
      </c>
      <c r="C5" s="292" t="str">
        <f>general!C4</f>
        <v>Prior Year </v>
      </c>
      <c r="D5" s="188" t="str">
        <f>general!D4</f>
        <v>Current Year </v>
      </c>
      <c r="E5" s="188" t="str">
        <f>general!E4</f>
        <v>Proposed Budget </v>
      </c>
    </row>
    <row r="6" spans="2:5" ht="15.75">
      <c r="B6" s="447" t="str">
        <f>inputPrYr!B45</f>
        <v>Aging - KDOT</v>
      </c>
      <c r="C6" s="284" t="str">
        <f>general!C5</f>
        <v>Actual for 2013</v>
      </c>
      <c r="D6" s="284" t="str">
        <f>general!D5</f>
        <v>Estimate for 2014</v>
      </c>
      <c r="E6" s="271" t="str">
        <f>general!E5</f>
        <v>Year for 2015</v>
      </c>
    </row>
    <row r="7" spans="2:5" ht="15.75">
      <c r="B7" s="123" t="s">
        <v>272</v>
      </c>
      <c r="C7" s="87"/>
      <c r="D7" s="234">
        <f>C30</f>
        <v>9235</v>
      </c>
      <c r="E7" s="234">
        <f>D30</f>
        <v>9235</v>
      </c>
    </row>
    <row r="8" spans="2:5" ht="15.75">
      <c r="B8" s="305" t="s">
        <v>274</v>
      </c>
      <c r="C8" s="83"/>
      <c r="D8" s="83"/>
      <c r="E8" s="83"/>
    </row>
    <row r="9" spans="2:5" ht="15.75">
      <c r="B9" s="287" t="s">
        <v>1106</v>
      </c>
      <c r="C9" s="87">
        <v>12179</v>
      </c>
      <c r="D9" s="87"/>
      <c r="E9" s="87"/>
    </row>
    <row r="10" spans="2:5" ht="15.75">
      <c r="B10" s="287" t="s">
        <v>72</v>
      </c>
      <c r="C10" s="87">
        <v>96021</v>
      </c>
      <c r="D10" s="87"/>
      <c r="E10" s="87"/>
    </row>
    <row r="11" spans="2:5" ht="15.75">
      <c r="B11" s="287" t="s">
        <v>1096</v>
      </c>
      <c r="C11" s="87">
        <v>16986</v>
      </c>
      <c r="D11" s="87"/>
      <c r="E11" s="87"/>
    </row>
    <row r="12" spans="2:5" ht="15.75">
      <c r="B12" s="277" t="s">
        <v>1109</v>
      </c>
      <c r="C12" s="87"/>
      <c r="D12" s="87"/>
      <c r="E12" s="87"/>
    </row>
    <row r="13" spans="2:5" ht="15.75">
      <c r="B13" s="278" t="s">
        <v>72</v>
      </c>
      <c r="C13" s="87"/>
      <c r="D13" s="273"/>
      <c r="E13" s="273"/>
    </row>
    <row r="14" spans="2:5" ht="15.75">
      <c r="B14" s="278" t="s">
        <v>654</v>
      </c>
      <c r="C14" s="443">
        <f>IF(C15*0.1&lt;C13,"Exceed 10% Rule","")</f>
      </c>
      <c r="D14" s="279">
        <f>IF(D15*0.1&lt;D13,"Exceed 10% Rule","")</f>
      </c>
      <c r="E14" s="279">
        <f>IF(E15*0.1&lt;E13,"Exceed 10% Rule","")</f>
      </c>
    </row>
    <row r="15" spans="2:5" ht="15.75">
      <c r="B15" s="280" t="s">
        <v>166</v>
      </c>
      <c r="C15" s="321">
        <f>SUM(C9:C13)</f>
        <v>125186</v>
      </c>
      <c r="D15" s="321">
        <f>SUM(D9:D13)</f>
        <v>0</v>
      </c>
      <c r="E15" s="321">
        <f>SUM(E9:E13)</f>
        <v>0</v>
      </c>
    </row>
    <row r="16" spans="2:5" ht="15.75">
      <c r="B16" s="280" t="s">
        <v>167</v>
      </c>
      <c r="C16" s="321">
        <f>C15+C7</f>
        <v>125186</v>
      </c>
      <c r="D16" s="321">
        <f>D15+D7</f>
        <v>9235</v>
      </c>
      <c r="E16" s="321">
        <f>E15+E7</f>
        <v>9235</v>
      </c>
    </row>
    <row r="17" spans="2:5" ht="15.75">
      <c r="B17" s="123" t="s">
        <v>170</v>
      </c>
      <c r="C17" s="234"/>
      <c r="D17" s="234"/>
      <c r="E17" s="234"/>
    </row>
    <row r="18" spans="2:5" ht="15.75">
      <c r="B18" s="287" t="s">
        <v>1084</v>
      </c>
      <c r="C18" s="87">
        <v>115951</v>
      </c>
      <c r="D18" s="87"/>
      <c r="E18" s="87"/>
    </row>
    <row r="19" spans="2:5" ht="15.75">
      <c r="B19" s="287"/>
      <c r="C19" s="87"/>
      <c r="D19" s="87"/>
      <c r="E19" s="87"/>
    </row>
    <row r="20" spans="2:5" ht="15.75">
      <c r="B20" s="287"/>
      <c r="C20" s="87"/>
      <c r="D20" s="87"/>
      <c r="E20" s="87"/>
    </row>
    <row r="21" spans="2:5" ht="15.75">
      <c r="B21" s="287"/>
      <c r="C21" s="87"/>
      <c r="D21" s="87"/>
      <c r="E21" s="87"/>
    </row>
    <row r="22" spans="2:5" ht="15.75">
      <c r="B22" s="287"/>
      <c r="C22" s="87"/>
      <c r="D22" s="87"/>
      <c r="E22" s="87"/>
    </row>
    <row r="23" spans="2:5" ht="15.75">
      <c r="B23" s="287"/>
      <c r="C23" s="87"/>
      <c r="D23" s="87"/>
      <c r="E23" s="87"/>
    </row>
    <row r="24" spans="2:5" ht="15.75">
      <c r="B24" s="287"/>
      <c r="C24" s="87"/>
      <c r="D24" s="87"/>
      <c r="E24" s="87"/>
    </row>
    <row r="25" spans="2:5" ht="15.75">
      <c r="B25" s="287"/>
      <c r="C25" s="87"/>
      <c r="D25" s="87"/>
      <c r="E25" s="87"/>
    </row>
    <row r="26" spans="2:5" ht="15.75">
      <c r="B26" s="287"/>
      <c r="C26" s="87"/>
      <c r="D26" s="87"/>
      <c r="E26" s="87"/>
    </row>
    <row r="27" spans="2:5" ht="15.75">
      <c r="B27" s="278" t="s">
        <v>72</v>
      </c>
      <c r="C27" s="87"/>
      <c r="D27" s="273"/>
      <c r="E27" s="273"/>
    </row>
    <row r="28" spans="2:5" ht="15.75">
      <c r="B28" s="278" t="s">
        <v>653</v>
      </c>
      <c r="C28" s="443">
        <f>IF(C29*0.1&lt;C27,"Exceed 10% Rule","")</f>
      </c>
      <c r="D28" s="279">
        <f>IF(D29*0.1&lt;D27,"Exceed 10% Rule","")</f>
      </c>
      <c r="E28" s="279">
        <f>IF(E29*0.1&lt;E27,"Exceed 10% Rule","")</f>
      </c>
    </row>
    <row r="29" spans="2:5" ht="15.75">
      <c r="B29" s="280" t="s">
        <v>171</v>
      </c>
      <c r="C29" s="321">
        <f>SUM(C18:C27)</f>
        <v>115951</v>
      </c>
      <c r="D29" s="321">
        <f>SUM(D18:D27)</f>
        <v>0</v>
      </c>
      <c r="E29" s="321">
        <f>SUM(E18:E27)</f>
        <v>0</v>
      </c>
    </row>
    <row r="30" spans="2:5" ht="15.75">
      <c r="B30" s="123" t="s">
        <v>273</v>
      </c>
      <c r="C30" s="95">
        <f>C16-C29</f>
        <v>9235</v>
      </c>
      <c r="D30" s="95">
        <f>D16-D29</f>
        <v>9235</v>
      </c>
      <c r="E30" s="95">
        <f>E16-E29</f>
        <v>9235</v>
      </c>
    </row>
    <row r="31" spans="2:5" ht="15.75">
      <c r="B31" s="270" t="str">
        <f>CONCATENATE("",E1-2,"/",E1-1,"/",E1," Budget Authority Amount:")</f>
        <v>2013/2014/2015 Budget Authority Amount:</v>
      </c>
      <c r="C31" s="308">
        <f>inputOth!B57</f>
        <v>149500</v>
      </c>
      <c r="D31" s="308">
        <f>inputPrYr!D45</f>
        <v>93750</v>
      </c>
      <c r="E31" s="697">
        <f>E29</f>
        <v>0</v>
      </c>
    </row>
    <row r="32" spans="2:5" ht="15.75">
      <c r="B32" s="256"/>
      <c r="C32" s="290">
        <f>IF(C29&gt;C31,"See Tab A","")</f>
      </c>
      <c r="D32" s="290">
        <f>IF(D29&gt;D31,"See Tab C","")</f>
      </c>
      <c r="E32" s="698">
        <f>IF(E30&lt;0,"See Tab E","")</f>
      </c>
    </row>
    <row r="33" spans="2:5" ht="15.75">
      <c r="B33" s="256"/>
      <c r="C33" s="290">
        <f>IF(C30&lt;0,"See Tab B","")</f>
      </c>
      <c r="D33" s="290">
        <f>IF(D30&lt;0,"See Tab D","")</f>
      </c>
      <c r="E33" s="120"/>
    </row>
    <row r="34" spans="2:5" ht="15.75">
      <c r="B34" s="62"/>
      <c r="C34" s="120"/>
      <c r="D34" s="120"/>
      <c r="E34" s="120"/>
    </row>
    <row r="35" spans="2:5" ht="15.75">
      <c r="B35" s="61" t="s">
        <v>157</v>
      </c>
      <c r="C35" s="296"/>
      <c r="D35" s="296"/>
      <c r="E35" s="296"/>
    </row>
    <row r="36" spans="2:5" ht="15.75">
      <c r="B36" s="62"/>
      <c r="C36" s="292" t="str">
        <f aca="true" t="shared" si="0" ref="C36:E37">C5</f>
        <v>Prior Year </v>
      </c>
      <c r="D36" s="188" t="str">
        <f t="shared" si="0"/>
        <v>Current Year </v>
      </c>
      <c r="E36" s="188" t="str">
        <f t="shared" si="0"/>
        <v>Proposed Budget </v>
      </c>
    </row>
    <row r="37" spans="2:5" ht="15.75">
      <c r="B37" s="446" t="str">
        <f>inputPrYr!B46</f>
        <v>Aging - Kitchen Equip</v>
      </c>
      <c r="C37" s="284" t="str">
        <f t="shared" si="0"/>
        <v>Actual for 2013</v>
      </c>
      <c r="D37" s="284" t="str">
        <f t="shared" si="0"/>
        <v>Estimate for 2014</v>
      </c>
      <c r="E37" s="284" t="str">
        <f t="shared" si="0"/>
        <v>Year for 2015</v>
      </c>
    </row>
    <row r="38" spans="2:5" ht="15.75">
      <c r="B38" s="123" t="s">
        <v>272</v>
      </c>
      <c r="C38" s="87"/>
      <c r="D38" s="234">
        <f>C61</f>
        <v>0</v>
      </c>
      <c r="E38" s="234">
        <f>D61</f>
        <v>0</v>
      </c>
    </row>
    <row r="39" spans="2:5" ht="15.75">
      <c r="B39" s="123" t="s">
        <v>274</v>
      </c>
      <c r="C39" s="83"/>
      <c r="D39" s="83"/>
      <c r="E39" s="83"/>
    </row>
    <row r="40" spans="2:5" ht="15.75">
      <c r="B40" s="287"/>
      <c r="C40" s="87"/>
      <c r="D40" s="87"/>
      <c r="E40" s="87"/>
    </row>
    <row r="41" spans="2:5" ht="15.75">
      <c r="B41" s="287"/>
      <c r="C41" s="87"/>
      <c r="D41" s="87"/>
      <c r="E41" s="87"/>
    </row>
    <row r="42" spans="2:5" ht="15.75">
      <c r="B42" s="287"/>
      <c r="C42" s="87"/>
      <c r="D42" s="87"/>
      <c r="E42" s="87"/>
    </row>
    <row r="43" spans="2:5" ht="15.75">
      <c r="B43" s="277" t="s">
        <v>165</v>
      </c>
      <c r="C43" s="87"/>
      <c r="D43" s="87"/>
      <c r="E43" s="87"/>
    </row>
    <row r="44" spans="2:5" ht="15.75">
      <c r="B44" s="278" t="s">
        <v>72</v>
      </c>
      <c r="C44" s="87"/>
      <c r="D44" s="273"/>
      <c r="E44" s="273"/>
    </row>
    <row r="45" spans="2:5" ht="15.75">
      <c r="B45" s="278" t="s">
        <v>654</v>
      </c>
      <c r="C45" s="443">
        <f>IF(C46*0.1&lt;C44,"Exceed 10% Rule","")</f>
      </c>
      <c r="D45" s="279">
        <f>IF(D46*0.1&lt;D44,"Exceed 10% Rule","")</f>
      </c>
      <c r="E45" s="279">
        <f>IF(E46*0.1&lt;E44,"Exceed 10% Rule","")</f>
      </c>
    </row>
    <row r="46" spans="2:5" ht="15.75">
      <c r="B46" s="280" t="s">
        <v>166</v>
      </c>
      <c r="C46" s="321">
        <f>SUM(C40:C44)</f>
        <v>0</v>
      </c>
      <c r="D46" s="321">
        <f>SUM(D40:D44)</f>
        <v>0</v>
      </c>
      <c r="E46" s="321">
        <f>SUM(E40:E44)</f>
        <v>0</v>
      </c>
    </row>
    <row r="47" spans="2:5" ht="15.75">
      <c r="B47" s="280" t="s">
        <v>167</v>
      </c>
      <c r="C47" s="321">
        <f>C38+C46</f>
        <v>0</v>
      </c>
      <c r="D47" s="321">
        <f>D38+D46</f>
        <v>0</v>
      </c>
      <c r="E47" s="321">
        <f>E38+E46</f>
        <v>0</v>
      </c>
    </row>
    <row r="48" spans="2:5" ht="15.75">
      <c r="B48" s="123" t="s">
        <v>170</v>
      </c>
      <c r="C48" s="234"/>
      <c r="D48" s="234"/>
      <c r="E48" s="234"/>
    </row>
    <row r="49" spans="2:5" ht="15.75">
      <c r="B49" s="287"/>
      <c r="C49" s="87"/>
      <c r="D49" s="87"/>
      <c r="E49" s="87"/>
    </row>
    <row r="50" spans="2:5" ht="15.75">
      <c r="B50" s="287"/>
      <c r="C50" s="87"/>
      <c r="D50" s="87"/>
      <c r="E50" s="87"/>
    </row>
    <row r="51" spans="2:5" ht="15.75">
      <c r="B51" s="287"/>
      <c r="C51" s="87"/>
      <c r="D51" s="87"/>
      <c r="E51" s="87"/>
    </row>
    <row r="52" spans="2:5" ht="15.75">
      <c r="B52" s="287"/>
      <c r="C52" s="87"/>
      <c r="D52" s="87"/>
      <c r="E52" s="87"/>
    </row>
    <row r="53" spans="2:5" ht="15.75">
      <c r="B53" s="287"/>
      <c r="C53" s="87"/>
      <c r="D53" s="87"/>
      <c r="E53" s="87"/>
    </row>
    <row r="54" spans="2:5" ht="15.75">
      <c r="B54" s="287"/>
      <c r="C54" s="87"/>
      <c r="D54" s="87"/>
      <c r="E54" s="87"/>
    </row>
    <row r="55" spans="2:5" ht="15.75">
      <c r="B55" s="287"/>
      <c r="C55" s="87"/>
      <c r="D55" s="87"/>
      <c r="E55" s="87"/>
    </row>
    <row r="56" spans="2:5" ht="15.75">
      <c r="B56" s="287"/>
      <c r="C56" s="87"/>
      <c r="D56" s="87"/>
      <c r="E56" s="87"/>
    </row>
    <row r="57" spans="2:5" ht="15.75">
      <c r="B57" s="287"/>
      <c r="C57" s="87"/>
      <c r="D57" s="87"/>
      <c r="E57" s="87"/>
    </row>
    <row r="58" spans="2:5" ht="15.75">
      <c r="B58" s="278" t="s">
        <v>72</v>
      </c>
      <c r="C58" s="87"/>
      <c r="D58" s="273"/>
      <c r="E58" s="273"/>
    </row>
    <row r="59" spans="2:5" ht="15.75">
      <c r="B59" s="278" t="s">
        <v>653</v>
      </c>
      <c r="C59" s="443">
        <f>IF(C60*0.1&lt;C58,"Exceed 10% Rule","")</f>
      </c>
      <c r="D59" s="279">
        <f>IF(D60*0.1&lt;D58,"Exceed 10% Rule","")</f>
      </c>
      <c r="E59" s="279">
        <f>IF(E60*0.1&lt;E58,"Exceed 10% Rule","")</f>
      </c>
    </row>
    <row r="60" spans="2:5" ht="15.75">
      <c r="B60" s="280" t="s">
        <v>171</v>
      </c>
      <c r="C60" s="321">
        <f>SUM(C49:C58)</f>
        <v>0</v>
      </c>
      <c r="D60" s="321">
        <f>SUM(D49:D58)</f>
        <v>0</v>
      </c>
      <c r="E60" s="321">
        <f>SUM(E49:E58)</f>
        <v>0</v>
      </c>
    </row>
    <row r="61" spans="2:5" ht="15.75">
      <c r="B61" s="123" t="s">
        <v>273</v>
      </c>
      <c r="C61" s="95">
        <f>C47-C60</f>
        <v>0</v>
      </c>
      <c r="D61" s="95">
        <f>D47-D60</f>
        <v>0</v>
      </c>
      <c r="E61" s="95">
        <f>E47-E60</f>
        <v>0</v>
      </c>
    </row>
    <row r="62" spans="2:5" ht="15.75">
      <c r="B62" s="270" t="str">
        <f>CONCATENATE("",E1-2,"/",E1-1,"/",E1," Budget Authority Amount:")</f>
        <v>2013/2014/2015 Budget Authority Amount:</v>
      </c>
      <c r="C62" s="308">
        <f>inputOth!B58</f>
        <v>0</v>
      </c>
      <c r="D62" s="308">
        <f>inputPrYr!D46</f>
        <v>888</v>
      </c>
      <c r="E62" s="697">
        <f>E60</f>
        <v>0</v>
      </c>
    </row>
    <row r="63" spans="2:5" ht="15.75">
      <c r="B63" s="256"/>
      <c r="C63" s="290">
        <f>IF(C60&gt;C62,"See Tab A","")</f>
      </c>
      <c r="D63" s="290">
        <f>IF(D60&gt;D62,"See Tab C","")</f>
      </c>
      <c r="E63" s="699">
        <f>IF(E61&lt;0,"See Tab E","")</f>
      </c>
    </row>
    <row r="64" spans="2:5" ht="15.75">
      <c r="B64" s="256"/>
      <c r="C64" s="290">
        <f>IF(C61&lt;0,"See Tab B","")</f>
      </c>
      <c r="D64" s="290">
        <f>IF(D61&lt;0,"See Tab D","")</f>
      </c>
      <c r="E64" s="62"/>
    </row>
    <row r="65" spans="2:5" ht="15.75">
      <c r="B65" s="62"/>
      <c r="C65" s="62"/>
      <c r="D65" s="62"/>
      <c r="E65" s="62"/>
    </row>
    <row r="66" spans="2:5" ht="15.75">
      <c r="B66" s="256" t="s">
        <v>192</v>
      </c>
      <c r="C66" s="318">
        <v>22</v>
      </c>
      <c r="D66" s="62"/>
      <c r="E66" s="62"/>
    </row>
  </sheetData>
  <sheetProtection sheet="1"/>
  <conditionalFormatting sqref="C27">
    <cfRule type="cellIs" priority="3" dxfId="408" operator="greaterThan" stopIfTrue="1">
      <formula>$C$29*0.1</formula>
    </cfRule>
  </conditionalFormatting>
  <conditionalFormatting sqref="D27">
    <cfRule type="cellIs" priority="4" dxfId="408" operator="greaterThan" stopIfTrue="1">
      <formula>$D$29*0.1</formula>
    </cfRule>
  </conditionalFormatting>
  <conditionalFormatting sqref="E27">
    <cfRule type="cellIs" priority="5" dxfId="408" operator="greaterThan" stopIfTrue="1">
      <formula>$E$29*0.1</formula>
    </cfRule>
  </conditionalFormatting>
  <conditionalFormatting sqref="C13">
    <cfRule type="cellIs" priority="6" dxfId="408" operator="greaterThan" stopIfTrue="1">
      <formula>$C$15*0.1</formula>
    </cfRule>
  </conditionalFormatting>
  <conditionalFormatting sqref="D13">
    <cfRule type="cellIs" priority="7" dxfId="408" operator="greaterThan" stopIfTrue="1">
      <formula>$D$15*0.1</formula>
    </cfRule>
  </conditionalFormatting>
  <conditionalFormatting sqref="E13">
    <cfRule type="cellIs" priority="8" dxfId="408" operator="greaterThan" stopIfTrue="1">
      <formula>$E$15*0.1</formula>
    </cfRule>
  </conditionalFormatting>
  <conditionalFormatting sqref="C44">
    <cfRule type="cellIs" priority="9" dxfId="408" operator="greaterThan" stopIfTrue="1">
      <formula>$C$46*0.1</formula>
    </cfRule>
  </conditionalFormatting>
  <conditionalFormatting sqref="D44">
    <cfRule type="cellIs" priority="10" dxfId="408" operator="greaterThan" stopIfTrue="1">
      <formula>$D$46*0.1</formula>
    </cfRule>
  </conditionalFormatting>
  <conditionalFormatting sqref="E44">
    <cfRule type="cellIs" priority="11" dxfId="408" operator="greaterThan" stopIfTrue="1">
      <formula>$E$46*0.1</formula>
    </cfRule>
  </conditionalFormatting>
  <conditionalFormatting sqref="C58">
    <cfRule type="cellIs" priority="12" dxfId="408" operator="greaterThan" stopIfTrue="1">
      <formula>$C$60*0.1</formula>
    </cfRule>
  </conditionalFormatting>
  <conditionalFormatting sqref="D58">
    <cfRule type="cellIs" priority="13" dxfId="408" operator="greaterThan" stopIfTrue="1">
      <formula>$D$60*0.1</formula>
    </cfRule>
  </conditionalFormatting>
  <conditionalFormatting sqref="E58">
    <cfRule type="cellIs" priority="14" dxfId="408" operator="greaterThan" stopIfTrue="1">
      <formula>$E$60*0.1</formula>
    </cfRule>
  </conditionalFormatting>
  <conditionalFormatting sqref="E30 C30 E61 C61">
    <cfRule type="cellIs" priority="15" dxfId="2" operator="lessThan" stopIfTrue="1">
      <formula>0</formula>
    </cfRule>
  </conditionalFormatting>
  <conditionalFormatting sqref="D29">
    <cfRule type="cellIs" priority="16" dxfId="2" operator="greaterThan" stopIfTrue="1">
      <formula>$D$31</formula>
    </cfRule>
  </conditionalFormatting>
  <conditionalFormatting sqref="C29">
    <cfRule type="cellIs" priority="17" dxfId="2" operator="greaterThan" stopIfTrue="1">
      <formula>$C$31</formula>
    </cfRule>
  </conditionalFormatting>
  <conditionalFormatting sqref="D60">
    <cfRule type="cellIs" priority="18" dxfId="2" operator="greaterThan" stopIfTrue="1">
      <formula>$D$62</formula>
    </cfRule>
  </conditionalFormatting>
  <conditionalFormatting sqref="C60">
    <cfRule type="cellIs" priority="19" dxfId="2" operator="greaterThan" stopIfTrue="1">
      <formula>$C$62</formula>
    </cfRule>
  </conditionalFormatting>
  <conditionalFormatting sqref="D30">
    <cfRule type="cellIs" priority="2" dxfId="0" operator="lessThan" stopIfTrue="1">
      <formula>0</formula>
    </cfRule>
  </conditionalFormatting>
  <conditionalFormatting sqref="D61">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70" r:id="rId1"/>
  <headerFooter alignWithMargins="0">
    <oddHeader>&amp;RState of Kansas
County
</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34">
      <selection activeCell="D72" sqref="D72"/>
    </sheetView>
  </sheetViews>
  <sheetFormatPr defaultColWidth="8.796875" defaultRowHeight="15"/>
  <cols>
    <col min="1" max="1" width="2.3984375" style="50" customWidth="1"/>
    <col min="2" max="2" width="31.09765625" style="50" customWidth="1"/>
    <col min="3" max="4" width="15.796875" style="50" customWidth="1"/>
    <col min="5" max="5" width="16.19921875" style="50" customWidth="1"/>
    <col min="6" max="16384" width="8.8984375" style="50" customWidth="1"/>
  </cols>
  <sheetData>
    <row r="1" spans="2:5" ht="15.75">
      <c r="B1" s="201" t="str">
        <f>(inputPrYr!C2)</f>
        <v>Marshall County</v>
      </c>
      <c r="C1" s="62"/>
      <c r="D1" s="62"/>
      <c r="E1" s="255">
        <f>inputPrYr!C4</f>
        <v>2015</v>
      </c>
    </row>
    <row r="2" spans="2:5" ht="15.75">
      <c r="B2" s="62"/>
      <c r="C2" s="62"/>
      <c r="D2" s="62"/>
      <c r="E2" s="208"/>
    </row>
    <row r="3" spans="2:5" ht="15.75">
      <c r="B3" s="127" t="s">
        <v>240</v>
      </c>
      <c r="C3" s="302"/>
      <c r="D3" s="302"/>
      <c r="E3" s="303"/>
    </row>
    <row r="4" spans="2:5" ht="15.75">
      <c r="B4" s="62"/>
      <c r="C4" s="296"/>
      <c r="D4" s="296"/>
      <c r="E4" s="296"/>
    </row>
    <row r="5" spans="2:5" ht="15.75">
      <c r="B5" s="61" t="s">
        <v>157</v>
      </c>
      <c r="C5" s="292" t="str">
        <f>general!C4</f>
        <v>Prior Year </v>
      </c>
      <c r="D5" s="188" t="str">
        <f>general!D4</f>
        <v>Current Year </v>
      </c>
      <c r="E5" s="188" t="str">
        <f>general!E4</f>
        <v>Proposed Budget </v>
      </c>
    </row>
    <row r="6" spans="2:5" ht="15.75">
      <c r="B6" s="447" t="str">
        <f>inputPrYr!B47</f>
        <v>Health Cap Outlay</v>
      </c>
      <c r="C6" s="284" t="str">
        <f>general!C5</f>
        <v>Actual for 2013</v>
      </c>
      <c r="D6" s="284" t="str">
        <f>general!D5</f>
        <v>Estimate for 2014</v>
      </c>
      <c r="E6" s="271" t="str">
        <f>general!E5</f>
        <v>Year for 2015</v>
      </c>
    </row>
    <row r="7" spans="2:5" ht="15.75">
      <c r="B7" s="123" t="s">
        <v>272</v>
      </c>
      <c r="C7" s="87">
        <v>70936</v>
      </c>
      <c r="D7" s="234">
        <f>C30</f>
        <v>76441</v>
      </c>
      <c r="E7" s="234">
        <f>D30</f>
        <v>76441</v>
      </c>
    </row>
    <row r="8" spans="2:5" ht="15.75">
      <c r="B8" s="305" t="s">
        <v>274</v>
      </c>
      <c r="C8" s="83"/>
      <c r="D8" s="83"/>
      <c r="E8" s="83"/>
    </row>
    <row r="9" spans="2:5" ht="15.75">
      <c r="B9" s="287" t="s">
        <v>1059</v>
      </c>
      <c r="C9" s="87"/>
      <c r="D9" s="87"/>
      <c r="E9" s="87"/>
    </row>
    <row r="10" spans="2:5" ht="15.75">
      <c r="B10" s="287" t="s">
        <v>1079</v>
      </c>
      <c r="C10" s="87">
        <v>25000</v>
      </c>
      <c r="D10" s="87"/>
      <c r="E10" s="87"/>
    </row>
    <row r="11" spans="2:5" ht="15.75">
      <c r="B11" s="287"/>
      <c r="C11" s="87"/>
      <c r="D11" s="87"/>
      <c r="E11" s="87"/>
    </row>
    <row r="12" spans="2:5" ht="15.75">
      <c r="B12" s="277" t="s">
        <v>165</v>
      </c>
      <c r="C12" s="87"/>
      <c r="D12" s="87"/>
      <c r="E12" s="87"/>
    </row>
    <row r="13" spans="2:5" ht="15.75">
      <c r="B13" s="278" t="s">
        <v>72</v>
      </c>
      <c r="C13" s="87"/>
      <c r="D13" s="273"/>
      <c r="E13" s="273"/>
    </row>
    <row r="14" spans="2:5" ht="15.75">
      <c r="B14" s="278" t="s">
        <v>654</v>
      </c>
      <c r="C14" s="443">
        <f>IF(C15*0.1&lt;C13,"Exceed 10% Rule","")</f>
      </c>
      <c r="D14" s="279">
        <f>IF(D15*0.1&lt;D13,"Exceed 10% Rule","")</f>
      </c>
      <c r="E14" s="279">
        <f>IF(E15*0.1&lt;E13,"Exceed 10% Rule","")</f>
      </c>
    </row>
    <row r="15" spans="2:5" ht="15.75">
      <c r="B15" s="280" t="s">
        <v>166</v>
      </c>
      <c r="C15" s="321">
        <f>SUM(C9:C13)</f>
        <v>25000</v>
      </c>
      <c r="D15" s="321">
        <f>SUM(D9:D13)</f>
        <v>0</v>
      </c>
      <c r="E15" s="321">
        <f>SUM(E9:E13)</f>
        <v>0</v>
      </c>
    </row>
    <row r="16" spans="2:5" ht="15.75">
      <c r="B16" s="280" t="s">
        <v>167</v>
      </c>
      <c r="C16" s="321">
        <f>C15+C7</f>
        <v>95936</v>
      </c>
      <c r="D16" s="321">
        <f>D15+D7</f>
        <v>76441</v>
      </c>
      <c r="E16" s="321">
        <f>E15+E7</f>
        <v>76441</v>
      </c>
    </row>
    <row r="17" spans="2:5" ht="15.75">
      <c r="B17" s="123" t="s">
        <v>170</v>
      </c>
      <c r="C17" s="234"/>
      <c r="D17" s="234"/>
      <c r="E17" s="234"/>
    </row>
    <row r="18" spans="2:5" ht="15.75">
      <c r="B18" s="287" t="s">
        <v>1041</v>
      </c>
      <c r="C18" s="87">
        <v>19495</v>
      </c>
      <c r="D18" s="87"/>
      <c r="E18" s="87"/>
    </row>
    <row r="19" spans="2:5" ht="15.75">
      <c r="B19" s="287"/>
      <c r="C19" s="87"/>
      <c r="D19" s="87"/>
      <c r="E19" s="87"/>
    </row>
    <row r="20" spans="2:5" ht="15.75">
      <c r="B20" s="287"/>
      <c r="C20" s="87"/>
      <c r="D20" s="87"/>
      <c r="E20" s="87"/>
    </row>
    <row r="21" spans="2:5" ht="15.75">
      <c r="B21" s="287"/>
      <c r="C21" s="87"/>
      <c r="D21" s="87"/>
      <c r="E21" s="87"/>
    </row>
    <row r="22" spans="2:5" ht="15.75">
      <c r="B22" s="287"/>
      <c r="C22" s="87"/>
      <c r="D22" s="87"/>
      <c r="E22" s="87"/>
    </row>
    <row r="23" spans="2:5" ht="15.75">
      <c r="B23" s="287"/>
      <c r="C23" s="87"/>
      <c r="D23" s="87"/>
      <c r="E23" s="87"/>
    </row>
    <row r="24" spans="2:5" ht="15.75">
      <c r="B24" s="287"/>
      <c r="C24" s="87"/>
      <c r="D24" s="87"/>
      <c r="E24" s="87"/>
    </row>
    <row r="25" spans="2:5" ht="15.75">
      <c r="B25" s="287"/>
      <c r="C25" s="87"/>
      <c r="D25" s="87"/>
      <c r="E25" s="87"/>
    </row>
    <row r="26" spans="2:5" ht="15.75">
      <c r="B26" s="287"/>
      <c r="C26" s="87"/>
      <c r="D26" s="87"/>
      <c r="E26" s="87"/>
    </row>
    <row r="27" spans="2:5" ht="15.75">
      <c r="B27" s="278" t="s">
        <v>72</v>
      </c>
      <c r="C27" s="87"/>
      <c r="D27" s="273"/>
      <c r="E27" s="273"/>
    </row>
    <row r="28" spans="2:5" ht="15.75">
      <c r="B28" s="278" t="s">
        <v>653</v>
      </c>
      <c r="C28" s="443">
        <f>IF(C29*0.1&lt;C27,"Exceed 10% Rule","")</f>
      </c>
      <c r="D28" s="279">
        <f>IF(D29*0.1&lt;D27,"Exceed 10% Rule","")</f>
      </c>
      <c r="E28" s="279">
        <f>IF(E29*0.1&lt;E27,"Exceed 10% Rule","")</f>
      </c>
    </row>
    <row r="29" spans="2:5" ht="15.75">
      <c r="B29" s="280" t="s">
        <v>171</v>
      </c>
      <c r="C29" s="321">
        <f>SUM(C18:C27)</f>
        <v>19495</v>
      </c>
      <c r="D29" s="321">
        <f>SUM(D18:D27)</f>
        <v>0</v>
      </c>
      <c r="E29" s="321">
        <f>SUM(E18:E27)</f>
        <v>0</v>
      </c>
    </row>
    <row r="30" spans="2:5" ht="15.75">
      <c r="B30" s="123" t="s">
        <v>273</v>
      </c>
      <c r="C30" s="95">
        <f>C16-C29</f>
        <v>76441</v>
      </c>
      <c r="D30" s="95">
        <f>D16-D29</f>
        <v>76441</v>
      </c>
      <c r="E30" s="95">
        <f>E16-E29</f>
        <v>76441</v>
      </c>
    </row>
    <row r="31" spans="2:5" ht="15.75">
      <c r="B31" s="270" t="str">
        <f>CONCATENATE("",E1-2,"/",E1-1,"/",E1," Budget Authority Amount:")</f>
        <v>2013/2014/2015 Budget Authority Amount:</v>
      </c>
      <c r="C31" s="308">
        <f>inputOth!B59</f>
        <v>20000</v>
      </c>
      <c r="D31" s="308">
        <f>inputPrYr!D47</f>
        <v>20000</v>
      </c>
      <c r="E31" s="697">
        <f>E29</f>
        <v>0</v>
      </c>
    </row>
    <row r="32" spans="2:5" ht="15.75">
      <c r="B32" s="256"/>
      <c r="C32" s="290">
        <f>IF(C29&gt;C31,"See Tab A","")</f>
      </c>
      <c r="D32" s="290">
        <f>IF(D29&gt;D31,"See Tab C","")</f>
      </c>
      <c r="E32" s="698">
        <f>IF(E30&lt;0,"See Tab E","")</f>
      </c>
    </row>
    <row r="33" spans="2:5" ht="15.75">
      <c r="B33" s="256"/>
      <c r="C33" s="290">
        <f>IF(C30&lt;0,"See Tab B","")</f>
      </c>
      <c r="D33" s="290">
        <f>IF(D30&lt;0,"See Tab D","")</f>
      </c>
      <c r="E33" s="120"/>
    </row>
    <row r="34" spans="2:5" ht="15.75">
      <c r="B34" s="62"/>
      <c r="C34" s="120"/>
      <c r="D34" s="120"/>
      <c r="E34" s="120"/>
    </row>
    <row r="35" spans="2:5" ht="15.75">
      <c r="B35" s="61" t="s">
        <v>157</v>
      </c>
      <c r="C35" s="296"/>
      <c r="D35" s="296"/>
      <c r="E35" s="296"/>
    </row>
    <row r="36" spans="2:5" ht="15.75">
      <c r="B36" s="62"/>
      <c r="C36" s="292" t="str">
        <f aca="true" t="shared" si="0" ref="C36:E37">C5</f>
        <v>Prior Year </v>
      </c>
      <c r="D36" s="188" t="str">
        <f t="shared" si="0"/>
        <v>Current Year </v>
      </c>
      <c r="E36" s="188" t="str">
        <f t="shared" si="0"/>
        <v>Proposed Budget </v>
      </c>
    </row>
    <row r="37" spans="2:5" ht="15.75">
      <c r="B37" s="446" t="str">
        <f>inputPrYr!B48</f>
        <v>911 Local</v>
      </c>
      <c r="C37" s="284" t="str">
        <f t="shared" si="0"/>
        <v>Actual for 2013</v>
      </c>
      <c r="D37" s="284" t="str">
        <f t="shared" si="0"/>
        <v>Estimate for 2014</v>
      </c>
      <c r="E37" s="284" t="str">
        <f t="shared" si="0"/>
        <v>Year for 2015</v>
      </c>
    </row>
    <row r="38" spans="2:5" ht="15.75">
      <c r="B38" s="123" t="s">
        <v>272</v>
      </c>
      <c r="C38" s="87">
        <v>69312</v>
      </c>
      <c r="D38" s="234">
        <f>C61</f>
        <v>98646</v>
      </c>
      <c r="E38" s="234">
        <f>D61</f>
        <v>98646</v>
      </c>
    </row>
    <row r="39" spans="2:5" ht="15.75">
      <c r="B39" s="123" t="s">
        <v>274</v>
      </c>
      <c r="C39" s="83"/>
      <c r="D39" s="83"/>
      <c r="E39" s="83"/>
    </row>
    <row r="40" spans="2:5" ht="15.75">
      <c r="B40" s="287" t="s">
        <v>1080</v>
      </c>
      <c r="C40" s="87">
        <v>67943</v>
      </c>
      <c r="D40" s="87"/>
      <c r="E40" s="87"/>
    </row>
    <row r="41" spans="2:5" ht="15.75">
      <c r="B41" s="287" t="s">
        <v>1059</v>
      </c>
      <c r="C41" s="87">
        <v>5500</v>
      </c>
      <c r="D41" s="87"/>
      <c r="E41" s="87"/>
    </row>
    <row r="42" spans="2:5" ht="15.75">
      <c r="B42" s="287"/>
      <c r="C42" s="87"/>
      <c r="D42" s="87"/>
      <c r="E42" s="87"/>
    </row>
    <row r="43" spans="2:5" ht="15.75">
      <c r="B43" s="277" t="s">
        <v>165</v>
      </c>
      <c r="C43" s="87"/>
      <c r="D43" s="87"/>
      <c r="E43" s="87"/>
    </row>
    <row r="44" spans="2:5" ht="15.75">
      <c r="B44" s="278" t="s">
        <v>72</v>
      </c>
      <c r="C44" s="87"/>
      <c r="D44" s="273"/>
      <c r="E44" s="273"/>
    </row>
    <row r="45" spans="2:5" ht="15.75">
      <c r="B45" s="278" t="s">
        <v>654</v>
      </c>
      <c r="C45" s="443">
        <f>IF(C46*0.1&lt;C44,"Exceed 10% Rule","")</f>
      </c>
      <c r="D45" s="279">
        <f>IF(D46*0.1&lt;D44,"Exceed 10% Rule","")</f>
      </c>
      <c r="E45" s="279">
        <f>IF(E46*0.1&lt;E44,"Exceed 10% Rule","")</f>
      </c>
    </row>
    <row r="46" spans="2:5" ht="15.75">
      <c r="B46" s="280" t="s">
        <v>166</v>
      </c>
      <c r="C46" s="321">
        <f>SUM(C40:C44)</f>
        <v>73443</v>
      </c>
      <c r="D46" s="321">
        <f>SUM(D40:D44)</f>
        <v>0</v>
      </c>
      <c r="E46" s="321">
        <f>SUM(E40:E44)</f>
        <v>0</v>
      </c>
    </row>
    <row r="47" spans="2:5" ht="15.75">
      <c r="B47" s="280" t="s">
        <v>167</v>
      </c>
      <c r="C47" s="321">
        <f>C38+C46</f>
        <v>142755</v>
      </c>
      <c r="D47" s="321">
        <f>D38+D46</f>
        <v>98646</v>
      </c>
      <c r="E47" s="321">
        <f>E38+E46</f>
        <v>98646</v>
      </c>
    </row>
    <row r="48" spans="2:5" ht="15.75">
      <c r="B48" s="123" t="s">
        <v>170</v>
      </c>
      <c r="C48" s="234"/>
      <c r="D48" s="234"/>
      <c r="E48" s="234"/>
    </row>
    <row r="49" spans="2:5" ht="15.75">
      <c r="B49" s="287" t="s">
        <v>1081</v>
      </c>
      <c r="C49" s="87">
        <v>44109</v>
      </c>
      <c r="D49" s="87"/>
      <c r="E49" s="87"/>
    </row>
    <row r="50" spans="2:5" ht="15.75">
      <c r="B50" s="287"/>
      <c r="C50" s="87"/>
      <c r="D50" s="87"/>
      <c r="E50" s="87"/>
    </row>
    <row r="51" spans="2:5" ht="15.75">
      <c r="B51" s="287"/>
      <c r="C51" s="87"/>
      <c r="D51" s="87"/>
      <c r="E51" s="87"/>
    </row>
    <row r="52" spans="2:5" ht="15.75">
      <c r="B52" s="287"/>
      <c r="C52" s="87"/>
      <c r="D52" s="87"/>
      <c r="E52" s="87"/>
    </row>
    <row r="53" spans="2:5" ht="15.75">
      <c r="B53" s="287"/>
      <c r="C53" s="87"/>
      <c r="D53" s="87"/>
      <c r="E53" s="87"/>
    </row>
    <row r="54" spans="2:5" ht="15.75">
      <c r="B54" s="287"/>
      <c r="C54" s="87"/>
      <c r="D54" s="87"/>
      <c r="E54" s="87"/>
    </row>
    <row r="55" spans="2:5" ht="15.75">
      <c r="B55" s="287"/>
      <c r="C55" s="87"/>
      <c r="D55" s="87"/>
      <c r="E55" s="87"/>
    </row>
    <row r="56" spans="2:5" ht="15.75">
      <c r="B56" s="287"/>
      <c r="C56" s="87"/>
      <c r="D56" s="87"/>
      <c r="E56" s="87"/>
    </row>
    <row r="57" spans="2:5" ht="15.75">
      <c r="B57" s="287"/>
      <c r="C57" s="87"/>
      <c r="D57" s="87"/>
      <c r="E57" s="87"/>
    </row>
    <row r="58" spans="2:5" ht="15.75">
      <c r="B58" s="278" t="s">
        <v>72</v>
      </c>
      <c r="C58" s="87"/>
      <c r="D58" s="273"/>
      <c r="E58" s="273"/>
    </row>
    <row r="59" spans="2:5" ht="15.75">
      <c r="B59" s="278" t="s">
        <v>653</v>
      </c>
      <c r="C59" s="443">
        <f>IF(C60*0.1&lt;C58,"Exceed 10% Rule","")</f>
      </c>
      <c r="D59" s="279">
        <f>IF(D60*0.1&lt;D58,"Exceed 10% Rule","")</f>
      </c>
      <c r="E59" s="279">
        <f>IF(E60*0.1&lt;E58,"Exceed 10% Rule","")</f>
      </c>
    </row>
    <row r="60" spans="2:5" ht="15.75">
      <c r="B60" s="280" t="s">
        <v>171</v>
      </c>
      <c r="C60" s="321">
        <f>SUM(C49:C58)</f>
        <v>44109</v>
      </c>
      <c r="D60" s="321">
        <f>SUM(D49:D58)</f>
        <v>0</v>
      </c>
      <c r="E60" s="321">
        <f>SUM(E49:E58)</f>
        <v>0</v>
      </c>
    </row>
    <row r="61" spans="2:5" ht="15.75">
      <c r="B61" s="123" t="s">
        <v>273</v>
      </c>
      <c r="C61" s="95">
        <f>C47-C60</f>
        <v>98646</v>
      </c>
      <c r="D61" s="95">
        <f>D47-D60</f>
        <v>98646</v>
      </c>
      <c r="E61" s="95">
        <f>E47-E60</f>
        <v>98646</v>
      </c>
    </row>
    <row r="62" spans="2:5" ht="15.75">
      <c r="B62" s="270" t="str">
        <f>CONCATENATE("",E1-2,"/",E1-1,"/",E1," Budget Authority Amount:")</f>
        <v>2013/2014/2015 Budget Authority Amount:</v>
      </c>
      <c r="C62" s="308">
        <f>inputOth!B60</f>
        <v>75000</v>
      </c>
      <c r="D62" s="308">
        <f>inputPrYr!D48</f>
        <v>75000</v>
      </c>
      <c r="E62" s="697">
        <f>E60</f>
        <v>0</v>
      </c>
    </row>
    <row r="63" spans="2:5" ht="15.75">
      <c r="B63" s="256"/>
      <c r="C63" s="290">
        <f>IF(C60&gt;C62,"See Tab A","")</f>
      </c>
      <c r="D63" s="290">
        <f>IF(D60&gt;D62,"See Tab C","")</f>
      </c>
      <c r="E63" s="699">
        <f>IF(E61&lt;0,"See Tab E","")</f>
      </c>
    </row>
    <row r="64" spans="2:5" ht="15.75">
      <c r="B64" s="256"/>
      <c r="C64" s="290">
        <f>IF(C61&lt;0,"See Tab B","")</f>
      </c>
      <c r="D64" s="290">
        <f>IF(D61&lt;0,"See Tab D","")</f>
      </c>
      <c r="E64" s="62"/>
    </row>
    <row r="65" spans="2:5" ht="15.75">
      <c r="B65" s="62"/>
      <c r="C65" s="62"/>
      <c r="D65" s="62"/>
      <c r="E65" s="62"/>
    </row>
    <row r="66" spans="2:5" ht="15.75">
      <c r="B66" s="256" t="s">
        <v>192</v>
      </c>
      <c r="C66" s="318">
        <v>23</v>
      </c>
      <c r="D66" s="62"/>
      <c r="E66" s="62"/>
    </row>
  </sheetData>
  <sheetProtection sheet="1"/>
  <conditionalFormatting sqref="C27">
    <cfRule type="cellIs" priority="3" dxfId="408" operator="greaterThan" stopIfTrue="1">
      <formula>$C$29*0.1</formula>
    </cfRule>
  </conditionalFormatting>
  <conditionalFormatting sqref="D27">
    <cfRule type="cellIs" priority="4" dxfId="408" operator="greaterThan" stopIfTrue="1">
      <formula>$D$29*0.1</formula>
    </cfRule>
  </conditionalFormatting>
  <conditionalFormatting sqref="E27">
    <cfRule type="cellIs" priority="5" dxfId="408" operator="greaterThan" stopIfTrue="1">
      <formula>$E$29*0.1</formula>
    </cfRule>
  </conditionalFormatting>
  <conditionalFormatting sqref="C13">
    <cfRule type="cellIs" priority="6" dxfId="408" operator="greaterThan" stopIfTrue="1">
      <formula>$C$15*0.1</formula>
    </cfRule>
  </conditionalFormatting>
  <conditionalFormatting sqref="D13">
    <cfRule type="cellIs" priority="7" dxfId="408" operator="greaterThan" stopIfTrue="1">
      <formula>$D$15*0.1</formula>
    </cfRule>
  </conditionalFormatting>
  <conditionalFormatting sqref="E13">
    <cfRule type="cellIs" priority="8" dxfId="408" operator="greaterThan" stopIfTrue="1">
      <formula>$E$15*0.1</formula>
    </cfRule>
  </conditionalFormatting>
  <conditionalFormatting sqref="C44">
    <cfRule type="cellIs" priority="9" dxfId="408" operator="greaterThan" stopIfTrue="1">
      <formula>$C$46*0.1</formula>
    </cfRule>
  </conditionalFormatting>
  <conditionalFormatting sqref="D44">
    <cfRule type="cellIs" priority="10" dxfId="408" operator="greaterThan" stopIfTrue="1">
      <formula>$D$46*0.1</formula>
    </cfRule>
  </conditionalFormatting>
  <conditionalFormatting sqref="E44">
    <cfRule type="cellIs" priority="11" dxfId="408" operator="greaterThan" stopIfTrue="1">
      <formula>$E$46*0.1</formula>
    </cfRule>
  </conditionalFormatting>
  <conditionalFormatting sqref="C58">
    <cfRule type="cellIs" priority="12" dxfId="408" operator="greaterThan" stopIfTrue="1">
      <formula>$C$60*0.1</formula>
    </cfRule>
  </conditionalFormatting>
  <conditionalFormatting sqref="D58">
    <cfRule type="cellIs" priority="13" dxfId="408" operator="greaterThan" stopIfTrue="1">
      <formula>$D$60*0.1</formula>
    </cfRule>
  </conditionalFormatting>
  <conditionalFormatting sqref="E58">
    <cfRule type="cellIs" priority="14" dxfId="408" operator="greaterThan" stopIfTrue="1">
      <formula>$E$60*0.1</formula>
    </cfRule>
  </conditionalFormatting>
  <conditionalFormatting sqref="E30 C30 E61 C61">
    <cfRule type="cellIs" priority="15" dxfId="2" operator="lessThan" stopIfTrue="1">
      <formula>0</formula>
    </cfRule>
  </conditionalFormatting>
  <conditionalFormatting sqref="D29">
    <cfRule type="cellIs" priority="16" dxfId="2" operator="greaterThan" stopIfTrue="1">
      <formula>$D$31</formula>
    </cfRule>
  </conditionalFormatting>
  <conditionalFormatting sqref="C29">
    <cfRule type="cellIs" priority="17" dxfId="2" operator="greaterThan" stopIfTrue="1">
      <formula>$C$31</formula>
    </cfRule>
  </conditionalFormatting>
  <conditionalFormatting sqref="D60">
    <cfRule type="cellIs" priority="18" dxfId="2" operator="greaterThan" stopIfTrue="1">
      <formula>$D$62</formula>
    </cfRule>
  </conditionalFormatting>
  <conditionalFormatting sqref="C60">
    <cfRule type="cellIs" priority="19" dxfId="2" operator="greaterThan" stopIfTrue="1">
      <formula>$C$62</formula>
    </cfRule>
  </conditionalFormatting>
  <conditionalFormatting sqref="D30">
    <cfRule type="cellIs" priority="2" dxfId="0" operator="lessThan" stopIfTrue="1">
      <formula>0</formula>
    </cfRule>
  </conditionalFormatting>
  <conditionalFormatting sqref="D61">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70" r:id="rId1"/>
  <headerFooter alignWithMargins="0">
    <oddHeader>&amp;RState of Kansas
County
</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28">
      <selection activeCell="B19" sqref="B19"/>
    </sheetView>
  </sheetViews>
  <sheetFormatPr defaultColWidth="8.796875" defaultRowHeight="15"/>
  <cols>
    <col min="1" max="1" width="2.3984375" style="50" customWidth="1"/>
    <col min="2" max="2" width="31.09765625" style="50" customWidth="1"/>
    <col min="3" max="4" width="15.796875" style="50" customWidth="1"/>
    <col min="5" max="5" width="16.09765625" style="50" customWidth="1"/>
    <col min="6" max="16384" width="8.8984375" style="50" customWidth="1"/>
  </cols>
  <sheetData>
    <row r="1" spans="2:5" ht="15.75">
      <c r="B1" s="201" t="str">
        <f>(inputPrYr!C2)</f>
        <v>Marshall County</v>
      </c>
      <c r="C1" s="62"/>
      <c r="D1" s="62"/>
      <c r="E1" s="255">
        <f>inputPrYr!C4</f>
        <v>2015</v>
      </c>
    </row>
    <row r="2" spans="2:5" ht="15.75">
      <c r="B2" s="62"/>
      <c r="C2" s="62"/>
      <c r="D2" s="62"/>
      <c r="E2" s="208"/>
    </row>
    <row r="3" spans="2:5" ht="15.75">
      <c r="B3" s="127" t="s">
        <v>240</v>
      </c>
      <c r="C3" s="302"/>
      <c r="D3" s="302"/>
      <c r="E3" s="303"/>
    </row>
    <row r="4" spans="2:5" ht="15.75">
      <c r="B4" s="62"/>
      <c r="C4" s="296"/>
      <c r="D4" s="296"/>
      <c r="E4" s="296"/>
    </row>
    <row r="5" spans="2:5" ht="15.75">
      <c r="B5" s="61" t="s">
        <v>157</v>
      </c>
      <c r="C5" s="292" t="str">
        <f>general!C4</f>
        <v>Prior Year </v>
      </c>
      <c r="D5" s="188" t="str">
        <f>general!D4</f>
        <v>Current Year </v>
      </c>
      <c r="E5" s="188" t="str">
        <f>general!E4</f>
        <v>Proposed Budget </v>
      </c>
    </row>
    <row r="6" spans="2:5" ht="15.75">
      <c r="B6" s="447" t="str">
        <f>inputPrYr!B49</f>
        <v>911 Special</v>
      </c>
      <c r="C6" s="284" t="str">
        <f>general!C5</f>
        <v>Actual for 2013</v>
      </c>
      <c r="D6" s="284" t="str">
        <f>general!D5</f>
        <v>Estimate for 2014</v>
      </c>
      <c r="E6" s="271" t="str">
        <f>general!E5</f>
        <v>Year for 2015</v>
      </c>
    </row>
    <row r="7" spans="2:5" ht="15.75">
      <c r="B7" s="123" t="s">
        <v>272</v>
      </c>
      <c r="C7" s="87">
        <v>64316</v>
      </c>
      <c r="D7" s="234">
        <f>C30</f>
        <v>64188</v>
      </c>
      <c r="E7" s="234">
        <f>D30</f>
        <v>64188</v>
      </c>
    </row>
    <row r="8" spans="2:5" ht="15.75">
      <c r="B8" s="305" t="s">
        <v>274</v>
      </c>
      <c r="C8" s="83"/>
      <c r="D8" s="83"/>
      <c r="E8" s="83"/>
    </row>
    <row r="9" spans="2:5" ht="15.75">
      <c r="B9" s="287"/>
      <c r="C9" s="87"/>
      <c r="D9" s="87"/>
      <c r="E9" s="87"/>
    </row>
    <row r="10" spans="2:5" ht="15.75">
      <c r="B10" s="287"/>
      <c r="C10" s="87"/>
      <c r="D10" s="87"/>
      <c r="E10" s="87"/>
    </row>
    <row r="11" spans="2:5" ht="15.75">
      <c r="B11" s="287"/>
      <c r="C11" s="87"/>
      <c r="D11" s="87"/>
      <c r="E11" s="87"/>
    </row>
    <row r="12" spans="2:5" ht="15.75">
      <c r="B12" s="277" t="s">
        <v>165</v>
      </c>
      <c r="C12" s="87"/>
      <c r="D12" s="87"/>
      <c r="E12" s="87"/>
    </row>
    <row r="13" spans="2:5" ht="15.75">
      <c r="B13" s="278" t="s">
        <v>72</v>
      </c>
      <c r="C13" s="87"/>
      <c r="D13" s="273"/>
      <c r="E13" s="273"/>
    </row>
    <row r="14" spans="2:5" ht="15.75">
      <c r="B14" s="278" t="s">
        <v>654</v>
      </c>
      <c r="C14" s="443">
        <f>IF(C15*0.1&lt;C13,"Exceed 10% Rule","")</f>
      </c>
      <c r="D14" s="279">
        <f>IF(D15*0.1&lt;D13,"Exceed 10% Rule","")</f>
      </c>
      <c r="E14" s="279">
        <f>IF(E15*0.1&lt;E13,"Exceed 10% Rule","")</f>
      </c>
    </row>
    <row r="15" spans="2:5" ht="15.75">
      <c r="B15" s="280" t="s">
        <v>166</v>
      </c>
      <c r="C15" s="321">
        <f>SUM(C9:C13)</f>
        <v>0</v>
      </c>
      <c r="D15" s="321">
        <f>SUM(D9:D13)</f>
        <v>0</v>
      </c>
      <c r="E15" s="321">
        <f>SUM(E9:E13)</f>
        <v>0</v>
      </c>
    </row>
    <row r="16" spans="2:5" ht="15.75">
      <c r="B16" s="280" t="s">
        <v>167</v>
      </c>
      <c r="C16" s="321">
        <f>C15+C7</f>
        <v>64316</v>
      </c>
      <c r="D16" s="321">
        <f>D15+D7</f>
        <v>64188</v>
      </c>
      <c r="E16" s="321">
        <f>E15+E7</f>
        <v>64188</v>
      </c>
    </row>
    <row r="17" spans="2:5" ht="15.75">
      <c r="B17" s="123" t="s">
        <v>170</v>
      </c>
      <c r="C17" s="234"/>
      <c r="D17" s="234"/>
      <c r="E17" s="234"/>
    </row>
    <row r="18" spans="2:5" ht="15.75">
      <c r="B18" s="287" t="s">
        <v>170</v>
      </c>
      <c r="C18" s="87">
        <v>128</v>
      </c>
      <c r="D18" s="87"/>
      <c r="E18" s="87"/>
    </row>
    <row r="19" spans="2:5" ht="15.75">
      <c r="B19" s="287"/>
      <c r="C19" s="87"/>
      <c r="D19" s="87"/>
      <c r="E19" s="87"/>
    </row>
    <row r="20" spans="2:5" ht="15.75">
      <c r="B20" s="287"/>
      <c r="C20" s="87"/>
      <c r="D20" s="87"/>
      <c r="E20" s="87"/>
    </row>
    <row r="21" spans="2:5" ht="15.75">
      <c r="B21" s="287"/>
      <c r="C21" s="87"/>
      <c r="D21" s="87"/>
      <c r="E21" s="87"/>
    </row>
    <row r="22" spans="2:5" ht="15.75">
      <c r="B22" s="287"/>
      <c r="C22" s="87"/>
      <c r="D22" s="87"/>
      <c r="E22" s="87"/>
    </row>
    <row r="23" spans="2:5" ht="15.75">
      <c r="B23" s="287"/>
      <c r="C23" s="87"/>
      <c r="D23" s="87"/>
      <c r="E23" s="87"/>
    </row>
    <row r="24" spans="2:5" ht="15.75">
      <c r="B24" s="287"/>
      <c r="C24" s="87"/>
      <c r="D24" s="87"/>
      <c r="E24" s="87"/>
    </row>
    <row r="25" spans="2:5" ht="15.75">
      <c r="B25" s="287"/>
      <c r="C25" s="87"/>
      <c r="D25" s="87"/>
      <c r="E25" s="87"/>
    </row>
    <row r="26" spans="2:5" ht="15.75">
      <c r="B26" s="287"/>
      <c r="C26" s="87"/>
      <c r="D26" s="87"/>
      <c r="E26" s="87"/>
    </row>
    <row r="27" spans="2:5" ht="15.75">
      <c r="B27" s="278" t="s">
        <v>72</v>
      </c>
      <c r="C27" s="87"/>
      <c r="D27" s="273"/>
      <c r="E27" s="273"/>
    </row>
    <row r="28" spans="2:5" ht="15.75">
      <c r="B28" s="278" t="s">
        <v>653</v>
      </c>
      <c r="C28" s="443">
        <f>IF(C29*0.1&lt;C27,"Exceed 10% Rule","")</f>
      </c>
      <c r="D28" s="279">
        <f>IF(D29*0.1&lt;D27,"Exceed 10% Rule","")</f>
      </c>
      <c r="E28" s="279">
        <f>IF(E29*0.1&lt;E27,"Exceed 10% Rule","")</f>
      </c>
    </row>
    <row r="29" spans="2:5" ht="15.75">
      <c r="B29" s="280" t="s">
        <v>171</v>
      </c>
      <c r="C29" s="321">
        <f>SUM(C18:C27)</f>
        <v>128</v>
      </c>
      <c r="D29" s="321">
        <f>SUM(D18:D27)</f>
        <v>0</v>
      </c>
      <c r="E29" s="321">
        <f>SUM(E18:E27)</f>
        <v>0</v>
      </c>
    </row>
    <row r="30" spans="2:5" ht="15.75">
      <c r="B30" s="123" t="s">
        <v>273</v>
      </c>
      <c r="C30" s="95">
        <f>C16-C29</f>
        <v>64188</v>
      </c>
      <c r="D30" s="95">
        <f>D16-D29</f>
        <v>64188</v>
      </c>
      <c r="E30" s="95">
        <f>E16-E29</f>
        <v>64188</v>
      </c>
    </row>
    <row r="31" spans="2:5" ht="15.75">
      <c r="B31" s="270" t="str">
        <f>CONCATENATE("",E1-2,"/",E1-1,"/",E1," Budget Authority Amount:")</f>
        <v>2013/2014/2015 Budget Authority Amount:</v>
      </c>
      <c r="C31" s="308">
        <f>inputOth!B61</f>
        <v>65000</v>
      </c>
      <c r="D31" s="308">
        <f>inputPrYr!D49</f>
        <v>45000</v>
      </c>
      <c r="E31" s="697">
        <f>E29</f>
        <v>0</v>
      </c>
    </row>
    <row r="32" spans="2:5" ht="15.75">
      <c r="B32" s="256"/>
      <c r="C32" s="290">
        <f>IF(C29&gt;C31,"See Tab A","")</f>
      </c>
      <c r="D32" s="290">
        <f>IF(D29&gt;D31,"See Tab C","")</f>
      </c>
      <c r="E32" s="698">
        <f>IF(E30&lt;0,"See Tab E","")</f>
      </c>
    </row>
    <row r="33" spans="2:5" ht="15.75">
      <c r="B33" s="256"/>
      <c r="C33" s="290">
        <f>IF(C30&lt;0,"See Tab B","")</f>
      </c>
      <c r="D33" s="290">
        <f>IF(D30&lt;0,"See Tab D","")</f>
      </c>
      <c r="E33" s="120"/>
    </row>
    <row r="34" spans="2:5" ht="15.75">
      <c r="B34" s="62"/>
      <c r="C34" s="120"/>
      <c r="D34" s="120"/>
      <c r="E34" s="120"/>
    </row>
    <row r="35" spans="2:5" ht="15.75">
      <c r="B35" s="61" t="s">
        <v>157</v>
      </c>
      <c r="C35" s="296"/>
      <c r="D35" s="296"/>
      <c r="E35" s="296"/>
    </row>
    <row r="36" spans="2:5" ht="15.75">
      <c r="B36" s="62"/>
      <c r="C36" s="292" t="str">
        <f aca="true" t="shared" si="0" ref="C36:E37">C5</f>
        <v>Prior Year </v>
      </c>
      <c r="D36" s="188" t="str">
        <f t="shared" si="0"/>
        <v>Current Year </v>
      </c>
      <c r="E36" s="188" t="str">
        <f t="shared" si="0"/>
        <v>Proposed Budget </v>
      </c>
    </row>
    <row r="37" spans="2:5" ht="15.75">
      <c r="B37" s="446" t="str">
        <f>inputPrYr!B50</f>
        <v>EM Capital Outlay</v>
      </c>
      <c r="C37" s="284" t="str">
        <f t="shared" si="0"/>
        <v>Actual for 2013</v>
      </c>
      <c r="D37" s="284" t="str">
        <f t="shared" si="0"/>
        <v>Estimate for 2014</v>
      </c>
      <c r="E37" s="284" t="str">
        <f t="shared" si="0"/>
        <v>Year for 2015</v>
      </c>
    </row>
    <row r="38" spans="2:5" ht="15.75">
      <c r="B38" s="123" t="s">
        <v>272</v>
      </c>
      <c r="C38" s="87">
        <v>20000</v>
      </c>
      <c r="D38" s="234">
        <f>C61</f>
        <v>20000</v>
      </c>
      <c r="E38" s="234">
        <f>D61</f>
        <v>20000</v>
      </c>
    </row>
    <row r="39" spans="2:5" ht="15.75">
      <c r="B39" s="123" t="s">
        <v>274</v>
      </c>
      <c r="C39" s="83"/>
      <c r="D39" s="83"/>
      <c r="E39" s="83"/>
    </row>
    <row r="40" spans="2:5" ht="15.75">
      <c r="B40" s="287"/>
      <c r="C40" s="87"/>
      <c r="D40" s="87"/>
      <c r="E40" s="87"/>
    </row>
    <row r="41" spans="2:5" ht="15.75">
      <c r="B41" s="287"/>
      <c r="C41" s="87"/>
      <c r="D41" s="87"/>
      <c r="E41" s="87"/>
    </row>
    <row r="42" spans="2:5" ht="15.75">
      <c r="B42" s="287"/>
      <c r="C42" s="87"/>
      <c r="D42" s="87"/>
      <c r="E42" s="87"/>
    </row>
    <row r="43" spans="2:5" ht="15.75">
      <c r="B43" s="277" t="s">
        <v>165</v>
      </c>
      <c r="C43" s="87"/>
      <c r="D43" s="87"/>
      <c r="E43" s="87"/>
    </row>
    <row r="44" spans="2:5" ht="15.75">
      <c r="B44" s="278" t="s">
        <v>72</v>
      </c>
      <c r="C44" s="87"/>
      <c r="D44" s="273"/>
      <c r="E44" s="273"/>
    </row>
    <row r="45" spans="2:5" ht="15.75">
      <c r="B45" s="278" t="s">
        <v>654</v>
      </c>
      <c r="C45" s="443">
        <f>IF(C46*0.1&lt;C44,"Exceed 10% Rule","")</f>
      </c>
      <c r="D45" s="279">
        <f>IF(D46*0.1&lt;D44,"Exceed 10% Rule","")</f>
      </c>
      <c r="E45" s="279">
        <f>IF(E46*0.1&lt;E44,"Exceed 10% Rule","")</f>
      </c>
    </row>
    <row r="46" spans="2:5" ht="15.75">
      <c r="B46" s="280" t="s">
        <v>166</v>
      </c>
      <c r="C46" s="321">
        <f>SUM(C40:C44)</f>
        <v>0</v>
      </c>
      <c r="D46" s="321">
        <f>SUM(D40:D44)</f>
        <v>0</v>
      </c>
      <c r="E46" s="321">
        <f>SUM(E40:E44)</f>
        <v>0</v>
      </c>
    </row>
    <row r="47" spans="2:5" ht="15.75">
      <c r="B47" s="280" t="s">
        <v>167</v>
      </c>
      <c r="C47" s="321">
        <f>C38+C46</f>
        <v>20000</v>
      </c>
      <c r="D47" s="321">
        <f>D38+D46</f>
        <v>20000</v>
      </c>
      <c r="E47" s="321">
        <f>E38+E46</f>
        <v>20000</v>
      </c>
    </row>
    <row r="48" spans="2:5" ht="15.75">
      <c r="B48" s="123" t="s">
        <v>170</v>
      </c>
      <c r="C48" s="234"/>
      <c r="D48" s="234"/>
      <c r="E48" s="234"/>
    </row>
    <row r="49" spans="2:5" ht="15.75">
      <c r="B49" s="287"/>
      <c r="C49" s="87"/>
      <c r="D49" s="87"/>
      <c r="E49" s="87"/>
    </row>
    <row r="50" spans="2:5" ht="15.75">
      <c r="B50" s="287"/>
      <c r="C50" s="87"/>
      <c r="D50" s="87"/>
      <c r="E50" s="87"/>
    </row>
    <row r="51" spans="2:5" ht="15.75">
      <c r="B51" s="287"/>
      <c r="C51" s="87"/>
      <c r="D51" s="87"/>
      <c r="E51" s="87"/>
    </row>
    <row r="52" spans="2:5" ht="15.75">
      <c r="B52" s="287"/>
      <c r="C52" s="87"/>
      <c r="D52" s="87"/>
      <c r="E52" s="87"/>
    </row>
    <row r="53" spans="2:5" ht="15.75">
      <c r="B53" s="287"/>
      <c r="C53" s="87"/>
      <c r="D53" s="87"/>
      <c r="E53" s="87"/>
    </row>
    <row r="54" spans="2:5" ht="15.75">
      <c r="B54" s="287"/>
      <c r="C54" s="87"/>
      <c r="D54" s="87"/>
      <c r="E54" s="87"/>
    </row>
    <row r="55" spans="2:5" ht="15.75">
      <c r="B55" s="287"/>
      <c r="C55" s="87"/>
      <c r="D55" s="87"/>
      <c r="E55" s="87"/>
    </row>
    <row r="56" spans="2:5" ht="15.75">
      <c r="B56" s="287"/>
      <c r="C56" s="87"/>
      <c r="D56" s="87"/>
      <c r="E56" s="87"/>
    </row>
    <row r="57" spans="2:5" ht="15.75">
      <c r="B57" s="287"/>
      <c r="C57" s="87"/>
      <c r="D57" s="87"/>
      <c r="E57" s="87"/>
    </row>
    <row r="58" spans="2:5" ht="15.75">
      <c r="B58" s="278" t="s">
        <v>72</v>
      </c>
      <c r="C58" s="87"/>
      <c r="D58" s="273"/>
      <c r="E58" s="273"/>
    </row>
    <row r="59" spans="2:5" ht="15.75">
      <c r="B59" s="278" t="s">
        <v>653</v>
      </c>
      <c r="C59" s="443">
        <f>IF(C60*0.1&lt;C58,"Exceed 10% Rule","")</f>
      </c>
      <c r="D59" s="279">
        <f>IF(D60*0.1&lt;D58,"Exceed 10% Rule","")</f>
      </c>
      <c r="E59" s="279">
        <f>IF(E60*0.1&lt;E58,"Exceed 10% Rule","")</f>
      </c>
    </row>
    <row r="60" spans="2:5" ht="15.75">
      <c r="B60" s="280" t="s">
        <v>171</v>
      </c>
      <c r="C60" s="321">
        <f>SUM(C49:C58)</f>
        <v>0</v>
      </c>
      <c r="D60" s="321">
        <f>SUM(D49:D58)</f>
        <v>0</v>
      </c>
      <c r="E60" s="321">
        <f>SUM(E49:E58)</f>
        <v>0</v>
      </c>
    </row>
    <row r="61" spans="2:5" ht="15.75">
      <c r="B61" s="123" t="s">
        <v>273</v>
      </c>
      <c r="C61" s="95">
        <f>C47-C60</f>
        <v>20000</v>
      </c>
      <c r="D61" s="95">
        <f>D47-D60</f>
        <v>20000</v>
      </c>
      <c r="E61" s="95">
        <f>E47-E60</f>
        <v>20000</v>
      </c>
    </row>
    <row r="62" spans="2:5" ht="15.75">
      <c r="B62" s="270" t="str">
        <f>CONCATENATE("",E1-2,"/",E1-1,"/",E1," Budget Authority Amount:")</f>
        <v>2013/2014/2015 Budget Authority Amount:</v>
      </c>
      <c r="C62" s="308">
        <f>inputOth!B62</f>
        <v>0</v>
      </c>
      <c r="D62" s="308">
        <f>inputPrYr!D50</f>
        <v>0</v>
      </c>
      <c r="E62" s="697">
        <f>E60</f>
        <v>0</v>
      </c>
    </row>
    <row r="63" spans="2:5" ht="15.75">
      <c r="B63" s="256"/>
      <c r="C63" s="290">
        <f>IF(C60&gt;C62,"See Tab A","")</f>
      </c>
      <c r="D63" s="290">
        <f>IF(D60&gt;D62,"See Tab C","")</f>
      </c>
      <c r="E63" s="699">
        <f>IF(E61&lt;0,"See Tab E","")</f>
      </c>
    </row>
    <row r="64" spans="2:5" ht="15.75">
      <c r="B64" s="256"/>
      <c r="C64" s="290">
        <f>IF(C61&lt;0,"See Tab B","")</f>
      </c>
      <c r="D64" s="290">
        <f>IF(D61&lt;0,"See Tab D","")</f>
      </c>
      <c r="E64" s="62"/>
    </row>
    <row r="65" spans="2:5" ht="15.75">
      <c r="B65" s="62"/>
      <c r="C65" s="62"/>
      <c r="D65" s="62"/>
      <c r="E65" s="62"/>
    </row>
    <row r="66" spans="2:5" ht="15.75">
      <c r="B66" s="256" t="s">
        <v>192</v>
      </c>
      <c r="C66" s="318">
        <v>24</v>
      </c>
      <c r="D66" s="62"/>
      <c r="E66" s="62"/>
    </row>
  </sheetData>
  <sheetProtection sheet="1"/>
  <conditionalFormatting sqref="C27">
    <cfRule type="cellIs" priority="3" dxfId="408" operator="greaterThan" stopIfTrue="1">
      <formula>$C$29*0.1</formula>
    </cfRule>
  </conditionalFormatting>
  <conditionalFormatting sqref="D27">
    <cfRule type="cellIs" priority="4" dxfId="408" operator="greaterThan" stopIfTrue="1">
      <formula>$D$29*0.1</formula>
    </cfRule>
  </conditionalFormatting>
  <conditionalFormatting sqref="E27">
    <cfRule type="cellIs" priority="5" dxfId="408" operator="greaterThan" stopIfTrue="1">
      <formula>$E$29*0.1</formula>
    </cfRule>
  </conditionalFormatting>
  <conditionalFormatting sqref="C13">
    <cfRule type="cellIs" priority="6" dxfId="408" operator="greaterThan" stopIfTrue="1">
      <formula>$C$15*0.1</formula>
    </cfRule>
  </conditionalFormatting>
  <conditionalFormatting sqref="D13">
    <cfRule type="cellIs" priority="7" dxfId="408" operator="greaterThan" stopIfTrue="1">
      <formula>$D$15*0.1</formula>
    </cfRule>
  </conditionalFormatting>
  <conditionalFormatting sqref="E13">
    <cfRule type="cellIs" priority="8" dxfId="408" operator="greaterThan" stopIfTrue="1">
      <formula>$E$15*0.1</formula>
    </cfRule>
  </conditionalFormatting>
  <conditionalFormatting sqref="C44">
    <cfRule type="cellIs" priority="9" dxfId="408" operator="greaterThan" stopIfTrue="1">
      <formula>$C$46*0.1</formula>
    </cfRule>
  </conditionalFormatting>
  <conditionalFormatting sqref="D44">
    <cfRule type="cellIs" priority="10" dxfId="408" operator="greaterThan" stopIfTrue="1">
      <formula>$D$46*0.1</formula>
    </cfRule>
  </conditionalFormatting>
  <conditionalFormatting sqref="E44">
    <cfRule type="cellIs" priority="11" dxfId="408" operator="greaterThan" stopIfTrue="1">
      <formula>$E$46*0.1</formula>
    </cfRule>
  </conditionalFormatting>
  <conditionalFormatting sqref="C58">
    <cfRule type="cellIs" priority="12" dxfId="408" operator="greaterThan" stopIfTrue="1">
      <formula>$C$60*0.1</formula>
    </cfRule>
  </conditionalFormatting>
  <conditionalFormatting sqref="D58">
    <cfRule type="cellIs" priority="13" dxfId="408" operator="greaterThan" stopIfTrue="1">
      <formula>$D$60*0.1</formula>
    </cfRule>
  </conditionalFormatting>
  <conditionalFormatting sqref="E58">
    <cfRule type="cellIs" priority="14" dxfId="408" operator="greaterThan" stopIfTrue="1">
      <formula>$E$60*0.1</formula>
    </cfRule>
  </conditionalFormatting>
  <conditionalFormatting sqref="E30 C30 E61 C61">
    <cfRule type="cellIs" priority="15" dxfId="2" operator="lessThan" stopIfTrue="1">
      <formula>0</formula>
    </cfRule>
  </conditionalFormatting>
  <conditionalFormatting sqref="D29">
    <cfRule type="cellIs" priority="16" dxfId="2" operator="greaterThan" stopIfTrue="1">
      <formula>$D$31</formula>
    </cfRule>
  </conditionalFormatting>
  <conditionalFormatting sqref="C29">
    <cfRule type="cellIs" priority="17" dxfId="2" operator="greaterThan" stopIfTrue="1">
      <formula>$C$31</formula>
    </cfRule>
  </conditionalFormatting>
  <conditionalFormatting sqref="D60">
    <cfRule type="cellIs" priority="18" dxfId="2" operator="greaterThan" stopIfTrue="1">
      <formula>$D$62</formula>
    </cfRule>
  </conditionalFormatting>
  <conditionalFormatting sqref="C60">
    <cfRule type="cellIs" priority="19" dxfId="2" operator="greaterThan" stopIfTrue="1">
      <formula>$C$62</formula>
    </cfRule>
  </conditionalFormatting>
  <conditionalFormatting sqref="D30">
    <cfRule type="cellIs" priority="2" dxfId="0" operator="lessThan" stopIfTrue="1">
      <formula>0</formula>
    </cfRule>
  </conditionalFormatting>
  <conditionalFormatting sqref="D61">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70" r:id="rId1"/>
  <headerFooter alignWithMargins="0">
    <oddHeader>&amp;RState of Kansas
County
</oddHeader>
  </headerFooter>
</worksheet>
</file>

<file path=xl/worksheets/sheet33.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28">
      <selection activeCell="B50" sqref="B50"/>
    </sheetView>
  </sheetViews>
  <sheetFormatPr defaultColWidth="8.796875" defaultRowHeight="15"/>
  <cols>
    <col min="1" max="1" width="2.3984375" style="50" customWidth="1"/>
    <col min="2" max="2" width="31.09765625" style="50" customWidth="1"/>
    <col min="3" max="4" width="15.796875" style="50" customWidth="1"/>
    <col min="5" max="5" width="16.09765625" style="50" customWidth="1"/>
    <col min="6" max="16384" width="8.8984375" style="50" customWidth="1"/>
  </cols>
  <sheetData>
    <row r="1" spans="2:5" ht="15.75">
      <c r="B1" s="201" t="str">
        <f>(inputPrYr!C2)</f>
        <v>Marshall County</v>
      </c>
      <c r="C1" s="62"/>
      <c r="D1" s="62"/>
      <c r="E1" s="255">
        <f>inputPrYr!C4</f>
        <v>2015</v>
      </c>
    </row>
    <row r="2" spans="2:5" ht="15.75">
      <c r="B2" s="62"/>
      <c r="C2" s="62"/>
      <c r="D2" s="62"/>
      <c r="E2" s="208"/>
    </row>
    <row r="3" spans="2:5" ht="15.75">
      <c r="B3" s="127" t="s">
        <v>240</v>
      </c>
      <c r="C3" s="302"/>
      <c r="D3" s="302"/>
      <c r="E3" s="303"/>
    </row>
    <row r="4" spans="2:5" ht="15.75">
      <c r="B4" s="62"/>
      <c r="C4" s="296"/>
      <c r="D4" s="296"/>
      <c r="E4" s="296"/>
    </row>
    <row r="5" spans="2:5" ht="15.75">
      <c r="B5" s="61" t="s">
        <v>157</v>
      </c>
      <c r="C5" s="292" t="str">
        <f>general!C4</f>
        <v>Prior Year </v>
      </c>
      <c r="D5" s="188" t="str">
        <f>general!D4</f>
        <v>Current Year </v>
      </c>
      <c r="E5" s="188" t="str">
        <f>general!E4</f>
        <v>Proposed Budget </v>
      </c>
    </row>
    <row r="6" spans="2:5" ht="15.75">
      <c r="B6" s="447" t="str">
        <f>inputPrYr!B51</f>
        <v>Title III C</v>
      </c>
      <c r="C6" s="284" t="str">
        <f>general!C5</f>
        <v>Actual for 2013</v>
      </c>
      <c r="D6" s="284" t="str">
        <f>general!D5</f>
        <v>Estimate for 2014</v>
      </c>
      <c r="E6" s="284" t="str">
        <f>general!E5</f>
        <v>Year for 2015</v>
      </c>
    </row>
    <row r="7" spans="2:5" ht="15.75">
      <c r="B7" s="123" t="s">
        <v>272</v>
      </c>
      <c r="C7" s="87">
        <v>-2667</v>
      </c>
      <c r="D7" s="234">
        <f>C30</f>
        <v>11579</v>
      </c>
      <c r="E7" s="234">
        <f>D30</f>
        <v>11579</v>
      </c>
    </row>
    <row r="8" spans="2:5" ht="15.75">
      <c r="B8" s="305" t="s">
        <v>274</v>
      </c>
      <c r="C8" s="83"/>
      <c r="D8" s="83"/>
      <c r="E8" s="83"/>
    </row>
    <row r="9" spans="2:5" ht="15.75">
      <c r="B9" s="287" t="s">
        <v>1082</v>
      </c>
      <c r="C9" s="87">
        <v>23390</v>
      </c>
      <c r="D9" s="87"/>
      <c r="E9" s="87"/>
    </row>
    <row r="10" spans="2:5" ht="15.75">
      <c r="B10" s="287" t="s">
        <v>72</v>
      </c>
      <c r="C10" s="87">
        <v>226500</v>
      </c>
      <c r="D10" s="87"/>
      <c r="E10" s="87"/>
    </row>
    <row r="11" spans="2:5" ht="15.75">
      <c r="B11" s="287" t="s">
        <v>1068</v>
      </c>
      <c r="C11" s="87">
        <v>-237</v>
      </c>
      <c r="D11" s="87"/>
      <c r="E11" s="87"/>
    </row>
    <row r="12" spans="2:5" ht="15.75">
      <c r="B12" s="277" t="s">
        <v>165</v>
      </c>
      <c r="C12" s="87"/>
      <c r="D12" s="87"/>
      <c r="E12" s="87"/>
    </row>
    <row r="13" spans="2:5" ht="15.75">
      <c r="B13" s="278" t="s">
        <v>72</v>
      </c>
      <c r="C13" s="87"/>
      <c r="D13" s="273"/>
      <c r="E13" s="273"/>
    </row>
    <row r="14" spans="2:5" ht="15.75">
      <c r="B14" s="278" t="s">
        <v>654</v>
      </c>
      <c r="C14" s="443">
        <f>IF(C15*0.1&lt;C13,"Exceed 10% Rule","")</f>
      </c>
      <c r="D14" s="279">
        <f>IF(D15*0.1&lt;D13,"Exceed 10% Rule","")</f>
      </c>
      <c r="E14" s="279">
        <f>IF(E15*0.1&lt;E13,"Exceed 10% Rule","")</f>
      </c>
    </row>
    <row r="15" spans="2:5" ht="15.75">
      <c r="B15" s="280" t="s">
        <v>166</v>
      </c>
      <c r="C15" s="321">
        <f>SUM(C9:C13)</f>
        <v>249653</v>
      </c>
      <c r="D15" s="321">
        <f>SUM(D9:D13)</f>
        <v>0</v>
      </c>
      <c r="E15" s="321">
        <f>SUM(E9:E13)</f>
        <v>0</v>
      </c>
    </row>
    <row r="16" spans="2:5" ht="15.75">
      <c r="B16" s="280" t="s">
        <v>167</v>
      </c>
      <c r="C16" s="321">
        <f>C15+C7</f>
        <v>246986</v>
      </c>
      <c r="D16" s="321">
        <f>D15+D7</f>
        <v>11579</v>
      </c>
      <c r="E16" s="321">
        <f>E15+E7</f>
        <v>11579</v>
      </c>
    </row>
    <row r="17" spans="2:5" ht="15.75">
      <c r="B17" s="123" t="s">
        <v>170</v>
      </c>
      <c r="C17" s="234"/>
      <c r="D17" s="234"/>
      <c r="E17" s="234"/>
    </row>
    <row r="18" spans="2:5" ht="15.75">
      <c r="B18" s="287" t="s">
        <v>1038</v>
      </c>
      <c r="C18" s="87">
        <v>105617</v>
      </c>
      <c r="D18" s="87"/>
      <c r="E18" s="87"/>
    </row>
    <row r="19" spans="2:5" ht="15.75">
      <c r="B19" s="287" t="s">
        <v>1039</v>
      </c>
      <c r="C19" s="87">
        <v>48137</v>
      </c>
      <c r="D19" s="87"/>
      <c r="E19" s="87"/>
    </row>
    <row r="20" spans="2:5" ht="15.75">
      <c r="B20" s="287" t="s">
        <v>1040</v>
      </c>
      <c r="C20" s="87">
        <v>81653</v>
      </c>
      <c r="D20" s="87"/>
      <c r="E20" s="87"/>
    </row>
    <row r="21" spans="2:5" ht="15.75">
      <c r="B21" s="287"/>
      <c r="C21" s="87"/>
      <c r="D21" s="87"/>
      <c r="E21" s="87"/>
    </row>
    <row r="22" spans="2:5" ht="15.75">
      <c r="B22" s="287"/>
      <c r="C22" s="87"/>
      <c r="D22" s="87"/>
      <c r="E22" s="87"/>
    </row>
    <row r="23" spans="2:5" ht="15.75">
      <c r="B23" s="287"/>
      <c r="C23" s="87"/>
      <c r="D23" s="87"/>
      <c r="E23" s="87"/>
    </row>
    <row r="24" spans="2:5" ht="15.75">
      <c r="B24" s="287"/>
      <c r="C24" s="87"/>
      <c r="D24" s="87"/>
      <c r="E24" s="87"/>
    </row>
    <row r="25" spans="2:5" ht="15.75">
      <c r="B25" s="287"/>
      <c r="C25" s="87"/>
      <c r="D25" s="87"/>
      <c r="E25" s="87"/>
    </row>
    <row r="26" spans="2:5" ht="15.75">
      <c r="B26" s="287"/>
      <c r="C26" s="87"/>
      <c r="D26" s="87"/>
      <c r="E26" s="87"/>
    </row>
    <row r="27" spans="2:5" ht="15.75">
      <c r="B27" s="278" t="s">
        <v>72</v>
      </c>
      <c r="C27" s="87"/>
      <c r="D27" s="273"/>
      <c r="E27" s="273"/>
    </row>
    <row r="28" spans="2:5" ht="15.75">
      <c r="B28" s="278" t="s">
        <v>653</v>
      </c>
      <c r="C28" s="443">
        <f>IF(C29*0.1&lt;C27,"Exceed 10% Rule","")</f>
      </c>
      <c r="D28" s="279">
        <f>IF(D29*0.1&lt;D27,"Exceed 10% Rule","")</f>
      </c>
      <c r="E28" s="279">
        <f>IF(E29*0.1&lt;E27,"Exceed 10% Rule","")</f>
      </c>
    </row>
    <row r="29" spans="2:5" ht="15.75">
      <c r="B29" s="280" t="s">
        <v>171</v>
      </c>
      <c r="C29" s="321">
        <f>SUM(C18:C27)</f>
        <v>235407</v>
      </c>
      <c r="D29" s="321">
        <f>SUM(D18:D27)</f>
        <v>0</v>
      </c>
      <c r="E29" s="321">
        <f>SUM(E18:E27)</f>
        <v>0</v>
      </c>
    </row>
    <row r="30" spans="2:5" ht="15.75">
      <c r="B30" s="123" t="s">
        <v>273</v>
      </c>
      <c r="C30" s="95">
        <f>C16-C29</f>
        <v>11579</v>
      </c>
      <c r="D30" s="95">
        <f>D16-D29</f>
        <v>11579</v>
      </c>
      <c r="E30" s="95">
        <f>E16-E29</f>
        <v>11579</v>
      </c>
    </row>
    <row r="31" spans="2:5" ht="15.75">
      <c r="B31" s="270" t="str">
        <f>CONCATENATE("",E1-2,"/",E1-1,"/",E1," Budget Authority Amount:")</f>
        <v>2013/2014/2015 Budget Authority Amount:</v>
      </c>
      <c r="C31" s="308">
        <f>inputOth!B63</f>
        <v>250000</v>
      </c>
      <c r="D31" s="308">
        <f>inputPrYr!D51</f>
        <v>250000</v>
      </c>
      <c r="E31" s="697">
        <f>E29</f>
        <v>0</v>
      </c>
    </row>
    <row r="32" spans="2:5" ht="15.75">
      <c r="B32" s="256"/>
      <c r="C32" s="290">
        <f>IF(C29&gt;C31,"See Tab A","")</f>
      </c>
      <c r="D32" s="290">
        <f>IF(D29&gt;D31,"See Tab C","")</f>
      </c>
      <c r="E32" s="698">
        <f>IF(E30&lt;0,"See Tab E","")</f>
      </c>
    </row>
    <row r="33" spans="2:5" ht="15.75">
      <c r="B33" s="256"/>
      <c r="C33" s="290">
        <f>IF(C30&lt;0,"See Tab B","")</f>
      </c>
      <c r="D33" s="290">
        <f>IF(D30&lt;0,"See Tab D","")</f>
      </c>
      <c r="E33" s="120"/>
    </row>
    <row r="34" spans="2:5" ht="15.75">
      <c r="B34" s="62"/>
      <c r="C34" s="120"/>
      <c r="D34" s="120"/>
      <c r="E34" s="120"/>
    </row>
    <row r="35" spans="2:5" ht="15.75">
      <c r="B35" s="61" t="s">
        <v>157</v>
      </c>
      <c r="C35" s="296"/>
      <c r="D35" s="296"/>
      <c r="E35" s="296"/>
    </row>
    <row r="36" spans="2:5" ht="15.75">
      <c r="B36" s="62"/>
      <c r="C36" s="292" t="str">
        <f aca="true" t="shared" si="0" ref="C36:E37">C5</f>
        <v>Prior Year </v>
      </c>
      <c r="D36" s="188" t="str">
        <f t="shared" si="0"/>
        <v>Current Year </v>
      </c>
      <c r="E36" s="188" t="str">
        <f t="shared" si="0"/>
        <v>Proposed Budget </v>
      </c>
    </row>
    <row r="37" spans="2:5" ht="15.75">
      <c r="B37" s="446" t="str">
        <f>inputPrYr!B52</f>
        <v>Special Machinery</v>
      </c>
      <c r="C37" s="511" t="str">
        <f t="shared" si="0"/>
        <v>Actual for 2013</v>
      </c>
      <c r="D37" s="511" t="str">
        <f t="shared" si="0"/>
        <v>Estimate for 2014</v>
      </c>
      <c r="E37" s="511" t="str">
        <f t="shared" si="0"/>
        <v>Year for 2015</v>
      </c>
    </row>
    <row r="38" spans="2:5" ht="15.75">
      <c r="B38" s="123" t="s">
        <v>272</v>
      </c>
      <c r="C38" s="87">
        <v>295000</v>
      </c>
      <c r="D38" s="234">
        <f>C61</f>
        <v>185242</v>
      </c>
      <c r="E38" s="234">
        <f>D61</f>
        <v>185242</v>
      </c>
    </row>
    <row r="39" spans="2:5" ht="15.75">
      <c r="B39" s="123" t="s">
        <v>274</v>
      </c>
      <c r="C39" s="83"/>
      <c r="D39" s="83"/>
      <c r="E39" s="83"/>
    </row>
    <row r="40" spans="2:5" ht="15.75">
      <c r="B40" s="287" t="s">
        <v>1035</v>
      </c>
      <c r="C40" s="87">
        <v>300000</v>
      </c>
      <c r="D40" s="87"/>
      <c r="E40" s="87"/>
    </row>
    <row r="41" spans="2:5" ht="15.75">
      <c r="B41" s="287" t="s">
        <v>1083</v>
      </c>
      <c r="C41" s="87">
        <v>50000</v>
      </c>
      <c r="D41" s="87"/>
      <c r="E41" s="87"/>
    </row>
    <row r="42" spans="2:5" ht="15.75">
      <c r="B42" s="287"/>
      <c r="C42" s="87"/>
      <c r="D42" s="87"/>
      <c r="E42" s="87"/>
    </row>
    <row r="43" spans="2:5" ht="15.75">
      <c r="B43" s="277" t="s">
        <v>165</v>
      </c>
      <c r="C43" s="87"/>
      <c r="D43" s="87"/>
      <c r="E43" s="87"/>
    </row>
    <row r="44" spans="2:5" ht="15.75">
      <c r="B44" s="278" t="s">
        <v>72</v>
      </c>
      <c r="C44" s="87"/>
      <c r="D44" s="273"/>
      <c r="E44" s="273"/>
    </row>
    <row r="45" spans="2:5" ht="15.75">
      <c r="B45" s="278" t="s">
        <v>654</v>
      </c>
      <c r="C45" s="443">
        <f>IF(C46*0.1&lt;C44,"Exceed 10% Rule","")</f>
      </c>
      <c r="D45" s="279">
        <f>IF(D46*0.1&lt;D44,"Exceed 10% Rule","")</f>
      </c>
      <c r="E45" s="279">
        <f>IF(E46*0.1&lt;E44,"Exceed 10% Rule","")</f>
      </c>
    </row>
    <row r="46" spans="2:5" ht="15.75">
      <c r="B46" s="280" t="s">
        <v>166</v>
      </c>
      <c r="C46" s="321">
        <f>SUM(C40:C44)</f>
        <v>350000</v>
      </c>
      <c r="D46" s="321">
        <f>SUM(D40:D44)</f>
        <v>0</v>
      </c>
      <c r="E46" s="321">
        <f>SUM(E40:E44)</f>
        <v>0</v>
      </c>
    </row>
    <row r="47" spans="2:5" ht="15.75">
      <c r="B47" s="280" t="s">
        <v>167</v>
      </c>
      <c r="C47" s="321">
        <f>C38+C46</f>
        <v>645000</v>
      </c>
      <c r="D47" s="321">
        <f>D38+D46</f>
        <v>185242</v>
      </c>
      <c r="E47" s="321">
        <f>E38+E46</f>
        <v>185242</v>
      </c>
    </row>
    <row r="48" spans="2:5" ht="15.75">
      <c r="B48" s="123" t="s">
        <v>170</v>
      </c>
      <c r="C48" s="234"/>
      <c r="D48" s="234"/>
      <c r="E48" s="234"/>
    </row>
    <row r="49" spans="2:5" ht="15.75">
      <c r="B49" s="287" t="s">
        <v>1041</v>
      </c>
      <c r="C49" s="87">
        <v>459758</v>
      </c>
      <c r="D49" s="87"/>
      <c r="E49" s="87"/>
    </row>
    <row r="50" spans="2:5" ht="15.75">
      <c r="B50" s="287"/>
      <c r="C50" s="87"/>
      <c r="D50" s="87"/>
      <c r="E50" s="87"/>
    </row>
    <row r="51" spans="2:5" ht="15.75">
      <c r="B51" s="287"/>
      <c r="C51" s="87"/>
      <c r="D51" s="87"/>
      <c r="E51" s="87"/>
    </row>
    <row r="52" spans="2:5" ht="15.75">
      <c r="B52" s="287"/>
      <c r="C52" s="87"/>
      <c r="D52" s="87"/>
      <c r="E52" s="87"/>
    </row>
    <row r="53" spans="2:5" ht="15.75">
      <c r="B53" s="287"/>
      <c r="C53" s="87"/>
      <c r="D53" s="87"/>
      <c r="E53" s="87"/>
    </row>
    <row r="54" spans="2:5" ht="15.75">
      <c r="B54" s="287"/>
      <c r="C54" s="87"/>
      <c r="D54" s="87"/>
      <c r="E54" s="87"/>
    </row>
    <row r="55" spans="2:5" ht="15.75">
      <c r="B55" s="287"/>
      <c r="C55" s="87"/>
      <c r="D55" s="87"/>
      <c r="E55" s="87"/>
    </row>
    <row r="56" spans="2:5" ht="15.75">
      <c r="B56" s="287"/>
      <c r="C56" s="87"/>
      <c r="D56" s="87"/>
      <c r="E56" s="87"/>
    </row>
    <row r="57" spans="2:5" ht="15.75">
      <c r="B57" s="287"/>
      <c r="C57" s="87"/>
      <c r="D57" s="87"/>
      <c r="E57" s="87"/>
    </row>
    <row r="58" spans="2:5" ht="15.75">
      <c r="B58" s="278" t="s">
        <v>72</v>
      </c>
      <c r="C58" s="87"/>
      <c r="D58" s="273"/>
      <c r="E58" s="273"/>
    </row>
    <row r="59" spans="2:5" ht="15.75">
      <c r="B59" s="278" t="s">
        <v>653</v>
      </c>
      <c r="C59" s="443">
        <f>IF(C60*0.1&lt;C58,"Exceed 10% Rule","")</f>
      </c>
      <c r="D59" s="279">
        <f>IF(D60*0.1&lt;D58,"Exceed 10% Rule","")</f>
      </c>
      <c r="E59" s="279">
        <f>IF(E60*0.1&lt;E58,"Exceed 10% Rule","")</f>
      </c>
    </row>
    <row r="60" spans="2:5" ht="15.75">
      <c r="B60" s="280" t="s">
        <v>171</v>
      </c>
      <c r="C60" s="321">
        <f>SUM(C49:C58)</f>
        <v>459758</v>
      </c>
      <c r="D60" s="321">
        <f>SUM(D49:D58)</f>
        <v>0</v>
      </c>
      <c r="E60" s="321">
        <f>SUM(E49:E58)</f>
        <v>0</v>
      </c>
    </row>
    <row r="61" spans="2:5" ht="15.75">
      <c r="B61" s="123" t="s">
        <v>273</v>
      </c>
      <c r="C61" s="95">
        <f>C47-C60</f>
        <v>185242</v>
      </c>
      <c r="D61" s="95">
        <f>D47-D60</f>
        <v>185242</v>
      </c>
      <c r="E61" s="95">
        <f>E47-E60</f>
        <v>185242</v>
      </c>
    </row>
    <row r="62" spans="2:5" ht="15.75">
      <c r="B62" s="270" t="str">
        <f>CONCATENATE("",E1-2,"/",E1-1,"/",E1," Budget Authority Amount:")</f>
        <v>2013/2014/2015 Budget Authority Amount:</v>
      </c>
      <c r="C62" s="308">
        <f>inputOth!B64</f>
        <v>500000</v>
      </c>
      <c r="D62" s="308">
        <f>inputPrYr!D52</f>
        <v>500000</v>
      </c>
      <c r="E62" s="697">
        <f>E60</f>
        <v>0</v>
      </c>
    </row>
    <row r="63" spans="2:5" ht="15.75">
      <c r="B63" s="256"/>
      <c r="C63" s="290">
        <f>IF(C60&gt;C62,"See Tab A","")</f>
      </c>
      <c r="D63" s="290">
        <f>IF(D60&gt;D62,"See Tab C","")</f>
      </c>
      <c r="E63" s="699">
        <f>IF(E61&lt;0,"See Tab E","")</f>
      </c>
    </row>
    <row r="64" spans="2:5" ht="15.75">
      <c r="B64" s="256"/>
      <c r="C64" s="290">
        <f>IF(C61&lt;0,"See Tab B","")</f>
      </c>
      <c r="D64" s="290">
        <f>IF(D61&lt;0,"See Tab D","")</f>
      </c>
      <c r="E64" s="62"/>
    </row>
    <row r="65" spans="2:5" ht="15.75">
      <c r="B65" s="62"/>
      <c r="C65" s="62"/>
      <c r="D65" s="62"/>
      <c r="E65" s="62"/>
    </row>
    <row r="66" spans="2:5" ht="15.75">
      <c r="B66" s="256" t="s">
        <v>192</v>
      </c>
      <c r="C66" s="318">
        <v>25</v>
      </c>
      <c r="D66" s="62"/>
      <c r="E66" s="62"/>
    </row>
  </sheetData>
  <sheetProtection sheet="1"/>
  <conditionalFormatting sqref="C27">
    <cfRule type="cellIs" priority="2" dxfId="408" operator="greaterThan" stopIfTrue="1">
      <formula>$C$29*0.1</formula>
    </cfRule>
  </conditionalFormatting>
  <conditionalFormatting sqref="D27">
    <cfRule type="cellIs" priority="3" dxfId="408" operator="greaterThan" stopIfTrue="1">
      <formula>$D$29*0.1</formula>
    </cfRule>
  </conditionalFormatting>
  <conditionalFormatting sqref="E27">
    <cfRule type="cellIs" priority="4" dxfId="408" operator="greaterThan" stopIfTrue="1">
      <formula>$E$29*0.1</formula>
    </cfRule>
  </conditionalFormatting>
  <conditionalFormatting sqref="C13">
    <cfRule type="cellIs" priority="5" dxfId="408" operator="greaterThan" stopIfTrue="1">
      <formula>$C$15*0.1</formula>
    </cfRule>
  </conditionalFormatting>
  <conditionalFormatting sqref="D13">
    <cfRule type="cellIs" priority="6" dxfId="408" operator="greaterThan" stopIfTrue="1">
      <formula>$D$15*0.1</formula>
    </cfRule>
  </conditionalFormatting>
  <conditionalFormatting sqref="E13">
    <cfRule type="cellIs" priority="7" dxfId="408" operator="greaterThan" stopIfTrue="1">
      <formula>$E$15*0.1</formula>
    </cfRule>
  </conditionalFormatting>
  <conditionalFormatting sqref="C44">
    <cfRule type="cellIs" priority="8" dxfId="408" operator="greaterThan" stopIfTrue="1">
      <formula>$C$46*0.1</formula>
    </cfRule>
  </conditionalFormatting>
  <conditionalFormatting sqref="D44">
    <cfRule type="cellIs" priority="9" dxfId="408" operator="greaterThan" stopIfTrue="1">
      <formula>$D$46*0.1</formula>
    </cfRule>
  </conditionalFormatting>
  <conditionalFormatting sqref="E44">
    <cfRule type="cellIs" priority="10" dxfId="408" operator="greaterThan" stopIfTrue="1">
      <formula>$E$46*0.1</formula>
    </cfRule>
  </conditionalFormatting>
  <conditionalFormatting sqref="C58">
    <cfRule type="cellIs" priority="11" dxfId="408" operator="greaterThan" stopIfTrue="1">
      <formula>$C$60*0.1</formula>
    </cfRule>
  </conditionalFormatting>
  <conditionalFormatting sqref="D58">
    <cfRule type="cellIs" priority="12" dxfId="408" operator="greaterThan" stopIfTrue="1">
      <formula>$D$60*0.1</formula>
    </cfRule>
  </conditionalFormatting>
  <conditionalFormatting sqref="E58">
    <cfRule type="cellIs" priority="13" dxfId="408" operator="greaterThan" stopIfTrue="1">
      <formula>$E$60*0.1</formula>
    </cfRule>
  </conditionalFormatting>
  <conditionalFormatting sqref="E30 C30 E61 C61">
    <cfRule type="cellIs" priority="14" dxfId="2" operator="lessThan" stopIfTrue="1">
      <formula>0</formula>
    </cfRule>
  </conditionalFormatting>
  <conditionalFormatting sqref="D29">
    <cfRule type="cellIs" priority="15" dxfId="2" operator="greaterThan" stopIfTrue="1">
      <formula>$D$31</formula>
    </cfRule>
  </conditionalFormatting>
  <conditionalFormatting sqref="C29">
    <cfRule type="cellIs" priority="16" dxfId="2" operator="greaterThan" stopIfTrue="1">
      <formula>$C$31</formula>
    </cfRule>
  </conditionalFormatting>
  <conditionalFormatting sqref="D60">
    <cfRule type="cellIs" priority="17" dxfId="2" operator="greaterThan" stopIfTrue="1">
      <formula>$D$62</formula>
    </cfRule>
  </conditionalFormatting>
  <conditionalFormatting sqref="C60">
    <cfRule type="cellIs" priority="18" dxfId="2" operator="greaterThan" stopIfTrue="1">
      <formula>$C$62</formula>
    </cfRule>
  </conditionalFormatting>
  <conditionalFormatting sqref="D30">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70" r:id="rId1"/>
  <headerFooter alignWithMargins="0">
    <oddHeader>&amp;RState of Kansas
County
</oddHeader>
  </headerFooter>
</worksheet>
</file>

<file path=xl/worksheets/sheet34.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H25" sqref="H25"/>
    </sheetView>
  </sheetViews>
  <sheetFormatPr defaultColWidth="8.796875" defaultRowHeight="15"/>
  <cols>
    <col min="1" max="1" width="2.3984375" style="50" customWidth="1"/>
    <col min="2" max="2" width="31.09765625" style="50" customWidth="1"/>
    <col min="3" max="4" width="15.796875" style="50" customWidth="1"/>
    <col min="5" max="5" width="16.09765625" style="50" customWidth="1"/>
    <col min="6" max="16384" width="8.8984375" style="50" customWidth="1"/>
  </cols>
  <sheetData>
    <row r="1" spans="2:5" ht="15.75">
      <c r="B1" s="201" t="str">
        <f>(inputPrYr!C2)</f>
        <v>Marshall County</v>
      </c>
      <c r="C1" s="62"/>
      <c r="D1" s="62"/>
      <c r="E1" s="255">
        <f>inputPrYr!C4</f>
        <v>2015</v>
      </c>
    </row>
    <row r="2" spans="2:5" ht="15.75">
      <c r="B2" s="62"/>
      <c r="C2" s="62"/>
      <c r="D2" s="62"/>
      <c r="E2" s="208"/>
    </row>
    <row r="3" spans="2:5" ht="15.75">
      <c r="B3" s="127" t="s">
        <v>240</v>
      </c>
      <c r="C3" s="302"/>
      <c r="D3" s="302"/>
      <c r="E3" s="303"/>
    </row>
    <row r="4" spans="2:5" ht="15.75">
      <c r="B4" s="62"/>
      <c r="C4" s="296"/>
      <c r="D4" s="296"/>
      <c r="E4" s="296"/>
    </row>
    <row r="5" spans="2:5" ht="15.75">
      <c r="B5" s="61" t="s">
        <v>157</v>
      </c>
      <c r="C5" s="292" t="str">
        <f>general!C4</f>
        <v>Prior Year </v>
      </c>
      <c r="D5" s="188" t="str">
        <f>general!D4</f>
        <v>Current Year </v>
      </c>
      <c r="E5" s="188" t="str">
        <f>general!E4</f>
        <v>Proposed Budget </v>
      </c>
    </row>
    <row r="6" spans="2:5" ht="15.75">
      <c r="B6" s="447" t="str">
        <f>inputPrYr!B53</f>
        <v>Motor Vehicle Operating</v>
      </c>
      <c r="C6" s="284" t="str">
        <f>general!C5</f>
        <v>Actual for 2013</v>
      </c>
      <c r="D6" s="284" t="str">
        <f>general!D5</f>
        <v>Estimate for 2014</v>
      </c>
      <c r="E6" s="271" t="str">
        <f>general!E5</f>
        <v>Year for 2015</v>
      </c>
    </row>
    <row r="7" spans="2:5" ht="15.75">
      <c r="B7" s="123" t="s">
        <v>272</v>
      </c>
      <c r="C7" s="87">
        <v>21423</v>
      </c>
      <c r="D7" s="234">
        <f>C30</f>
        <v>2669</v>
      </c>
      <c r="E7" s="234">
        <f>D30</f>
        <v>114388</v>
      </c>
    </row>
    <row r="8" spans="2:5" ht="15.75">
      <c r="B8" s="305" t="s">
        <v>274</v>
      </c>
      <c r="C8" s="83"/>
      <c r="D8" s="83"/>
      <c r="E8" s="83"/>
    </row>
    <row r="9" spans="2:5" ht="15.75">
      <c r="B9" s="287" t="s">
        <v>1086</v>
      </c>
      <c r="C9" s="87">
        <v>2580</v>
      </c>
      <c r="D9" s="87">
        <v>2580</v>
      </c>
      <c r="E9" s="87">
        <v>2580</v>
      </c>
    </row>
    <row r="10" spans="2:5" ht="15.75">
      <c r="B10" s="287" t="s">
        <v>1087</v>
      </c>
      <c r="C10" s="87">
        <v>2868</v>
      </c>
      <c r="D10" s="87">
        <v>2868</v>
      </c>
      <c r="E10" s="87">
        <v>2868</v>
      </c>
    </row>
    <row r="11" spans="2:5" ht="15.75">
      <c r="B11" s="287" t="s">
        <v>1035</v>
      </c>
      <c r="C11" s="87">
        <v>106271</v>
      </c>
      <c r="D11" s="87">
        <v>106271</v>
      </c>
      <c r="E11" s="87">
        <v>106271</v>
      </c>
    </row>
    <row r="12" spans="2:5" ht="15.75">
      <c r="B12" s="277" t="s">
        <v>165</v>
      </c>
      <c r="C12" s="87"/>
      <c r="D12" s="87"/>
      <c r="E12" s="87"/>
    </row>
    <row r="13" spans="2:5" ht="15.75">
      <c r="B13" s="278" t="s">
        <v>72</v>
      </c>
      <c r="C13" s="87"/>
      <c r="D13" s="273"/>
      <c r="E13" s="273"/>
    </row>
    <row r="14" spans="2:5" ht="15.75">
      <c r="B14" s="278" t="s">
        <v>654</v>
      </c>
      <c r="C14" s="443">
        <f>IF(C15*0.1&lt;C13,"Exceed 10% Rule","")</f>
      </c>
      <c r="D14" s="279">
        <f>IF(D15*0.1&lt;D13,"Exceed 10% Rule","")</f>
      </c>
      <c r="E14" s="279">
        <f>IF(E15*0.1&lt;E13,"Exceed 10% Rule","")</f>
      </c>
    </row>
    <row r="15" spans="2:5" ht="15.75">
      <c r="B15" s="280" t="s">
        <v>166</v>
      </c>
      <c r="C15" s="321">
        <f>SUM(C9:C13)</f>
        <v>111719</v>
      </c>
      <c r="D15" s="321">
        <f>SUM(D9:D13)</f>
        <v>111719</v>
      </c>
      <c r="E15" s="321">
        <f>SUM(E9:E13)</f>
        <v>111719</v>
      </c>
    </row>
    <row r="16" spans="2:5" ht="15.75">
      <c r="B16" s="280" t="s">
        <v>167</v>
      </c>
      <c r="C16" s="321">
        <f>C15+C7</f>
        <v>133142</v>
      </c>
      <c r="D16" s="321">
        <f>D15+D7</f>
        <v>114388</v>
      </c>
      <c r="E16" s="321">
        <f>E15+E7</f>
        <v>226107</v>
      </c>
    </row>
    <row r="17" spans="2:5" ht="15.75">
      <c r="B17" s="123" t="s">
        <v>170</v>
      </c>
      <c r="C17" s="234"/>
      <c r="D17" s="234"/>
      <c r="E17" s="234"/>
    </row>
    <row r="18" spans="2:5" ht="15.75">
      <c r="B18" s="287" t="s">
        <v>1038</v>
      </c>
      <c r="C18" s="87">
        <v>76839</v>
      </c>
      <c r="D18" s="87"/>
      <c r="E18" s="87"/>
    </row>
    <row r="19" spans="2:5" ht="15.75">
      <c r="B19" s="287" t="s">
        <v>1084</v>
      </c>
      <c r="C19" s="87">
        <v>6153</v>
      </c>
      <c r="D19" s="87"/>
      <c r="E19" s="87"/>
    </row>
    <row r="20" spans="2:5" ht="15.75">
      <c r="B20" s="287" t="s">
        <v>1040</v>
      </c>
      <c r="C20" s="87">
        <v>2310</v>
      </c>
      <c r="D20" s="87"/>
      <c r="E20" s="87"/>
    </row>
    <row r="21" spans="2:5" ht="15.75">
      <c r="B21" s="287" t="s">
        <v>1041</v>
      </c>
      <c r="C21" s="87">
        <v>5672</v>
      </c>
      <c r="D21" s="87"/>
      <c r="E21" s="87"/>
    </row>
    <row r="22" spans="2:5" ht="15.75">
      <c r="B22" s="287" t="s">
        <v>1085</v>
      </c>
      <c r="C22" s="87">
        <v>39499</v>
      </c>
      <c r="D22" s="87"/>
      <c r="E22" s="87"/>
    </row>
    <row r="23" spans="2:5" ht="15.75">
      <c r="B23" s="287"/>
      <c r="C23" s="87"/>
      <c r="D23" s="87"/>
      <c r="E23" s="87"/>
    </row>
    <row r="24" spans="2:5" ht="15.75">
      <c r="B24" s="287"/>
      <c r="C24" s="87"/>
      <c r="D24" s="87"/>
      <c r="E24" s="87"/>
    </row>
    <row r="25" spans="2:5" ht="15.75">
      <c r="B25" s="287"/>
      <c r="C25" s="87"/>
      <c r="D25" s="87"/>
      <c r="E25" s="87"/>
    </row>
    <row r="26" spans="2:5" ht="15.75">
      <c r="B26" s="287"/>
      <c r="C26" s="87"/>
      <c r="D26" s="87"/>
      <c r="E26" s="87"/>
    </row>
    <row r="27" spans="2:5" ht="15.75">
      <c r="B27" s="278" t="s">
        <v>72</v>
      </c>
      <c r="C27" s="87"/>
      <c r="D27" s="273"/>
      <c r="E27" s="273"/>
    </row>
    <row r="28" spans="2:5" ht="15.75">
      <c r="B28" s="278" t="s">
        <v>653</v>
      </c>
      <c r="C28" s="443">
        <f>IF(C29*0.1&lt;C27,"Exceed 10% Rule","")</f>
      </c>
      <c r="D28" s="279">
        <f>IF(D29*0.1&lt;D27,"Exceed 10% Rule","")</f>
      </c>
      <c r="E28" s="279">
        <f>IF(E29*0.1&lt;E27,"Exceed 10% Rule","")</f>
      </c>
    </row>
    <row r="29" spans="2:5" ht="15.75">
      <c r="B29" s="280" t="s">
        <v>171</v>
      </c>
      <c r="C29" s="321">
        <f>SUM(C18:C27)</f>
        <v>130473</v>
      </c>
      <c r="D29" s="321">
        <f>SUM(D18:D27)</f>
        <v>0</v>
      </c>
      <c r="E29" s="321">
        <f>SUM(E18:E27)</f>
        <v>0</v>
      </c>
    </row>
    <row r="30" spans="2:5" ht="15.75">
      <c r="B30" s="123" t="s">
        <v>273</v>
      </c>
      <c r="C30" s="95">
        <f>C16-C29</f>
        <v>2669</v>
      </c>
      <c r="D30" s="95">
        <f>D16-D29</f>
        <v>114388</v>
      </c>
      <c r="E30" s="95">
        <f>E16-E29</f>
        <v>226107</v>
      </c>
    </row>
    <row r="31" spans="2:5" ht="15.75">
      <c r="B31" s="270" t="str">
        <f>CONCATENATE("",E1-2,"/",E1-1,"/",E1," Budget Authority Amount:")</f>
        <v>2013/2014/2015 Budget Authority Amount:</v>
      </c>
      <c r="C31" s="308">
        <f>inputOth!B65</f>
        <v>130500</v>
      </c>
      <c r="D31" s="308">
        <f>inputPrYr!D53</f>
        <v>130500</v>
      </c>
      <c r="E31" s="697">
        <f>E29</f>
        <v>0</v>
      </c>
    </row>
    <row r="32" spans="2:5" ht="15.75">
      <c r="B32" s="256"/>
      <c r="C32" s="290">
        <f>IF(C29&gt;C31,"See Tab A","")</f>
      </c>
      <c r="D32" s="290">
        <f>IF(D29&gt;D31,"See Tab C","")</f>
      </c>
      <c r="E32" s="698">
        <f>IF(E30&lt;0,"See Tab E","")</f>
      </c>
    </row>
    <row r="33" spans="2:5" ht="15.75">
      <c r="B33" s="256"/>
      <c r="C33" s="290">
        <f>IF(C30&lt;0,"See Tab B","")</f>
      </c>
      <c r="D33" s="290">
        <f>IF(D30&lt;0,"See Tab D","")</f>
      </c>
      <c r="E33" s="120"/>
    </row>
    <row r="34" spans="2:5" ht="15.75">
      <c r="B34" s="62"/>
      <c r="C34" s="120"/>
      <c r="D34" s="120"/>
      <c r="E34" s="120"/>
    </row>
    <row r="35" spans="2:5" ht="15.75">
      <c r="B35" s="61" t="s">
        <v>157</v>
      </c>
      <c r="C35" s="296"/>
      <c r="D35" s="296"/>
      <c r="E35" s="296"/>
    </row>
    <row r="36" spans="2:5" ht="15.75">
      <c r="B36" s="62"/>
      <c r="C36" s="292" t="str">
        <f aca="true" t="shared" si="0" ref="C36:E37">C5</f>
        <v>Prior Year </v>
      </c>
      <c r="D36" s="188" t="str">
        <f t="shared" si="0"/>
        <v>Current Year </v>
      </c>
      <c r="E36" s="188" t="str">
        <f t="shared" si="0"/>
        <v>Proposed Budget </v>
      </c>
    </row>
    <row r="37" spans="2:5" ht="15.75">
      <c r="B37" s="447" t="str">
        <f>inputPrYr!B54</f>
        <v>Election Equipment Reserve</v>
      </c>
      <c r="C37" s="284" t="str">
        <f t="shared" si="0"/>
        <v>Actual for 2013</v>
      </c>
      <c r="D37" s="284" t="str">
        <f t="shared" si="0"/>
        <v>Estimate for 2014</v>
      </c>
      <c r="E37" s="271" t="str">
        <f t="shared" si="0"/>
        <v>Year for 2015</v>
      </c>
    </row>
    <row r="38" spans="2:5" ht="15.75">
      <c r="B38" s="123" t="s">
        <v>272</v>
      </c>
      <c r="C38" s="87">
        <v>87296</v>
      </c>
      <c r="D38" s="234">
        <f>C61</f>
        <v>132456</v>
      </c>
      <c r="E38" s="234">
        <f>D61</f>
        <v>132456</v>
      </c>
    </row>
    <row r="39" spans="2:5" ht="15.75">
      <c r="B39" s="305" t="s">
        <v>274</v>
      </c>
      <c r="C39" s="83"/>
      <c r="D39" s="83"/>
      <c r="E39" s="83"/>
    </row>
    <row r="40" spans="2:5" ht="15.75">
      <c r="B40" s="287" t="s">
        <v>1088</v>
      </c>
      <c r="C40" s="87">
        <v>50000</v>
      </c>
      <c r="D40" s="87"/>
      <c r="E40" s="87"/>
    </row>
    <row r="41" spans="2:5" ht="15.75">
      <c r="B41" s="287"/>
      <c r="C41" s="87"/>
      <c r="D41" s="87"/>
      <c r="E41" s="87"/>
    </row>
    <row r="42" spans="2:5" ht="15.75">
      <c r="B42" s="287"/>
      <c r="C42" s="87"/>
      <c r="D42" s="87"/>
      <c r="E42" s="87"/>
    </row>
    <row r="43" spans="2:5" ht="15.75">
      <c r="B43" s="277" t="s">
        <v>165</v>
      </c>
      <c r="C43" s="87"/>
      <c r="D43" s="87"/>
      <c r="E43" s="87"/>
    </row>
    <row r="44" spans="2:5" ht="15.75">
      <c r="B44" s="278" t="s">
        <v>72</v>
      </c>
      <c r="C44" s="87"/>
      <c r="D44" s="273"/>
      <c r="E44" s="273"/>
    </row>
    <row r="45" spans="2:5" ht="15.75">
      <c r="B45" s="278" t="s">
        <v>654</v>
      </c>
      <c r="C45" s="443">
        <f>IF(C46*0.1&lt;C44,"Exceed 10% Rule","")</f>
      </c>
      <c r="D45" s="279">
        <f>IF(D46*0.1&lt;D44,"Exceed 10% Rule","")</f>
      </c>
      <c r="E45" s="279">
        <f>IF(E46*0.1&lt;E44,"Exceed 10% Rule","")</f>
      </c>
    </row>
    <row r="46" spans="2:5" ht="15.75">
      <c r="B46" s="280" t="s">
        <v>166</v>
      </c>
      <c r="C46" s="321">
        <f>SUM(C40:C44)</f>
        <v>50000</v>
      </c>
      <c r="D46" s="321">
        <f>SUM(D40:D44)</f>
        <v>0</v>
      </c>
      <c r="E46" s="321">
        <f>SUM(E40:E44)</f>
        <v>0</v>
      </c>
    </row>
    <row r="47" spans="2:5" ht="15.75">
      <c r="B47" s="280" t="s">
        <v>167</v>
      </c>
      <c r="C47" s="321">
        <f>C38+C46</f>
        <v>137296</v>
      </c>
      <c r="D47" s="321">
        <f>D38+D46</f>
        <v>132456</v>
      </c>
      <c r="E47" s="321">
        <f>E38+E46</f>
        <v>132456</v>
      </c>
    </row>
    <row r="48" spans="2:5" ht="15.75">
      <c r="B48" s="123" t="s">
        <v>170</v>
      </c>
      <c r="C48" s="234"/>
      <c r="D48" s="234"/>
      <c r="E48" s="234"/>
    </row>
    <row r="49" spans="2:5" ht="15.75">
      <c r="B49" s="287" t="s">
        <v>1089</v>
      </c>
      <c r="C49" s="87">
        <v>4840</v>
      </c>
      <c r="D49" s="87"/>
      <c r="E49" s="87"/>
    </row>
    <row r="50" spans="2:5" ht="15.75">
      <c r="B50" s="287"/>
      <c r="C50" s="87"/>
      <c r="D50" s="87"/>
      <c r="E50" s="87"/>
    </row>
    <row r="51" spans="2:5" ht="15.75">
      <c r="B51" s="287"/>
      <c r="C51" s="87"/>
      <c r="D51" s="87"/>
      <c r="E51" s="87"/>
    </row>
    <row r="52" spans="2:5" ht="15.75">
      <c r="B52" s="287"/>
      <c r="C52" s="87"/>
      <c r="D52" s="87"/>
      <c r="E52" s="87"/>
    </row>
    <row r="53" spans="2:5" ht="15.75">
      <c r="B53" s="287"/>
      <c r="C53" s="87"/>
      <c r="D53" s="87"/>
      <c r="E53" s="87"/>
    </row>
    <row r="54" spans="2:5" ht="15.75">
      <c r="B54" s="287"/>
      <c r="C54" s="87"/>
      <c r="D54" s="87"/>
      <c r="E54" s="87"/>
    </row>
    <row r="55" spans="2:5" ht="15.75">
      <c r="B55" s="287"/>
      <c r="C55" s="87"/>
      <c r="D55" s="87"/>
      <c r="E55" s="87"/>
    </row>
    <row r="56" spans="2:5" ht="15.75">
      <c r="B56" s="287"/>
      <c r="C56" s="87"/>
      <c r="D56" s="87"/>
      <c r="E56" s="87"/>
    </row>
    <row r="57" spans="2:5" ht="15.75">
      <c r="B57" s="287"/>
      <c r="C57" s="87"/>
      <c r="D57" s="87"/>
      <c r="E57" s="87"/>
    </row>
    <row r="58" spans="2:5" ht="15.75">
      <c r="B58" s="278" t="s">
        <v>72</v>
      </c>
      <c r="C58" s="87"/>
      <c r="D58" s="273"/>
      <c r="E58" s="273"/>
    </row>
    <row r="59" spans="2:5" ht="15.75">
      <c r="B59" s="278" t="s">
        <v>653</v>
      </c>
      <c r="C59" s="443">
        <f>IF(C60*0.1&lt;C58,"Exceed 10% Rule","")</f>
      </c>
      <c r="D59" s="279">
        <f>IF(D60*0.1&lt;D58,"Exceed 10% Rule","")</f>
      </c>
      <c r="E59" s="279">
        <f>IF(E60*0.1&lt;E58,"Exceed 10% Rule","")</f>
      </c>
    </row>
    <row r="60" spans="2:5" ht="15.75">
      <c r="B60" s="280" t="s">
        <v>171</v>
      </c>
      <c r="C60" s="321">
        <f>SUM(C49:C58)</f>
        <v>4840</v>
      </c>
      <c r="D60" s="321">
        <f>SUM(D49:D58)</f>
        <v>0</v>
      </c>
      <c r="E60" s="321">
        <f>SUM(E49:E58)</f>
        <v>0</v>
      </c>
    </row>
    <row r="61" spans="2:5" ht="15.75">
      <c r="B61" s="123" t="s">
        <v>273</v>
      </c>
      <c r="C61" s="95">
        <f>C47-C60</f>
        <v>132456</v>
      </c>
      <c r="D61" s="95">
        <f>D47-D60</f>
        <v>132456</v>
      </c>
      <c r="E61" s="95">
        <f>E47-E60</f>
        <v>132456</v>
      </c>
    </row>
    <row r="62" spans="2:5" ht="15.75">
      <c r="B62" s="270" t="str">
        <f>CONCATENATE("",E1-2,"/",E1-1,"/",E1," Budget Authority Amount:")</f>
        <v>2013/2014/2015 Budget Authority Amount:</v>
      </c>
      <c r="C62" s="308">
        <f>inputOth!B66</f>
        <v>10000</v>
      </c>
      <c r="D62" s="308">
        <f>inputPrYr!D54</f>
        <v>10000</v>
      </c>
      <c r="E62" s="697">
        <f>E60</f>
        <v>0</v>
      </c>
    </row>
    <row r="63" spans="2:5" ht="15.75">
      <c r="B63" s="256"/>
      <c r="C63" s="290">
        <f>IF(C60&gt;C62,"See Tab A","")</f>
      </c>
      <c r="D63" s="290">
        <f>IF(D60&gt;D62,"See Tab C","")</f>
      </c>
      <c r="E63" s="699">
        <f>IF(E61&lt;0,"See Tab E","")</f>
      </c>
    </row>
    <row r="64" spans="2:5" ht="15.75">
      <c r="B64" s="256"/>
      <c r="C64" s="290">
        <f>IF(C61&lt;0,"See Tab B","")</f>
      </c>
      <c r="D64" s="290">
        <f>IF(D61&lt;0,"See Tab D","")</f>
      </c>
      <c r="E64" s="62" t="s">
        <v>871</v>
      </c>
    </row>
    <row r="65" spans="2:5" ht="15.75">
      <c r="B65" s="62"/>
      <c r="C65" s="62"/>
      <c r="D65" s="62"/>
      <c r="E65" s="62"/>
    </row>
    <row r="66" spans="2:5" ht="15.75">
      <c r="B66" s="256" t="s">
        <v>192</v>
      </c>
      <c r="C66" s="318">
        <v>26</v>
      </c>
      <c r="D66" s="62"/>
      <c r="E66" s="62"/>
    </row>
  </sheetData>
  <sheetProtection sheet="1"/>
  <conditionalFormatting sqref="C27">
    <cfRule type="cellIs" priority="3" dxfId="408" operator="greaterThan" stopIfTrue="1">
      <formula>$C$29*0.1</formula>
    </cfRule>
  </conditionalFormatting>
  <conditionalFormatting sqref="D27">
    <cfRule type="cellIs" priority="4" dxfId="408" operator="greaterThan" stopIfTrue="1">
      <formula>$D$29*0.1</formula>
    </cfRule>
  </conditionalFormatting>
  <conditionalFormatting sqref="E27">
    <cfRule type="cellIs" priority="5" dxfId="408" operator="greaterThan" stopIfTrue="1">
      <formula>$E$29*0.1</formula>
    </cfRule>
  </conditionalFormatting>
  <conditionalFormatting sqref="C13">
    <cfRule type="cellIs" priority="6" dxfId="408" operator="greaterThan" stopIfTrue="1">
      <formula>$C$15*0.1</formula>
    </cfRule>
  </conditionalFormatting>
  <conditionalFormatting sqref="D13">
    <cfRule type="cellIs" priority="7" dxfId="408" operator="greaterThan" stopIfTrue="1">
      <formula>$D$15*0.1</formula>
    </cfRule>
  </conditionalFormatting>
  <conditionalFormatting sqref="E13">
    <cfRule type="cellIs" priority="8" dxfId="408" operator="greaterThan" stopIfTrue="1">
      <formula>$E$15*0.1</formula>
    </cfRule>
  </conditionalFormatting>
  <conditionalFormatting sqref="C44">
    <cfRule type="cellIs" priority="9" dxfId="408" operator="greaterThan" stopIfTrue="1">
      <formula>$C$46*0.1</formula>
    </cfRule>
  </conditionalFormatting>
  <conditionalFormatting sqref="D44">
    <cfRule type="cellIs" priority="10" dxfId="408" operator="greaterThan" stopIfTrue="1">
      <formula>$D$46*0.1</formula>
    </cfRule>
  </conditionalFormatting>
  <conditionalFormatting sqref="E44">
    <cfRule type="cellIs" priority="11" dxfId="408" operator="greaterThan" stopIfTrue="1">
      <formula>$E$46*0.1</formula>
    </cfRule>
  </conditionalFormatting>
  <conditionalFormatting sqref="C58">
    <cfRule type="cellIs" priority="12" dxfId="408" operator="greaterThan" stopIfTrue="1">
      <formula>$C$60*0.1</formula>
    </cfRule>
  </conditionalFormatting>
  <conditionalFormatting sqref="D58">
    <cfRule type="cellIs" priority="13" dxfId="408" operator="greaterThan" stopIfTrue="1">
      <formula>$D$60*0.1</formula>
    </cfRule>
  </conditionalFormatting>
  <conditionalFormatting sqref="E58">
    <cfRule type="cellIs" priority="14" dxfId="408" operator="greaterThan" stopIfTrue="1">
      <formula>$E$60*0.1</formula>
    </cfRule>
  </conditionalFormatting>
  <conditionalFormatting sqref="E30 C30 E61 C61">
    <cfRule type="cellIs" priority="15" dxfId="2" operator="lessThan" stopIfTrue="1">
      <formula>0</formula>
    </cfRule>
  </conditionalFormatting>
  <conditionalFormatting sqref="D29">
    <cfRule type="cellIs" priority="16" dxfId="2" operator="greaterThan" stopIfTrue="1">
      <formula>$D$31</formula>
    </cfRule>
  </conditionalFormatting>
  <conditionalFormatting sqref="C29">
    <cfRule type="cellIs" priority="17" dxfId="2" operator="greaterThan" stopIfTrue="1">
      <formula>$C$31</formula>
    </cfRule>
  </conditionalFormatting>
  <conditionalFormatting sqref="D60">
    <cfRule type="cellIs" priority="18" dxfId="2" operator="greaterThan" stopIfTrue="1">
      <formula>$D$62</formula>
    </cfRule>
  </conditionalFormatting>
  <conditionalFormatting sqref="C60">
    <cfRule type="cellIs" priority="19" dxfId="2" operator="greaterThan" stopIfTrue="1">
      <formula>$C$62</formula>
    </cfRule>
  </conditionalFormatting>
  <conditionalFormatting sqref="D30">
    <cfRule type="cellIs" priority="2" dxfId="0" operator="lessThan" stopIfTrue="1">
      <formula>0</formula>
    </cfRule>
  </conditionalFormatting>
  <conditionalFormatting sqref="D61">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63" r:id="rId1"/>
  <headerFooter alignWithMargins="0">
    <oddHeader>&amp;RState of Kansas
County</oddHeader>
  </headerFooter>
</worksheet>
</file>

<file path=xl/worksheets/sheet35.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35">
      <selection activeCell="P28" sqref="P28"/>
    </sheetView>
  </sheetViews>
  <sheetFormatPr defaultColWidth="8.796875" defaultRowHeight="15"/>
  <cols>
    <col min="1" max="1" width="2.3984375" style="50" customWidth="1"/>
    <col min="2" max="2" width="31.09765625" style="50" customWidth="1"/>
    <col min="3" max="4" width="15.796875" style="50" customWidth="1"/>
    <col min="5" max="5" width="16.19921875" style="50" customWidth="1"/>
    <col min="6" max="16384" width="8.8984375" style="50" customWidth="1"/>
  </cols>
  <sheetData>
    <row r="1" spans="2:5" ht="15.75">
      <c r="B1" s="201" t="str">
        <f>(inputPrYr!C2)</f>
        <v>Marshall County</v>
      </c>
      <c r="C1" s="62"/>
      <c r="D1" s="62"/>
      <c r="E1" s="255">
        <f>inputPrYr!C4</f>
        <v>2015</v>
      </c>
    </row>
    <row r="2" spans="2:5" ht="15.75">
      <c r="B2" s="62"/>
      <c r="C2" s="62"/>
      <c r="D2" s="62"/>
      <c r="E2" s="208"/>
    </row>
    <row r="3" spans="2:5" ht="15.75">
      <c r="B3" s="127" t="s">
        <v>240</v>
      </c>
      <c r="C3" s="302"/>
      <c r="D3" s="302"/>
      <c r="E3" s="303"/>
    </row>
    <row r="4" spans="2:5" ht="15.75">
      <c r="B4" s="62"/>
      <c r="C4" s="296"/>
      <c r="D4" s="296"/>
      <c r="E4" s="296"/>
    </row>
    <row r="5" spans="2:5" ht="15.75">
      <c r="B5" s="61" t="s">
        <v>157</v>
      </c>
      <c r="C5" s="292" t="str">
        <f>general!C4</f>
        <v>Prior Year </v>
      </c>
      <c r="D5" s="188" t="str">
        <f>general!D4</f>
        <v>Current Year </v>
      </c>
      <c r="E5" s="188" t="str">
        <f>general!E4</f>
        <v>Proposed Budget </v>
      </c>
    </row>
    <row r="6" spans="2:5" ht="15.75">
      <c r="B6" s="447" t="str">
        <f>inputPrYr!B55</f>
        <v>Nox Weed Capital Outlay</v>
      </c>
      <c r="C6" s="284" t="str">
        <f>general!C5</f>
        <v>Actual for 2013</v>
      </c>
      <c r="D6" s="284" t="str">
        <f>general!D5</f>
        <v>Estimate for 2014</v>
      </c>
      <c r="E6" s="271" t="str">
        <f>general!E5</f>
        <v>Year for 2015</v>
      </c>
    </row>
    <row r="7" spans="2:5" ht="15.75">
      <c r="B7" s="123" t="s">
        <v>272</v>
      </c>
      <c r="C7" s="87">
        <v>69885</v>
      </c>
      <c r="D7" s="234">
        <f>C30</f>
        <v>69885</v>
      </c>
      <c r="E7" s="234">
        <f>D30</f>
        <v>69885</v>
      </c>
    </row>
    <row r="8" spans="2:5" ht="15.75">
      <c r="B8" s="305" t="s">
        <v>274</v>
      </c>
      <c r="C8" s="83"/>
      <c r="D8" s="83"/>
      <c r="E8" s="83"/>
    </row>
    <row r="9" spans="2:5" ht="15.75">
      <c r="B9" s="287"/>
      <c r="C9" s="87"/>
      <c r="D9" s="87"/>
      <c r="E9" s="87"/>
    </row>
    <row r="10" spans="2:5" ht="15.75">
      <c r="B10" s="287"/>
      <c r="C10" s="87"/>
      <c r="D10" s="87"/>
      <c r="E10" s="87"/>
    </row>
    <row r="11" spans="2:5" ht="15.75">
      <c r="B11" s="287"/>
      <c r="C11" s="87"/>
      <c r="D11" s="87"/>
      <c r="E11" s="87"/>
    </row>
    <row r="12" spans="2:5" ht="15.75">
      <c r="B12" s="277" t="s">
        <v>165</v>
      </c>
      <c r="C12" s="87"/>
      <c r="D12" s="87"/>
      <c r="E12" s="87"/>
    </row>
    <row r="13" spans="2:5" ht="15.75">
      <c r="B13" s="278" t="s">
        <v>72</v>
      </c>
      <c r="C13" s="87"/>
      <c r="D13" s="273"/>
      <c r="E13" s="273"/>
    </row>
    <row r="14" spans="2:5" ht="15.75">
      <c r="B14" s="278" t="s">
        <v>654</v>
      </c>
      <c r="C14" s="443">
        <f>IF(C15*0.1&lt;C13,"Exceed 10% Rule","")</f>
      </c>
      <c r="D14" s="279">
        <f>IF(D15*0.1&lt;D13,"Exceed 10% Rule","")</f>
      </c>
      <c r="E14" s="279">
        <f>IF(E15*0.1&lt;E13,"Exceed 10% Rule","")</f>
      </c>
    </row>
    <row r="15" spans="2:5" ht="15.75">
      <c r="B15" s="280" t="s">
        <v>166</v>
      </c>
      <c r="C15" s="321">
        <f>SUM(C9:C13)</f>
        <v>0</v>
      </c>
      <c r="D15" s="321">
        <f>SUM(D9:D13)</f>
        <v>0</v>
      </c>
      <c r="E15" s="321">
        <f>SUM(E9:E13)</f>
        <v>0</v>
      </c>
    </row>
    <row r="16" spans="2:5" ht="15.75">
      <c r="B16" s="280" t="s">
        <v>167</v>
      </c>
      <c r="C16" s="321">
        <f>C15+C7</f>
        <v>69885</v>
      </c>
      <c r="D16" s="321">
        <f>D15+D7</f>
        <v>69885</v>
      </c>
      <c r="E16" s="321">
        <f>E15+E7</f>
        <v>69885</v>
      </c>
    </row>
    <row r="17" spans="2:5" ht="15.75">
      <c r="B17" s="123" t="s">
        <v>170</v>
      </c>
      <c r="C17" s="234"/>
      <c r="D17" s="234"/>
      <c r="E17" s="234"/>
    </row>
    <row r="18" spans="2:5" ht="15.75">
      <c r="B18" s="287"/>
      <c r="C18" s="87"/>
      <c r="D18" s="87"/>
      <c r="E18" s="87"/>
    </row>
    <row r="19" spans="2:5" ht="15.75">
      <c r="B19" s="287"/>
      <c r="C19" s="87"/>
      <c r="D19" s="87"/>
      <c r="E19" s="87"/>
    </row>
    <row r="20" spans="2:5" ht="15.75">
      <c r="B20" s="287"/>
      <c r="C20" s="87"/>
      <c r="D20" s="87"/>
      <c r="E20" s="87"/>
    </row>
    <row r="21" spans="2:5" ht="15.75">
      <c r="B21" s="287"/>
      <c r="C21" s="87"/>
      <c r="D21" s="87"/>
      <c r="E21" s="87"/>
    </row>
    <row r="22" spans="2:5" ht="15.75">
      <c r="B22" s="287"/>
      <c r="C22" s="87"/>
      <c r="D22" s="87"/>
      <c r="E22" s="87"/>
    </row>
    <row r="23" spans="2:5" ht="15.75">
      <c r="B23" s="287"/>
      <c r="C23" s="87"/>
      <c r="D23" s="87"/>
      <c r="E23" s="87"/>
    </row>
    <row r="24" spans="2:5" ht="15.75">
      <c r="B24" s="287"/>
      <c r="C24" s="87"/>
      <c r="D24" s="87"/>
      <c r="E24" s="87"/>
    </row>
    <row r="25" spans="2:5" ht="15.75">
      <c r="B25" s="287"/>
      <c r="C25" s="87"/>
      <c r="D25" s="87"/>
      <c r="E25" s="87"/>
    </row>
    <row r="26" spans="2:5" ht="15.75">
      <c r="B26" s="287"/>
      <c r="C26" s="87"/>
      <c r="D26" s="87"/>
      <c r="E26" s="87"/>
    </row>
    <row r="27" spans="2:5" ht="15.75">
      <c r="B27" s="278" t="s">
        <v>72</v>
      </c>
      <c r="C27" s="87"/>
      <c r="D27" s="273"/>
      <c r="E27" s="273"/>
    </row>
    <row r="28" spans="2:5" ht="15.75">
      <c r="B28" s="278" t="s">
        <v>653</v>
      </c>
      <c r="C28" s="443">
        <f>IF(C29*0.1&lt;C27,"Exceed 10% Rule","")</f>
      </c>
      <c r="D28" s="279">
        <f>IF(D29*0.1&lt;D27,"Exceed 10% Rule","")</f>
      </c>
      <c r="E28" s="279">
        <f>IF(E29*0.1&lt;E27,"Exceed 10% Rule","")</f>
      </c>
    </row>
    <row r="29" spans="2:5" ht="15.75">
      <c r="B29" s="280" t="s">
        <v>171</v>
      </c>
      <c r="C29" s="321">
        <f>SUM(C18:C27)</f>
        <v>0</v>
      </c>
      <c r="D29" s="321">
        <f>SUM(D18:D27)</f>
        <v>0</v>
      </c>
      <c r="E29" s="321">
        <f>SUM(E18:E27)</f>
        <v>0</v>
      </c>
    </row>
    <row r="30" spans="2:5" ht="15.75">
      <c r="B30" s="123" t="s">
        <v>273</v>
      </c>
      <c r="C30" s="95">
        <f>C16-C29</f>
        <v>69885</v>
      </c>
      <c r="D30" s="95">
        <f>D16-D29</f>
        <v>69885</v>
      </c>
      <c r="E30" s="95">
        <f>E16-E29</f>
        <v>69885</v>
      </c>
    </row>
    <row r="31" spans="2:5" ht="15.75">
      <c r="B31" s="270" t="str">
        <f>CONCATENATE("",E1-2,"/",E1-1,"/",E1," Budget Authority Amount:")</f>
        <v>2013/2014/2015 Budget Authority Amount:</v>
      </c>
      <c r="C31" s="308">
        <f>inputOth!B67</f>
        <v>0</v>
      </c>
      <c r="D31" s="308">
        <f>inputPrYr!D55</f>
        <v>0</v>
      </c>
      <c r="E31" s="697">
        <f>E29</f>
        <v>0</v>
      </c>
    </row>
    <row r="32" spans="2:5" ht="15.75">
      <c r="B32" s="256"/>
      <c r="C32" s="290">
        <f>IF(C29&gt;C31,"See Tab A","")</f>
      </c>
      <c r="D32" s="290">
        <f>IF(D29&gt;D31,"See Tab C","")</f>
      </c>
      <c r="E32" s="698">
        <f>IF(E30&lt;0,"See Tab E","")</f>
      </c>
    </row>
    <row r="33" spans="2:5" ht="15.75">
      <c r="B33" s="256"/>
      <c r="C33" s="290">
        <f>IF(C30&lt;0,"See Tab B","")</f>
      </c>
      <c r="D33" s="290">
        <f>IF(D30&lt;0,"See Tab D","")</f>
      </c>
      <c r="E33" s="120"/>
    </row>
    <row r="34" spans="2:5" ht="15.75">
      <c r="B34" s="62"/>
      <c r="C34" s="120"/>
      <c r="D34" s="120"/>
      <c r="E34" s="120"/>
    </row>
    <row r="35" spans="2:5" ht="15.75">
      <c r="B35" s="61" t="s">
        <v>157</v>
      </c>
      <c r="C35" s="296"/>
      <c r="D35" s="296"/>
      <c r="E35" s="296"/>
    </row>
    <row r="36" spans="2:5" ht="15.75">
      <c r="B36" s="62"/>
      <c r="C36" s="292" t="str">
        <f aca="true" t="shared" si="0" ref="C36:E37">C5</f>
        <v>Prior Year </v>
      </c>
      <c r="D36" s="188" t="str">
        <f t="shared" si="0"/>
        <v>Current Year </v>
      </c>
      <c r="E36" s="188" t="str">
        <f t="shared" si="0"/>
        <v>Proposed Budget </v>
      </c>
    </row>
    <row r="37" spans="2:5" ht="15.75">
      <c r="B37" s="446" t="str">
        <f>inputPrYr!B56</f>
        <v>Appraiser Capital Outlay</v>
      </c>
      <c r="C37" s="284" t="str">
        <f t="shared" si="0"/>
        <v>Actual for 2013</v>
      </c>
      <c r="D37" s="284" t="str">
        <f t="shared" si="0"/>
        <v>Estimate for 2014</v>
      </c>
      <c r="E37" s="271" t="str">
        <f t="shared" si="0"/>
        <v>Year for 2015</v>
      </c>
    </row>
    <row r="38" spans="2:5" ht="15.75">
      <c r="B38" s="123" t="s">
        <v>272</v>
      </c>
      <c r="C38" s="87">
        <v>10200</v>
      </c>
      <c r="D38" s="234">
        <f>C61</f>
        <v>14200</v>
      </c>
      <c r="E38" s="234">
        <f>D61</f>
        <v>14200</v>
      </c>
    </row>
    <row r="39" spans="2:5" ht="15.75">
      <c r="B39" s="123" t="s">
        <v>274</v>
      </c>
      <c r="C39" s="83"/>
      <c r="D39" s="83"/>
      <c r="E39" s="83"/>
    </row>
    <row r="40" spans="2:5" ht="15.75">
      <c r="B40" s="287" t="s">
        <v>1090</v>
      </c>
      <c r="C40" s="87">
        <v>4000</v>
      </c>
      <c r="D40" s="87"/>
      <c r="E40" s="87"/>
    </row>
    <row r="41" spans="2:5" ht="15.75">
      <c r="B41" s="287"/>
      <c r="C41" s="87"/>
      <c r="D41" s="87"/>
      <c r="E41" s="87"/>
    </row>
    <row r="42" spans="2:5" ht="15.75">
      <c r="B42" s="287"/>
      <c r="C42" s="87"/>
      <c r="D42" s="87"/>
      <c r="E42" s="87"/>
    </row>
    <row r="43" spans="2:5" ht="15.75">
      <c r="B43" s="277" t="s">
        <v>165</v>
      </c>
      <c r="C43" s="87"/>
      <c r="D43" s="87"/>
      <c r="E43" s="87"/>
    </row>
    <row r="44" spans="2:5" ht="15.75">
      <c r="B44" s="278" t="s">
        <v>72</v>
      </c>
      <c r="C44" s="87"/>
      <c r="D44" s="273"/>
      <c r="E44" s="273"/>
    </row>
    <row r="45" spans="2:5" ht="15.75">
      <c r="B45" s="278" t="s">
        <v>654</v>
      </c>
      <c r="C45" s="443">
        <f>IF(C46*0.1&lt;C44,"Exceed 10% Rule","")</f>
      </c>
      <c r="D45" s="279">
        <f>IF(D46*0.1&lt;D44,"Exceed 10% Rule","")</f>
      </c>
      <c r="E45" s="279">
        <f>IF(E46*0.1&lt;E44,"Exceed 10% Rule","")</f>
      </c>
    </row>
    <row r="46" spans="2:5" ht="15.75">
      <c r="B46" s="280" t="s">
        <v>166</v>
      </c>
      <c r="C46" s="321">
        <f>SUM(C40:C44)</f>
        <v>4000</v>
      </c>
      <c r="D46" s="321">
        <f>SUM(D40:D44)</f>
        <v>0</v>
      </c>
      <c r="E46" s="321">
        <f>SUM(E40:E44)</f>
        <v>0</v>
      </c>
    </row>
    <row r="47" spans="2:5" ht="15.75">
      <c r="B47" s="280" t="s">
        <v>167</v>
      </c>
      <c r="C47" s="321">
        <f>C38+C46</f>
        <v>14200</v>
      </c>
      <c r="D47" s="321">
        <f>D38+D46</f>
        <v>14200</v>
      </c>
      <c r="E47" s="321">
        <f>E38+E46</f>
        <v>14200</v>
      </c>
    </row>
    <row r="48" spans="2:5" ht="15.75">
      <c r="B48" s="123" t="s">
        <v>170</v>
      </c>
      <c r="C48" s="234"/>
      <c r="D48" s="234"/>
      <c r="E48" s="234"/>
    </row>
    <row r="49" spans="2:5" ht="15.75">
      <c r="B49" s="287"/>
      <c r="C49" s="87"/>
      <c r="D49" s="87"/>
      <c r="E49" s="87"/>
    </row>
    <row r="50" spans="2:5" ht="15.75">
      <c r="B50" s="287"/>
      <c r="C50" s="87"/>
      <c r="D50" s="87"/>
      <c r="E50" s="87"/>
    </row>
    <row r="51" spans="2:5" ht="15.75">
      <c r="B51" s="287"/>
      <c r="C51" s="87"/>
      <c r="D51" s="87"/>
      <c r="E51" s="87"/>
    </row>
    <row r="52" spans="2:5" ht="15.75">
      <c r="B52" s="287"/>
      <c r="C52" s="87"/>
      <c r="D52" s="87"/>
      <c r="E52" s="87"/>
    </row>
    <row r="53" spans="2:5" ht="15.75">
      <c r="B53" s="287"/>
      <c r="C53" s="87"/>
      <c r="D53" s="87"/>
      <c r="E53" s="87"/>
    </row>
    <row r="54" spans="2:5" ht="15.75">
      <c r="B54" s="287"/>
      <c r="C54" s="87"/>
      <c r="D54" s="87"/>
      <c r="E54" s="87"/>
    </row>
    <row r="55" spans="2:5" ht="15.75">
      <c r="B55" s="287"/>
      <c r="C55" s="87"/>
      <c r="D55" s="87"/>
      <c r="E55" s="87"/>
    </row>
    <row r="56" spans="2:5" ht="15.75">
      <c r="B56" s="287"/>
      <c r="C56" s="87"/>
      <c r="D56" s="87"/>
      <c r="E56" s="87"/>
    </row>
    <row r="57" spans="2:5" ht="15.75">
      <c r="B57" s="287"/>
      <c r="C57" s="87"/>
      <c r="D57" s="87"/>
      <c r="E57" s="87"/>
    </row>
    <row r="58" spans="2:5" ht="15.75">
      <c r="B58" s="278" t="s">
        <v>72</v>
      </c>
      <c r="C58" s="87"/>
      <c r="D58" s="273"/>
      <c r="E58" s="273"/>
    </row>
    <row r="59" spans="2:5" ht="15.75">
      <c r="B59" s="278" t="s">
        <v>653</v>
      </c>
      <c r="C59" s="443">
        <f>IF(C60*0.1&lt;C58,"Exceed 10% Rule","")</f>
      </c>
      <c r="D59" s="279">
        <f>IF(D60*0.1&lt;D58,"Exceed 10% Rule","")</f>
      </c>
      <c r="E59" s="279">
        <f>IF(E60*0.1&lt;E58,"Exceed 10% Rule","")</f>
      </c>
    </row>
    <row r="60" spans="2:5" ht="15.75">
      <c r="B60" s="280" t="s">
        <v>171</v>
      </c>
      <c r="C60" s="321">
        <f>SUM(C49:C58)</f>
        <v>0</v>
      </c>
      <c r="D60" s="321">
        <f>SUM(D49:D58)</f>
        <v>0</v>
      </c>
      <c r="E60" s="321">
        <f>SUM(E49:E58)</f>
        <v>0</v>
      </c>
    </row>
    <row r="61" spans="2:5" ht="15.75">
      <c r="B61" s="123" t="s">
        <v>273</v>
      </c>
      <c r="C61" s="95">
        <f>C47-C60</f>
        <v>14200</v>
      </c>
      <c r="D61" s="95">
        <f>D47-D60</f>
        <v>14200</v>
      </c>
      <c r="E61" s="95">
        <f>E47-E60</f>
        <v>14200</v>
      </c>
    </row>
    <row r="62" spans="2:5" ht="15.75">
      <c r="B62" s="270" t="str">
        <f>CONCATENATE("",E1-2,"/",E1-1,"/",E1," Budget Authority Amount:")</f>
        <v>2013/2014/2015 Budget Authority Amount:</v>
      </c>
      <c r="C62" s="308">
        <f>inputOth!B68</f>
        <v>0</v>
      </c>
      <c r="D62" s="308">
        <f>inputPrYr!D56</f>
        <v>0</v>
      </c>
      <c r="E62" s="697">
        <f>E60</f>
        <v>0</v>
      </c>
    </row>
    <row r="63" spans="2:5" ht="15.75">
      <c r="B63" s="256"/>
      <c r="C63" s="290">
        <f>IF(C60&gt;C62,"See Tab A","")</f>
      </c>
      <c r="D63" s="290">
        <f>IF(D60&gt;D62,"See Tab C","")</f>
      </c>
      <c r="E63" s="699">
        <f>IF(E61&lt;0,"See Tab E","")</f>
      </c>
    </row>
    <row r="64" spans="2:5" ht="15.75">
      <c r="B64" s="256"/>
      <c r="C64" s="290">
        <f>IF(C61&lt;0,"See Tab B","")</f>
      </c>
      <c r="D64" s="290">
        <f>IF(D61&lt;0,"See Tab D","")</f>
      </c>
      <c r="E64" s="62"/>
    </row>
    <row r="65" spans="2:5" ht="15.75">
      <c r="B65" s="62"/>
      <c r="C65" s="62"/>
      <c r="D65" s="62"/>
      <c r="E65" s="62"/>
    </row>
    <row r="66" spans="2:5" ht="15.75">
      <c r="B66" s="256" t="s">
        <v>192</v>
      </c>
      <c r="C66" s="318">
        <v>27</v>
      </c>
      <c r="D66" s="62"/>
      <c r="E66" s="62"/>
    </row>
  </sheetData>
  <sheetProtection sheet="1"/>
  <conditionalFormatting sqref="C27">
    <cfRule type="cellIs" priority="3" dxfId="408" operator="greaterThan" stopIfTrue="1">
      <formula>$C$29*0.1</formula>
    </cfRule>
  </conditionalFormatting>
  <conditionalFormatting sqref="D27">
    <cfRule type="cellIs" priority="4" dxfId="408" operator="greaterThan" stopIfTrue="1">
      <formula>$D$29*0.1</formula>
    </cfRule>
  </conditionalFormatting>
  <conditionalFormatting sqref="E27">
    <cfRule type="cellIs" priority="5" dxfId="408" operator="greaterThan" stopIfTrue="1">
      <formula>$E$29*0.1</formula>
    </cfRule>
  </conditionalFormatting>
  <conditionalFormatting sqref="C13">
    <cfRule type="cellIs" priority="6" dxfId="408" operator="greaterThan" stopIfTrue="1">
      <formula>$C$15*0.1</formula>
    </cfRule>
  </conditionalFormatting>
  <conditionalFormatting sqref="D13">
    <cfRule type="cellIs" priority="7" dxfId="408" operator="greaterThan" stopIfTrue="1">
      <formula>$D$15*0.1</formula>
    </cfRule>
  </conditionalFormatting>
  <conditionalFormatting sqref="E13">
    <cfRule type="cellIs" priority="8" dxfId="408" operator="greaterThan" stopIfTrue="1">
      <formula>$E$15*0.1</formula>
    </cfRule>
  </conditionalFormatting>
  <conditionalFormatting sqref="C44">
    <cfRule type="cellIs" priority="9" dxfId="408" operator="greaterThan" stopIfTrue="1">
      <formula>$C$46*0.1</formula>
    </cfRule>
  </conditionalFormatting>
  <conditionalFormatting sqref="D44">
    <cfRule type="cellIs" priority="10" dxfId="408" operator="greaterThan" stopIfTrue="1">
      <formula>$D$46*0.1</formula>
    </cfRule>
  </conditionalFormatting>
  <conditionalFormatting sqref="E44">
    <cfRule type="cellIs" priority="11" dxfId="408" operator="greaterThan" stopIfTrue="1">
      <formula>$E$46*0.1</formula>
    </cfRule>
  </conditionalFormatting>
  <conditionalFormatting sqref="C58">
    <cfRule type="cellIs" priority="12" dxfId="408" operator="greaterThan" stopIfTrue="1">
      <formula>$C$60*0.1</formula>
    </cfRule>
  </conditionalFormatting>
  <conditionalFormatting sqref="D58">
    <cfRule type="cellIs" priority="13" dxfId="408" operator="greaterThan" stopIfTrue="1">
      <formula>$D$60*0.1</formula>
    </cfRule>
  </conditionalFormatting>
  <conditionalFormatting sqref="E58">
    <cfRule type="cellIs" priority="14" dxfId="408" operator="greaterThan" stopIfTrue="1">
      <formula>$E$60*0.1</formula>
    </cfRule>
  </conditionalFormatting>
  <conditionalFormatting sqref="E30 C30 E61 C61">
    <cfRule type="cellIs" priority="15" dxfId="2" operator="lessThan" stopIfTrue="1">
      <formula>0</formula>
    </cfRule>
  </conditionalFormatting>
  <conditionalFormatting sqref="D29">
    <cfRule type="cellIs" priority="16" dxfId="2" operator="greaterThan" stopIfTrue="1">
      <formula>$D$31</formula>
    </cfRule>
  </conditionalFormatting>
  <conditionalFormatting sqref="C29">
    <cfRule type="cellIs" priority="17" dxfId="2" operator="greaterThan" stopIfTrue="1">
      <formula>$C$31</formula>
    </cfRule>
  </conditionalFormatting>
  <conditionalFormatting sqref="D60">
    <cfRule type="cellIs" priority="18" dxfId="2" operator="greaterThan" stopIfTrue="1">
      <formula>$D$62</formula>
    </cfRule>
  </conditionalFormatting>
  <conditionalFormatting sqref="C60">
    <cfRule type="cellIs" priority="19" dxfId="2" operator="greaterThan" stopIfTrue="1">
      <formula>$C$62</formula>
    </cfRule>
  </conditionalFormatting>
  <conditionalFormatting sqref="D30">
    <cfRule type="cellIs" priority="2" dxfId="0" operator="lessThan" stopIfTrue="1">
      <formula>0</formula>
    </cfRule>
  </conditionalFormatting>
  <conditionalFormatting sqref="D61">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63" r:id="rId1"/>
  <headerFooter alignWithMargins="0">
    <oddHeader>&amp;RState of Kansas
County</oddHeader>
  </headerFooter>
</worksheet>
</file>

<file path=xl/worksheets/sheet36.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31">
      <selection activeCell="E18" sqref="E18"/>
    </sheetView>
  </sheetViews>
  <sheetFormatPr defaultColWidth="8.796875" defaultRowHeight="15"/>
  <cols>
    <col min="1" max="1" width="2.3984375" style="50" customWidth="1"/>
    <col min="2" max="2" width="31.09765625" style="50" customWidth="1"/>
    <col min="3" max="4" width="15.796875" style="50" customWidth="1"/>
    <col min="5" max="5" width="16.09765625" style="50" customWidth="1"/>
    <col min="6" max="16384" width="8.8984375" style="50" customWidth="1"/>
  </cols>
  <sheetData>
    <row r="1" spans="2:5" ht="15.75">
      <c r="B1" s="201" t="str">
        <f>(inputPrYr!C2)</f>
        <v>Marshall County</v>
      </c>
      <c r="C1" s="62"/>
      <c r="D1" s="62"/>
      <c r="E1" s="255">
        <f>inputPrYr!C4</f>
        <v>2015</v>
      </c>
    </row>
    <row r="2" spans="2:5" ht="15.75">
      <c r="B2" s="62"/>
      <c r="C2" s="62"/>
      <c r="D2" s="62"/>
      <c r="E2" s="208"/>
    </row>
    <row r="3" spans="2:5" ht="15.75">
      <c r="B3" s="127" t="s">
        <v>240</v>
      </c>
      <c r="C3" s="302"/>
      <c r="D3" s="302"/>
      <c r="E3" s="303"/>
    </row>
    <row r="4" spans="2:5" ht="15.75">
      <c r="B4" s="62"/>
      <c r="C4" s="296"/>
      <c r="D4" s="296"/>
      <c r="E4" s="296"/>
    </row>
    <row r="5" spans="2:5" ht="15.75">
      <c r="B5" s="61" t="s">
        <v>157</v>
      </c>
      <c r="C5" s="292" t="str">
        <f>general!C4</f>
        <v>Prior Year </v>
      </c>
      <c r="D5" s="188" t="str">
        <f>general!D4</f>
        <v>Current Year </v>
      </c>
      <c r="E5" s="188" t="str">
        <f>general!E4</f>
        <v>Proposed Budget </v>
      </c>
    </row>
    <row r="6" spans="2:5" ht="15.75">
      <c r="B6" s="447" t="str">
        <f>inputPrYr!B57</f>
        <v>Health Dept Building </v>
      </c>
      <c r="C6" s="284" t="str">
        <f>general!C5</f>
        <v>Actual for 2013</v>
      </c>
      <c r="D6" s="284" t="str">
        <f>general!D5</f>
        <v>Estimate for 2014</v>
      </c>
      <c r="E6" s="271" t="str">
        <f>general!E5</f>
        <v>Year for 2015</v>
      </c>
    </row>
    <row r="7" spans="2:5" ht="15.75">
      <c r="B7" s="123" t="s">
        <v>272</v>
      </c>
      <c r="C7" s="87">
        <v>100313</v>
      </c>
      <c r="D7" s="234">
        <f>C30</f>
        <v>126744</v>
      </c>
      <c r="E7" s="234">
        <f>D30</f>
        <v>126744</v>
      </c>
    </row>
    <row r="8" spans="2:5" ht="15.75">
      <c r="B8" s="305" t="s">
        <v>274</v>
      </c>
      <c r="C8" s="83"/>
      <c r="D8" s="83"/>
      <c r="E8" s="83"/>
    </row>
    <row r="9" spans="2:5" ht="15.75">
      <c r="B9" s="287" t="s">
        <v>1091</v>
      </c>
      <c r="C9" s="87">
        <v>25000</v>
      </c>
      <c r="D9" s="87"/>
      <c r="E9" s="87"/>
    </row>
    <row r="10" spans="2:5" ht="15.75">
      <c r="B10" s="287" t="s">
        <v>1035</v>
      </c>
      <c r="C10" s="87">
        <v>11011</v>
      </c>
      <c r="D10" s="87"/>
      <c r="E10" s="87"/>
    </row>
    <row r="11" spans="2:5" ht="15.75">
      <c r="B11" s="287"/>
      <c r="C11" s="87"/>
      <c r="D11" s="87"/>
      <c r="E11" s="87"/>
    </row>
    <row r="12" spans="2:5" ht="15.75">
      <c r="B12" s="277" t="s">
        <v>165</v>
      </c>
      <c r="C12" s="87"/>
      <c r="D12" s="87"/>
      <c r="E12" s="87"/>
    </row>
    <row r="13" spans="2:5" ht="15.75">
      <c r="B13" s="278" t="s">
        <v>72</v>
      </c>
      <c r="C13" s="87"/>
      <c r="D13" s="273"/>
      <c r="E13" s="273"/>
    </row>
    <row r="14" spans="2:5" ht="15.75">
      <c r="B14" s="278" t="s">
        <v>654</v>
      </c>
      <c r="C14" s="443">
        <f>IF(C15*0.1&lt;C13,"Exceed 10% Rule","")</f>
      </c>
      <c r="D14" s="279">
        <f>IF(D15*0.1&lt;D13,"Exceed 10% Rule","")</f>
      </c>
      <c r="E14" s="279">
        <f>IF(E15*0.1&lt;E13,"Exceed 10% Rule","")</f>
      </c>
    </row>
    <row r="15" spans="2:5" ht="15.75">
      <c r="B15" s="280" t="s">
        <v>166</v>
      </c>
      <c r="C15" s="321">
        <f>SUM(C9:C13)</f>
        <v>36011</v>
      </c>
      <c r="D15" s="321">
        <f>SUM(D9:D13)</f>
        <v>0</v>
      </c>
      <c r="E15" s="321">
        <f>SUM(E9:E13)</f>
        <v>0</v>
      </c>
    </row>
    <row r="16" spans="2:5" ht="15.75">
      <c r="B16" s="280" t="s">
        <v>167</v>
      </c>
      <c r="C16" s="321">
        <f>C15+C7</f>
        <v>136324</v>
      </c>
      <c r="D16" s="321">
        <f>D15+D7</f>
        <v>126744</v>
      </c>
      <c r="E16" s="321">
        <f>E15+E7</f>
        <v>126744</v>
      </c>
    </row>
    <row r="17" spans="2:5" ht="15.75">
      <c r="B17" s="123" t="s">
        <v>170</v>
      </c>
      <c r="C17" s="234"/>
      <c r="D17" s="234"/>
      <c r="E17" s="234"/>
    </row>
    <row r="18" spans="2:5" ht="15.75">
      <c r="B18" s="287" t="s">
        <v>1041</v>
      </c>
      <c r="C18" s="87">
        <v>9580</v>
      </c>
      <c r="D18" s="87"/>
      <c r="E18" s="87"/>
    </row>
    <row r="19" spans="2:5" ht="15.75">
      <c r="B19" s="287"/>
      <c r="C19" s="87"/>
      <c r="D19" s="87"/>
      <c r="E19" s="87"/>
    </row>
    <row r="20" spans="2:5" ht="15.75">
      <c r="B20" s="287"/>
      <c r="C20" s="87"/>
      <c r="D20" s="87"/>
      <c r="E20" s="87"/>
    </row>
    <row r="21" spans="2:5" ht="15.75">
      <c r="B21" s="287"/>
      <c r="C21" s="87"/>
      <c r="D21" s="87"/>
      <c r="E21" s="87"/>
    </row>
    <row r="22" spans="2:5" ht="15.75">
      <c r="B22" s="287"/>
      <c r="C22" s="87"/>
      <c r="D22" s="87"/>
      <c r="E22" s="87"/>
    </row>
    <row r="23" spans="2:5" ht="15.75">
      <c r="B23" s="287"/>
      <c r="C23" s="87"/>
      <c r="D23" s="87"/>
      <c r="E23" s="87"/>
    </row>
    <row r="24" spans="2:5" ht="15.75">
      <c r="B24" s="287"/>
      <c r="C24" s="87"/>
      <c r="D24" s="87"/>
      <c r="E24" s="87"/>
    </row>
    <row r="25" spans="2:5" ht="15.75">
      <c r="B25" s="287"/>
      <c r="C25" s="87"/>
      <c r="D25" s="87"/>
      <c r="E25" s="87"/>
    </row>
    <row r="26" spans="2:5" ht="15.75">
      <c r="B26" s="287"/>
      <c r="C26" s="87"/>
      <c r="D26" s="87"/>
      <c r="E26" s="87"/>
    </row>
    <row r="27" spans="2:5" ht="15.75">
      <c r="B27" s="278" t="s">
        <v>72</v>
      </c>
      <c r="C27" s="87"/>
      <c r="D27" s="273"/>
      <c r="E27" s="273"/>
    </row>
    <row r="28" spans="2:5" ht="15.75">
      <c r="B28" s="278" t="s">
        <v>653</v>
      </c>
      <c r="C28" s="443">
        <f>IF(C29*0.1&lt;C27,"Exceed 10% Rule","")</f>
      </c>
      <c r="D28" s="279">
        <f>IF(D29*0.1&lt;D27,"Exceed 10% Rule","")</f>
      </c>
      <c r="E28" s="279">
        <f>IF(E29*0.1&lt;E27,"Exceed 10% Rule","")</f>
      </c>
    </row>
    <row r="29" spans="2:5" ht="15.75">
      <c r="B29" s="280" t="s">
        <v>171</v>
      </c>
      <c r="C29" s="321">
        <f>SUM(C18:C27)</f>
        <v>9580</v>
      </c>
      <c r="D29" s="321">
        <f>SUM(D18:D27)</f>
        <v>0</v>
      </c>
      <c r="E29" s="321">
        <f>SUM(E18:E27)</f>
        <v>0</v>
      </c>
    </row>
    <row r="30" spans="2:5" ht="15.75">
      <c r="B30" s="123" t="s">
        <v>273</v>
      </c>
      <c r="C30" s="95">
        <f>C16-C29</f>
        <v>126744</v>
      </c>
      <c r="D30" s="95">
        <f>D16-D29</f>
        <v>126744</v>
      </c>
      <c r="E30" s="95">
        <f>E16-E29</f>
        <v>126744</v>
      </c>
    </row>
    <row r="31" spans="2:5" ht="15.75">
      <c r="B31" s="270" t="str">
        <f>CONCATENATE("",E1-2,"/",E1-1,"/",E1," Budget Authority Amount:")</f>
        <v>2013/2014/2015 Budget Authority Amount:</v>
      </c>
      <c r="C31" s="308">
        <f>inputOth!B69</f>
        <v>10000</v>
      </c>
      <c r="D31" s="308">
        <f>inputPrYr!D57</f>
        <v>10000</v>
      </c>
      <c r="E31" s="697">
        <f>E29</f>
        <v>0</v>
      </c>
    </row>
    <row r="32" spans="2:5" ht="15.75">
      <c r="B32" s="256"/>
      <c r="C32" s="290">
        <f>IF(C29&gt;C31,"See Tab A","")</f>
      </c>
      <c r="D32" s="290">
        <f>IF(D29&gt;D31,"See Tab C","")</f>
      </c>
      <c r="E32" s="698">
        <f>IF(E30&lt;0,"See Tab E","")</f>
      </c>
    </row>
    <row r="33" spans="2:5" ht="15.75">
      <c r="B33" s="256"/>
      <c r="C33" s="290">
        <f>IF(C30&lt;0,"See Tab B","")</f>
      </c>
      <c r="D33" s="290">
        <f>IF(D30&lt;0,"See Tab D","")</f>
      </c>
      <c r="E33" s="120"/>
    </row>
    <row r="34" spans="2:5" ht="15.75">
      <c r="B34" s="62"/>
      <c r="C34" s="120"/>
      <c r="D34" s="120"/>
      <c r="E34" s="120"/>
    </row>
    <row r="35" spans="2:5" ht="15.75">
      <c r="B35" s="61" t="s">
        <v>157</v>
      </c>
      <c r="C35" s="296"/>
      <c r="D35" s="296"/>
      <c r="E35" s="296"/>
    </row>
    <row r="36" spans="2:5" ht="15.75">
      <c r="B36" s="62"/>
      <c r="C36" s="292" t="str">
        <f aca="true" t="shared" si="0" ref="C36:E37">C5</f>
        <v>Prior Year </v>
      </c>
      <c r="D36" s="188" t="str">
        <f t="shared" si="0"/>
        <v>Current Year </v>
      </c>
      <c r="E36" s="188" t="str">
        <f t="shared" si="0"/>
        <v>Proposed Budget </v>
      </c>
    </row>
    <row r="37" spans="2:5" ht="15.75">
      <c r="B37" s="446" t="str">
        <f>inputPrYr!B58</f>
        <v>Road &amp; Bridge Machinery</v>
      </c>
      <c r="C37" s="284" t="str">
        <f t="shared" si="0"/>
        <v>Actual for 2013</v>
      </c>
      <c r="D37" s="284" t="str">
        <f t="shared" si="0"/>
        <v>Estimate for 2014</v>
      </c>
      <c r="E37" s="271" t="str">
        <f t="shared" si="0"/>
        <v>Year for 2015</v>
      </c>
    </row>
    <row r="38" spans="2:5" ht="15.75">
      <c r="B38" s="123" t="s">
        <v>272</v>
      </c>
      <c r="C38" s="87">
        <v>239780</v>
      </c>
      <c r="D38" s="234">
        <f>C61</f>
        <v>339780</v>
      </c>
      <c r="E38" s="234">
        <f>D61</f>
        <v>339780</v>
      </c>
    </row>
    <row r="39" spans="2:5" ht="15.75">
      <c r="B39" s="123" t="s">
        <v>274</v>
      </c>
      <c r="C39" s="83"/>
      <c r="D39" s="83"/>
      <c r="E39" s="83"/>
    </row>
    <row r="40" spans="2:5" ht="15.75">
      <c r="B40" s="287" t="s">
        <v>1093</v>
      </c>
      <c r="C40" s="87">
        <v>100000</v>
      </c>
      <c r="D40" s="87"/>
      <c r="E40" s="87"/>
    </row>
    <row r="41" spans="2:5" ht="15.75">
      <c r="B41" s="287"/>
      <c r="C41" s="87"/>
      <c r="D41" s="87"/>
      <c r="E41" s="87"/>
    </row>
    <row r="42" spans="2:5" ht="15.75">
      <c r="B42" s="287"/>
      <c r="C42" s="87"/>
      <c r="D42" s="87"/>
      <c r="E42" s="87"/>
    </row>
    <row r="43" spans="2:5" ht="15.75">
      <c r="B43" s="277" t="s">
        <v>165</v>
      </c>
      <c r="C43" s="87"/>
      <c r="D43" s="87"/>
      <c r="E43" s="87"/>
    </row>
    <row r="44" spans="2:5" ht="15.75">
      <c r="B44" s="278" t="s">
        <v>72</v>
      </c>
      <c r="C44" s="87"/>
      <c r="D44" s="273"/>
      <c r="E44" s="273"/>
    </row>
    <row r="45" spans="2:5" ht="15.75">
      <c r="B45" s="278" t="s">
        <v>654</v>
      </c>
      <c r="C45" s="443">
        <f>IF(C46*0.1&lt;C44,"Exceed 10% Rule","")</f>
      </c>
      <c r="D45" s="279">
        <f>IF(D46*0.1&lt;D44,"Exceed 10% Rule","")</f>
      </c>
      <c r="E45" s="279">
        <f>IF(E46*0.1&lt;E44,"Exceed 10% Rule","")</f>
      </c>
    </row>
    <row r="46" spans="2:5" ht="15.75">
      <c r="B46" s="280" t="s">
        <v>166</v>
      </c>
      <c r="C46" s="321">
        <f>SUM(C40:C44)</f>
        <v>100000</v>
      </c>
      <c r="D46" s="321">
        <f>SUM(D40:D44)</f>
        <v>0</v>
      </c>
      <c r="E46" s="321">
        <f>SUM(E40:E44)</f>
        <v>0</v>
      </c>
    </row>
    <row r="47" spans="2:5" ht="15.75">
      <c r="B47" s="280" t="s">
        <v>167</v>
      </c>
      <c r="C47" s="321">
        <f>C38+C46</f>
        <v>339780</v>
      </c>
      <c r="D47" s="321">
        <f>D38+D46</f>
        <v>339780</v>
      </c>
      <c r="E47" s="321">
        <f>E38+E46</f>
        <v>339780</v>
      </c>
    </row>
    <row r="48" spans="2:5" ht="15.75">
      <c r="B48" s="123" t="s">
        <v>170</v>
      </c>
      <c r="C48" s="234"/>
      <c r="D48" s="234"/>
      <c r="E48" s="234"/>
    </row>
    <row r="49" spans="2:5" ht="15.75">
      <c r="B49" s="287" t="s">
        <v>1041</v>
      </c>
      <c r="C49" s="87"/>
      <c r="D49" s="87"/>
      <c r="E49" s="87"/>
    </row>
    <row r="50" spans="2:5" ht="15.75">
      <c r="B50" s="287"/>
      <c r="C50" s="87"/>
      <c r="D50" s="87"/>
      <c r="E50" s="87"/>
    </row>
    <row r="51" spans="2:5" ht="15.75">
      <c r="B51" s="287"/>
      <c r="C51" s="87"/>
      <c r="D51" s="87"/>
      <c r="E51" s="87"/>
    </row>
    <row r="52" spans="2:5" ht="15.75">
      <c r="B52" s="287"/>
      <c r="C52" s="87"/>
      <c r="D52" s="87"/>
      <c r="E52" s="87"/>
    </row>
    <row r="53" spans="2:5" ht="15.75">
      <c r="B53" s="287"/>
      <c r="C53" s="87"/>
      <c r="D53" s="87"/>
      <c r="E53" s="87"/>
    </row>
    <row r="54" spans="2:5" ht="15.75">
      <c r="B54" s="287"/>
      <c r="C54" s="87"/>
      <c r="D54" s="87"/>
      <c r="E54" s="87"/>
    </row>
    <row r="55" spans="2:5" ht="15.75">
      <c r="B55" s="287"/>
      <c r="C55" s="87"/>
      <c r="D55" s="87"/>
      <c r="E55" s="87"/>
    </row>
    <row r="56" spans="2:5" ht="15.75">
      <c r="B56" s="287"/>
      <c r="C56" s="87"/>
      <c r="D56" s="87"/>
      <c r="E56" s="87"/>
    </row>
    <row r="57" spans="2:5" ht="15.75">
      <c r="B57" s="287"/>
      <c r="C57" s="87"/>
      <c r="D57" s="87"/>
      <c r="E57" s="87"/>
    </row>
    <row r="58" spans="2:5" ht="15.75">
      <c r="B58" s="278" t="s">
        <v>72</v>
      </c>
      <c r="C58" s="87"/>
      <c r="D58" s="273"/>
      <c r="E58" s="273"/>
    </row>
    <row r="59" spans="2:5" ht="15.75">
      <c r="B59" s="278" t="s">
        <v>653</v>
      </c>
      <c r="C59" s="443">
        <f>IF(C60*0.1&lt;C58,"Exceed 10% Rule","")</f>
      </c>
      <c r="D59" s="279">
        <f>IF(D60*0.1&lt;D58,"Exceed 10% Rule","")</f>
      </c>
      <c r="E59" s="279">
        <f>IF(E60*0.1&lt;E58,"Exceed 10% Rule","")</f>
      </c>
    </row>
    <row r="60" spans="2:5" ht="15.75">
      <c r="B60" s="280" t="s">
        <v>171</v>
      </c>
      <c r="C60" s="321">
        <f>SUM(C49:C58)</f>
        <v>0</v>
      </c>
      <c r="D60" s="321">
        <f>SUM(D49:D58)</f>
        <v>0</v>
      </c>
      <c r="E60" s="321">
        <f>SUM(E49:E58)</f>
        <v>0</v>
      </c>
    </row>
    <row r="61" spans="2:5" ht="15.75">
      <c r="B61" s="123" t="s">
        <v>273</v>
      </c>
      <c r="C61" s="95">
        <f>C47-C60</f>
        <v>339780</v>
      </c>
      <c r="D61" s="95">
        <f>D47-D60</f>
        <v>339780</v>
      </c>
      <c r="E61" s="95">
        <f>E47-E60</f>
        <v>339780</v>
      </c>
    </row>
    <row r="62" spans="2:5" ht="15.75">
      <c r="B62" s="270" t="str">
        <f>CONCATENATE("",E1-2,"/",E1-1,"/",E1," Budget Authority Amount:")</f>
        <v>2013/2014/2015 Budget Authority Amount:</v>
      </c>
      <c r="C62" s="308">
        <f>inputOth!B70</f>
        <v>100000</v>
      </c>
      <c r="D62" s="308">
        <f>inputPrYr!D58</f>
        <v>100000</v>
      </c>
      <c r="E62" s="697">
        <f>E60</f>
        <v>0</v>
      </c>
    </row>
    <row r="63" spans="2:5" ht="15.75">
      <c r="B63" s="256"/>
      <c r="C63" s="290">
        <f>IF(C60&gt;C62,"See Tab A","")</f>
      </c>
      <c r="D63" s="290">
        <f>IF(D60&gt;D62,"See Tab C","")</f>
      </c>
      <c r="E63" s="699">
        <f>IF(E61&lt;0,"See Tab E","")</f>
      </c>
    </row>
    <row r="64" spans="2:5" ht="15.75">
      <c r="B64" s="256"/>
      <c r="C64" s="290">
        <f>IF(C61&lt;0,"See Tab B","")</f>
      </c>
      <c r="D64" s="290">
        <f>IF(D61&lt;0,"See Tab D","")</f>
      </c>
      <c r="E64" s="62"/>
    </row>
    <row r="65" spans="2:5" ht="15.75">
      <c r="B65" s="62"/>
      <c r="C65" s="62"/>
      <c r="D65" s="62"/>
      <c r="E65" s="62"/>
    </row>
    <row r="66" spans="2:5" ht="15.75">
      <c r="B66" s="256" t="s">
        <v>192</v>
      </c>
      <c r="C66" s="318">
        <v>28</v>
      </c>
      <c r="D66" s="62"/>
      <c r="E66" s="62"/>
    </row>
  </sheetData>
  <sheetProtection sheet="1"/>
  <conditionalFormatting sqref="C27">
    <cfRule type="cellIs" priority="4" dxfId="408" operator="greaterThan" stopIfTrue="1">
      <formula>$C$29*0.1</formula>
    </cfRule>
  </conditionalFormatting>
  <conditionalFormatting sqref="D27">
    <cfRule type="cellIs" priority="5" dxfId="408" operator="greaterThan" stopIfTrue="1">
      <formula>$D$29*0.1</formula>
    </cfRule>
  </conditionalFormatting>
  <conditionalFormatting sqref="E27">
    <cfRule type="cellIs" priority="6" dxfId="408" operator="greaterThan" stopIfTrue="1">
      <formula>$E$29*0.1</formula>
    </cfRule>
  </conditionalFormatting>
  <conditionalFormatting sqref="C13">
    <cfRule type="cellIs" priority="7" dxfId="408" operator="greaterThan" stopIfTrue="1">
      <formula>$C$15*0.1</formula>
    </cfRule>
  </conditionalFormatting>
  <conditionalFormatting sqref="D13">
    <cfRule type="cellIs" priority="8" dxfId="408" operator="greaterThan" stopIfTrue="1">
      <formula>$D$15*0.1</formula>
    </cfRule>
  </conditionalFormatting>
  <conditionalFormatting sqref="E13">
    <cfRule type="cellIs" priority="9" dxfId="408" operator="greaterThan" stopIfTrue="1">
      <formula>$E$15*0.1</formula>
    </cfRule>
  </conditionalFormatting>
  <conditionalFormatting sqref="C44">
    <cfRule type="cellIs" priority="10" dxfId="408" operator="greaterThan" stopIfTrue="1">
      <formula>$C$46*0.1</formula>
    </cfRule>
  </conditionalFormatting>
  <conditionalFormatting sqref="D44">
    <cfRule type="cellIs" priority="11" dxfId="408" operator="greaterThan" stopIfTrue="1">
      <formula>$D$46*0.1</formula>
    </cfRule>
  </conditionalFormatting>
  <conditionalFormatting sqref="E44">
    <cfRule type="cellIs" priority="12" dxfId="408" operator="greaterThan" stopIfTrue="1">
      <formula>$E$46*0.1</formula>
    </cfRule>
  </conditionalFormatting>
  <conditionalFormatting sqref="C58">
    <cfRule type="cellIs" priority="13" dxfId="408" operator="greaterThan" stopIfTrue="1">
      <formula>$C$60*0.1</formula>
    </cfRule>
  </conditionalFormatting>
  <conditionalFormatting sqref="D58">
    <cfRule type="cellIs" priority="14" dxfId="408" operator="greaterThan" stopIfTrue="1">
      <formula>$D$60*0.1</formula>
    </cfRule>
  </conditionalFormatting>
  <conditionalFormatting sqref="E58">
    <cfRule type="cellIs" priority="15" dxfId="408" operator="greaterThan" stopIfTrue="1">
      <formula>$E$60*0.1</formula>
    </cfRule>
  </conditionalFormatting>
  <conditionalFormatting sqref="E30 E61 C61 C30">
    <cfRule type="cellIs" priority="16" dxfId="2" operator="lessThan" stopIfTrue="1">
      <formula>0</formula>
    </cfRule>
  </conditionalFormatting>
  <conditionalFormatting sqref="D60">
    <cfRule type="cellIs" priority="17" dxfId="2" operator="greaterThan" stopIfTrue="1">
      <formula>$D$62</formula>
    </cfRule>
  </conditionalFormatting>
  <conditionalFormatting sqref="C60">
    <cfRule type="cellIs" priority="18" dxfId="2" operator="greaterThan" stopIfTrue="1">
      <formula>$C$62</formula>
    </cfRule>
  </conditionalFormatting>
  <conditionalFormatting sqref="D29">
    <cfRule type="cellIs" priority="19" dxfId="2" operator="greaterThan" stopIfTrue="1">
      <formula>$D$31</formula>
    </cfRule>
  </conditionalFormatting>
  <conditionalFormatting sqref="C29">
    <cfRule type="cellIs" priority="20" dxfId="2" operator="greaterThan" stopIfTrue="1">
      <formula>$C$31</formula>
    </cfRule>
  </conditionalFormatting>
  <conditionalFormatting sqref="D30">
    <cfRule type="cellIs" priority="3" dxfId="0" operator="lessThan" stopIfTrue="1">
      <formula>0</formula>
    </cfRule>
  </conditionalFormatting>
  <conditionalFormatting sqref="D61">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63" r:id="rId1"/>
  <headerFooter alignWithMargins="0">
    <oddHeader>&amp;RState of Kansas
County</oddHeader>
  </headerFooter>
</worksheet>
</file>

<file path=xl/worksheets/sheet37.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20" sqref="A20:A22"/>
    </sheetView>
  </sheetViews>
  <sheetFormatPr defaultColWidth="8.796875" defaultRowHeight="15"/>
  <cols>
    <col min="1" max="1" width="11.59765625" style="50" customWidth="1"/>
    <col min="2" max="2" width="7.3984375" style="50" customWidth="1"/>
    <col min="3" max="3" width="11.59765625" style="50" customWidth="1"/>
    <col min="4" max="4" width="7.3984375" style="50" customWidth="1"/>
    <col min="5" max="5" width="11.59765625" style="50" customWidth="1"/>
    <col min="6" max="6" width="7.3984375" style="50" customWidth="1"/>
    <col min="7" max="7" width="11.59765625" style="50" customWidth="1"/>
    <col min="8" max="8" width="7.3984375" style="50" customWidth="1"/>
    <col min="9" max="9" width="11.59765625" style="50" customWidth="1"/>
    <col min="10" max="16384" width="8.8984375" style="50" customWidth="1"/>
  </cols>
  <sheetData>
    <row r="1" spans="1:11" ht="15.75">
      <c r="A1" s="119" t="str">
        <f>inputPrYr!$C$2</f>
        <v>Marshall County</v>
      </c>
      <c r="B1" s="326"/>
      <c r="C1" s="100"/>
      <c r="D1" s="100"/>
      <c r="E1" s="100"/>
      <c r="F1" s="327" t="s">
        <v>14</v>
      </c>
      <c r="G1" s="100"/>
      <c r="H1" s="100"/>
      <c r="I1" s="100"/>
      <c r="J1" s="100"/>
      <c r="K1" s="100">
        <f>inputPrYr!$C$4</f>
        <v>2015</v>
      </c>
    </row>
    <row r="2" spans="1:11" ht="15.75">
      <c r="A2" s="100"/>
      <c r="B2" s="100"/>
      <c r="C2" s="100"/>
      <c r="D2" s="100"/>
      <c r="E2" s="100"/>
      <c r="F2" s="328" t="str">
        <f>CONCATENATE("(Only the actual budget year for ",K1-2," is to be shown)")</f>
        <v>(Only the actual budget year for 2013 is to be shown)</v>
      </c>
      <c r="G2" s="100"/>
      <c r="H2" s="100"/>
      <c r="I2" s="100"/>
      <c r="J2" s="100"/>
      <c r="K2" s="100"/>
    </row>
    <row r="3" spans="1:11" ht="15.75">
      <c r="A3" s="100" t="s">
        <v>15</v>
      </c>
      <c r="B3" s="100"/>
      <c r="C3" s="100"/>
      <c r="D3" s="100"/>
      <c r="E3" s="100"/>
      <c r="F3" s="326"/>
      <c r="G3" s="100"/>
      <c r="H3" s="100"/>
      <c r="I3" s="100"/>
      <c r="J3" s="100"/>
      <c r="K3" s="100"/>
    </row>
    <row r="4" spans="1:11" ht="15.75">
      <c r="A4" s="100" t="s">
        <v>16</v>
      </c>
      <c r="B4" s="100"/>
      <c r="C4" s="100" t="s">
        <v>17</v>
      </c>
      <c r="D4" s="100"/>
      <c r="E4" s="100" t="s">
        <v>18</v>
      </c>
      <c r="F4" s="326"/>
      <c r="G4" s="100" t="s">
        <v>19</v>
      </c>
      <c r="H4" s="100"/>
      <c r="I4" s="100" t="s">
        <v>20</v>
      </c>
      <c r="J4" s="100"/>
      <c r="K4" s="100"/>
    </row>
    <row r="5" spans="1:11" ht="15.75">
      <c r="A5" s="841" t="str">
        <f>IF(inputPrYr!B62&gt;" ",(inputPrYr!B62)," ")</f>
        <v>Childcare Licensing</v>
      </c>
      <c r="B5" s="842"/>
      <c r="C5" s="841" t="str">
        <f>IF(inputPrYr!B63&gt;" ",(inputPrYr!B63)," ")</f>
        <v>Maternal Child Health</v>
      </c>
      <c r="D5" s="842"/>
      <c r="E5" s="841" t="str">
        <f>IF(inputPrYr!B64&gt;" ",(inputPrYr!B64)," ")</f>
        <v>Immunizations</v>
      </c>
      <c r="F5" s="842"/>
      <c r="G5" s="841" t="str">
        <f>IF(inputPrYr!B65&gt;" ",(inputPrYr!B65)," ")</f>
        <v>Medical Reserve Corp</v>
      </c>
      <c r="H5" s="842"/>
      <c r="I5" s="841" t="str">
        <f>IF(inputPrYr!B66&gt;" ",(inputPrYr!B66)," ")</f>
        <v>Breastfeeding Grant</v>
      </c>
      <c r="J5" s="842"/>
      <c r="K5" s="330"/>
    </row>
    <row r="6" spans="1:11" ht="15.75">
      <c r="A6" s="331" t="s">
        <v>21</v>
      </c>
      <c r="B6" s="332"/>
      <c r="C6" s="333" t="s">
        <v>21</v>
      </c>
      <c r="D6" s="334"/>
      <c r="E6" s="333" t="s">
        <v>21</v>
      </c>
      <c r="F6" s="329"/>
      <c r="G6" s="333" t="s">
        <v>21</v>
      </c>
      <c r="H6" s="335"/>
      <c r="I6" s="333" t="s">
        <v>21</v>
      </c>
      <c r="J6" s="100"/>
      <c r="K6" s="336" t="s">
        <v>129</v>
      </c>
    </row>
    <row r="7" spans="1:11" ht="15.75">
      <c r="A7" s="337" t="s">
        <v>83</v>
      </c>
      <c r="B7" s="338">
        <v>425</v>
      </c>
      <c r="C7" s="339" t="s">
        <v>83</v>
      </c>
      <c r="D7" s="338">
        <v>460</v>
      </c>
      <c r="E7" s="339" t="s">
        <v>83</v>
      </c>
      <c r="F7" s="338">
        <v>145</v>
      </c>
      <c r="G7" s="339" t="s">
        <v>83</v>
      </c>
      <c r="H7" s="338">
        <v>1107</v>
      </c>
      <c r="I7" s="339" t="s">
        <v>83</v>
      </c>
      <c r="J7" s="338">
        <v>5058</v>
      </c>
      <c r="K7" s="340">
        <f>SUM(B7+D7+F7+H7+J7)</f>
        <v>7195</v>
      </c>
    </row>
    <row r="8" spans="1:11" ht="15.75">
      <c r="A8" s="341" t="s">
        <v>274</v>
      </c>
      <c r="B8" s="342"/>
      <c r="C8" s="341" t="s">
        <v>274</v>
      </c>
      <c r="D8" s="343"/>
      <c r="E8" s="341" t="s">
        <v>274</v>
      </c>
      <c r="F8" s="326"/>
      <c r="G8" s="341" t="s">
        <v>274</v>
      </c>
      <c r="H8" s="100"/>
      <c r="I8" s="341" t="s">
        <v>274</v>
      </c>
      <c r="J8" s="100"/>
      <c r="K8" s="326"/>
    </row>
    <row r="9" spans="1:11" ht="15.75">
      <c r="A9" s="344" t="s">
        <v>1095</v>
      </c>
      <c r="B9" s="338">
        <v>27050</v>
      </c>
      <c r="C9" s="344" t="s">
        <v>1095</v>
      </c>
      <c r="D9" s="338">
        <v>12768</v>
      </c>
      <c r="E9" s="344" t="s">
        <v>1095</v>
      </c>
      <c r="F9" s="338">
        <v>2177</v>
      </c>
      <c r="G9" s="344" t="s">
        <v>1095</v>
      </c>
      <c r="H9" s="338">
        <v>4000</v>
      </c>
      <c r="I9" s="344" t="s">
        <v>1095</v>
      </c>
      <c r="J9" s="338">
        <v>82</v>
      </c>
      <c r="K9" s="326"/>
    </row>
    <row r="10" spans="1:11" ht="15.75">
      <c r="A10" s="344"/>
      <c r="B10" s="338"/>
      <c r="C10" s="344"/>
      <c r="D10" s="338"/>
      <c r="E10" s="344"/>
      <c r="F10" s="338"/>
      <c r="G10" s="344"/>
      <c r="H10" s="338"/>
      <c r="I10" s="344"/>
      <c r="J10" s="338"/>
      <c r="K10" s="326"/>
    </row>
    <row r="11" spans="1:11" ht="15.75">
      <c r="A11" s="344"/>
      <c r="B11" s="338"/>
      <c r="C11" s="345"/>
      <c r="D11" s="338"/>
      <c r="E11" s="345"/>
      <c r="F11" s="338"/>
      <c r="G11" s="345"/>
      <c r="H11" s="338"/>
      <c r="I11" s="346"/>
      <c r="J11" s="338"/>
      <c r="K11" s="326"/>
    </row>
    <row r="12" spans="1:11" ht="15.75">
      <c r="A12" s="344"/>
      <c r="B12" s="338"/>
      <c r="C12" s="344"/>
      <c r="D12" s="338"/>
      <c r="E12" s="347"/>
      <c r="F12" s="338"/>
      <c r="G12" s="347"/>
      <c r="H12" s="338"/>
      <c r="I12" s="347"/>
      <c r="J12" s="338"/>
      <c r="K12" s="326"/>
    </row>
    <row r="13" spans="1:11" ht="15.75">
      <c r="A13" s="348"/>
      <c r="B13" s="338"/>
      <c r="C13" s="349"/>
      <c r="D13" s="338"/>
      <c r="E13" s="349"/>
      <c r="F13" s="338"/>
      <c r="G13" s="349"/>
      <c r="H13" s="338"/>
      <c r="I13" s="346"/>
      <c r="J13" s="338"/>
      <c r="K13" s="326"/>
    </row>
    <row r="14" spans="1:11" ht="15.75">
      <c r="A14" s="344"/>
      <c r="B14" s="338"/>
      <c r="C14" s="347"/>
      <c r="D14" s="338"/>
      <c r="E14" s="347"/>
      <c r="F14" s="338"/>
      <c r="G14" s="347"/>
      <c r="H14" s="338"/>
      <c r="I14" s="347"/>
      <c r="J14" s="338"/>
      <c r="K14" s="326"/>
    </row>
    <row r="15" spans="1:11" ht="15.75">
      <c r="A15" s="344"/>
      <c r="B15" s="338"/>
      <c r="C15" s="347"/>
      <c r="D15" s="338"/>
      <c r="E15" s="347"/>
      <c r="F15" s="338"/>
      <c r="G15" s="347"/>
      <c r="H15" s="338"/>
      <c r="I15" s="347"/>
      <c r="J15" s="338"/>
      <c r="K15" s="326"/>
    </row>
    <row r="16" spans="1:11" ht="15.75">
      <c r="A16" s="344"/>
      <c r="B16" s="338"/>
      <c r="C16" s="344"/>
      <c r="D16" s="338"/>
      <c r="E16" s="344"/>
      <c r="F16" s="338"/>
      <c r="G16" s="347"/>
      <c r="H16" s="338"/>
      <c r="I16" s="344"/>
      <c r="J16" s="338"/>
      <c r="K16" s="326"/>
    </row>
    <row r="17" spans="1:11" ht="15.75">
      <c r="A17" s="341" t="s">
        <v>166</v>
      </c>
      <c r="B17" s="350">
        <f>SUM(B9:B16)</f>
        <v>27050</v>
      </c>
      <c r="C17" s="341" t="s">
        <v>166</v>
      </c>
      <c r="D17" s="340">
        <f>SUM(D9:D16)</f>
        <v>12768</v>
      </c>
      <c r="E17" s="341" t="s">
        <v>166</v>
      </c>
      <c r="F17" s="413">
        <f>SUM(F9:F16)</f>
        <v>2177</v>
      </c>
      <c r="G17" s="341" t="s">
        <v>166</v>
      </c>
      <c r="H17" s="340">
        <f>SUM(H9:H16)</f>
        <v>4000</v>
      </c>
      <c r="I17" s="341" t="s">
        <v>166</v>
      </c>
      <c r="J17" s="340">
        <f>SUM(J9:J16)</f>
        <v>82</v>
      </c>
      <c r="K17" s="340">
        <f>SUM(B17+D17+F17+H17+J17)</f>
        <v>46077</v>
      </c>
    </row>
    <row r="18" spans="1:11" ht="15.75">
      <c r="A18" s="341" t="s">
        <v>167</v>
      </c>
      <c r="B18" s="350">
        <f>SUM(B7+B17)</f>
        <v>27475</v>
      </c>
      <c r="C18" s="341" t="s">
        <v>167</v>
      </c>
      <c r="D18" s="340">
        <f>SUM(D7+D17)</f>
        <v>13228</v>
      </c>
      <c r="E18" s="341" t="s">
        <v>167</v>
      </c>
      <c r="F18" s="340">
        <f>SUM(F7+F17)</f>
        <v>2322</v>
      </c>
      <c r="G18" s="341" t="s">
        <v>167</v>
      </c>
      <c r="H18" s="340">
        <f>SUM(H7+H17)</f>
        <v>5107</v>
      </c>
      <c r="I18" s="341" t="s">
        <v>167</v>
      </c>
      <c r="J18" s="340">
        <f>SUM(J7+J17)</f>
        <v>5140</v>
      </c>
      <c r="K18" s="340">
        <f>SUM(B18+D18+F18+H18+J18)</f>
        <v>53272</v>
      </c>
    </row>
    <row r="19" spans="1:11" ht="15.75">
      <c r="A19" s="341" t="s">
        <v>170</v>
      </c>
      <c r="B19" s="342"/>
      <c r="C19" s="341" t="s">
        <v>170</v>
      </c>
      <c r="D19" s="343"/>
      <c r="E19" s="341" t="s">
        <v>170</v>
      </c>
      <c r="F19" s="326"/>
      <c r="G19" s="341" t="s">
        <v>170</v>
      </c>
      <c r="H19" s="100"/>
      <c r="I19" s="341" t="s">
        <v>170</v>
      </c>
      <c r="J19" s="100"/>
      <c r="K19" s="326"/>
    </row>
    <row r="20" spans="1:11" ht="15.75">
      <c r="A20" s="344" t="s">
        <v>1094</v>
      </c>
      <c r="B20" s="338">
        <v>18594</v>
      </c>
      <c r="C20" s="344" t="s">
        <v>1094</v>
      </c>
      <c r="D20" s="338">
        <v>12762</v>
      </c>
      <c r="E20" s="344" t="s">
        <v>1094</v>
      </c>
      <c r="F20" s="338">
        <v>2322</v>
      </c>
      <c r="G20" s="344" t="s">
        <v>1094</v>
      </c>
      <c r="H20" s="338">
        <v>988</v>
      </c>
      <c r="I20" s="344" t="s">
        <v>1094</v>
      </c>
      <c r="J20" s="338"/>
      <c r="K20" s="326"/>
    </row>
    <row r="21" spans="1:11" ht="15.75">
      <c r="A21" s="344" t="s">
        <v>1084</v>
      </c>
      <c r="B21" s="338">
        <v>1230</v>
      </c>
      <c r="C21" s="344" t="s">
        <v>1084</v>
      </c>
      <c r="D21" s="338">
        <v>48</v>
      </c>
      <c r="E21" s="344" t="s">
        <v>1084</v>
      </c>
      <c r="F21" s="338"/>
      <c r="G21" s="344" t="s">
        <v>1084</v>
      </c>
      <c r="H21" s="338"/>
      <c r="I21" s="344" t="s">
        <v>1084</v>
      </c>
      <c r="J21" s="338"/>
      <c r="K21" s="326"/>
    </row>
    <row r="22" spans="1:11" ht="15.75">
      <c r="A22" s="344" t="s">
        <v>1040</v>
      </c>
      <c r="B22" s="338">
        <v>789</v>
      </c>
      <c r="C22" s="344" t="s">
        <v>1040</v>
      </c>
      <c r="D22" s="338"/>
      <c r="E22" s="344" t="s">
        <v>1040</v>
      </c>
      <c r="F22" s="338"/>
      <c r="G22" s="344" t="s">
        <v>1040</v>
      </c>
      <c r="H22" s="338">
        <v>460</v>
      </c>
      <c r="I22" s="344" t="s">
        <v>1040</v>
      </c>
      <c r="J22" s="338">
        <v>2226</v>
      </c>
      <c r="K22" s="326"/>
    </row>
    <row r="23" spans="1:11" ht="15.75">
      <c r="A23" s="344"/>
      <c r="B23" s="338"/>
      <c r="C23" s="347"/>
      <c r="D23" s="338"/>
      <c r="E23" s="347"/>
      <c r="F23" s="338"/>
      <c r="G23" s="347"/>
      <c r="H23" s="338"/>
      <c r="I23" s="347"/>
      <c r="J23" s="338"/>
      <c r="K23" s="326"/>
    </row>
    <row r="24" spans="1:11" ht="15.75">
      <c r="A24" s="344"/>
      <c r="B24" s="338"/>
      <c r="C24" s="349"/>
      <c r="D24" s="338"/>
      <c r="E24" s="349"/>
      <c r="F24" s="338"/>
      <c r="G24" s="349"/>
      <c r="H24" s="338"/>
      <c r="I24" s="346"/>
      <c r="J24" s="338"/>
      <c r="K24" s="326"/>
    </row>
    <row r="25" spans="1:11" ht="15.75">
      <c r="A25" s="344"/>
      <c r="B25" s="338"/>
      <c r="C25" s="347"/>
      <c r="D25" s="338"/>
      <c r="E25" s="347"/>
      <c r="F25" s="338"/>
      <c r="G25" s="347"/>
      <c r="H25" s="338"/>
      <c r="I25" s="347"/>
      <c r="J25" s="338"/>
      <c r="K25" s="326"/>
    </row>
    <row r="26" spans="1:11" ht="15.75">
      <c r="A26" s="344"/>
      <c r="B26" s="338"/>
      <c r="C26" s="347"/>
      <c r="D26" s="338"/>
      <c r="E26" s="347"/>
      <c r="F26" s="338"/>
      <c r="G26" s="347"/>
      <c r="H26" s="338"/>
      <c r="I26" s="347"/>
      <c r="J26" s="338"/>
      <c r="K26" s="326"/>
    </row>
    <row r="27" spans="1:11" ht="15.75">
      <c r="A27" s="344"/>
      <c r="B27" s="338"/>
      <c r="C27" s="344"/>
      <c r="D27" s="338"/>
      <c r="E27" s="344"/>
      <c r="F27" s="338"/>
      <c r="G27" s="347"/>
      <c r="H27" s="338"/>
      <c r="I27" s="347"/>
      <c r="J27" s="338"/>
      <c r="K27" s="326"/>
    </row>
    <row r="28" spans="1:11" ht="15.75">
      <c r="A28" s="341" t="s">
        <v>171</v>
      </c>
      <c r="B28" s="340">
        <f>SUM(B20:B27)</f>
        <v>20613</v>
      </c>
      <c r="C28" s="341" t="s">
        <v>171</v>
      </c>
      <c r="D28" s="340">
        <f>SUM(D20:D27)</f>
        <v>12810</v>
      </c>
      <c r="E28" s="341" t="s">
        <v>171</v>
      </c>
      <c r="F28" s="413">
        <f>SUM(F20:F27)</f>
        <v>2322</v>
      </c>
      <c r="G28" s="341" t="s">
        <v>171</v>
      </c>
      <c r="H28" s="413">
        <f>SUM(H20:H27)</f>
        <v>1448</v>
      </c>
      <c r="I28" s="341" t="s">
        <v>171</v>
      </c>
      <c r="J28" s="340">
        <f>SUM(J20:J27)</f>
        <v>2226</v>
      </c>
      <c r="K28" s="340">
        <f>SUM(B28+D28+F28+H28+J28)</f>
        <v>39419</v>
      </c>
    </row>
    <row r="29" spans="1:12" ht="15.75">
      <c r="A29" s="341" t="s">
        <v>22</v>
      </c>
      <c r="B29" s="340">
        <f>B18-B28</f>
        <v>6862</v>
      </c>
      <c r="C29" s="341" t="s">
        <v>22</v>
      </c>
      <c r="D29" s="340">
        <f>D18-D28</f>
        <v>418</v>
      </c>
      <c r="E29" s="341" t="s">
        <v>22</v>
      </c>
      <c r="F29" s="340">
        <f>F18-F28</f>
        <v>0</v>
      </c>
      <c r="G29" s="341" t="s">
        <v>22</v>
      </c>
      <c r="H29" s="340">
        <f>H18-H28</f>
        <v>3659</v>
      </c>
      <c r="I29" s="341" t="s">
        <v>22</v>
      </c>
      <c r="J29" s="340">
        <f>J18-J28</f>
        <v>2914</v>
      </c>
      <c r="K29" s="351">
        <f>SUM(B29+D29+F29+H29+J29)</f>
        <v>13853</v>
      </c>
      <c r="L29" s="50" t="s">
        <v>60</v>
      </c>
    </row>
    <row r="30" spans="1:12" ht="15.75">
      <c r="A30" s="341"/>
      <c r="B30" s="382">
        <f>IF(B29&lt;0,"See Tab B","")</f>
      </c>
      <c r="C30" s="341"/>
      <c r="D30" s="382">
        <f>IF(D29&lt;0,"See Tab B","")</f>
      </c>
      <c r="E30" s="341"/>
      <c r="F30" s="382">
        <f>IF(F29&lt;0,"See Tab B","")</f>
      </c>
      <c r="G30" s="100"/>
      <c r="H30" s="382">
        <f>IF(H29&lt;0,"See Tab B","")</f>
      </c>
      <c r="I30" s="100"/>
      <c r="J30" s="382">
        <f>IF(J29&lt;0,"See Tab B","")</f>
      </c>
      <c r="K30" s="351">
        <f>SUM(K7+K17-K28)</f>
        <v>13853</v>
      </c>
      <c r="L30" s="50" t="s">
        <v>60</v>
      </c>
    </row>
    <row r="31" spans="1:11" ht="15.75">
      <c r="A31" s="100"/>
      <c r="B31" s="352"/>
      <c r="C31" s="100"/>
      <c r="D31" s="326"/>
      <c r="E31" s="100"/>
      <c r="F31" s="100"/>
      <c r="G31" s="59" t="s">
        <v>61</v>
      </c>
      <c r="H31" s="59"/>
      <c r="I31" s="59"/>
      <c r="J31" s="59"/>
      <c r="K31" s="100"/>
    </row>
    <row r="32" spans="1:11" ht="15.75">
      <c r="A32" s="100"/>
      <c r="B32" s="352"/>
      <c r="C32" s="100"/>
      <c r="D32" s="100"/>
      <c r="E32" s="100"/>
      <c r="F32" s="100"/>
      <c r="G32" s="100"/>
      <c r="H32" s="100"/>
      <c r="I32" s="100"/>
      <c r="J32" s="100"/>
      <c r="K32" s="100"/>
    </row>
    <row r="33" spans="1:11" ht="15.75">
      <c r="A33" s="100"/>
      <c r="B33" s="352"/>
      <c r="C33" s="100"/>
      <c r="D33" s="100"/>
      <c r="E33" s="291" t="s">
        <v>192</v>
      </c>
      <c r="F33" s="318">
        <v>29</v>
      </c>
      <c r="G33" s="100"/>
      <c r="H33" s="100"/>
      <c r="I33" s="100"/>
      <c r="J33" s="100"/>
      <c r="K33" s="100"/>
    </row>
    <row r="34" ht="15.75">
      <c r="B34" s="353"/>
    </row>
    <row r="35" ht="15.75">
      <c r="B35" s="353"/>
    </row>
    <row r="36" ht="15.75">
      <c r="B36" s="353"/>
    </row>
    <row r="37" ht="15.75">
      <c r="B37" s="353"/>
    </row>
    <row r="38" ht="15.75">
      <c r="B38" s="353"/>
    </row>
    <row r="39" ht="15.75">
      <c r="B39" s="353"/>
    </row>
    <row r="40" ht="15.75">
      <c r="B40" s="353"/>
    </row>
    <row r="41" ht="15.75">
      <c r="B41" s="353"/>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County</oddHeader>
  </headerFooter>
</worksheet>
</file>

<file path=xl/worksheets/sheet3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4" sqref="F34"/>
    </sheetView>
  </sheetViews>
  <sheetFormatPr defaultColWidth="8.796875" defaultRowHeight="15"/>
  <cols>
    <col min="1" max="1" width="11.59765625" style="50" customWidth="1"/>
    <col min="2" max="2" width="7.3984375" style="50" customWidth="1"/>
    <col min="3" max="3" width="11.59765625" style="50" customWidth="1"/>
    <col min="4" max="4" width="7.3984375" style="50" customWidth="1"/>
    <col min="5" max="5" width="11.59765625" style="50" customWidth="1"/>
    <col min="6" max="6" width="7.3984375" style="50" customWidth="1"/>
    <col min="7" max="7" width="11.59765625" style="50" customWidth="1"/>
    <col min="8" max="8" width="7.3984375" style="50" customWidth="1"/>
    <col min="9" max="9" width="11.59765625" style="50" customWidth="1"/>
    <col min="10" max="16384" width="8.8984375" style="50" customWidth="1"/>
  </cols>
  <sheetData>
    <row r="1" spans="1:11" ht="15.75">
      <c r="A1" s="119" t="str">
        <f>inputPrYr!$C$2</f>
        <v>Marshall County</v>
      </c>
      <c r="B1" s="326"/>
      <c r="C1" s="100"/>
      <c r="D1" s="100"/>
      <c r="E1" s="100"/>
      <c r="F1" s="327" t="s">
        <v>23</v>
      </c>
      <c r="G1" s="100"/>
      <c r="H1" s="100"/>
      <c r="I1" s="100"/>
      <c r="J1" s="100"/>
      <c r="K1" s="100">
        <f>inputPrYr!$C$4</f>
        <v>2015</v>
      </c>
    </row>
    <row r="2" spans="1:11" ht="15.75">
      <c r="A2" s="100"/>
      <c r="B2" s="100"/>
      <c r="C2" s="100"/>
      <c r="D2" s="100"/>
      <c r="E2" s="100"/>
      <c r="F2" s="328" t="str">
        <f>CONCATENATE("(Only the actual budget year for ",K1-2," is to be shown)")</f>
        <v>(Only the actual budget year for 2013 is to be shown)</v>
      </c>
      <c r="G2" s="100"/>
      <c r="H2" s="100"/>
      <c r="I2" s="100"/>
      <c r="J2" s="100"/>
      <c r="K2" s="100"/>
    </row>
    <row r="3" spans="1:11" ht="15.75">
      <c r="A3" s="100" t="s">
        <v>24</v>
      </c>
      <c r="B3" s="100"/>
      <c r="C3" s="100"/>
      <c r="D3" s="100"/>
      <c r="E3" s="100"/>
      <c r="F3" s="326"/>
      <c r="G3" s="100"/>
      <c r="H3" s="100"/>
      <c r="I3" s="100"/>
      <c r="J3" s="100"/>
      <c r="K3" s="100"/>
    </row>
    <row r="4" spans="1:11" ht="15.75">
      <c r="A4" s="100" t="s">
        <v>16</v>
      </c>
      <c r="B4" s="100"/>
      <c r="C4" s="100" t="s">
        <v>17</v>
      </c>
      <c r="D4" s="100"/>
      <c r="E4" s="100" t="s">
        <v>18</v>
      </c>
      <c r="F4" s="326"/>
      <c r="G4" s="100" t="s">
        <v>19</v>
      </c>
      <c r="H4" s="100"/>
      <c r="I4" s="100" t="s">
        <v>20</v>
      </c>
      <c r="J4" s="100"/>
      <c r="K4" s="100"/>
    </row>
    <row r="5" spans="1:11" ht="15.75">
      <c r="A5" s="841" t="str">
        <f>IF(inputPrYr!B68&gt;" ",(inputPrYr!B68)," ")</f>
        <v>Nurse Bioterrorism</v>
      </c>
      <c r="B5" s="842"/>
      <c r="C5" s="841" t="str">
        <f>IF(inputPrYr!B69&gt;" ",(inputPrYr!B69)," ")</f>
        <v>Safe Kids Grant</v>
      </c>
      <c r="D5" s="842"/>
      <c r="E5" s="841" t="str">
        <f>IF(inputPrYr!B70&gt;" ",(inputPrYr!B70)," ")</f>
        <v>Special Co. Attorney Fund</v>
      </c>
      <c r="F5" s="842"/>
      <c r="G5" s="841" t="str">
        <f>IF(inputPrYr!B71&gt;" ",(inputPrYr!B71)," ")</f>
        <v>Prosecuting Attorney</v>
      </c>
      <c r="H5" s="842"/>
      <c r="I5" s="841" t="str">
        <f>IF(inputPrYr!B72&gt;" ",(inputPrYr!B72)," ")</f>
        <v>County Equipment Reserve</v>
      </c>
      <c r="J5" s="842"/>
      <c r="K5" s="330"/>
    </row>
    <row r="6" spans="1:11" ht="15.75">
      <c r="A6" s="331" t="s">
        <v>21</v>
      </c>
      <c r="B6" s="332"/>
      <c r="C6" s="333" t="s">
        <v>21</v>
      </c>
      <c r="D6" s="334"/>
      <c r="E6" s="333" t="s">
        <v>21</v>
      </c>
      <c r="F6" s="329"/>
      <c r="G6" s="333" t="s">
        <v>21</v>
      </c>
      <c r="H6" s="335"/>
      <c r="I6" s="333" t="s">
        <v>21</v>
      </c>
      <c r="J6" s="100"/>
      <c r="K6" s="336" t="s">
        <v>129</v>
      </c>
    </row>
    <row r="7" spans="1:11" ht="15.75">
      <c r="A7" s="337" t="s">
        <v>83</v>
      </c>
      <c r="B7" s="338">
        <v>2378</v>
      </c>
      <c r="C7" s="339" t="s">
        <v>83</v>
      </c>
      <c r="D7" s="338">
        <v>2572</v>
      </c>
      <c r="E7" s="339" t="s">
        <v>83</v>
      </c>
      <c r="F7" s="338">
        <v>37869</v>
      </c>
      <c r="G7" s="339" t="s">
        <v>83</v>
      </c>
      <c r="H7" s="338">
        <v>4929</v>
      </c>
      <c r="I7" s="339" t="s">
        <v>83</v>
      </c>
      <c r="J7" s="338">
        <v>97000</v>
      </c>
      <c r="K7" s="340">
        <f>SUM(B7+D7+F7+H7+J7)</f>
        <v>144748</v>
      </c>
    </row>
    <row r="8" spans="1:11" ht="15.75">
      <c r="A8" s="341" t="s">
        <v>274</v>
      </c>
      <c r="B8" s="342"/>
      <c r="C8" s="341" t="s">
        <v>274</v>
      </c>
      <c r="D8" s="343"/>
      <c r="E8" s="341" t="s">
        <v>274</v>
      </c>
      <c r="F8" s="326"/>
      <c r="G8" s="341" t="s">
        <v>274</v>
      </c>
      <c r="H8" s="100"/>
      <c r="I8" s="341" t="s">
        <v>274</v>
      </c>
      <c r="J8" s="100"/>
      <c r="K8" s="326"/>
    </row>
    <row r="9" spans="1:11" ht="15.75">
      <c r="A9" s="344" t="s">
        <v>1095</v>
      </c>
      <c r="B9" s="338">
        <v>7151</v>
      </c>
      <c r="C9" s="344" t="s">
        <v>1095</v>
      </c>
      <c r="D9" s="338">
        <v>322</v>
      </c>
      <c r="E9" s="344" t="s">
        <v>1097</v>
      </c>
      <c r="F9" s="338">
        <v>17430</v>
      </c>
      <c r="G9" s="344" t="s">
        <v>1098</v>
      </c>
      <c r="H9" s="338">
        <v>1196</v>
      </c>
      <c r="I9" s="344" t="s">
        <v>1035</v>
      </c>
      <c r="J9" s="338">
        <v>14000</v>
      </c>
      <c r="K9" s="326"/>
    </row>
    <row r="10" spans="1:11" ht="15.75">
      <c r="A10" s="344"/>
      <c r="B10" s="338"/>
      <c r="C10" s="344"/>
      <c r="D10" s="338"/>
      <c r="E10" s="344"/>
      <c r="F10" s="338"/>
      <c r="G10" s="344"/>
      <c r="H10" s="338"/>
      <c r="I10" s="344"/>
      <c r="J10" s="338"/>
      <c r="K10" s="326"/>
    </row>
    <row r="11" spans="1:11" ht="15.75">
      <c r="A11" s="344"/>
      <c r="B11" s="338"/>
      <c r="C11" s="345"/>
      <c r="D11" s="338"/>
      <c r="E11" s="345"/>
      <c r="F11" s="338"/>
      <c r="G11" s="345"/>
      <c r="H11" s="338"/>
      <c r="I11" s="346"/>
      <c r="J11" s="338"/>
      <c r="K11" s="326"/>
    </row>
    <row r="12" spans="1:11" ht="15.75">
      <c r="A12" s="344"/>
      <c r="B12" s="338"/>
      <c r="C12" s="344"/>
      <c r="D12" s="338"/>
      <c r="E12" s="347"/>
      <c r="F12" s="338"/>
      <c r="G12" s="347"/>
      <c r="H12" s="338"/>
      <c r="I12" s="347"/>
      <c r="J12" s="338"/>
      <c r="K12" s="326"/>
    </row>
    <row r="13" spans="1:11" ht="15.75">
      <c r="A13" s="348"/>
      <c r="B13" s="338"/>
      <c r="C13" s="349"/>
      <c r="D13" s="338"/>
      <c r="E13" s="349"/>
      <c r="F13" s="338"/>
      <c r="G13" s="349"/>
      <c r="H13" s="338"/>
      <c r="I13" s="346"/>
      <c r="J13" s="338"/>
      <c r="K13" s="326"/>
    </row>
    <row r="14" spans="1:11" ht="15.75">
      <c r="A14" s="344"/>
      <c r="B14" s="338"/>
      <c r="C14" s="347"/>
      <c r="D14" s="338"/>
      <c r="E14" s="347"/>
      <c r="F14" s="338"/>
      <c r="G14" s="347"/>
      <c r="H14" s="338"/>
      <c r="I14" s="347"/>
      <c r="J14" s="338"/>
      <c r="K14" s="326"/>
    </row>
    <row r="15" spans="1:11" ht="15.75">
      <c r="A15" s="344"/>
      <c r="B15" s="338"/>
      <c r="C15" s="347"/>
      <c r="D15" s="338"/>
      <c r="E15" s="347"/>
      <c r="F15" s="338"/>
      <c r="G15" s="347"/>
      <c r="H15" s="338"/>
      <c r="I15" s="347"/>
      <c r="J15" s="338"/>
      <c r="K15" s="326"/>
    </row>
    <row r="16" spans="1:11" ht="15.75">
      <c r="A16" s="344"/>
      <c r="B16" s="338"/>
      <c r="C16" s="344"/>
      <c r="D16" s="338"/>
      <c r="E16" s="344"/>
      <c r="F16" s="338"/>
      <c r="G16" s="347"/>
      <c r="H16" s="338"/>
      <c r="I16" s="344"/>
      <c r="J16" s="338"/>
      <c r="K16" s="326"/>
    </row>
    <row r="17" spans="1:11" ht="15.75">
      <c r="A17" s="341" t="s">
        <v>166</v>
      </c>
      <c r="B17" s="340">
        <f>SUM(B9:B16)</f>
        <v>7151</v>
      </c>
      <c r="C17" s="341" t="s">
        <v>166</v>
      </c>
      <c r="D17" s="340">
        <f>SUM(D9:D16)</f>
        <v>322</v>
      </c>
      <c r="E17" s="341" t="s">
        <v>166</v>
      </c>
      <c r="F17" s="413">
        <f>SUM(F9:F16)</f>
        <v>17430</v>
      </c>
      <c r="G17" s="341" t="s">
        <v>166</v>
      </c>
      <c r="H17" s="340">
        <f>SUM(H9:H16)</f>
        <v>1196</v>
      </c>
      <c r="I17" s="341" t="s">
        <v>166</v>
      </c>
      <c r="J17" s="340">
        <f>SUM(J9:J16)</f>
        <v>14000</v>
      </c>
      <c r="K17" s="340">
        <f>SUM(B17+D17+F17+H17+J17)</f>
        <v>40099</v>
      </c>
    </row>
    <row r="18" spans="1:11" ht="15.75">
      <c r="A18" s="341" t="s">
        <v>167</v>
      </c>
      <c r="B18" s="340">
        <f>SUM(B7+B17)</f>
        <v>9529</v>
      </c>
      <c r="C18" s="341" t="s">
        <v>167</v>
      </c>
      <c r="D18" s="340">
        <f>SUM(D7+D17)</f>
        <v>2894</v>
      </c>
      <c r="E18" s="341" t="s">
        <v>167</v>
      </c>
      <c r="F18" s="340">
        <f>SUM(F7+F17)</f>
        <v>55299</v>
      </c>
      <c r="G18" s="341" t="s">
        <v>167</v>
      </c>
      <c r="H18" s="340">
        <f>SUM(H7+H17)</f>
        <v>6125</v>
      </c>
      <c r="I18" s="341" t="s">
        <v>167</v>
      </c>
      <c r="J18" s="340">
        <f>SUM(J7+J17)</f>
        <v>111000</v>
      </c>
      <c r="K18" s="340">
        <f>SUM(B18+D18+F18+H18+J18)</f>
        <v>184847</v>
      </c>
    </row>
    <row r="19" spans="1:11" ht="15.75">
      <c r="A19" s="341" t="s">
        <v>170</v>
      </c>
      <c r="B19" s="342"/>
      <c r="C19" s="341" t="s">
        <v>170</v>
      </c>
      <c r="D19" s="343"/>
      <c r="E19" s="341" t="s">
        <v>170</v>
      </c>
      <c r="F19" s="326"/>
      <c r="G19" s="341" t="s">
        <v>170</v>
      </c>
      <c r="H19" s="100"/>
      <c r="I19" s="341" t="s">
        <v>170</v>
      </c>
      <c r="J19" s="100"/>
      <c r="K19" s="326"/>
    </row>
    <row r="20" spans="1:11" ht="15.75">
      <c r="A20" s="344" t="s">
        <v>1094</v>
      </c>
      <c r="B20" s="338">
        <v>4633</v>
      </c>
      <c r="C20" s="344" t="s">
        <v>1094</v>
      </c>
      <c r="D20" s="338"/>
      <c r="E20" s="347" t="s">
        <v>1041</v>
      </c>
      <c r="F20" s="338">
        <v>31186</v>
      </c>
      <c r="G20" s="347" t="s">
        <v>1084</v>
      </c>
      <c r="H20" s="338">
        <v>2548</v>
      </c>
      <c r="I20" s="347" t="s">
        <v>1041</v>
      </c>
      <c r="J20" s="338">
        <v>15610</v>
      </c>
      <c r="K20" s="326"/>
    </row>
    <row r="21" spans="1:11" ht="15.75">
      <c r="A21" s="344" t="s">
        <v>1084</v>
      </c>
      <c r="B21" s="338">
        <v>531</v>
      </c>
      <c r="C21" s="344" t="s">
        <v>1084</v>
      </c>
      <c r="D21" s="338"/>
      <c r="E21" s="347"/>
      <c r="F21" s="338"/>
      <c r="G21" s="347"/>
      <c r="H21" s="338"/>
      <c r="I21" s="347"/>
      <c r="J21" s="338"/>
      <c r="K21" s="326"/>
    </row>
    <row r="22" spans="1:11" ht="15.75">
      <c r="A22" s="344" t="s">
        <v>1040</v>
      </c>
      <c r="B22" s="338"/>
      <c r="C22" s="344" t="s">
        <v>1040</v>
      </c>
      <c r="D22" s="338"/>
      <c r="E22" s="349"/>
      <c r="F22" s="338"/>
      <c r="G22" s="349"/>
      <c r="H22" s="338"/>
      <c r="I22" s="346"/>
      <c r="J22" s="338"/>
      <c r="K22" s="326"/>
    </row>
    <row r="23" spans="1:11" ht="15.75">
      <c r="A23" s="344" t="s">
        <v>1041</v>
      </c>
      <c r="B23" s="338">
        <v>1862</v>
      </c>
      <c r="C23" s="347" t="s">
        <v>1041</v>
      </c>
      <c r="D23" s="338">
        <v>556</v>
      </c>
      <c r="E23" s="347"/>
      <c r="F23" s="338"/>
      <c r="G23" s="347"/>
      <c r="H23" s="338"/>
      <c r="I23" s="347"/>
      <c r="J23" s="338"/>
      <c r="K23" s="326"/>
    </row>
    <row r="24" spans="1:11" ht="15.75">
      <c r="A24" s="344" t="s">
        <v>1096</v>
      </c>
      <c r="B24" s="338">
        <v>2503</v>
      </c>
      <c r="C24" s="349"/>
      <c r="D24" s="338"/>
      <c r="E24" s="349"/>
      <c r="F24" s="338"/>
      <c r="G24" s="349"/>
      <c r="H24" s="338"/>
      <c r="I24" s="346"/>
      <c r="J24" s="338"/>
      <c r="K24" s="326"/>
    </row>
    <row r="25" spans="1:11" ht="15.75">
      <c r="A25" s="344"/>
      <c r="B25" s="338"/>
      <c r="C25" s="347"/>
      <c r="D25" s="338"/>
      <c r="E25" s="347"/>
      <c r="F25" s="338"/>
      <c r="G25" s="347"/>
      <c r="H25" s="338"/>
      <c r="I25" s="347"/>
      <c r="J25" s="338"/>
      <c r="K25" s="326"/>
    </row>
    <row r="26" spans="1:11" ht="15.75">
      <c r="A26" s="344"/>
      <c r="B26" s="338"/>
      <c r="C26" s="347"/>
      <c r="D26" s="338"/>
      <c r="E26" s="347"/>
      <c r="F26" s="338"/>
      <c r="G26" s="347"/>
      <c r="H26" s="338"/>
      <c r="I26" s="347"/>
      <c r="J26" s="338"/>
      <c r="K26" s="326"/>
    </row>
    <row r="27" spans="1:11" ht="15.75">
      <c r="A27" s="344"/>
      <c r="B27" s="338"/>
      <c r="C27" s="344"/>
      <c r="D27" s="338"/>
      <c r="E27" s="344"/>
      <c r="F27" s="338"/>
      <c r="G27" s="347"/>
      <c r="H27" s="338"/>
      <c r="I27" s="347"/>
      <c r="J27" s="338"/>
      <c r="K27" s="326"/>
    </row>
    <row r="28" spans="1:11" ht="15.75">
      <c r="A28" s="341" t="s">
        <v>171</v>
      </c>
      <c r="B28" s="340">
        <f>SUM(B20:B27)</f>
        <v>9529</v>
      </c>
      <c r="C28" s="341" t="s">
        <v>171</v>
      </c>
      <c r="D28" s="340">
        <f>SUM(D20:D27)</f>
        <v>556</v>
      </c>
      <c r="E28" s="341" t="s">
        <v>171</v>
      </c>
      <c r="F28" s="413">
        <f>SUM(F20:F27)</f>
        <v>31186</v>
      </c>
      <c r="G28" s="341" t="s">
        <v>171</v>
      </c>
      <c r="H28" s="413">
        <f>SUM(H20:H27)</f>
        <v>2548</v>
      </c>
      <c r="I28" s="341" t="s">
        <v>171</v>
      </c>
      <c r="J28" s="340">
        <f>SUM(J20:J27)</f>
        <v>15610</v>
      </c>
      <c r="K28" s="340">
        <f>SUM(B28+D28+F28+H28+J28)</f>
        <v>59429</v>
      </c>
    </row>
    <row r="29" spans="1:12" ht="15.75">
      <c r="A29" s="341" t="s">
        <v>22</v>
      </c>
      <c r="B29" s="340">
        <f>B18-B28</f>
        <v>0</v>
      </c>
      <c r="C29" s="341" t="s">
        <v>22</v>
      </c>
      <c r="D29" s="340">
        <f>D18-D28</f>
        <v>2338</v>
      </c>
      <c r="E29" s="341" t="s">
        <v>22</v>
      </c>
      <c r="F29" s="340">
        <f>F18-F28</f>
        <v>24113</v>
      </c>
      <c r="G29" s="341" t="s">
        <v>22</v>
      </c>
      <c r="H29" s="340">
        <f>H18-H28</f>
        <v>3577</v>
      </c>
      <c r="I29" s="341" t="s">
        <v>22</v>
      </c>
      <c r="J29" s="340">
        <f>J18-J28</f>
        <v>95390</v>
      </c>
      <c r="K29" s="351">
        <f>SUM(B29+D29+F29+H29+J29)</f>
        <v>125418</v>
      </c>
      <c r="L29" s="50" t="s">
        <v>60</v>
      </c>
    </row>
    <row r="30" spans="1:12" ht="15.75">
      <c r="A30" s="341"/>
      <c r="B30" s="382">
        <f>IF(B29&lt;0,"See Tab B","")</f>
      </c>
      <c r="C30" s="341"/>
      <c r="D30" s="382">
        <f>IF(D29&lt;0,"See Tab B","")</f>
      </c>
      <c r="E30" s="341"/>
      <c r="F30" s="382">
        <f>IF(F29&lt;0,"See Tab B","")</f>
      </c>
      <c r="G30" s="100"/>
      <c r="H30" s="382">
        <f>IF(H29&lt;0,"See Tab B","")</f>
      </c>
      <c r="I30" s="100"/>
      <c r="J30" s="382">
        <f>IF(J29&lt;0,"See Tab B","")</f>
      </c>
      <c r="K30" s="351">
        <f>SUM(K7+K17-K28)</f>
        <v>125418</v>
      </c>
      <c r="L30" s="50" t="s">
        <v>60</v>
      </c>
    </row>
    <row r="31" spans="1:11" ht="15.75">
      <c r="A31" s="100"/>
      <c r="B31" s="352"/>
      <c r="C31" s="100"/>
      <c r="D31" s="326"/>
      <c r="E31" s="100"/>
      <c r="F31" s="100"/>
      <c r="G31" s="59" t="s">
        <v>61</v>
      </c>
      <c r="H31" s="59"/>
      <c r="I31" s="59"/>
      <c r="J31" s="59"/>
      <c r="K31" s="100"/>
    </row>
    <row r="32" spans="1:11" ht="15.75">
      <c r="A32" s="100"/>
      <c r="B32" s="352"/>
      <c r="C32" s="100"/>
      <c r="D32" s="100"/>
      <c r="E32" s="100"/>
      <c r="F32" s="100"/>
      <c r="G32" s="100"/>
      <c r="H32" s="100"/>
      <c r="I32" s="100"/>
      <c r="J32" s="100"/>
      <c r="K32" s="100"/>
    </row>
    <row r="33" spans="1:11" ht="15.75">
      <c r="A33" s="100"/>
      <c r="B33" s="352"/>
      <c r="C33" s="100"/>
      <c r="D33" s="100"/>
      <c r="E33" s="291" t="s">
        <v>192</v>
      </c>
      <c r="F33" s="318">
        <v>30</v>
      </c>
      <c r="G33" s="100"/>
      <c r="H33" s="100"/>
      <c r="I33" s="100"/>
      <c r="J33" s="100"/>
      <c r="K33" s="100"/>
    </row>
    <row r="34" ht="15.75">
      <c r="B34" s="353"/>
    </row>
    <row r="35" ht="15.75">
      <c r="B35" s="353"/>
    </row>
    <row r="36" ht="15.75">
      <c r="B36" s="353"/>
    </row>
    <row r="37" ht="15.75">
      <c r="B37" s="353"/>
    </row>
    <row r="38" ht="15.75">
      <c r="B38" s="353"/>
    </row>
    <row r="39" ht="15.75">
      <c r="B39" s="353"/>
    </row>
    <row r="40" ht="15.75">
      <c r="B40" s="353"/>
    </row>
    <row r="41" ht="15.75">
      <c r="B41" s="353"/>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County</oddHeader>
  </headerFooter>
</worksheet>
</file>

<file path=xl/worksheets/sheet3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O33" sqref="O33"/>
    </sheetView>
  </sheetViews>
  <sheetFormatPr defaultColWidth="8.796875" defaultRowHeight="15"/>
  <cols>
    <col min="1" max="1" width="11.59765625" style="50" customWidth="1"/>
    <col min="2" max="2" width="7.3984375" style="50" customWidth="1"/>
    <col min="3" max="3" width="11.59765625" style="50" customWidth="1"/>
    <col min="4" max="4" width="7.3984375" style="50" customWidth="1"/>
    <col min="5" max="5" width="11.59765625" style="50" customWidth="1"/>
    <col min="6" max="6" width="7.3984375" style="50" customWidth="1"/>
    <col min="7" max="7" width="11.59765625" style="50" customWidth="1"/>
    <col min="8" max="8" width="7.3984375" style="50" customWidth="1"/>
    <col min="9" max="9" width="11.59765625" style="50" customWidth="1"/>
    <col min="10" max="16384" width="8.8984375" style="50" customWidth="1"/>
  </cols>
  <sheetData>
    <row r="1" spans="1:11" ht="15.75">
      <c r="A1" s="119" t="str">
        <f>inputPrYr!$C$2</f>
        <v>Marshall County</v>
      </c>
      <c r="B1" s="326"/>
      <c r="C1" s="100"/>
      <c r="D1" s="100"/>
      <c r="E1" s="100"/>
      <c r="F1" s="327" t="s">
        <v>25</v>
      </c>
      <c r="G1" s="100"/>
      <c r="H1" s="100"/>
      <c r="I1" s="100"/>
      <c r="J1" s="100"/>
      <c r="K1" s="100">
        <f>inputPrYr!$C$4</f>
        <v>2015</v>
      </c>
    </row>
    <row r="2" spans="1:11" ht="15.75">
      <c r="A2" s="100"/>
      <c r="B2" s="100"/>
      <c r="C2" s="100"/>
      <c r="D2" s="100"/>
      <c r="E2" s="100"/>
      <c r="F2" s="328" t="str">
        <f>CONCATENATE("(Only the actual budget year for ",K1-2," is to be shown)")</f>
        <v>(Only the actual budget year for 2013 is to be shown)</v>
      </c>
      <c r="G2" s="100"/>
      <c r="H2" s="100"/>
      <c r="I2" s="100"/>
      <c r="J2" s="100"/>
      <c r="K2" s="100"/>
    </row>
    <row r="3" spans="1:11" ht="15.75">
      <c r="A3" s="100" t="s">
        <v>26</v>
      </c>
      <c r="B3" s="100"/>
      <c r="C3" s="100"/>
      <c r="D3" s="100"/>
      <c r="E3" s="100"/>
      <c r="F3" s="326"/>
      <c r="G3" s="100"/>
      <c r="H3" s="100"/>
      <c r="I3" s="100"/>
      <c r="J3" s="100"/>
      <c r="K3" s="100"/>
    </row>
    <row r="4" spans="1:11" ht="15.75">
      <c r="A4" s="100" t="s">
        <v>16</v>
      </c>
      <c r="B4" s="100"/>
      <c r="C4" s="100" t="s">
        <v>17</v>
      </c>
      <c r="D4" s="100"/>
      <c r="E4" s="100" t="s">
        <v>18</v>
      </c>
      <c r="F4" s="326"/>
      <c r="G4" s="100" t="s">
        <v>19</v>
      </c>
      <c r="H4" s="100"/>
      <c r="I4" s="100" t="s">
        <v>20</v>
      </c>
      <c r="J4" s="100"/>
      <c r="K4" s="100"/>
    </row>
    <row r="5" spans="1:11" ht="15.75">
      <c r="A5" s="841" t="str">
        <f>IF(inputPrYr!B74&gt;" ",(inputPrYr!B74)," ")</f>
        <v>Sheriff Reserve Fund</v>
      </c>
      <c r="B5" s="842"/>
      <c r="C5" s="841" t="str">
        <f>IF(inputPrYr!B75&gt;" ",(inputPrYr!B75)," ")</f>
        <v>Community College</v>
      </c>
      <c r="D5" s="842"/>
      <c r="E5" s="841" t="str">
        <f>IF(inputPrYr!B76&gt;" ",(inputPrYr!B76)," ")</f>
        <v>State Formula Grant</v>
      </c>
      <c r="F5" s="842"/>
      <c r="G5" s="841" t="str">
        <f>IF(inputPrYr!B77&gt;" ",(inputPrYr!B77)," ")</f>
        <v>Tourism Promo &amp; Bed Tax</v>
      </c>
      <c r="H5" s="842"/>
      <c r="I5" s="841" t="str">
        <f>IF(inputPrYr!B78&gt;" ",(inputPrYr!B78)," ")</f>
        <v>EM Grant Fund</v>
      </c>
      <c r="J5" s="842"/>
      <c r="K5" s="330"/>
    </row>
    <row r="6" spans="1:11" ht="15.75">
      <c r="A6" s="331" t="s">
        <v>21</v>
      </c>
      <c r="B6" s="332"/>
      <c r="C6" s="333" t="s">
        <v>21</v>
      </c>
      <c r="D6" s="334"/>
      <c r="E6" s="333" t="s">
        <v>21</v>
      </c>
      <c r="F6" s="329"/>
      <c r="G6" s="333" t="s">
        <v>21</v>
      </c>
      <c r="H6" s="335"/>
      <c r="I6" s="333" t="s">
        <v>21</v>
      </c>
      <c r="J6" s="100"/>
      <c r="K6" s="336" t="s">
        <v>129</v>
      </c>
    </row>
    <row r="7" spans="1:11" ht="15.75">
      <c r="A7" s="337" t="s">
        <v>83</v>
      </c>
      <c r="B7" s="338">
        <v>70670</v>
      </c>
      <c r="C7" s="339" t="s">
        <v>83</v>
      </c>
      <c r="D7" s="338">
        <v>17</v>
      </c>
      <c r="E7" s="339" t="s">
        <v>83</v>
      </c>
      <c r="F7" s="338">
        <v>0</v>
      </c>
      <c r="G7" s="339" t="s">
        <v>83</v>
      </c>
      <c r="H7" s="338">
        <v>2395</v>
      </c>
      <c r="I7" s="339" t="s">
        <v>83</v>
      </c>
      <c r="J7" s="338">
        <v>7916</v>
      </c>
      <c r="K7" s="340">
        <f>SUM(B7+D7+F7+H7+J7)</f>
        <v>80998</v>
      </c>
    </row>
    <row r="8" spans="1:11" ht="15.75">
      <c r="A8" s="341" t="s">
        <v>274</v>
      </c>
      <c r="B8" s="342"/>
      <c r="C8" s="341" t="s">
        <v>274</v>
      </c>
      <c r="D8" s="343"/>
      <c r="E8" s="341" t="s">
        <v>274</v>
      </c>
      <c r="F8" s="326"/>
      <c r="G8" s="341" t="s">
        <v>274</v>
      </c>
      <c r="H8" s="100"/>
      <c r="I8" s="341" t="s">
        <v>274</v>
      </c>
      <c r="J8" s="100"/>
      <c r="K8" s="326"/>
    </row>
    <row r="9" spans="1:11" ht="15.75">
      <c r="A9" s="344" t="s">
        <v>1035</v>
      </c>
      <c r="B9" s="338">
        <v>18537</v>
      </c>
      <c r="C9" s="344" t="s">
        <v>1097</v>
      </c>
      <c r="D9" s="338">
        <v>1</v>
      </c>
      <c r="E9" s="344" t="s">
        <v>1095</v>
      </c>
      <c r="F9" s="338">
        <v>7020</v>
      </c>
      <c r="G9" s="344" t="s">
        <v>1101</v>
      </c>
      <c r="H9" s="338">
        <v>798</v>
      </c>
      <c r="I9" s="344" t="s">
        <v>1035</v>
      </c>
      <c r="J9" s="338">
        <v>39627</v>
      </c>
      <c r="K9" s="326"/>
    </row>
    <row r="10" spans="1:11" ht="15.75">
      <c r="A10" s="344" t="s">
        <v>72</v>
      </c>
      <c r="B10" s="338">
        <v>80017</v>
      </c>
      <c r="C10" s="344"/>
      <c r="D10" s="338"/>
      <c r="E10" s="344"/>
      <c r="F10" s="338"/>
      <c r="G10" s="344"/>
      <c r="H10" s="338"/>
      <c r="I10" s="344"/>
      <c r="J10" s="338"/>
      <c r="K10" s="326"/>
    </row>
    <row r="11" spans="1:11" ht="15.75">
      <c r="A11" s="344" t="s">
        <v>1100</v>
      </c>
      <c r="B11" s="338">
        <v>40000</v>
      </c>
      <c r="C11" s="345"/>
      <c r="D11" s="338"/>
      <c r="E11" s="345"/>
      <c r="F11" s="338"/>
      <c r="G11" s="345"/>
      <c r="H11" s="338"/>
      <c r="I11" s="346"/>
      <c r="J11" s="338"/>
      <c r="K11" s="326"/>
    </row>
    <row r="12" spans="1:11" ht="15.75">
      <c r="A12" s="344"/>
      <c r="B12" s="338"/>
      <c r="C12" s="344"/>
      <c r="D12" s="338"/>
      <c r="E12" s="347"/>
      <c r="F12" s="338"/>
      <c r="G12" s="347"/>
      <c r="H12" s="338"/>
      <c r="I12" s="347"/>
      <c r="J12" s="338"/>
      <c r="K12" s="326"/>
    </row>
    <row r="13" spans="1:11" ht="15.75">
      <c r="A13" s="348"/>
      <c r="B13" s="338"/>
      <c r="C13" s="349"/>
      <c r="D13" s="338"/>
      <c r="E13" s="349"/>
      <c r="F13" s="338"/>
      <c r="G13" s="349"/>
      <c r="H13" s="338"/>
      <c r="I13" s="346"/>
      <c r="J13" s="338"/>
      <c r="K13" s="326"/>
    </row>
    <row r="14" spans="1:11" ht="15.75">
      <c r="A14" s="344"/>
      <c r="B14" s="338"/>
      <c r="C14" s="347"/>
      <c r="D14" s="338"/>
      <c r="E14" s="347"/>
      <c r="F14" s="338"/>
      <c r="G14" s="347"/>
      <c r="H14" s="338"/>
      <c r="I14" s="347"/>
      <c r="J14" s="338"/>
      <c r="K14" s="326"/>
    </row>
    <row r="15" spans="1:11" ht="15.75">
      <c r="A15" s="344"/>
      <c r="B15" s="338"/>
      <c r="C15" s="347"/>
      <c r="D15" s="338"/>
      <c r="E15" s="347"/>
      <c r="F15" s="338"/>
      <c r="G15" s="347"/>
      <c r="H15" s="338"/>
      <c r="I15" s="347"/>
      <c r="J15" s="338"/>
      <c r="K15" s="326"/>
    </row>
    <row r="16" spans="1:11" ht="15.75">
      <c r="A16" s="344"/>
      <c r="B16" s="338"/>
      <c r="C16" s="344"/>
      <c r="D16" s="338"/>
      <c r="E16" s="344"/>
      <c r="F16" s="338"/>
      <c r="G16" s="347"/>
      <c r="H16" s="338"/>
      <c r="I16" s="344"/>
      <c r="J16" s="338"/>
      <c r="K16" s="326"/>
    </row>
    <row r="17" spans="1:11" ht="15.75">
      <c r="A17" s="341" t="s">
        <v>166</v>
      </c>
      <c r="B17" s="340">
        <f>SUM(B9:B16)</f>
        <v>138554</v>
      </c>
      <c r="C17" s="341" t="s">
        <v>166</v>
      </c>
      <c r="D17" s="340">
        <f>SUM(D9:D16)</f>
        <v>1</v>
      </c>
      <c r="E17" s="341" t="s">
        <v>166</v>
      </c>
      <c r="F17" s="413">
        <f>SUM(F9:F16)</f>
        <v>7020</v>
      </c>
      <c r="G17" s="341" t="s">
        <v>166</v>
      </c>
      <c r="H17" s="340">
        <f>SUM(H9:H16)</f>
        <v>798</v>
      </c>
      <c r="I17" s="341" t="s">
        <v>166</v>
      </c>
      <c r="J17" s="340">
        <f>SUM(J9:J16)</f>
        <v>39627</v>
      </c>
      <c r="K17" s="340">
        <f>SUM(B17+D17+F17+H17+J17)</f>
        <v>186000</v>
      </c>
    </row>
    <row r="18" spans="1:11" ht="15.75">
      <c r="A18" s="341" t="s">
        <v>167</v>
      </c>
      <c r="B18" s="340">
        <f>SUM(B7+B17)</f>
        <v>209224</v>
      </c>
      <c r="C18" s="341" t="s">
        <v>167</v>
      </c>
      <c r="D18" s="340">
        <f>SUM(D7+D17)</f>
        <v>18</v>
      </c>
      <c r="E18" s="341" t="s">
        <v>167</v>
      </c>
      <c r="F18" s="340">
        <f>SUM(F7+F17)</f>
        <v>7020</v>
      </c>
      <c r="G18" s="341" t="s">
        <v>167</v>
      </c>
      <c r="H18" s="340">
        <f>SUM(H7+H17)</f>
        <v>3193</v>
      </c>
      <c r="I18" s="341" t="s">
        <v>167</v>
      </c>
      <c r="J18" s="340">
        <f>SUM(J7+J17)</f>
        <v>47543</v>
      </c>
      <c r="K18" s="340">
        <f>SUM(B18+D18+F18+H18+J18)</f>
        <v>266998</v>
      </c>
    </row>
    <row r="19" spans="1:11" ht="15.75">
      <c r="A19" s="341" t="s">
        <v>170</v>
      </c>
      <c r="B19" s="342"/>
      <c r="C19" s="341" t="s">
        <v>170</v>
      </c>
      <c r="D19" s="343"/>
      <c r="E19" s="341" t="s">
        <v>170</v>
      </c>
      <c r="F19" s="326"/>
      <c r="G19" s="341" t="s">
        <v>170</v>
      </c>
      <c r="H19" s="100"/>
      <c r="I19" s="341" t="s">
        <v>170</v>
      </c>
      <c r="J19" s="100"/>
      <c r="K19" s="326"/>
    </row>
    <row r="20" spans="1:11" ht="15.75">
      <c r="A20" s="344" t="s">
        <v>1041</v>
      </c>
      <c r="B20" s="338">
        <v>86100</v>
      </c>
      <c r="C20" s="347"/>
      <c r="D20" s="338"/>
      <c r="E20" s="347" t="s">
        <v>1084</v>
      </c>
      <c r="F20" s="338">
        <v>6114</v>
      </c>
      <c r="G20" s="347"/>
      <c r="H20" s="338"/>
      <c r="I20" s="347" t="s">
        <v>1096</v>
      </c>
      <c r="J20" s="338">
        <v>16983</v>
      </c>
      <c r="K20" s="326"/>
    </row>
    <row r="21" spans="1:11" ht="15.75">
      <c r="A21" s="344"/>
      <c r="B21" s="338"/>
      <c r="C21" s="347"/>
      <c r="D21" s="338"/>
      <c r="E21" s="347" t="s">
        <v>1041</v>
      </c>
      <c r="F21" s="338">
        <v>906</v>
      </c>
      <c r="G21" s="347"/>
      <c r="H21" s="338"/>
      <c r="I21" s="347"/>
      <c r="J21" s="338"/>
      <c r="K21" s="326"/>
    </row>
    <row r="22" spans="1:11" ht="15.75">
      <c r="A22" s="344"/>
      <c r="B22" s="338"/>
      <c r="C22" s="349"/>
      <c r="D22" s="338"/>
      <c r="E22" s="349"/>
      <c r="F22" s="338"/>
      <c r="G22" s="349"/>
      <c r="H22" s="338"/>
      <c r="I22" s="346"/>
      <c r="J22" s="338"/>
      <c r="K22" s="326"/>
    </row>
    <row r="23" spans="1:11" ht="15.75">
      <c r="A23" s="344"/>
      <c r="B23" s="338"/>
      <c r="C23" s="347"/>
      <c r="D23" s="338"/>
      <c r="E23" s="347"/>
      <c r="F23" s="338"/>
      <c r="G23" s="347"/>
      <c r="H23" s="338"/>
      <c r="I23" s="347"/>
      <c r="J23" s="338"/>
      <c r="K23" s="326"/>
    </row>
    <row r="24" spans="1:11" ht="15.75">
      <c r="A24" s="344"/>
      <c r="B24" s="338"/>
      <c r="C24" s="349"/>
      <c r="D24" s="338"/>
      <c r="E24" s="349"/>
      <c r="F24" s="338"/>
      <c r="G24" s="349"/>
      <c r="H24" s="338"/>
      <c r="I24" s="346"/>
      <c r="J24" s="338"/>
      <c r="K24" s="326"/>
    </row>
    <row r="25" spans="1:11" ht="15.75">
      <c r="A25" s="344"/>
      <c r="B25" s="338"/>
      <c r="C25" s="347"/>
      <c r="D25" s="338"/>
      <c r="E25" s="347"/>
      <c r="F25" s="338"/>
      <c r="G25" s="347"/>
      <c r="H25" s="338"/>
      <c r="I25" s="347"/>
      <c r="J25" s="338"/>
      <c r="K25" s="326"/>
    </row>
    <row r="26" spans="1:11" ht="15.75">
      <c r="A26" s="344"/>
      <c r="B26" s="338"/>
      <c r="C26" s="347"/>
      <c r="D26" s="338"/>
      <c r="E26" s="347"/>
      <c r="F26" s="338"/>
      <c r="G26" s="347"/>
      <c r="H26" s="338"/>
      <c r="I26" s="347"/>
      <c r="J26" s="338"/>
      <c r="K26" s="326"/>
    </row>
    <row r="27" spans="1:11" ht="15.75">
      <c r="A27" s="344"/>
      <c r="B27" s="338"/>
      <c r="C27" s="344"/>
      <c r="D27" s="338"/>
      <c r="E27" s="344"/>
      <c r="F27" s="338"/>
      <c r="G27" s="347"/>
      <c r="H27" s="338"/>
      <c r="I27" s="347"/>
      <c r="J27" s="338"/>
      <c r="K27" s="326"/>
    </row>
    <row r="28" spans="1:11" ht="15.75">
      <c r="A28" s="341" t="s">
        <v>171</v>
      </c>
      <c r="B28" s="340">
        <f>SUM(B20:B27)</f>
        <v>86100</v>
      </c>
      <c r="C28" s="341" t="s">
        <v>171</v>
      </c>
      <c r="D28" s="340">
        <f>SUM(D20:D27)</f>
        <v>0</v>
      </c>
      <c r="E28" s="341" t="s">
        <v>171</v>
      </c>
      <c r="F28" s="413">
        <f>SUM(F20:F27)</f>
        <v>7020</v>
      </c>
      <c r="G28" s="341" t="s">
        <v>171</v>
      </c>
      <c r="H28" s="413">
        <f>SUM(H20:H27)</f>
        <v>0</v>
      </c>
      <c r="I28" s="341" t="s">
        <v>171</v>
      </c>
      <c r="J28" s="340">
        <f>SUM(J20:J27)</f>
        <v>16983</v>
      </c>
      <c r="K28" s="340">
        <f>SUM(B28+D28+F28+H28+J28)</f>
        <v>110103</v>
      </c>
    </row>
    <row r="29" spans="1:12" ht="15.75">
      <c r="A29" s="341" t="s">
        <v>22</v>
      </c>
      <c r="B29" s="340">
        <f>B18-B28</f>
        <v>123124</v>
      </c>
      <c r="C29" s="341" t="s">
        <v>22</v>
      </c>
      <c r="D29" s="340">
        <f>D18-D28</f>
        <v>18</v>
      </c>
      <c r="E29" s="341" t="s">
        <v>22</v>
      </c>
      <c r="F29" s="340">
        <f>F18-F28</f>
        <v>0</v>
      </c>
      <c r="G29" s="341" t="s">
        <v>22</v>
      </c>
      <c r="H29" s="340">
        <f>H18-H28</f>
        <v>3193</v>
      </c>
      <c r="I29" s="341" t="s">
        <v>22</v>
      </c>
      <c r="J29" s="340">
        <f>J18-J28</f>
        <v>30560</v>
      </c>
      <c r="K29" s="351">
        <f>SUM(B29+D29+F29+H29+J29)</f>
        <v>156895</v>
      </c>
      <c r="L29" s="50" t="s">
        <v>60</v>
      </c>
    </row>
    <row r="30" spans="1:12" ht="15.75">
      <c r="A30" s="341"/>
      <c r="B30" s="382">
        <f>IF(B29&lt;0,"See Tab B","")</f>
      </c>
      <c r="C30" s="341"/>
      <c r="D30" s="382">
        <f>IF(D29&lt;0,"See Tab B","")</f>
      </c>
      <c r="E30" s="341"/>
      <c r="F30" s="382">
        <f>IF(F29&lt;0,"See Tab B","")</f>
      </c>
      <c r="G30" s="100"/>
      <c r="H30" s="382">
        <f>IF(H29&lt;0,"See Tab B","")</f>
      </c>
      <c r="I30" s="100"/>
      <c r="J30" s="382">
        <f>IF(J29&lt;0,"See Tab B","")</f>
      </c>
      <c r="K30" s="351">
        <f>SUM(K7+K17-K28)</f>
        <v>156895</v>
      </c>
      <c r="L30" s="50" t="s">
        <v>60</v>
      </c>
    </row>
    <row r="31" spans="1:11" ht="15.75">
      <c r="A31" s="100"/>
      <c r="B31" s="352"/>
      <c r="C31" s="100"/>
      <c r="D31" s="326"/>
      <c r="E31" s="100"/>
      <c r="F31" s="100"/>
      <c r="G31" s="59" t="s">
        <v>61</v>
      </c>
      <c r="H31" s="59"/>
      <c r="I31" s="59"/>
      <c r="J31" s="59"/>
      <c r="K31" s="100"/>
    </row>
    <row r="32" spans="1:11" ht="15.75">
      <c r="A32" s="100"/>
      <c r="B32" s="352"/>
      <c r="C32" s="100"/>
      <c r="D32" s="100"/>
      <c r="E32" s="100"/>
      <c r="F32" s="100"/>
      <c r="G32" s="100"/>
      <c r="H32" s="100"/>
      <c r="I32" s="100"/>
      <c r="J32" s="100"/>
      <c r="K32" s="100"/>
    </row>
    <row r="33" spans="1:11" ht="15.75">
      <c r="A33" s="100"/>
      <c r="B33" s="352"/>
      <c r="C33" s="100"/>
      <c r="D33" s="100"/>
      <c r="E33" s="291" t="s">
        <v>192</v>
      </c>
      <c r="F33" s="318">
        <v>31</v>
      </c>
      <c r="G33" s="100"/>
      <c r="H33" s="100"/>
      <c r="I33" s="100"/>
      <c r="J33" s="100"/>
      <c r="K33" s="100"/>
    </row>
    <row r="34" ht="15.75">
      <c r="B34" s="353"/>
    </row>
    <row r="35" ht="15.75">
      <c r="B35" s="353"/>
    </row>
    <row r="36" ht="15.75">
      <c r="B36" s="353"/>
    </row>
    <row r="37" ht="15.75">
      <c r="B37" s="353"/>
    </row>
    <row r="38" ht="15.75">
      <c r="B38" s="353"/>
    </row>
    <row r="39" ht="15.75">
      <c r="B39" s="353"/>
    </row>
    <row r="40" ht="15.75">
      <c r="B40" s="353"/>
    </row>
    <row r="41" ht="15.75">
      <c r="B41" s="353"/>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County</oddHeader>
  </headerFooter>
</worksheet>
</file>

<file path=xl/worksheets/sheet4.xml><?xml version="1.0" encoding="utf-8"?>
<worksheet xmlns="http://schemas.openxmlformats.org/spreadsheetml/2006/main" xmlns:r="http://schemas.openxmlformats.org/officeDocument/2006/relationships">
  <dimension ref="A1:J23"/>
  <sheetViews>
    <sheetView zoomScalePageLayoutView="0" workbookViewId="0" topLeftCell="A1">
      <selection activeCell="B6" sqref="B6"/>
    </sheetView>
  </sheetViews>
  <sheetFormatPr defaultColWidth="8.796875" defaultRowHeight="15"/>
  <cols>
    <col min="1" max="1" width="13.796875" style="0" customWidth="1"/>
    <col min="2" max="2" width="16.09765625" style="0" customWidth="1"/>
  </cols>
  <sheetData>
    <row r="1" ht="15">
      <c r="J1" s="600" t="s">
        <v>793</v>
      </c>
    </row>
    <row r="2" spans="1:10" ht="54" customHeight="1">
      <c r="A2" s="791" t="s">
        <v>391</v>
      </c>
      <c r="B2" s="792"/>
      <c r="C2" s="792"/>
      <c r="D2" s="792"/>
      <c r="E2" s="792"/>
      <c r="F2" s="792"/>
      <c r="J2" s="600" t="s">
        <v>794</v>
      </c>
    </row>
    <row r="3" spans="1:10" ht="15.75">
      <c r="A3" s="2" t="s">
        <v>791</v>
      </c>
      <c r="B3" s="701" t="s">
        <v>970</v>
      </c>
      <c r="J3" s="600" t="s">
        <v>795</v>
      </c>
    </row>
    <row r="4" spans="1:10" ht="15.75">
      <c r="A4" s="391"/>
      <c r="B4" s="391"/>
      <c r="C4" s="391"/>
      <c r="D4" s="599" t="s">
        <v>792</v>
      </c>
      <c r="E4" s="391"/>
      <c r="F4" s="391"/>
      <c r="J4" s="600" t="s">
        <v>796</v>
      </c>
    </row>
    <row r="5" spans="1:10" ht="15.75">
      <c r="A5" s="392" t="s">
        <v>392</v>
      </c>
      <c r="B5" s="702" t="s">
        <v>1108</v>
      </c>
      <c r="C5" s="393"/>
      <c r="D5" s="599" t="str">
        <f>IF(B5="","",CONCATENATE("Latest date for notice to be published in your newspaper: ",G18," ",G22,", ",G23))</f>
        <v>Latest date for notice to be published in your newspaper: August 29, 2014</v>
      </c>
      <c r="E5" s="391"/>
      <c r="F5" s="391"/>
      <c r="J5" s="600" t="s">
        <v>797</v>
      </c>
    </row>
    <row r="6" spans="1:10" ht="15.75">
      <c r="A6" s="392"/>
      <c r="B6" s="394"/>
      <c r="C6" s="395"/>
      <c r="D6" s="392"/>
      <c r="E6" s="391"/>
      <c r="F6" s="391"/>
      <c r="J6" s="600" t="s">
        <v>798</v>
      </c>
    </row>
    <row r="7" spans="1:10" ht="15.75">
      <c r="A7" s="392" t="s">
        <v>393</v>
      </c>
      <c r="B7" s="702" t="s">
        <v>971</v>
      </c>
      <c r="C7" s="396"/>
      <c r="D7" s="392"/>
      <c r="E7" s="391"/>
      <c r="F7" s="391"/>
      <c r="J7" s="600" t="s">
        <v>799</v>
      </c>
    </row>
    <row r="8" spans="1:10" ht="15.75">
      <c r="A8" s="392"/>
      <c r="B8" s="392"/>
      <c r="C8" s="392"/>
      <c r="D8" s="392"/>
      <c r="E8" s="391"/>
      <c r="F8" s="391"/>
      <c r="J8" s="600" t="s">
        <v>800</v>
      </c>
    </row>
    <row r="9" spans="1:10" ht="15.75">
      <c r="A9" s="392" t="s">
        <v>394</v>
      </c>
      <c r="B9" s="703" t="s">
        <v>972</v>
      </c>
      <c r="C9" s="704"/>
      <c r="D9" s="704"/>
      <c r="E9" s="705"/>
      <c r="F9" s="391"/>
      <c r="J9" s="600" t="s">
        <v>801</v>
      </c>
    </row>
    <row r="10" spans="1:10" ht="15.75">
      <c r="A10" s="392"/>
      <c r="B10" s="392"/>
      <c r="C10" s="392"/>
      <c r="D10" s="392"/>
      <c r="E10" s="391"/>
      <c r="F10" s="391"/>
      <c r="J10" s="600" t="s">
        <v>802</v>
      </c>
    </row>
    <row r="11" spans="1:10" ht="15.75">
      <c r="A11" s="392"/>
      <c r="B11" s="392"/>
      <c r="C11" s="392"/>
      <c r="D11" s="392"/>
      <c r="E11" s="391"/>
      <c r="F11" s="391"/>
      <c r="J11" s="600" t="s">
        <v>803</v>
      </c>
    </row>
    <row r="12" spans="1:10" ht="15.75">
      <c r="A12" s="392" t="s">
        <v>396</v>
      </c>
      <c r="B12" s="703" t="s">
        <v>973</v>
      </c>
      <c r="C12" s="704"/>
      <c r="D12" s="704"/>
      <c r="E12" s="705"/>
      <c r="F12" s="391"/>
      <c r="J12" s="600" t="s">
        <v>804</v>
      </c>
    </row>
    <row r="15" spans="1:6" ht="15.75">
      <c r="A15" s="793" t="s">
        <v>397</v>
      </c>
      <c r="B15" s="793"/>
      <c r="C15" s="392"/>
      <c r="D15" s="392"/>
      <c r="E15" s="392"/>
      <c r="F15" s="391"/>
    </row>
    <row r="16" spans="1:6" ht="15.75">
      <c r="A16" s="392"/>
      <c r="B16" s="392"/>
      <c r="C16" s="392"/>
      <c r="D16" s="392"/>
      <c r="E16" s="392"/>
      <c r="F16" s="391"/>
    </row>
    <row r="17" spans="1:5" ht="15.75">
      <c r="A17" s="392" t="s">
        <v>392</v>
      </c>
      <c r="B17" s="394" t="s">
        <v>398</v>
      </c>
      <c r="C17" s="392"/>
      <c r="D17" s="392"/>
      <c r="E17" s="392"/>
    </row>
    <row r="18" spans="1:7" ht="15.75">
      <c r="A18" s="392"/>
      <c r="B18" s="392"/>
      <c r="C18" s="392"/>
      <c r="D18" s="392"/>
      <c r="E18" s="392"/>
      <c r="G18" s="600" t="str">
        <f ca="1">IF(B5="","",INDIRECT(G19))</f>
        <v>August</v>
      </c>
    </row>
    <row r="19" spans="1:7" ht="15.75">
      <c r="A19" s="392" t="s">
        <v>393</v>
      </c>
      <c r="B19" s="392" t="s">
        <v>399</v>
      </c>
      <c r="C19" s="392"/>
      <c r="D19" s="392"/>
      <c r="E19" s="392"/>
      <c r="G19" s="601" t="str">
        <f>IF(B5="","",CONCATENATE("J",G21))</f>
        <v>J8</v>
      </c>
    </row>
    <row r="20" spans="1:7" ht="15.75">
      <c r="A20" s="392"/>
      <c r="B20" s="392"/>
      <c r="C20" s="392"/>
      <c r="D20" s="392"/>
      <c r="E20" s="392"/>
      <c r="G20" s="602">
        <f>B5-10</f>
        <v>41880</v>
      </c>
    </row>
    <row r="21" spans="1:7" ht="15.75">
      <c r="A21" s="392" t="s">
        <v>394</v>
      </c>
      <c r="B21" s="392" t="s">
        <v>395</v>
      </c>
      <c r="C21" s="392"/>
      <c r="D21" s="392"/>
      <c r="E21" s="392"/>
      <c r="G21" s="603">
        <f>IF(B5="","",MONTH(G20))</f>
        <v>8</v>
      </c>
    </row>
    <row r="22" spans="1:7" ht="15.75">
      <c r="A22" s="392"/>
      <c r="B22" s="392"/>
      <c r="C22" s="392"/>
      <c r="D22" s="392"/>
      <c r="E22" s="392"/>
      <c r="G22" s="604">
        <f>IF(B5="","",DAY(G20))</f>
        <v>29</v>
      </c>
    </row>
    <row r="23" spans="1:7" ht="15.75">
      <c r="A23" s="392" t="s">
        <v>396</v>
      </c>
      <c r="B23" s="392" t="s">
        <v>395</v>
      </c>
      <c r="C23" s="392"/>
      <c r="D23" s="392"/>
      <c r="E23" s="392"/>
      <c r="G23" s="605">
        <f>IF(B5="","",YEAR(G20))</f>
        <v>2014</v>
      </c>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8" sqref="J8"/>
    </sheetView>
  </sheetViews>
  <sheetFormatPr defaultColWidth="8.796875" defaultRowHeight="15"/>
  <cols>
    <col min="1" max="1" width="11.59765625" style="50" customWidth="1"/>
    <col min="2" max="2" width="7.3984375" style="50" customWidth="1"/>
    <col min="3" max="3" width="11.59765625" style="50" customWidth="1"/>
    <col min="4" max="4" width="7.3984375" style="50" customWidth="1"/>
    <col min="5" max="5" width="11.59765625" style="50" customWidth="1"/>
    <col min="6" max="6" width="7.3984375" style="50" customWidth="1"/>
    <col min="7" max="7" width="11.59765625" style="50" customWidth="1"/>
    <col min="8" max="8" width="7.3984375" style="50" customWidth="1"/>
    <col min="9" max="9" width="11.59765625" style="50" customWidth="1"/>
    <col min="10" max="16384" width="8.8984375" style="50" customWidth="1"/>
  </cols>
  <sheetData>
    <row r="1" spans="1:11" ht="15.75">
      <c r="A1" s="119" t="str">
        <f>inputPrYr!$C$2</f>
        <v>Marshall County</v>
      </c>
      <c r="B1" s="326"/>
      <c r="C1" s="100"/>
      <c r="D1" s="100"/>
      <c r="E1" s="100"/>
      <c r="F1" s="327" t="s">
        <v>27</v>
      </c>
      <c r="G1" s="100"/>
      <c r="H1" s="100"/>
      <c r="I1" s="100"/>
      <c r="J1" s="100"/>
      <c r="K1" s="100">
        <f>inputPrYr!$C$4</f>
        <v>2015</v>
      </c>
    </row>
    <row r="2" spans="1:11" ht="15.75">
      <c r="A2" s="100"/>
      <c r="B2" s="100"/>
      <c r="C2" s="100"/>
      <c r="D2" s="100"/>
      <c r="E2" s="100"/>
      <c r="F2" s="328" t="str">
        <f>CONCATENATE("(Only the actual budget year for ",K1-2," is to be shown)")</f>
        <v>(Only the actual budget year for 2013 is to be shown)</v>
      </c>
      <c r="G2" s="100"/>
      <c r="H2" s="100"/>
      <c r="I2" s="100"/>
      <c r="J2" s="100"/>
      <c r="K2" s="100"/>
    </row>
    <row r="3" spans="1:11" ht="15.75">
      <c r="A3" s="100" t="s">
        <v>28</v>
      </c>
      <c r="B3" s="100"/>
      <c r="C3" s="100"/>
      <c r="D3" s="100"/>
      <c r="E3" s="100"/>
      <c r="F3" s="326"/>
      <c r="G3" s="100"/>
      <c r="H3" s="100"/>
      <c r="I3" s="100"/>
      <c r="J3" s="100"/>
      <c r="K3" s="100"/>
    </row>
    <row r="4" spans="1:11" ht="15.75">
      <c r="A4" s="100" t="s">
        <v>16</v>
      </c>
      <c r="B4" s="100"/>
      <c r="C4" s="100" t="s">
        <v>17</v>
      </c>
      <c r="D4" s="100"/>
      <c r="E4" s="100" t="s">
        <v>18</v>
      </c>
      <c r="F4" s="326"/>
      <c r="G4" s="100" t="s">
        <v>19</v>
      </c>
      <c r="H4" s="100"/>
      <c r="I4" s="100" t="s">
        <v>20</v>
      </c>
      <c r="J4" s="100"/>
      <c r="K4" s="100"/>
    </row>
    <row r="5" spans="1:11" ht="15.75">
      <c r="A5" s="841" t="str">
        <f>IF(inputPrYr!B80&gt;" ",(inputPrYr!B80)," ")</f>
        <v>Sp Law Enforcement</v>
      </c>
      <c r="B5" s="842"/>
      <c r="C5" s="841" t="str">
        <f>IF(inputPrYr!B81&gt;" ",(inputPrYr!B81)," ")</f>
        <v>Road and Bridge Sales Tax</v>
      </c>
      <c r="D5" s="842"/>
      <c r="E5" s="841" t="str">
        <f>IF(inputPrYr!B82&gt;" ",(inputPrYr!B82)," ")</f>
        <v>Register of Deeds Tech Fund</v>
      </c>
      <c r="F5" s="842"/>
      <c r="G5" s="841" t="str">
        <f>IF(inputPrYr!B83&gt;" ",(inputPrYr!B83)," ")</f>
        <v>Agency Special</v>
      </c>
      <c r="H5" s="842"/>
      <c r="I5" s="841" t="str">
        <f>IF(inputPrYr!B84&gt;" ",(inputPrYr!B84)," ")</f>
        <v>Path Grant</v>
      </c>
      <c r="J5" s="842"/>
      <c r="K5" s="330"/>
    </row>
    <row r="6" spans="1:11" ht="15.75">
      <c r="A6" s="331" t="s">
        <v>21</v>
      </c>
      <c r="B6" s="332"/>
      <c r="C6" s="333" t="s">
        <v>21</v>
      </c>
      <c r="D6" s="334"/>
      <c r="E6" s="333" t="s">
        <v>21</v>
      </c>
      <c r="F6" s="329"/>
      <c r="G6" s="333" t="s">
        <v>21</v>
      </c>
      <c r="H6" s="335"/>
      <c r="I6" s="333" t="s">
        <v>21</v>
      </c>
      <c r="J6" s="100"/>
      <c r="K6" s="336" t="s">
        <v>129</v>
      </c>
    </row>
    <row r="7" spans="1:11" ht="15.75">
      <c r="A7" s="337" t="s">
        <v>83</v>
      </c>
      <c r="B7" s="338">
        <v>5874</v>
      </c>
      <c r="C7" s="339" t="s">
        <v>83</v>
      </c>
      <c r="D7" s="338"/>
      <c r="E7" s="339" t="s">
        <v>83</v>
      </c>
      <c r="F7" s="338">
        <v>17788</v>
      </c>
      <c r="G7" s="339" t="s">
        <v>83</v>
      </c>
      <c r="H7" s="338">
        <v>18035</v>
      </c>
      <c r="I7" s="339" t="s">
        <v>83</v>
      </c>
      <c r="J7" s="338">
        <v>1204</v>
      </c>
      <c r="K7" s="340">
        <f>SUM(B7+D7+F7+H7+J7)</f>
        <v>42901</v>
      </c>
    </row>
    <row r="8" spans="1:11" ht="15.75">
      <c r="A8" s="341" t="s">
        <v>274</v>
      </c>
      <c r="B8" s="342"/>
      <c r="C8" s="341" t="s">
        <v>274</v>
      </c>
      <c r="D8" s="343"/>
      <c r="E8" s="341" t="s">
        <v>274</v>
      </c>
      <c r="F8" s="326"/>
      <c r="G8" s="341" t="s">
        <v>274</v>
      </c>
      <c r="H8" s="100"/>
      <c r="I8" s="341" t="s">
        <v>274</v>
      </c>
      <c r="J8" s="100"/>
      <c r="K8" s="326"/>
    </row>
    <row r="9" spans="1:11" ht="15.75">
      <c r="A9" s="344" t="s">
        <v>1098</v>
      </c>
      <c r="B9" s="338">
        <v>3077</v>
      </c>
      <c r="C9" s="344" t="s">
        <v>1035</v>
      </c>
      <c r="D9" s="338">
        <v>609</v>
      </c>
      <c r="E9" s="344" t="s">
        <v>1102</v>
      </c>
      <c r="F9" s="338">
        <v>10918</v>
      </c>
      <c r="G9" s="344" t="s">
        <v>1035</v>
      </c>
      <c r="H9" s="338">
        <v>562</v>
      </c>
      <c r="I9" s="344"/>
      <c r="J9" s="338"/>
      <c r="K9" s="326"/>
    </row>
    <row r="10" spans="1:11" ht="15.75">
      <c r="A10" s="344"/>
      <c r="B10" s="338"/>
      <c r="C10" s="344" t="s">
        <v>72</v>
      </c>
      <c r="D10" s="338">
        <v>37</v>
      </c>
      <c r="E10" s="344"/>
      <c r="F10" s="338"/>
      <c r="G10" s="344" t="s">
        <v>72</v>
      </c>
      <c r="H10" s="338">
        <v>10691</v>
      </c>
      <c r="I10" s="344"/>
      <c r="J10" s="338"/>
      <c r="K10" s="326"/>
    </row>
    <row r="11" spans="1:11" ht="15.75">
      <c r="A11" s="344"/>
      <c r="B11" s="338"/>
      <c r="C11" s="345"/>
      <c r="D11" s="338"/>
      <c r="E11" s="345"/>
      <c r="F11" s="338"/>
      <c r="G11" s="345"/>
      <c r="H11" s="338"/>
      <c r="I11" s="346"/>
      <c r="J11" s="338"/>
      <c r="K11" s="326"/>
    </row>
    <row r="12" spans="1:11" ht="15.75">
      <c r="A12" s="344"/>
      <c r="B12" s="338"/>
      <c r="C12" s="344"/>
      <c r="D12" s="338"/>
      <c r="E12" s="347"/>
      <c r="F12" s="338"/>
      <c r="G12" s="347"/>
      <c r="H12" s="338"/>
      <c r="I12" s="347"/>
      <c r="J12" s="338"/>
      <c r="K12" s="326"/>
    </row>
    <row r="13" spans="1:11" ht="15.75">
      <c r="A13" s="348"/>
      <c r="B13" s="338"/>
      <c r="C13" s="349"/>
      <c r="D13" s="338"/>
      <c r="E13" s="349"/>
      <c r="F13" s="338"/>
      <c r="G13" s="349"/>
      <c r="H13" s="338"/>
      <c r="I13" s="346"/>
      <c r="J13" s="338"/>
      <c r="K13" s="326"/>
    </row>
    <row r="14" spans="1:11" ht="15.75">
      <c r="A14" s="344"/>
      <c r="B14" s="338"/>
      <c r="C14" s="347"/>
      <c r="D14" s="338"/>
      <c r="E14" s="347"/>
      <c r="F14" s="338"/>
      <c r="G14" s="347"/>
      <c r="H14" s="338"/>
      <c r="I14" s="347"/>
      <c r="J14" s="338"/>
      <c r="K14" s="326"/>
    </row>
    <row r="15" spans="1:11" ht="15.75">
      <c r="A15" s="344"/>
      <c r="B15" s="338"/>
      <c r="C15" s="347"/>
      <c r="D15" s="338"/>
      <c r="E15" s="347"/>
      <c r="F15" s="338"/>
      <c r="G15" s="347"/>
      <c r="H15" s="338"/>
      <c r="I15" s="347"/>
      <c r="J15" s="338"/>
      <c r="K15" s="326"/>
    </row>
    <row r="16" spans="1:11" ht="15.75">
      <c r="A16" s="344"/>
      <c r="B16" s="338"/>
      <c r="C16" s="344"/>
      <c r="D16" s="338"/>
      <c r="E16" s="344"/>
      <c r="F16" s="338"/>
      <c r="G16" s="347"/>
      <c r="H16" s="338"/>
      <c r="I16" s="344"/>
      <c r="J16" s="338"/>
      <c r="K16" s="326"/>
    </row>
    <row r="17" spans="1:11" ht="15.75">
      <c r="A17" s="341" t="s">
        <v>166</v>
      </c>
      <c r="B17" s="340">
        <f>SUM(B9:B16)</f>
        <v>3077</v>
      </c>
      <c r="C17" s="341" t="s">
        <v>166</v>
      </c>
      <c r="D17" s="340">
        <f>SUM(D9:D16)</f>
        <v>646</v>
      </c>
      <c r="E17" s="341" t="s">
        <v>166</v>
      </c>
      <c r="F17" s="413">
        <f>SUM(F9:F16)</f>
        <v>10918</v>
      </c>
      <c r="G17" s="341" t="s">
        <v>166</v>
      </c>
      <c r="H17" s="340">
        <f>SUM(H9:H16)</f>
        <v>11253</v>
      </c>
      <c r="I17" s="341" t="s">
        <v>166</v>
      </c>
      <c r="J17" s="340">
        <f>SUM(J9:J16)</f>
        <v>0</v>
      </c>
      <c r="K17" s="340">
        <f>SUM(B17+D17+F17+H17+J17)</f>
        <v>25894</v>
      </c>
    </row>
    <row r="18" spans="1:11" ht="15.75">
      <c r="A18" s="341" t="s">
        <v>167</v>
      </c>
      <c r="B18" s="340">
        <f>SUM(B7+B17)</f>
        <v>8951</v>
      </c>
      <c r="C18" s="341" t="s">
        <v>167</v>
      </c>
      <c r="D18" s="340">
        <f>SUM(D7+D17)</f>
        <v>646</v>
      </c>
      <c r="E18" s="341" t="s">
        <v>167</v>
      </c>
      <c r="F18" s="340">
        <f>SUM(F7+F17)</f>
        <v>28706</v>
      </c>
      <c r="G18" s="341" t="s">
        <v>167</v>
      </c>
      <c r="H18" s="340">
        <f>SUM(H7+H17)</f>
        <v>29288</v>
      </c>
      <c r="I18" s="341" t="s">
        <v>167</v>
      </c>
      <c r="J18" s="340">
        <f>SUM(J7+J17)</f>
        <v>1204</v>
      </c>
      <c r="K18" s="340">
        <f>SUM(B18+D18+F18+H18+J18)</f>
        <v>68795</v>
      </c>
    </row>
    <row r="19" spans="1:11" ht="15.75">
      <c r="A19" s="341" t="s">
        <v>170</v>
      </c>
      <c r="B19" s="342"/>
      <c r="C19" s="341" t="s">
        <v>170</v>
      </c>
      <c r="D19" s="343"/>
      <c r="E19" s="341" t="s">
        <v>170</v>
      </c>
      <c r="F19" s="326"/>
      <c r="G19" s="341" t="s">
        <v>170</v>
      </c>
      <c r="H19" s="100"/>
      <c r="I19" s="341" t="s">
        <v>170</v>
      </c>
      <c r="J19" s="100"/>
      <c r="K19" s="326"/>
    </row>
    <row r="20" spans="1:11" ht="15.75">
      <c r="A20" s="344"/>
      <c r="B20" s="338"/>
      <c r="C20" s="347" t="s">
        <v>1084</v>
      </c>
      <c r="D20" s="338">
        <v>441</v>
      </c>
      <c r="E20" s="347" t="s">
        <v>1084</v>
      </c>
      <c r="F20" s="338">
        <v>9460</v>
      </c>
      <c r="G20" s="347"/>
      <c r="H20" s="338"/>
      <c r="I20" s="347"/>
      <c r="J20" s="338"/>
      <c r="K20" s="326"/>
    </row>
    <row r="21" spans="1:11" ht="15.75">
      <c r="A21" s="344"/>
      <c r="B21" s="338"/>
      <c r="C21" s="347"/>
      <c r="D21" s="338"/>
      <c r="E21" s="347"/>
      <c r="F21" s="338"/>
      <c r="G21" s="347"/>
      <c r="H21" s="338"/>
      <c r="I21" s="347"/>
      <c r="J21" s="338"/>
      <c r="K21" s="326"/>
    </row>
    <row r="22" spans="1:11" ht="15.75">
      <c r="A22" s="344"/>
      <c r="B22" s="338"/>
      <c r="C22" s="349"/>
      <c r="D22" s="338"/>
      <c r="E22" s="349"/>
      <c r="F22" s="338"/>
      <c r="G22" s="349"/>
      <c r="H22" s="338"/>
      <c r="I22" s="346"/>
      <c r="J22" s="338"/>
      <c r="K22" s="326"/>
    </row>
    <row r="23" spans="1:11" ht="15.75">
      <c r="A23" s="344"/>
      <c r="B23" s="338"/>
      <c r="C23" s="347"/>
      <c r="D23" s="338"/>
      <c r="E23" s="347"/>
      <c r="F23" s="338"/>
      <c r="G23" s="347"/>
      <c r="H23" s="338"/>
      <c r="I23" s="347"/>
      <c r="J23" s="338"/>
      <c r="K23" s="326"/>
    </row>
    <row r="24" spans="1:11" ht="15.75">
      <c r="A24" s="344"/>
      <c r="B24" s="338"/>
      <c r="C24" s="349"/>
      <c r="D24" s="338"/>
      <c r="E24" s="349"/>
      <c r="F24" s="338"/>
      <c r="G24" s="349"/>
      <c r="H24" s="338"/>
      <c r="I24" s="346"/>
      <c r="J24" s="338"/>
      <c r="K24" s="326"/>
    </row>
    <row r="25" spans="1:11" ht="15.75">
      <c r="A25" s="344"/>
      <c r="B25" s="338"/>
      <c r="C25" s="347"/>
      <c r="D25" s="338"/>
      <c r="E25" s="347"/>
      <c r="F25" s="338"/>
      <c r="G25" s="347"/>
      <c r="H25" s="338"/>
      <c r="I25" s="347"/>
      <c r="J25" s="338"/>
      <c r="K25" s="326"/>
    </row>
    <row r="26" spans="1:11" ht="15.75">
      <c r="A26" s="344"/>
      <c r="B26" s="338"/>
      <c r="C26" s="347"/>
      <c r="D26" s="338"/>
      <c r="E26" s="347"/>
      <c r="F26" s="338"/>
      <c r="G26" s="347"/>
      <c r="H26" s="338"/>
      <c r="I26" s="347"/>
      <c r="J26" s="338"/>
      <c r="K26" s="326"/>
    </row>
    <row r="27" spans="1:11" ht="15.75">
      <c r="A27" s="344"/>
      <c r="B27" s="338"/>
      <c r="C27" s="344"/>
      <c r="D27" s="338"/>
      <c r="E27" s="344"/>
      <c r="F27" s="338"/>
      <c r="G27" s="347"/>
      <c r="H27" s="338"/>
      <c r="I27" s="347"/>
      <c r="J27" s="338"/>
      <c r="K27" s="326"/>
    </row>
    <row r="28" spans="1:11" ht="15.75">
      <c r="A28" s="341" t="s">
        <v>171</v>
      </c>
      <c r="B28" s="340">
        <f>SUM(B20:B27)</f>
        <v>0</v>
      </c>
      <c r="C28" s="341" t="s">
        <v>171</v>
      </c>
      <c r="D28" s="340">
        <f>SUM(D20:D27)</f>
        <v>441</v>
      </c>
      <c r="E28" s="341" t="s">
        <v>171</v>
      </c>
      <c r="F28" s="413">
        <f>SUM(F20:F27)</f>
        <v>9460</v>
      </c>
      <c r="G28" s="341" t="s">
        <v>171</v>
      </c>
      <c r="H28" s="413">
        <f>SUM(H20:H27)</f>
        <v>0</v>
      </c>
      <c r="I28" s="341" t="s">
        <v>171</v>
      </c>
      <c r="J28" s="340">
        <f>SUM(J20:J27)</f>
        <v>0</v>
      </c>
      <c r="K28" s="340">
        <f>SUM(B28+D28+F28+H28+J28)</f>
        <v>9901</v>
      </c>
    </row>
    <row r="29" spans="1:12" ht="15.75">
      <c r="A29" s="341" t="s">
        <v>22</v>
      </c>
      <c r="B29" s="340">
        <f>B18-B28</f>
        <v>8951</v>
      </c>
      <c r="C29" s="341" t="s">
        <v>22</v>
      </c>
      <c r="D29" s="340">
        <f>D18-D28</f>
        <v>205</v>
      </c>
      <c r="E29" s="341" t="s">
        <v>22</v>
      </c>
      <c r="F29" s="340">
        <f>F18-F28</f>
        <v>19246</v>
      </c>
      <c r="G29" s="341" t="s">
        <v>22</v>
      </c>
      <c r="H29" s="340">
        <f>H18-H28</f>
        <v>29288</v>
      </c>
      <c r="I29" s="341" t="s">
        <v>22</v>
      </c>
      <c r="J29" s="340">
        <f>J18-J28</f>
        <v>1204</v>
      </c>
      <c r="K29" s="354">
        <f>SUM(B29+D29+F29+H29+J29)</f>
        <v>58894</v>
      </c>
      <c r="L29" s="50" t="s">
        <v>60</v>
      </c>
    </row>
    <row r="30" spans="1:12" ht="15.75">
      <c r="A30" s="341"/>
      <c r="B30" s="382">
        <f>IF(B29&lt;0,"See Tab B","")</f>
      </c>
      <c r="C30" s="341"/>
      <c r="D30" s="382">
        <f>IF(D29&lt;0,"See Tab B","")</f>
      </c>
      <c r="E30" s="341"/>
      <c r="F30" s="382">
        <f>IF(F29&lt;0,"See Tab B","")</f>
      </c>
      <c r="G30" s="100"/>
      <c r="H30" s="382">
        <f>IF(H29&lt;0,"See Tab B","")</f>
      </c>
      <c r="I30" s="100"/>
      <c r="J30" s="382">
        <f>IF(J29&lt;0,"See Tab B","")</f>
      </c>
      <c r="K30" s="351">
        <f>SUM(K7+K17-K28)</f>
        <v>58894</v>
      </c>
      <c r="L30" s="50" t="s">
        <v>60</v>
      </c>
    </row>
    <row r="31" spans="1:11" ht="15.75">
      <c r="A31" s="100"/>
      <c r="B31" s="352"/>
      <c r="C31" s="100"/>
      <c r="D31" s="326"/>
      <c r="E31" s="100"/>
      <c r="F31" s="100"/>
      <c r="G31" s="59" t="s">
        <v>61</v>
      </c>
      <c r="H31" s="59"/>
      <c r="I31" s="59"/>
      <c r="J31" s="59"/>
      <c r="K31" s="100"/>
    </row>
    <row r="32" spans="1:11" ht="15.75">
      <c r="A32" s="100"/>
      <c r="B32" s="352"/>
      <c r="C32" s="100"/>
      <c r="D32" s="100"/>
      <c r="E32" s="100"/>
      <c r="F32" s="100"/>
      <c r="G32" s="100"/>
      <c r="H32" s="100"/>
      <c r="I32" s="100"/>
      <c r="J32" s="100"/>
      <c r="K32" s="100"/>
    </row>
    <row r="33" spans="1:11" ht="15.75">
      <c r="A33" s="100"/>
      <c r="B33" s="352"/>
      <c r="C33" s="100"/>
      <c r="D33" s="100"/>
      <c r="E33" s="291" t="s">
        <v>192</v>
      </c>
      <c r="F33" s="318">
        <v>32</v>
      </c>
      <c r="G33" s="100"/>
      <c r="H33" s="100"/>
      <c r="I33" s="100"/>
      <c r="J33" s="100"/>
      <c r="K33" s="100"/>
    </row>
    <row r="34" ht="15.75">
      <c r="B34" s="353"/>
    </row>
    <row r="35" ht="15.75">
      <c r="B35" s="353"/>
    </row>
    <row r="36" ht="15.75">
      <c r="B36" s="353"/>
    </row>
    <row r="37" ht="15.75">
      <c r="B37" s="353"/>
    </row>
    <row r="38" ht="15.75">
      <c r="B38" s="353"/>
    </row>
    <row r="39" ht="15.75">
      <c r="B39" s="353"/>
    </row>
    <row r="40" ht="15.75">
      <c r="B40" s="353"/>
    </row>
    <row r="41" ht="15.75">
      <c r="B41" s="353"/>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County</oddHeader>
  </headerFooter>
</worksheet>
</file>

<file path=xl/worksheets/sheet41.xml><?xml version="1.0" encoding="utf-8"?>
<worksheet xmlns="http://schemas.openxmlformats.org/spreadsheetml/2006/main" xmlns:r="http://schemas.openxmlformats.org/officeDocument/2006/relationships">
  <dimension ref="A1:A48"/>
  <sheetViews>
    <sheetView zoomScalePageLayoutView="0" workbookViewId="0" topLeftCell="A1">
      <selection activeCell="B7" sqref="B7"/>
    </sheetView>
  </sheetViews>
  <sheetFormatPr defaultColWidth="8.796875" defaultRowHeight="15"/>
  <cols>
    <col min="1" max="1" width="62.3984375" style="140" customWidth="1"/>
    <col min="2" max="16384" width="8.8984375" style="140" customWidth="1"/>
  </cols>
  <sheetData>
    <row r="1" ht="18.75">
      <c r="A1" s="380" t="s">
        <v>347</v>
      </c>
    </row>
    <row r="2" ht="15.75">
      <c r="A2" s="50"/>
    </row>
    <row r="3" ht="54.75" customHeight="1">
      <c r="A3" s="381" t="s">
        <v>348</v>
      </c>
    </row>
    <row r="4" ht="15.75">
      <c r="A4" s="501"/>
    </row>
    <row r="5" ht="51" customHeight="1">
      <c r="A5" s="381" t="s">
        <v>349</v>
      </c>
    </row>
    <row r="6" ht="15.75">
      <c r="A6" s="50"/>
    </row>
    <row r="7" ht="51.75" customHeight="1">
      <c r="A7" s="381" t="s">
        <v>350</v>
      </c>
    </row>
    <row r="8" ht="13.5" customHeight="1">
      <c r="A8" s="381"/>
    </row>
    <row r="9" ht="51.75" customHeight="1">
      <c r="A9" s="450" t="s">
        <v>762</v>
      </c>
    </row>
    <row r="10" ht="15.75">
      <c r="A10" s="501"/>
    </row>
    <row r="11" ht="36" customHeight="1">
      <c r="A11" s="381" t="s">
        <v>351</v>
      </c>
    </row>
    <row r="12" ht="15.75">
      <c r="A12" s="50"/>
    </row>
    <row r="13" ht="51.75" customHeight="1">
      <c r="A13" s="381" t="s">
        <v>352</v>
      </c>
    </row>
    <row r="14" ht="15.75">
      <c r="A14" s="501"/>
    </row>
    <row r="15" ht="33" customHeight="1">
      <c r="A15" s="381" t="s">
        <v>353</v>
      </c>
    </row>
    <row r="16" ht="15.75">
      <c r="A16" s="501"/>
    </row>
    <row r="17" ht="32.25" customHeight="1">
      <c r="A17" s="381" t="s">
        <v>354</v>
      </c>
    </row>
    <row r="18" ht="15.75">
      <c r="A18" s="501"/>
    </row>
    <row r="19" ht="53.25" customHeight="1">
      <c r="A19" s="381" t="s">
        <v>355</v>
      </c>
    </row>
    <row r="20" ht="15.75">
      <c r="A20" s="50"/>
    </row>
    <row r="21" ht="50.25" customHeight="1">
      <c r="A21" s="381" t="s">
        <v>356</v>
      </c>
    </row>
    <row r="22" ht="15.75">
      <c r="A22" s="50"/>
    </row>
    <row r="23" ht="15.75">
      <c r="A23" s="50"/>
    </row>
    <row r="24" ht="96" customHeight="1">
      <c r="A24" s="381" t="s">
        <v>357</v>
      </c>
    </row>
    <row r="25" ht="15.75">
      <c r="A25" s="50"/>
    </row>
    <row r="26" ht="30.75" customHeight="1">
      <c r="A26" s="52" t="s">
        <v>358</v>
      </c>
    </row>
    <row r="27" ht="15.75">
      <c r="A27" s="50"/>
    </row>
    <row r="28" ht="95.25" customHeight="1">
      <c r="A28" s="452" t="s">
        <v>763</v>
      </c>
    </row>
    <row r="29" ht="15.75">
      <c r="A29" s="50"/>
    </row>
    <row r="30" ht="34.5" customHeight="1">
      <c r="A30" s="381" t="s">
        <v>359</v>
      </c>
    </row>
    <row r="31" ht="15.75">
      <c r="A31" s="50"/>
    </row>
    <row r="32" ht="66" customHeight="1">
      <c r="A32" s="381" t="s">
        <v>360</v>
      </c>
    </row>
    <row r="33" ht="15.75">
      <c r="A33" s="501"/>
    </row>
    <row r="34" ht="57" customHeight="1">
      <c r="A34" s="381" t="s">
        <v>361</v>
      </c>
    </row>
    <row r="35" ht="15.75">
      <c r="A35" s="50"/>
    </row>
    <row r="36" ht="49.5" customHeight="1">
      <c r="A36" s="381" t="s">
        <v>362</v>
      </c>
    </row>
    <row r="37" ht="15.75">
      <c r="A37" s="50"/>
    </row>
    <row r="38" ht="74.25" customHeight="1">
      <c r="A38" s="452" t="s">
        <v>764</v>
      </c>
    </row>
    <row r="39" ht="15.75">
      <c r="A39" s="50"/>
    </row>
    <row r="40" ht="55.5" customHeight="1">
      <c r="A40" s="381" t="s">
        <v>363</v>
      </c>
    </row>
    <row r="41" ht="15.75">
      <c r="A41" s="50"/>
    </row>
    <row r="42" ht="53.25" customHeight="1">
      <c r="A42" s="381" t="s">
        <v>364</v>
      </c>
    </row>
    <row r="43" ht="15.75">
      <c r="A43" s="501"/>
    </row>
    <row r="44" ht="47.25" customHeight="1">
      <c r="A44" s="381" t="s">
        <v>365</v>
      </c>
    </row>
    <row r="45" ht="15.75">
      <c r="A45" s="501"/>
    </row>
    <row r="46" ht="49.5" customHeight="1">
      <c r="A46" s="381" t="s">
        <v>366</v>
      </c>
    </row>
    <row r="47" ht="15.75">
      <c r="A47" s="501"/>
    </row>
    <row r="48" ht="36" customHeight="1">
      <c r="A48" s="381" t="s">
        <v>367</v>
      </c>
    </row>
  </sheetData>
  <sheetProtection sheet="1"/>
  <printOptions/>
  <pageMargins left="0.7" right="0.7" top="0.75" bottom="0.75" header="0.3" footer="0.3"/>
  <pageSetup horizontalDpi="600" verticalDpi="600" orientation="portrait" r:id="rId1"/>
</worksheet>
</file>

<file path=xl/worksheets/sheet42.xml><?xml version="1.0" encoding="utf-8"?>
<worksheet xmlns="http://schemas.openxmlformats.org/spreadsheetml/2006/main" xmlns:r="http://schemas.openxmlformats.org/officeDocument/2006/relationships">
  <sheetPr>
    <pageSetUpPr fitToPage="1"/>
  </sheetPr>
  <dimension ref="A1:M79"/>
  <sheetViews>
    <sheetView zoomScalePageLayoutView="0" workbookViewId="0" topLeftCell="A1">
      <selection activeCell="I6" sqref="I6"/>
    </sheetView>
  </sheetViews>
  <sheetFormatPr defaultColWidth="8.796875" defaultRowHeight="15"/>
  <cols>
    <col min="1" max="1" width="17.796875" style="50" customWidth="1"/>
    <col min="2" max="2" width="15.69921875" style="50" customWidth="1"/>
    <col min="3" max="3" width="9.3984375" style="50" customWidth="1"/>
    <col min="4" max="4" width="16.796875" style="50" customWidth="1"/>
    <col min="5" max="5" width="9.796875" style="50" customWidth="1"/>
    <col min="6" max="6" width="15.796875" style="50" customWidth="1"/>
    <col min="7" max="7" width="13.69921875" style="50" customWidth="1"/>
    <col min="8" max="8" width="9.796875" style="50" customWidth="1"/>
    <col min="9" max="9" width="8.8984375" style="50" customWidth="1"/>
    <col min="10" max="10" width="12.3984375" style="50" customWidth="1"/>
    <col min="11" max="11" width="12.296875" style="50" customWidth="1"/>
    <col min="12" max="12" width="10.59765625" style="50" customWidth="1"/>
    <col min="13" max="13" width="12.09765625" style="50" customWidth="1"/>
    <col min="14" max="16384" width="8.8984375" style="50" customWidth="1"/>
  </cols>
  <sheetData>
    <row r="1" spans="1:8" ht="15.75">
      <c r="A1" s="62"/>
      <c r="B1" s="62"/>
      <c r="C1" s="62"/>
      <c r="D1" s="62"/>
      <c r="E1" s="62"/>
      <c r="F1" s="62"/>
      <c r="G1" s="62"/>
      <c r="H1" s="255">
        <f>inputPrYr!C4</f>
        <v>2015</v>
      </c>
    </row>
    <row r="2" spans="1:9" ht="15.75">
      <c r="A2" s="781" t="s">
        <v>233</v>
      </c>
      <c r="B2" s="781"/>
      <c r="C2" s="781"/>
      <c r="D2" s="781"/>
      <c r="E2" s="781"/>
      <c r="F2" s="781"/>
      <c r="G2" s="781"/>
      <c r="H2" s="781"/>
      <c r="I2" s="355"/>
    </row>
    <row r="3" spans="1:8" ht="15.75">
      <c r="A3" s="62"/>
      <c r="B3" s="62"/>
      <c r="C3" s="62"/>
      <c r="D3" s="62"/>
      <c r="E3" s="62"/>
      <c r="F3" s="62"/>
      <c r="G3" s="62"/>
      <c r="H3" s="62"/>
    </row>
    <row r="4" spans="1:8" ht="15.75">
      <c r="A4" s="837" t="s">
        <v>264</v>
      </c>
      <c r="B4" s="837"/>
      <c r="C4" s="837"/>
      <c r="D4" s="837"/>
      <c r="E4" s="837"/>
      <c r="F4" s="837"/>
      <c r="G4" s="837"/>
      <c r="H4" s="837"/>
    </row>
    <row r="5" spans="1:8" ht="15.75">
      <c r="A5" s="843" t="str">
        <f>inputPrYr!C2</f>
        <v>Marshall County</v>
      </c>
      <c r="B5" s="843"/>
      <c r="C5" s="843"/>
      <c r="D5" s="843"/>
      <c r="E5" s="843"/>
      <c r="F5" s="843"/>
      <c r="G5" s="843"/>
      <c r="H5" s="843"/>
    </row>
    <row r="6" spans="1:8" ht="15.75">
      <c r="A6" s="844" t="str">
        <f>CONCATENATE("will meet on ",inputBudSum!B5," at ",inputBudSum!B7," at ",inputBudSum!B9," for the purpose of hearing and")</f>
        <v>will meet on September 8, 2014 at 10:30 a.m.  at Marshall County Courthouse Commissioner Room for the purpose of hearing and</v>
      </c>
      <c r="B6" s="844"/>
      <c r="C6" s="844"/>
      <c r="D6" s="844"/>
      <c r="E6" s="844"/>
      <c r="F6" s="844"/>
      <c r="G6" s="844"/>
      <c r="H6" s="844"/>
    </row>
    <row r="7" spans="1:8" ht="15.75">
      <c r="A7" s="837" t="s">
        <v>627</v>
      </c>
      <c r="B7" s="837"/>
      <c r="C7" s="837"/>
      <c r="D7" s="837"/>
      <c r="E7" s="837"/>
      <c r="F7" s="837"/>
      <c r="G7" s="837"/>
      <c r="H7" s="837"/>
    </row>
    <row r="8" spans="1:8" ht="15.75">
      <c r="A8" s="844" t="str">
        <f>CONCATENATE("Detailed budget information is available at ",inputBudSum!B12," and will be available at this hearing.")</f>
        <v>Detailed budget information is available at Marshall County Clerk's Office  and will be available at this hearing.</v>
      </c>
      <c r="B8" s="844"/>
      <c r="C8" s="844"/>
      <c r="D8" s="844"/>
      <c r="E8" s="844"/>
      <c r="F8" s="844"/>
      <c r="G8" s="844"/>
      <c r="H8" s="844"/>
    </row>
    <row r="9" spans="1:8" ht="15.75">
      <c r="A9" s="67" t="s">
        <v>234</v>
      </c>
      <c r="B9" s="68"/>
      <c r="C9" s="68"/>
      <c r="D9" s="184"/>
      <c r="E9" s="68"/>
      <c r="F9" s="68"/>
      <c r="G9" s="68"/>
      <c r="H9" s="68"/>
    </row>
    <row r="10" spans="1:8" ht="15.75">
      <c r="A10" s="837" t="str">
        <f>CONCATENATE("Proposed Budget ",H1," Expenditures and Amount of ",H1-1," Ad Valorem Tax establish the maximum limits of the ",H1," budget.")</f>
        <v>Proposed Budget 2015 Expenditures and Amount of 2014 Ad Valorem Tax establish the maximum limits of the 2015 budget.</v>
      </c>
      <c r="B10" s="837"/>
      <c r="C10" s="837"/>
      <c r="D10" s="837"/>
      <c r="E10" s="837"/>
      <c r="F10" s="837"/>
      <c r="G10" s="837"/>
      <c r="H10" s="837"/>
    </row>
    <row r="11" spans="1:8" ht="15.75">
      <c r="A11" s="837" t="s">
        <v>280</v>
      </c>
      <c r="B11" s="837"/>
      <c r="C11" s="837"/>
      <c r="D11" s="837"/>
      <c r="E11" s="837"/>
      <c r="F11" s="837"/>
      <c r="G11" s="837"/>
      <c r="H11" s="837"/>
    </row>
    <row r="12" spans="1:9" ht="15.75">
      <c r="A12" s="62"/>
      <c r="B12" s="62"/>
      <c r="C12" s="62"/>
      <c r="D12" s="62"/>
      <c r="E12" s="62"/>
      <c r="F12" s="62"/>
      <c r="G12" s="62"/>
      <c r="H12" s="62"/>
      <c r="I12" s="118"/>
    </row>
    <row r="13" spans="1:8" ht="15.75">
      <c r="A13" s="62"/>
      <c r="B13" s="356" t="str">
        <f>CONCATENATE("Prior Year Actual for ",H1-2,"")</f>
        <v>Prior Year Actual for 2013</v>
      </c>
      <c r="C13" s="187"/>
      <c r="D13" s="357" t="str">
        <f>CONCATENATE("Current Year Estimate for ",H1-1,"")</f>
        <v>Current Year Estimate for 2014</v>
      </c>
      <c r="E13" s="187"/>
      <c r="F13" s="185" t="str">
        <f>CONCATENATE("Proposed Budget Year for ",H1,"")</f>
        <v>Proposed Budget Year for 2015</v>
      </c>
      <c r="G13" s="186"/>
      <c r="H13" s="187"/>
    </row>
    <row r="14" spans="1:8" ht="18.75" customHeight="1">
      <c r="A14" s="61"/>
      <c r="B14" s="292"/>
      <c r="C14" s="188" t="s">
        <v>193</v>
      </c>
      <c r="D14" s="188"/>
      <c r="E14" s="188" t="s">
        <v>193</v>
      </c>
      <c r="F14" s="477" t="s">
        <v>645</v>
      </c>
      <c r="G14" s="808" t="str">
        <f>CONCATENATE("Amount of ",H1-1,"       Ad Valorem Tax")</f>
        <v>Amount of 2014       Ad Valorem Tax</v>
      </c>
      <c r="H14" s="188" t="s">
        <v>194</v>
      </c>
    </row>
    <row r="15" spans="1:8" ht="15.75">
      <c r="A15" s="88" t="s">
        <v>195</v>
      </c>
      <c r="B15" s="232" t="s">
        <v>138</v>
      </c>
      <c r="C15" s="232" t="s">
        <v>196</v>
      </c>
      <c r="D15" s="232" t="s">
        <v>138</v>
      </c>
      <c r="E15" s="232" t="s">
        <v>196</v>
      </c>
      <c r="F15" s="478" t="s">
        <v>646</v>
      </c>
      <c r="G15" s="788"/>
      <c r="H15" s="232" t="s">
        <v>196</v>
      </c>
    </row>
    <row r="16" spans="1:8" ht="15.75">
      <c r="A16" s="102" t="str">
        <f>inputPrYr!B16</f>
        <v>General</v>
      </c>
      <c r="B16" s="102">
        <f>IF(general!$C$115&lt;&gt;0,general!$C$115,"  ")</f>
        <v>2085816</v>
      </c>
      <c r="C16" s="358">
        <f>IF(inputPrYr!D90&lt;&gt;0,inputPrYr!D90,"  ")</f>
        <v>13.162</v>
      </c>
      <c r="D16" s="102">
        <f>IF(general!$D$115&lt;&gt;0,general!$D$115,"  ")</f>
        <v>2861462</v>
      </c>
      <c r="E16" s="358">
        <f>IF(inputPrYr!F16&lt;&gt;0,inputPrYr!F16,"  ")</f>
        <v>14.841</v>
      </c>
      <c r="F16" s="102">
        <f>IF(general!$E$115&lt;&gt;0,general!$E$115,"  ")</f>
        <v>2883676</v>
      </c>
      <c r="G16" s="102">
        <f>IF(general!$E$122&lt;&gt;0,general!$E$122,"  ")</f>
        <v>1641730</v>
      </c>
      <c r="H16" s="358">
        <f>IF(general!E122&lt;&gt;0,ROUND(G16/$F$65*1000,3),"  ")</f>
        <v>12.624</v>
      </c>
    </row>
    <row r="17" spans="1:8" ht="15.75">
      <c r="A17" s="102" t="str">
        <f>inputPrYr!B17</f>
        <v>Debt Service</v>
      </c>
      <c r="B17" s="102">
        <f>IF(DebtService!$C$50&lt;&gt;0,DebtService!$C$50,"  ")</f>
        <v>183</v>
      </c>
      <c r="C17" s="358">
        <f>IF(inputPrYr!D91&lt;&gt;0,inputPrYr!D91,"  ")</f>
        <v>0.068</v>
      </c>
      <c r="D17" s="102">
        <f>IF(DebtService!$D$50&lt;&gt;0,DebtService!$D$50,"  ")</f>
        <v>15066</v>
      </c>
      <c r="E17" s="358">
        <f>IF(inputPrYr!F17&lt;&gt;0,inputPrYr!F17,"  ")</f>
        <v>0.029</v>
      </c>
      <c r="F17" s="102">
        <f>IF(DebtService!$E$50&lt;&gt;0,DebtService!$E$50,"  ")</f>
        <v>15045</v>
      </c>
      <c r="G17" s="102">
        <f>IF(DebtService!$E$57&lt;&gt;0,DebtService!$E$57,"  ")</f>
        <v>2911</v>
      </c>
      <c r="H17" s="358">
        <f>IF(DebtService!E57&lt;&gt;0,ROUND(G17/$F$65*1000,3),"  ")</f>
        <v>0.022</v>
      </c>
    </row>
    <row r="18" spans="1:8" ht="15.75">
      <c r="A18" s="102" t="str">
        <f>inputPrYr!B18</f>
        <v>Road &amp; Bridge</v>
      </c>
      <c r="B18" s="102">
        <f>IF(road!$C$111&lt;&gt;0,road!$C$111,"  ")</f>
        <v>2574108</v>
      </c>
      <c r="C18" s="358">
        <f>IF(inputPrYr!D92&lt;&gt;0,inputPrYr!D92,"  ")</f>
        <v>15.615</v>
      </c>
      <c r="D18" s="102">
        <f>IF(road!$D$111&lt;&gt;0,road!$D$111,"  ")</f>
        <v>2497654</v>
      </c>
      <c r="E18" s="358">
        <f>IF(inputPrYr!F18&lt;&gt;0,inputPrYr!F18,"  ")</f>
        <v>12.001</v>
      </c>
      <c r="F18" s="102">
        <f>IF(road!$E$111&lt;&gt;0,road!$E$111,"  ")</f>
        <v>2729537</v>
      </c>
      <c r="G18" s="102">
        <f>IF(road!$E$118&lt;&gt;0,road!$E$118,"  ")</f>
        <v>1955713</v>
      </c>
      <c r="H18" s="358">
        <f>IF(road!E118&lt;&gt;0,ROUND(G18/$F$65*1000,3),"  ")</f>
        <v>15.039</v>
      </c>
    </row>
    <row r="19" spans="1:8" ht="15.75">
      <c r="A19" s="102" t="str">
        <f>IF((inputPrYr!$B19&gt;" "),(inputPrYr!$B19),"  ")</f>
        <v>Health Nurse</v>
      </c>
      <c r="B19" s="102">
        <f>IF('Health-Fair'!$C$33&lt;&gt;0,'Health-Fair'!$C$33,"  ")</f>
        <v>492853</v>
      </c>
      <c r="C19" s="358">
        <f>IF(inputPrYr!D93&lt;&gt;0,inputPrYr!D93,"  ")</f>
        <v>1.026</v>
      </c>
      <c r="D19" s="102">
        <f>IF('Health-Fair'!$D$33&lt;&gt;0,'Health-Fair'!$D$33,"  ")</f>
        <v>546662</v>
      </c>
      <c r="E19" s="358">
        <f>IF(inputPrYr!F19&lt;&gt;0,inputPrYr!F19,"  ")</f>
        <v>0.588</v>
      </c>
      <c r="F19" s="102">
        <f>IF('Health-Fair'!$E$33&lt;&gt;0,'Health-Fair'!$E$33,"  ")</f>
        <v>552800</v>
      </c>
      <c r="G19" s="102">
        <f>IF('Health-Fair'!$E$40&lt;&gt;0,'Health-Fair'!$E$40,"  ")</f>
        <v>212172</v>
      </c>
      <c r="H19" s="358">
        <f>IF('Health-Fair'!E40&lt;&gt;0,ROUND(G19/$F$65*1000,3),"  ")</f>
        <v>1.632</v>
      </c>
    </row>
    <row r="20" spans="1:8" ht="15.75">
      <c r="A20" s="102" t="str">
        <f>IF((inputPrYr!$B20&gt;" "),(inputPrYr!$B20),"  ")</f>
        <v>Fair</v>
      </c>
      <c r="B20" s="102">
        <f>IF('Health-Fair'!$C$73&lt;&gt;0,'Health-Fair'!$C$73,"  ")</f>
        <v>21337</v>
      </c>
      <c r="C20" s="358">
        <f>IF(inputPrYr!D94&lt;&gt;0,inputPrYr!D94,"  ")</f>
        <v>0.223</v>
      </c>
      <c r="D20" s="102">
        <f>IF('Health-Fair'!$D$73&lt;&gt;0,'Health-Fair'!$D$73,"  ")</f>
        <v>30085</v>
      </c>
      <c r="E20" s="358">
        <f>IF(inputPrYr!F20&lt;&gt;0,inputPrYr!F20,"  ")</f>
        <v>0.211</v>
      </c>
      <c r="F20" s="102">
        <f>IF('Health-Fair'!$E$73&lt;&gt;0,'Health-Fair'!$E$73,"  ")</f>
        <v>29882</v>
      </c>
      <c r="G20" s="102">
        <f>IF('Health-Fair'!$E$80&lt;&gt;0,'Health-Fair'!$E$80,"  ")</f>
        <v>18215</v>
      </c>
      <c r="H20" s="358">
        <f>IF('Health-Fair'!E80&lt;&gt;0,ROUND(G20/$F$65*1000,3),"  ")</f>
        <v>0.14</v>
      </c>
    </row>
    <row r="21" spans="1:8" ht="15.75">
      <c r="A21" s="102" t="str">
        <f>IF((inputPrYr!$B21&gt;" "),(inputPrYr!$B21),"  ")</f>
        <v>4-H Building</v>
      </c>
      <c r="B21" s="102">
        <f>IF('4-H-RecHHW'!$C$33&lt;&gt;0,'4-H-RecHHW'!$C$33,"  ")</f>
        <v>7550</v>
      </c>
      <c r="C21" s="358">
        <f>IF(inputPrYr!D95&lt;&gt;0,inputPrYr!D95,"  ")</f>
        <v>0.056</v>
      </c>
      <c r="D21" s="102">
        <f>IF('4-H-RecHHW'!$D$33&lt;&gt;0,'4-H-RecHHW'!$D$33,"  ")</f>
        <v>7521</v>
      </c>
      <c r="E21" s="358">
        <f>IF(inputPrYr!F21&lt;&gt;0,inputPrYr!F21,"  ")</f>
        <v>0.053</v>
      </c>
      <c r="F21" s="102">
        <f>IF('4-H-RecHHW'!$E$33&lt;&gt;0,'4-H-RecHHW'!$E$33,"  ")</f>
        <v>7506</v>
      </c>
      <c r="G21" s="102">
        <f>IF('4-H-RecHHW'!$E$40&lt;&gt;0,'4-H-RecHHW'!$E$40,"  ")</f>
        <v>6813</v>
      </c>
      <c r="H21" s="358">
        <f>IF('4-H-RecHHW'!$E$40&lt;&gt;0,ROUND(G21/$F$65*1000,3),"  ")</f>
        <v>0.052</v>
      </c>
    </row>
    <row r="22" spans="1:8" ht="15.75">
      <c r="A22" s="102" t="str">
        <f>IF((inputPrYr!$B22&gt;" "),(inputPrYr!$B22),"  ")</f>
        <v>Recycling/HHW</v>
      </c>
      <c r="B22" s="102">
        <f>IF('4-H-RecHHW'!$C$73&lt;&gt;0,'4-H-RecHHW'!$C$73,"  ")</f>
        <v>53953</v>
      </c>
      <c r="C22" s="358">
        <f>IF(inputPrYr!D96&lt;&gt;0,inputPrYr!D96,"  ")</f>
        <v>0.277</v>
      </c>
      <c r="D22" s="102">
        <f>IF('4-H-RecHHW'!$D$73&lt;&gt;0,'4-H-RecHHW'!$D$73,"  ")</f>
        <v>67524</v>
      </c>
      <c r="E22" s="358">
        <f>IF(inputPrYr!F22&lt;&gt;0,inputPrYr!F22,"  ")</f>
        <v>0.445</v>
      </c>
      <c r="F22" s="102">
        <f>IF('4-H-RecHHW'!$E$73&lt;&gt;0,'4-H-RecHHW'!$E$73,"  ")</f>
        <v>67428</v>
      </c>
      <c r="G22" s="102">
        <f>IF('4-H-RecHHW'!$E$80&lt;&gt;0,'4-H-RecHHW'!$E$80,"  ")</f>
        <v>21155</v>
      </c>
      <c r="H22" s="358">
        <f>IF('4-H-RecHHW'!$E$80&lt;&gt;0,ROUND(G22/$F$65*1000,3),"  ")</f>
        <v>0.163</v>
      </c>
    </row>
    <row r="23" spans="1:8" ht="15.75">
      <c r="A23" s="102" t="str">
        <f>IF((inputPrYr!$B23&gt;" "),(inputPrYr!$B23),"  ")</f>
        <v>Agency on Aging</v>
      </c>
      <c r="B23" s="102">
        <f>IF('AOA-SoilCon'!$C$33&lt;&gt;0,'AOA-SoilCon'!$C$33,"  ")</f>
        <v>146738</v>
      </c>
      <c r="C23" s="358">
        <f>IF(inputPrYr!D97&lt;&gt;0,inputPrYr!D97,"  ")</f>
        <v>1.301</v>
      </c>
      <c r="D23" s="102">
        <f>IF('AOA-SoilCon'!$D$33&lt;&gt;0,'AOA-SoilCon'!$D$33,"  ")</f>
        <v>220719</v>
      </c>
      <c r="E23" s="358">
        <f>IF(inputPrYr!F23&lt;&gt;0,inputPrYr!F23,"  ")</f>
        <v>1.035</v>
      </c>
      <c r="F23" s="102">
        <f>IF('AOA-SoilCon'!$E$33&lt;&gt;0,'AOA-SoilCon'!$E$33,"  ")</f>
        <v>230176</v>
      </c>
      <c r="G23" s="102">
        <f>IF('AOA-SoilCon'!$E$40&lt;&gt;0,'AOA-SoilCon'!$E$40,"  ")</f>
        <v>144411</v>
      </c>
      <c r="H23" s="358">
        <f>IF('AOA-SoilCon'!$E$40&lt;&gt;0,ROUND(G23/$F$65*1000,3),"  ")</f>
        <v>1.11</v>
      </c>
    </row>
    <row r="24" spans="1:8" ht="15.75">
      <c r="A24" s="102" t="str">
        <f>IF((inputPrYr!$B24&gt;" "),(inputPrYr!$B24),"  ")</f>
        <v>Soil Conservation</v>
      </c>
      <c r="B24" s="102">
        <f>IF('AOA-SoilCon'!$C$73&lt;&gt;0,'AOA-SoilCon'!$C$73,"  ")</f>
        <v>23466</v>
      </c>
      <c r="C24" s="358">
        <f>IF(inputPrYr!D98&lt;&gt;0,inputPrYr!D98,"  ")</f>
        <v>0.174</v>
      </c>
      <c r="D24" s="102">
        <f>IF('AOA-SoilCon'!$D$73&lt;&gt;0,'AOA-SoilCon'!$D$73,"  ")</f>
        <v>24406</v>
      </c>
      <c r="E24" s="358">
        <f>IF(inputPrYr!F24&lt;&gt;0,inputPrYr!F24,"  ")</f>
        <v>0.177</v>
      </c>
      <c r="F24" s="102">
        <f>IF('AOA-SoilCon'!$E$73&lt;&gt;0,'AOA-SoilCon'!$E$73,"  ")</f>
        <v>24849</v>
      </c>
      <c r="G24" s="102">
        <f>IF('AOA-SoilCon'!$E$80&lt;&gt;0,'AOA-SoilCon'!$E$80,"  ")</f>
        <v>22532</v>
      </c>
      <c r="H24" s="358">
        <f>IF('AOA-SoilCon'!$E$80&lt;&gt;0,ROUND(G24/$F$65*1000,3),"  ")</f>
        <v>0.173</v>
      </c>
    </row>
    <row r="25" spans="1:8" ht="15.75">
      <c r="A25" s="102" t="str">
        <f>IF((inputPrYr!$B25&gt;" "),(inputPrYr!$B25),"  ")</f>
        <v>Historical</v>
      </c>
      <c r="B25" s="102">
        <f>IF('Hist-Appr'!$C$33&lt;&gt;0,'Hist-Appr'!$C$33,"  ")</f>
        <v>12246</v>
      </c>
      <c r="C25" s="358">
        <f>IF(inputPrYr!D99&lt;&gt;0,inputPrYr!D99,"  ")</f>
        <v>0.091</v>
      </c>
      <c r="D25" s="102">
        <f>IF('Hist-Appr'!$D$33&lt;&gt;0,'Hist-Appr'!$D$33,"  ")</f>
        <v>12198</v>
      </c>
      <c r="E25" s="358">
        <f>IF(inputPrYr!F25&lt;&gt;0,inputPrYr!F25,"  ")</f>
        <v>0.086</v>
      </c>
      <c r="F25" s="102">
        <f>IF('Hist-Appr'!$E$33&lt;&gt;0,'Hist-Appr'!$E$33,"  ")</f>
        <v>12187</v>
      </c>
      <c r="G25" s="102">
        <f>IF('Hist-Appr'!$E$40&lt;&gt;0,'Hist-Appr'!$E$40,"  ")</f>
        <v>11051</v>
      </c>
      <c r="H25" s="358">
        <f>IF('Hist-Appr'!$E$40&lt;&gt;0,ROUND(G25/$F$65*1000,3),"  ")</f>
        <v>0.085</v>
      </c>
    </row>
    <row r="26" spans="1:8" ht="15.75">
      <c r="A26" s="102" t="str">
        <f>IF((inputPrYr!$B26&gt;" "),(inputPrYr!$B26),"  ")</f>
        <v>Appraiser</v>
      </c>
      <c r="B26" s="102">
        <f>IF('Hist-Appr'!$C$73&lt;&gt;0,'Hist-Appr'!$C$73,"  ")</f>
        <v>160564</v>
      </c>
      <c r="C26" s="358">
        <f>IF(inputPrYr!D100&lt;&gt;0,inputPrYr!D100,"  ")</f>
        <v>1.13</v>
      </c>
      <c r="D26" s="102">
        <f>IF('Hist-Appr'!$D$73&lt;&gt;0,'Hist-Appr'!$D$73,"  ")</f>
        <v>176049</v>
      </c>
      <c r="E26" s="358">
        <f>IF(inputPrYr!F26&lt;&gt;0,inputPrYr!F26,"  ")</f>
        <v>1.13</v>
      </c>
      <c r="F26" s="102">
        <f>IF('Hist-Appr'!$E$73&lt;&gt;0,'Hist-Appr'!$E$73,"  ")</f>
        <v>178031</v>
      </c>
      <c r="G26" s="102">
        <f>IF('Hist-Appr'!$E$80&lt;&gt;0,'Hist-Appr'!$E$80,"  ")</f>
        <v>146473</v>
      </c>
      <c r="H26" s="358">
        <f>IF('Hist-Appr'!$E$80&lt;&gt;0,ROUND(G26/$F$65*1000,3),"  ")</f>
        <v>1.126</v>
      </c>
    </row>
    <row r="27" spans="1:8" ht="15.75">
      <c r="A27" s="102" t="str">
        <f>IF((inputPrYr!$B27&gt;" "),(inputPrYr!$B27),"  ")</f>
        <v>Noxious Weed</v>
      </c>
      <c r="B27" s="102">
        <f>IF('Nox Weed-Elect'!$C$33&lt;&gt;0,'Nox Weed-Elect'!$C$33,"  ")</f>
        <v>69958</v>
      </c>
      <c r="C27" s="358">
        <f>IF(inputPrYr!D101&lt;&gt;0,inputPrYr!D101,"  ")</f>
        <v>0.406</v>
      </c>
      <c r="D27" s="102">
        <f>IF('Nox Weed-Elect'!$D$33&lt;&gt;0,'Nox Weed-Elect'!$D$33,"  ")</f>
        <v>93286</v>
      </c>
      <c r="E27" s="358">
        <f>IF(inputPrYr!F27&lt;&gt;0,inputPrYr!F27,"  ")</f>
        <v>0.442</v>
      </c>
      <c r="F27" s="102">
        <f>IF('Nox Weed-Elect'!$E$33&lt;&gt;0,'Nox Weed-Elect'!$E$33,"  ")</f>
        <v>93882</v>
      </c>
      <c r="G27" s="102">
        <f>IF('Nox Weed-Elect'!$E$40&lt;&gt;0,'Nox Weed-Elect'!$E$40,"  ")</f>
        <v>65246</v>
      </c>
      <c r="H27" s="358">
        <f>IF('Nox Weed-Elect'!$E$40&lt;&gt;0,ROUND(G27/$F$65*1000,3),"  ")</f>
        <v>0.502</v>
      </c>
    </row>
    <row r="28" spans="1:8" ht="15.75">
      <c r="A28" s="102" t="str">
        <f>IF((inputPrYr!$B28&gt;" "),(inputPrYr!$B28),"  ")</f>
        <v>Election</v>
      </c>
      <c r="B28" s="102">
        <f>IF('Nox Weed-Elect'!$C$73&lt;&gt;0,'Nox Weed-Elect'!$C$73,"  ")</f>
        <v>86517</v>
      </c>
      <c r="C28" s="358">
        <f>IF(inputPrYr!D102&lt;&gt;0,inputPrYr!D102,"  ")</f>
        <v>0.63</v>
      </c>
      <c r="D28" s="102">
        <f>IF('Nox Weed-Elect'!$D$73&lt;&gt;0,'Nox Weed-Elect'!$D$73,"  ")</f>
        <v>90222</v>
      </c>
      <c r="E28" s="358">
        <f>IF(inputPrYr!F28&lt;&gt;0,inputPrYr!F28,"  ")</f>
        <v>0.618</v>
      </c>
      <c r="F28" s="102">
        <f>IF('Nox Weed-Elect'!$E$73&lt;&gt;0,'Nox Weed-Elect'!$E$73,"  ")</f>
        <v>90029</v>
      </c>
      <c r="G28" s="102">
        <f>IF('Nox Weed-Elect'!$E$80&lt;&gt;0,'Nox Weed-Elect'!$E$80,"  ")</f>
        <v>79233</v>
      </c>
      <c r="H28" s="358">
        <f>IF('Nox Weed-Elect'!$E$80&lt;&gt;0,ROUND(G28/$F$65*1000,3),"  ")</f>
        <v>0.609</v>
      </c>
    </row>
    <row r="29" spans="1:8" ht="15.75">
      <c r="A29" s="102" t="str">
        <f>IF((inputPrYr!$B29&gt;" "),(inputPrYr!$B29),"  ")</f>
        <v>Extension Council</v>
      </c>
      <c r="B29" s="102">
        <f>IF('ExtCoun-SW'!$C$33&lt;&gt;0,'ExtCoun-SW'!$C$33,"  ")</f>
        <v>158462</v>
      </c>
      <c r="C29" s="358">
        <f>IF(inputPrYr!D103&lt;&gt;0,inputPrYr!D103,"  ")</f>
        <v>1.177</v>
      </c>
      <c r="D29" s="102">
        <f>IF('ExtCoun-SW'!$D$33&lt;&gt;0,'ExtCoun-SW'!$D$33,"  ")</f>
        <v>163226</v>
      </c>
      <c r="E29" s="358">
        <f>IF(inputPrYr!F29&lt;&gt;0,inputPrYr!F29,"  ")</f>
        <v>1.185</v>
      </c>
      <c r="F29" s="102">
        <f>IF('ExtCoun-SW'!$E$33&lt;&gt;0,'ExtCoun-SW'!$E$33,"  ")</f>
        <v>148553</v>
      </c>
      <c r="G29" s="102">
        <f>IF('ExtCoun-SW'!$E$40&lt;&gt;0,'ExtCoun-SW'!$E$40,"  ")</f>
        <v>133402</v>
      </c>
      <c r="H29" s="358">
        <f>IF('ExtCoun-SW'!$E$40&lt;&gt;0,ROUND(G29/$F$65*1000,3),"  ")</f>
        <v>1.026</v>
      </c>
    </row>
    <row r="30" spans="1:8" ht="15.75">
      <c r="A30" s="102" t="str">
        <f>IF((inputPrYr!$B30&gt;" "),(inputPrYr!$B30),"  ")</f>
        <v>Solid Waste</v>
      </c>
      <c r="B30" s="102">
        <f>IF('ExtCoun-SW'!$C$73&lt;&gt;0,'ExtCoun-SW'!$C$73,"  ")</f>
        <v>319754</v>
      </c>
      <c r="C30" s="358" t="str">
        <f>IF(inputPrYr!D104&lt;&gt;0,inputPrYr!D104,"  ")</f>
        <v>  </v>
      </c>
      <c r="D30" s="102">
        <f>IF('ExtCoun-SW'!$D$73&lt;&gt;0,'ExtCoun-SW'!$D$73,"  ")</f>
        <v>392570</v>
      </c>
      <c r="E30" s="358" t="str">
        <f>IF(inputPrYr!F30&lt;&gt;0,inputPrYr!F30,"  ")</f>
        <v>  </v>
      </c>
      <c r="F30" s="102">
        <f>IF('ExtCoun-SW'!$E$73&lt;&gt;0,'ExtCoun-SW'!$E$73,"  ")</f>
        <v>393170</v>
      </c>
      <c r="G30" s="102" t="str">
        <f>IF('ExtCoun-SW'!$E$80&lt;&gt;0,'ExtCoun-SW'!$E$80,"  ")</f>
        <v>  </v>
      </c>
      <c r="H30" s="358" t="str">
        <f>IF('ExtCoun-SW'!$E$80&lt;&gt;0,ROUND(G30/$F$65*1000,3),"  ")</f>
        <v>  </v>
      </c>
    </row>
    <row r="31" spans="1:8" ht="15.75">
      <c r="A31" s="102" t="str">
        <f>IF((inputPrYr!$B31&gt;" "),(inputPrYr!$B31),"  ")</f>
        <v>Ambulance</v>
      </c>
      <c r="B31" s="102">
        <f>IF('Amb-MenHealth'!$C$33&lt;&gt;0,'Amb-MenHealth'!$C$33,"  ")</f>
        <v>335296</v>
      </c>
      <c r="C31" s="358">
        <f>IF(inputPrYr!D105&lt;&gt;0,inputPrYr!D105,"  ")</f>
        <v>2.531</v>
      </c>
      <c r="D31" s="102">
        <f>IF('Amb-MenHealth'!$D$33&lt;&gt;0,'Amb-MenHealth'!$D$33,"  ")</f>
        <v>345277</v>
      </c>
      <c r="E31" s="358">
        <f>IF(inputPrYr!F31&lt;&gt;0,inputPrYr!F31,"  ")</f>
        <v>2.511</v>
      </c>
      <c r="F31" s="102">
        <f>IF('Amb-MenHealth'!$E$33&lt;&gt;0,'Amb-MenHealth'!$E$33,"  ")</f>
        <v>357977</v>
      </c>
      <c r="G31" s="102">
        <f>IF('Amb-MenHealth'!$E$40&lt;&gt;0,'Amb-MenHealth'!$E$40,"  ")</f>
        <v>320950</v>
      </c>
      <c r="H31" s="358">
        <f>IF('Amb-MenHealth'!$E$40&lt;&gt;0,ROUND(G31/$F$65*1000,3),"  ")</f>
        <v>2.468</v>
      </c>
    </row>
    <row r="32" spans="1:8" ht="15.75">
      <c r="A32" s="102" t="str">
        <f>IF((inputPrYr!$B32&gt;" "),(inputPrYr!$B32),"  ")</f>
        <v>Men Health Ret Workshop</v>
      </c>
      <c r="B32" s="102">
        <f>IF('Amb-MenHealth'!$C$73&lt;&gt;0,'Amb-MenHealth'!$C$73,"  ")</f>
        <v>55120</v>
      </c>
      <c r="C32" s="358">
        <f>IF(inputPrYr!D106&lt;&gt;0,inputPrYr!D106,"  ")</f>
        <v>0.402</v>
      </c>
      <c r="D32" s="102">
        <f>IF('Amb-MenHealth'!$D$73&lt;&gt;0,'Amb-MenHealth'!$D$73,"  ")</f>
        <v>55655</v>
      </c>
      <c r="E32" s="358">
        <f>IF(inputPrYr!F32&lt;&gt;0,inputPrYr!F32,"  ")</f>
        <v>0.406</v>
      </c>
      <c r="F32" s="102">
        <f>IF('Amb-MenHealth'!$E$73&lt;&gt;0,'Amb-MenHealth'!$E$73,"  ")</f>
        <v>55784</v>
      </c>
      <c r="G32" s="102">
        <f>IF('Amb-MenHealth'!$E$80&lt;&gt;0,'Amb-MenHealth'!$E$80,"  ")</f>
        <v>50574</v>
      </c>
      <c r="H32" s="358">
        <f>IF('Amb-MenHealth'!$E$80&lt;&gt;0,ROUND(G32/$F$65*1000,3),"  ")</f>
        <v>0.389</v>
      </c>
    </row>
    <row r="33" spans="1:8" ht="15.75">
      <c r="A33" s="102" t="str">
        <f>IF((inputPrYr!$B33&gt;" "),(inputPrYr!$B33),"  ")</f>
        <v>Pawnee Mental Health </v>
      </c>
      <c r="B33" s="102">
        <f>IF('Pawnee-EmpBen'!$C$33&lt;&gt;0,'Pawnee-EmpBen'!$C$33,"  ")</f>
        <v>82370</v>
      </c>
      <c r="C33" s="358">
        <f>IF(inputPrYr!D107&lt;&gt;0,inputPrYr!D107,"  ")</f>
        <v>0.607</v>
      </c>
      <c r="D33" s="102">
        <f>IF('Pawnee-EmpBen'!$D$33&lt;&gt;0,'Pawnee-EmpBen'!$D$33,"  ")</f>
        <v>82110</v>
      </c>
      <c r="E33" s="358">
        <f>IF(inputPrYr!F33&lt;&gt;0,inputPrYr!F33,"  ")</f>
        <v>0.596</v>
      </c>
      <c r="F33" s="102">
        <f>IF('Pawnee-EmpBen'!$E$33&lt;&gt;0,'Pawnee-EmpBen'!$E$33,"  ")</f>
        <v>81888</v>
      </c>
      <c r="G33" s="102">
        <f>IF('Pawnee-EmpBen'!$E$40&lt;&gt;0,'Pawnee-EmpBen'!$E$40,"  ")</f>
        <v>74186</v>
      </c>
      <c r="H33" s="358">
        <f>IF('Pawnee-EmpBen'!$E$40&lt;&gt;0,ROUND(G33/$F$65*1000,3),"  ")</f>
        <v>0.57</v>
      </c>
    </row>
    <row r="34" spans="1:8" ht="15.75">
      <c r="A34" s="102" t="str">
        <f>IF((inputPrYr!$B34&gt;" "),(inputPrYr!$B34),"  ")</f>
        <v>Emp Ben (Health Insurance)</v>
      </c>
      <c r="B34" s="102">
        <f>IF('Pawnee-EmpBen'!$C$73&lt;&gt;0,'Pawnee-EmpBen'!$C$73,"  ")</f>
        <v>1053912</v>
      </c>
      <c r="C34" s="358">
        <f>IF(inputPrYr!D108&lt;&gt;0,inputPrYr!D108,"  ")</f>
        <v>8.668</v>
      </c>
      <c r="D34" s="102">
        <f>IF('Pawnee-EmpBen'!$D$73&lt;&gt;0,'Pawnee-EmpBen'!$D$73,"  ")</f>
        <v>1423764</v>
      </c>
      <c r="E34" s="358">
        <f>IF(inputPrYr!F34&lt;&gt;0,inputPrYr!F34,"  ")</f>
        <v>10.33</v>
      </c>
      <c r="F34" s="102">
        <f>IF('Pawnee-EmpBen'!$E$73&lt;&gt;0,'Pawnee-EmpBen'!$E$73,"  ")</f>
        <v>1520459</v>
      </c>
      <c r="G34" s="102">
        <f>IF('Pawnee-EmpBen'!$E$80&lt;&gt;0,'Pawnee-EmpBen'!$E$80,"  ")</f>
        <v>1319414</v>
      </c>
      <c r="H34" s="358">
        <f>IF('Pawnee-EmpBen'!$E$80&lt;&gt;0,ROUND(G34/$F$65*1000,3),"  ")</f>
        <v>10.146</v>
      </c>
    </row>
    <row r="35" spans="1:8" ht="15.75">
      <c r="A35" s="102" t="str">
        <f>IF((inputPrYr!$B35&gt;" "),(inputPrYr!$B35),"  ")</f>
        <v>Unemployment</v>
      </c>
      <c r="B35" s="102">
        <f>IF('Unemp-Liab'!$C$33&lt;&gt;0,'Unemp-Liab'!$C$33,"  ")</f>
        <v>2520</v>
      </c>
      <c r="C35" s="358">
        <f>IF(inputPrYr!D109&lt;&gt;0,inputPrYr!D109,"  ")</f>
        <v>0.016</v>
      </c>
      <c r="D35" s="102">
        <f>IF('Unemp-Liab'!$D$33&lt;&gt;0,'Unemp-Liab'!$D$33,"  ")</f>
        <v>6041</v>
      </c>
      <c r="E35" s="358">
        <f>IF(inputPrYr!F35&lt;&gt;0,inputPrYr!F35,"  ")</f>
        <v>0.018</v>
      </c>
      <c r="F35" s="102">
        <f>IF('Unemp-Liab'!$E$33&lt;&gt;0,'Unemp-Liab'!$E$33,"  ")</f>
        <v>6067</v>
      </c>
      <c r="G35" s="102">
        <f>IF('Unemp-Liab'!$E$40&lt;&gt;0,'Unemp-Liab'!$E$40,"  ")</f>
        <v>4317</v>
      </c>
      <c r="H35" s="358">
        <f>IF('Unemp-Liab'!$E$40&lt;&gt;0,ROUND(G35/$F$65*1000,3),"  ")</f>
        <v>0.033</v>
      </c>
    </row>
    <row r="36" spans="1:8" ht="15.75">
      <c r="A36" s="102" t="str">
        <f>IF((inputPrYr!$B36&gt;" "),(inputPrYr!$B36),"  ")</f>
        <v>Liability </v>
      </c>
      <c r="B36" s="102">
        <f>IF('Unemp-Liab'!$C$73&lt;&gt;0,'Unemp-Liab'!$C$73,"  ")</f>
        <v>62243</v>
      </c>
      <c r="C36" s="358">
        <f>IF(inputPrYr!D110&lt;&gt;0,inputPrYr!D110,"  ")</f>
        <v>0.452</v>
      </c>
      <c r="D36" s="102">
        <f>IF('Unemp-Liab'!$D$73&lt;&gt;0,'Unemp-Liab'!$D$73,"  ")</f>
        <v>81038</v>
      </c>
      <c r="E36" s="358">
        <f>IF(inputPrYr!F36&lt;&gt;0,inputPrYr!F36,"  ")</f>
        <v>0.451</v>
      </c>
      <c r="F36" s="102">
        <f>IF('Unemp-Liab'!$E$73&lt;&gt;0,'Unemp-Liab'!$E$73,"  ")</f>
        <v>75792</v>
      </c>
      <c r="G36" s="102">
        <f>IF('Unemp-Liab'!$E$80&lt;&gt;0,'Unemp-Liab'!$E$80,"  ")</f>
        <v>51086</v>
      </c>
      <c r="H36" s="358">
        <f>IF('Unemp-Liab'!$E$80&lt;&gt;0,ROUND(G36/$F$65*1000,3),"  ")</f>
        <v>0.393</v>
      </c>
    </row>
    <row r="37" spans="1:8" ht="15.75">
      <c r="A37" s="102" t="str">
        <f>IF((inputPrYr!$B37&gt;" "),(inputPrYr!$B37),"  ")</f>
        <v>Employee Retirement</v>
      </c>
      <c r="B37" s="102">
        <f>IF('EmpRet-WorkComp'!C33&lt;&gt;0,'EmpRet-WorkComp'!C33,"  ")</f>
        <v>238910</v>
      </c>
      <c r="C37" s="358">
        <f>IF(inputPrYr!D111&lt;&gt;0,inputPrYr!D111,"  ")</f>
        <v>1.839</v>
      </c>
      <c r="D37" s="102">
        <f>IF('EmpRet-WorkComp'!D33&lt;&gt;0,'EmpRet-WorkComp'!D33,"  ")</f>
        <v>380094</v>
      </c>
      <c r="E37" s="358">
        <f>IF(inputPrYr!F37&lt;&gt;0,inputPrYr!F37,"  ")</f>
        <v>2.214</v>
      </c>
      <c r="F37" s="102">
        <f>IF('EmpRet-WorkComp'!E33&lt;&gt;0,'EmpRet-WorkComp'!E33,"  ")</f>
        <v>378932</v>
      </c>
      <c r="G37" s="102">
        <f>IF('EmpRet-WorkComp'!E40&lt;&gt;0,'EmpRet-WorkComp'!E40,"  ")</f>
        <v>253581</v>
      </c>
      <c r="H37" s="358">
        <f>IF('EmpRet-WorkComp'!E40&lt;&gt;0,ROUND(G37/$F$65*1000,3),"  ")</f>
        <v>1.95</v>
      </c>
    </row>
    <row r="38" spans="1:8" ht="15.75">
      <c r="A38" s="102" t="str">
        <f>IF((inputPrYr!$B38&gt;" "),(inputPrYr!$B38),"  ")</f>
        <v>Workers Compensation</v>
      </c>
      <c r="B38" s="102">
        <f>IF('EmpRet-WorkComp'!C73&lt;&gt;0,'EmpRet-WorkComp'!C73,"  ")</f>
        <v>61051</v>
      </c>
      <c r="C38" s="358">
        <f>IF(inputPrYr!D112&lt;&gt;0,inputPrYr!D112,"  ")</f>
        <v>0.459</v>
      </c>
      <c r="D38" s="102">
        <f>IF('EmpRet-WorkComp'!D73&lt;&gt;0,'EmpRet-WorkComp'!D73,"  ")</f>
        <v>91130</v>
      </c>
      <c r="E38" s="358">
        <f>IF(inputPrYr!F38&lt;&gt;0,inputPrYr!F38,"  ")</f>
        <v>0.491</v>
      </c>
      <c r="F38" s="102">
        <f>IF('EmpRet-WorkComp'!E73&lt;&gt;0,'EmpRet-WorkComp'!E73,"  ")</f>
        <v>80428</v>
      </c>
      <c r="G38" s="102">
        <f>IF('EmpRet-WorkComp'!E80&lt;&gt;0,'EmpRet-WorkComp'!E80,"  ")</f>
        <v>27631</v>
      </c>
      <c r="H38" s="358">
        <f>IF('EmpRet-WorkComp'!E80&lt;&gt;0,ROUND(G38/$F$65*1000,3),"  ")</f>
        <v>0.212</v>
      </c>
    </row>
    <row r="39" spans="1:8" ht="15.75">
      <c r="A39" s="102" t="str">
        <f>IF((inputPrYr!$B39&gt;" "),(inputPrYr!$B39),"  ")</f>
        <v>Social Security</v>
      </c>
      <c r="B39" s="102">
        <f>IF('Social Sec'!$C$33&lt;&gt;0,'Social Sec'!$C$33,"  ")</f>
        <v>208405</v>
      </c>
      <c r="C39" s="358">
        <f>IF(inputPrYr!D113&lt;&gt;0,inputPrYr!D113,"  ")</f>
        <v>1.675</v>
      </c>
      <c r="D39" s="102">
        <f>IF('Social Sec'!$D$33&lt;&gt;0,'Social Sec'!$D$33,"  ")</f>
        <v>278926</v>
      </c>
      <c r="E39" s="358">
        <f>IF(inputPrYr!F39&lt;&gt;0,inputPrYr!F39,"  ")</f>
        <v>1.707</v>
      </c>
      <c r="F39" s="102">
        <f>IF('Social Sec'!$E$33&lt;&gt;0,'Social Sec'!$E$33,"  ")</f>
        <v>288070</v>
      </c>
      <c r="G39" s="102">
        <f>IF('Social Sec'!$E$40&lt;&gt;0,'Social Sec'!$E$40,"  ")</f>
        <v>198006</v>
      </c>
      <c r="H39" s="358">
        <f>IF('Social Sec'!$E$40&lt;&gt;0,ROUND(G39/$F$65*1000,3),"  ")</f>
        <v>1.523</v>
      </c>
    </row>
    <row r="40" spans="1:8" ht="15.75">
      <c r="A40" s="102" t="str">
        <f>IF((inputPrYr!$B40&gt;" "),(inputPrYr!$B40),"  ")</f>
        <v>  </v>
      </c>
      <c r="B40" s="102" t="str">
        <f>IF('Social Sec'!$C$73&lt;&gt;0,'Social Sec'!$C$73,"  ")</f>
        <v>  </v>
      </c>
      <c r="C40" s="358" t="str">
        <f>IF(inputPrYr!D114&lt;&gt;0,inputPrYr!D114,"  ")</f>
        <v>  </v>
      </c>
      <c r="D40" s="102" t="str">
        <f>IF('Social Sec'!$D$73&lt;&gt;0,'Social Sec'!$D$73,"  ")</f>
        <v>  </v>
      </c>
      <c r="E40" s="358" t="str">
        <f>IF(inputPrYr!F40&lt;&gt;0,inputPrYr!F40,"  ")</f>
        <v>  </v>
      </c>
      <c r="F40" s="102" t="str">
        <f>IF('Social Sec'!$E$73&lt;&gt;0,'Social Sec'!$E$73,"  ")</f>
        <v>  </v>
      </c>
      <c r="G40" s="102" t="str">
        <f>IF('Social Sec'!$E$80&lt;&gt;0,'Social Sec'!$E$80,"  ")</f>
        <v>  </v>
      </c>
      <c r="H40" s="358" t="str">
        <f>IF('Social Sec'!$E$80&lt;&gt;0,ROUND(G40/$F$65*1000,3),"  ")</f>
        <v>  </v>
      </c>
    </row>
    <row r="41" spans="1:8" ht="15.75">
      <c r="A41" s="102" t="str">
        <f>IF((inputPrYr!$B43&gt;" "),(inputPrYr!$B43),"  ")</f>
        <v>Special Park &amp; Rec</v>
      </c>
      <c r="B41" s="102" t="str">
        <f>IF('SpecPark-SpecAlch'!$C$29&lt;&gt;0,'SpecPark-SpecAlch'!$C$29,"  ")</f>
        <v>  </v>
      </c>
      <c r="C41" s="83"/>
      <c r="D41" s="102" t="str">
        <f>IF('SpecPark-SpecAlch'!$D$29&lt;&gt;0,'SpecPark-SpecAlch'!$D$29,"  ")</f>
        <v>  </v>
      </c>
      <c r="E41" s="83"/>
      <c r="F41" s="102" t="str">
        <f>IF('SpecPark-SpecAlch'!$E$29&lt;&gt;0,'SpecPark-SpecAlch'!$E$29,"  ")</f>
        <v>  </v>
      </c>
      <c r="G41" s="102"/>
      <c r="H41" s="79"/>
    </row>
    <row r="42" spans="1:8" ht="15.75">
      <c r="A42" s="102" t="str">
        <f>IF((inputPrYr!$B44&gt;" "),(inputPrYr!$B44),"  ")</f>
        <v>Special Alcohol</v>
      </c>
      <c r="B42" s="102">
        <f>IF('SpecPark-SpecAlch'!$C$60&lt;&gt;0,'SpecPark-SpecAlch'!$C$60,"  ")</f>
        <v>400</v>
      </c>
      <c r="C42" s="83"/>
      <c r="D42" s="102" t="str">
        <f>IF('SpecPark-SpecAlch'!$D$60&lt;&gt;0,'SpecPark-SpecAlch'!$D$60,"  ")</f>
        <v>  </v>
      </c>
      <c r="E42" s="83"/>
      <c r="F42" s="102" t="str">
        <f>IF('SpecPark-SpecAlch'!$E$60&lt;&gt;0,'SpecPark-SpecAlch'!$E$60,"  ")</f>
        <v>  </v>
      </c>
      <c r="G42" s="102"/>
      <c r="H42" s="79"/>
    </row>
    <row r="43" spans="1:8" ht="15.75">
      <c r="A43" s="102" t="str">
        <f>IF((inputPrYr!$B45&gt;" "),(inputPrYr!$B45),"  ")</f>
        <v>Aging - KDOT</v>
      </c>
      <c r="B43" s="102">
        <f>IF('AKDOT-AKitch'!$C$29&lt;&gt;0,'AKDOT-AKitch'!$C$29,"  ")</f>
        <v>115951</v>
      </c>
      <c r="C43" s="83"/>
      <c r="D43" s="102" t="str">
        <f>IF('AKDOT-AKitch'!$D$29&lt;&gt;0,'AKDOT-AKitch'!$D$29,"  ")</f>
        <v>  </v>
      </c>
      <c r="E43" s="83"/>
      <c r="F43" s="102" t="str">
        <f>IF('AKDOT-AKitch'!$E$29&lt;&gt;0,'AKDOT-AKitch'!$E$29,"  ")</f>
        <v>  </v>
      </c>
      <c r="G43" s="102"/>
      <c r="H43" s="79"/>
    </row>
    <row r="44" spans="1:8" ht="15.75">
      <c r="A44" s="102" t="str">
        <f>IF((inputPrYr!$B46&gt;" "),(inputPrYr!$B46),"  ")</f>
        <v>Aging - Kitchen Equip</v>
      </c>
      <c r="B44" s="102" t="str">
        <f>IF('AKDOT-AKitch'!$C$60&lt;&gt;0,'AKDOT-AKitch'!$C$60,"  ")</f>
        <v>  </v>
      </c>
      <c r="C44" s="83"/>
      <c r="D44" s="102" t="str">
        <f>IF('AKDOT-AKitch'!$D$60&lt;&gt;0,'AKDOT-AKitch'!$D$60,"  ")</f>
        <v>  </v>
      </c>
      <c r="E44" s="83"/>
      <c r="F44" s="102" t="str">
        <f>IF('AKDOT-AKitch'!$E$60&lt;&gt;0,'AKDOT-AKitch'!$E$60,"  ")</f>
        <v>  </v>
      </c>
      <c r="G44" s="102"/>
      <c r="H44" s="79"/>
    </row>
    <row r="45" spans="1:8" ht="15.75">
      <c r="A45" s="102" t="str">
        <f>IF((inputPrYr!$B47&gt;" "),(inputPrYr!$B47),"  ")</f>
        <v>Health Cap Outlay</v>
      </c>
      <c r="B45" s="102">
        <f>IF('HCO-911Local'!$C$29&lt;&gt;0,'HCO-911Local'!$C$29,"  ")</f>
        <v>19495</v>
      </c>
      <c r="C45" s="83"/>
      <c r="D45" s="102" t="str">
        <f>IF('HCO-911Local'!$D$29&lt;&gt;0,'HCO-911Local'!$D$29,"  ")</f>
        <v>  </v>
      </c>
      <c r="E45" s="83"/>
      <c r="F45" s="102" t="str">
        <f>IF('HCO-911Local'!$E$29&lt;&gt;0,'HCO-911Local'!$E$29,"  ")</f>
        <v>  </v>
      </c>
      <c r="G45" s="102"/>
      <c r="H45" s="79"/>
    </row>
    <row r="46" spans="1:8" ht="15.75">
      <c r="A46" s="102" t="str">
        <f>IF((inputPrYr!$B48&gt;" "),(inputPrYr!$B48),"  ")</f>
        <v>911 Local</v>
      </c>
      <c r="B46" s="102">
        <f>IF('HCO-911Local'!$C$60&lt;&gt;0,'HCO-911Local'!$C$60,"  ")</f>
        <v>44109</v>
      </c>
      <c r="C46" s="83"/>
      <c r="D46" s="102" t="str">
        <f>IF('HCO-911Local'!$D$60&lt;&gt;0,'HCO-911Local'!$D$60,"  ")</f>
        <v>  </v>
      </c>
      <c r="E46" s="83"/>
      <c r="F46" s="102" t="str">
        <f>IF('HCO-911Local'!$E$60&lt;&gt;0,'HCO-911Local'!$E$60,"  ")</f>
        <v>  </v>
      </c>
      <c r="G46" s="102"/>
      <c r="H46" s="79"/>
    </row>
    <row r="47" spans="1:8" ht="15.75">
      <c r="A47" s="102" t="str">
        <f>IF((inputPrYr!$B49&gt;" "),(inputPrYr!$B49),"  ")</f>
        <v>911 Special</v>
      </c>
      <c r="B47" s="102">
        <f>IF('911Spec-EMCO'!$C$29&lt;&gt;0,'911Spec-EMCO'!$C$29,"  ")</f>
        <v>128</v>
      </c>
      <c r="C47" s="83"/>
      <c r="D47" s="102" t="str">
        <f>IF('911Spec-EMCO'!$D$29&lt;&gt;0,'911Spec-EMCO'!$D$29,"  ")</f>
        <v>  </v>
      </c>
      <c r="E47" s="83"/>
      <c r="F47" s="102" t="str">
        <f>IF('911Spec-EMCO'!$E$29&lt;&gt;0,'911Spec-EMCO'!$E$29,"  ")</f>
        <v>  </v>
      </c>
      <c r="G47" s="102"/>
      <c r="H47" s="79"/>
    </row>
    <row r="48" spans="1:8" ht="15.75">
      <c r="A48" s="102" t="str">
        <f>IF((inputPrYr!$B50&gt;" "),(inputPrYr!$B50),"  ")</f>
        <v>EM Capital Outlay</v>
      </c>
      <c r="B48" s="102" t="str">
        <f>IF('911Spec-EMCO'!$C$60&lt;&gt;0,'911Spec-EMCO'!$C$60,"  ")</f>
        <v>  </v>
      </c>
      <c r="C48" s="83"/>
      <c r="D48" s="102" t="str">
        <f>IF('911Spec-EMCO'!$D$60&lt;&gt;0,'911Spec-EMCO'!$D$60,"  ")</f>
        <v>  </v>
      </c>
      <c r="E48" s="83"/>
      <c r="F48" s="102" t="str">
        <f>IF('911Spec-EMCO'!$E$60&lt;&gt;0,'911Spec-EMCO'!$E$60,"  ")</f>
        <v>  </v>
      </c>
      <c r="G48" s="102"/>
      <c r="H48" s="79"/>
    </row>
    <row r="49" spans="1:8" ht="15.75">
      <c r="A49" s="102" t="str">
        <f>IF((inputPrYr!$B51&gt;" "),(inputPrYr!$B51),"  ")</f>
        <v>Title III C</v>
      </c>
      <c r="B49" s="102">
        <f>IF('Title IIIC-Spec Mach'!$C$29&lt;&gt;0,'Title IIIC-Spec Mach'!$C$29,"  ")</f>
        <v>235407</v>
      </c>
      <c r="C49" s="83"/>
      <c r="D49" s="102" t="str">
        <f>IF('Title IIIC-Spec Mach'!$D$29&lt;&gt;0,'Title IIIC-Spec Mach'!$D$29,"  ")</f>
        <v>  </v>
      </c>
      <c r="E49" s="83"/>
      <c r="F49" s="102" t="str">
        <f>IF('Title IIIC-Spec Mach'!$E$29&lt;&gt;0,'Title IIIC-Spec Mach'!$E$29,"  ")</f>
        <v>  </v>
      </c>
      <c r="G49" s="102"/>
      <c r="H49" s="79"/>
    </row>
    <row r="50" spans="1:13" ht="15.75">
      <c r="A50" s="102" t="str">
        <f>IF((inputPrYr!$B52&gt;" "),(inputPrYr!$B52),"  ")</f>
        <v>Special Machinery</v>
      </c>
      <c r="B50" s="102">
        <f>IF('Title IIIC-Spec Mach'!$C$60&lt;&gt;0,'Title IIIC-Spec Mach'!$C$60,"  ")</f>
        <v>459758</v>
      </c>
      <c r="C50" s="83"/>
      <c r="D50" s="102" t="str">
        <f>IF('Title IIIC-Spec Mach'!$D$60&lt;&gt;0,'Title IIIC-Spec Mach'!$D$60,"  ")</f>
        <v>  </v>
      </c>
      <c r="E50" s="83"/>
      <c r="F50" s="102" t="str">
        <f>IF('Title IIIC-Spec Mach'!$E$60&lt;&gt;0,'Title IIIC-Spec Mach'!$E$60,"  ")</f>
        <v>  </v>
      </c>
      <c r="G50" s="102"/>
      <c r="H50" s="79"/>
      <c r="J50" s="845" t="str">
        <f>CONCATENATE("Estimated Value Of One Mill For ",H1,"")</f>
        <v>Estimated Value Of One Mill For 2015</v>
      </c>
      <c r="K50" s="851"/>
      <c r="L50" s="851"/>
      <c r="M50" s="852"/>
    </row>
    <row r="51" spans="1:13" ht="15.75">
      <c r="A51" s="102" t="str">
        <f>IF((inputPrYr!$B53&gt;" "),(inputPrYr!$B53),"  ")</f>
        <v>Motor Vehicle Operating</v>
      </c>
      <c r="B51" s="102">
        <f>IF('MotorVeh-ElecRes'!$C$29&lt;&gt;0,'MotorVeh-ElecRes'!$C$29,"  ")</f>
        <v>130473</v>
      </c>
      <c r="C51" s="83"/>
      <c r="D51" s="102" t="str">
        <f>IF('MotorVeh-ElecRes'!$D$29&lt;&gt;0,'MotorVeh-ElecRes'!$D$29,"  ")</f>
        <v>  </v>
      </c>
      <c r="E51" s="83"/>
      <c r="F51" s="102" t="str">
        <f>IF('MotorVeh-ElecRes'!$E$29&lt;&gt;0,'MotorVeh-ElecRes'!$E$29,"  ")</f>
        <v>  </v>
      </c>
      <c r="G51" s="102"/>
      <c r="H51" s="79"/>
      <c r="J51" s="483"/>
      <c r="K51" s="484"/>
      <c r="L51" s="484"/>
      <c r="M51" s="485"/>
    </row>
    <row r="52" spans="1:13" ht="15.75">
      <c r="A52" s="102" t="str">
        <f>IF((inputPrYr!$B54&gt;" "),(inputPrYr!$B54),"  ")</f>
        <v>Election Equipment Reserve</v>
      </c>
      <c r="B52" s="102">
        <f>IF('MotorVeh-ElecRes'!$C$60&lt;&gt;0,'MotorVeh-ElecRes'!$C$60,"  ")</f>
        <v>4840</v>
      </c>
      <c r="C52" s="83"/>
      <c r="D52" s="102" t="str">
        <f>IF('MotorVeh-ElecRes'!$D$60&lt;&gt;0,'MotorVeh-ElecRes'!$D$60,"  ")</f>
        <v>  </v>
      </c>
      <c r="E52" s="83"/>
      <c r="F52" s="102" t="str">
        <f>IF('MotorVeh-ElecRes'!$E$60&lt;&gt;0,'MotorVeh-ElecRes'!$E$60,"  ")</f>
        <v>  </v>
      </c>
      <c r="G52" s="102"/>
      <c r="H52" s="79"/>
      <c r="J52" s="486" t="s">
        <v>662</v>
      </c>
      <c r="K52" s="487"/>
      <c r="L52" s="487"/>
      <c r="M52" s="488">
        <f>ROUND(F65/1000,0)</f>
        <v>130046</v>
      </c>
    </row>
    <row r="53" spans="1:8" ht="15.75">
      <c r="A53" s="102" t="str">
        <f>IF((inputPrYr!$B55&gt;" "),(inputPrYr!$B55),"  ")</f>
        <v>Nox Weed Capital Outlay</v>
      </c>
      <c r="B53" s="102" t="str">
        <f>IF('NoxWeedCO-ApprCO'!$C$29&lt;&gt;0,'NoxWeedCO-ApprCO'!$C$29,"  ")</f>
        <v>  </v>
      </c>
      <c r="C53" s="83"/>
      <c r="D53" s="102" t="str">
        <f>IF('NoxWeedCO-ApprCO'!$D$29&lt;&gt;0,'NoxWeedCO-ApprCO'!$D$29,"  ")</f>
        <v>  </v>
      </c>
      <c r="E53" s="83"/>
      <c r="F53" s="102" t="str">
        <f>IF('NoxWeedCO-ApprCO'!$E$29&lt;&gt;0,'NoxWeedCO-ApprCO'!$E$29,"  ")</f>
        <v>  </v>
      </c>
      <c r="G53" s="102"/>
      <c r="H53" s="79"/>
    </row>
    <row r="54" spans="1:13" ht="15.75">
      <c r="A54" s="102" t="str">
        <f>IF((inputPrYr!$B56&gt;" "),(inputPrYr!$B56),"  ")</f>
        <v>Appraiser Capital Outlay</v>
      </c>
      <c r="B54" s="102" t="str">
        <f>IF('NoxWeedCO-ApprCO'!$C$60&lt;&gt;0,'NoxWeedCO-ApprCO'!$C$60,"  ")</f>
        <v>  </v>
      </c>
      <c r="C54" s="83"/>
      <c r="D54" s="102" t="str">
        <f>IF('NoxWeedCO-ApprCO'!$D$60&lt;&gt;0,'NoxWeedCO-ApprCO'!$D$60,"  ")</f>
        <v>  </v>
      </c>
      <c r="E54" s="83"/>
      <c r="F54" s="102" t="str">
        <f>IF('NoxWeedCO-ApprCO'!$E$60&lt;&gt;0,'NoxWeedCO-ApprCO'!$E$60,"  ")</f>
        <v>  </v>
      </c>
      <c r="G54" s="102"/>
      <c r="H54" s="79"/>
      <c r="J54" s="845" t="str">
        <f>CONCATENATE("Want The Mill Rate The Same As For ",H1-1,"?")</f>
        <v>Want The Mill Rate The Same As For 2014?</v>
      </c>
      <c r="K54" s="851"/>
      <c r="L54" s="851"/>
      <c r="M54" s="852"/>
    </row>
    <row r="55" spans="1:13" ht="15.75">
      <c r="A55" s="102" t="str">
        <f>IF((inputPrYr!$B57&gt;" "),(inputPrYr!$B57),"  ")</f>
        <v>Health Dept Building </v>
      </c>
      <c r="B55" s="102">
        <f>IF('HealthBldg-Machinery'!$C$29&lt;&gt;0,'HealthBldg-Machinery'!$C$29,"  ")</f>
        <v>9580</v>
      </c>
      <c r="C55" s="83"/>
      <c r="D55" s="102" t="str">
        <f>IF('HealthBldg-Machinery'!$D$29&lt;&gt;0,'HealthBldg-Machinery'!$D$29,"  ")</f>
        <v>  </v>
      </c>
      <c r="E55" s="83"/>
      <c r="F55" s="102" t="str">
        <f>IF('HealthBldg-Machinery'!$E$29&lt;&gt;0,'HealthBldg-Machinery'!$E$29,"  ")</f>
        <v>  </v>
      </c>
      <c r="G55" s="102"/>
      <c r="H55" s="79"/>
      <c r="J55" s="490"/>
      <c r="K55" s="484"/>
      <c r="L55" s="484"/>
      <c r="M55" s="491"/>
    </row>
    <row r="56" spans="1:13" ht="15.75">
      <c r="A56" s="102" t="str">
        <f>IF((inputPrYr!$B58&gt;" "),(inputPrYr!$B58),"  ")</f>
        <v>Road &amp; Bridge Machinery</v>
      </c>
      <c r="B56" s="102" t="str">
        <f>IF('HealthBldg-Machinery'!$C$60&lt;&gt;0,'HealthBldg-Machinery'!$C$60,"  ")</f>
        <v>  </v>
      </c>
      <c r="C56" s="83"/>
      <c r="D56" s="102" t="str">
        <f>IF('HealthBldg-Machinery'!$D$60&lt;&gt;0,'HealthBldg-Machinery'!$D$60,"  ")</f>
        <v>  </v>
      </c>
      <c r="E56" s="83"/>
      <c r="F56" s="102" t="str">
        <f>IF('HealthBldg-Machinery'!$E$60&lt;&gt;0,'HealthBldg-Machinery'!$E$60,"  ")</f>
        <v>  </v>
      </c>
      <c r="G56" s="102"/>
      <c r="H56" s="79"/>
      <c r="J56" s="490" t="str">
        <f>CONCATENATE("",H1-1," Mill Rate Was:")</f>
        <v>2014 Mill Rate Was:</v>
      </c>
      <c r="K56" s="484"/>
      <c r="L56" s="484"/>
      <c r="M56" s="492">
        <f>E61</f>
        <v>51.56499999999999</v>
      </c>
    </row>
    <row r="57" spans="1:13" ht="15.75">
      <c r="A57" s="166" t="str">
        <f>IF((inputPrYr!$B62&gt;"  "),(nonbudA!$A3),"  ")</f>
        <v>Non-Budgeted Funds-A</v>
      </c>
      <c r="B57" s="102">
        <f>IF(nonbudA!$K$28&lt;&gt;0,nonbudA!$K$28,"  ")</f>
        <v>39419</v>
      </c>
      <c r="C57" s="83"/>
      <c r="D57" s="102"/>
      <c r="E57" s="83"/>
      <c r="F57" s="102"/>
      <c r="G57" s="102"/>
      <c r="H57" s="79"/>
      <c r="J57" s="493" t="str">
        <f>CONCATENATE("",H1," Tax Levy Fund Expenditures Must Be")</f>
        <v>2015 Tax Levy Fund Expenditures Must Be</v>
      </c>
      <c r="K57" s="494"/>
      <c r="L57" s="494"/>
      <c r="M57" s="491"/>
    </row>
    <row r="58" spans="1:13" ht="15.75">
      <c r="A58" s="166" t="str">
        <f>IF((inputPrYr!$B68&gt;"  "),(nonbudB!$A3),"  ")</f>
        <v>Non-Budgeted Funds-B</v>
      </c>
      <c r="B58" s="102">
        <f>IF(nonbudB!$K$28&lt;&gt;0,nonbudB!$K$28,"  ")</f>
        <v>59429</v>
      </c>
      <c r="C58" s="83"/>
      <c r="D58" s="102"/>
      <c r="E58" s="83"/>
      <c r="F58" s="102"/>
      <c r="G58" s="102"/>
      <c r="H58" s="79"/>
      <c r="J58" s="493">
        <f>IF(M58&gt;0,"Increased By:","")</f>
      </c>
      <c r="K58" s="494"/>
      <c r="L58" s="494"/>
      <c r="M58" s="581">
        <f>IF(M65&lt;0,M65*-1,0)</f>
        <v>0</v>
      </c>
    </row>
    <row r="59" spans="1:13" ht="15.75">
      <c r="A59" s="166" t="str">
        <f>IF((inputPrYr!$B74&gt;"  "),(nonbudC!$A3),"  ")</f>
        <v>Non-Budgeted Funds-C</v>
      </c>
      <c r="B59" s="102">
        <f>IF(nonbudC!$K$28&lt;&gt;0,nonbudC!$K$28,"  ")</f>
        <v>110103</v>
      </c>
      <c r="C59" s="83"/>
      <c r="D59" s="102"/>
      <c r="E59" s="83"/>
      <c r="F59" s="102"/>
      <c r="G59" s="102"/>
      <c r="H59" s="79"/>
      <c r="J59" s="582" t="str">
        <f>IF(M59&lt;0,"Reduced By:","")</f>
        <v>Reduced By:</v>
      </c>
      <c r="K59" s="583"/>
      <c r="L59" s="583"/>
      <c r="M59" s="584">
        <f>IF(M65&gt;0,M65*-1,0)</f>
        <v>-54962</v>
      </c>
    </row>
    <row r="60" spans="1:13" ht="16.5" thickBot="1">
      <c r="A60" s="166" t="str">
        <f>IF((inputPrYr!$B80&gt;"  "),(nonbudD!$A3),"  ")</f>
        <v>Non-Budgeted Funds-D</v>
      </c>
      <c r="B60" s="472">
        <f>IF(nonbudD!$K$28&lt;&gt;0,nonbudD!$K$28,"  ")</f>
        <v>9901</v>
      </c>
      <c r="C60" s="471"/>
      <c r="D60" s="472"/>
      <c r="E60" s="471"/>
      <c r="F60" s="472"/>
      <c r="G60" s="472"/>
      <c r="H60" s="470"/>
      <c r="J60" s="497"/>
      <c r="K60" s="497"/>
      <c r="L60" s="497"/>
      <c r="M60" s="497"/>
    </row>
    <row r="61" spans="1:13" ht="15.75">
      <c r="A61" s="78" t="s">
        <v>155</v>
      </c>
      <c r="B61" s="475">
        <f>SUM(B16:B60)</f>
        <v>9552325</v>
      </c>
      <c r="C61" s="473">
        <f>SUM(C16:C40)</f>
        <v>51.98499999999999</v>
      </c>
      <c r="D61" s="475">
        <f>SUM(D16:D60)</f>
        <v>9942685</v>
      </c>
      <c r="E61" s="473">
        <f>SUM(E16:E40)</f>
        <v>51.56499999999999</v>
      </c>
      <c r="F61" s="475">
        <f>SUM(F16:F60)</f>
        <v>10302148</v>
      </c>
      <c r="G61" s="475">
        <f>SUM(G16:G40)</f>
        <v>6760802</v>
      </c>
      <c r="H61" s="473">
        <f>SUM(H16:H40)</f>
        <v>51.98700000000003</v>
      </c>
      <c r="J61" s="845" t="str">
        <f>CONCATENATE("Impact On Keeping The Same Mill Rate As For ",H1-1,"")</f>
        <v>Impact On Keeping The Same Mill Rate As For 2014</v>
      </c>
      <c r="K61" s="846"/>
      <c r="L61" s="846"/>
      <c r="M61" s="847"/>
    </row>
    <row r="62" spans="1:13" ht="15.75">
      <c r="A62" s="61" t="s">
        <v>197</v>
      </c>
      <c r="B62" s="359">
        <f>transfers!C29</f>
        <v>295000</v>
      </c>
      <c r="C62" s="360"/>
      <c r="D62" s="359">
        <f>transfers!D29</f>
        <v>0</v>
      </c>
      <c r="E62" s="302"/>
      <c r="F62" s="359">
        <f>transfers!E29</f>
        <v>0</v>
      </c>
      <c r="G62" s="62"/>
      <c r="H62" s="100"/>
      <c r="J62" s="490"/>
      <c r="K62" s="484"/>
      <c r="L62" s="484"/>
      <c r="M62" s="491"/>
    </row>
    <row r="63" spans="1:13" ht="16.5" thickBot="1">
      <c r="A63" s="61" t="s">
        <v>198</v>
      </c>
      <c r="B63" s="362">
        <f>B61-B62</f>
        <v>9257325</v>
      </c>
      <c r="C63" s="62"/>
      <c r="D63" s="362">
        <f>D61-D62</f>
        <v>9942685</v>
      </c>
      <c r="E63" s="360"/>
      <c r="F63" s="362">
        <f>F61-F62</f>
        <v>10302148</v>
      </c>
      <c r="G63" s="62"/>
      <c r="H63" s="100"/>
      <c r="J63" s="490" t="str">
        <f>CONCATENATE("",H1," Ad Valorem Tax Revenue:")</f>
        <v>2015 Ad Valorem Tax Revenue:</v>
      </c>
      <c r="K63" s="484"/>
      <c r="L63" s="484"/>
      <c r="M63" s="485">
        <f>G61</f>
        <v>6760802</v>
      </c>
    </row>
    <row r="64" spans="1:13" ht="16.5" thickTop="1">
      <c r="A64" s="61" t="s">
        <v>199</v>
      </c>
      <c r="B64" s="475">
        <f>inputPrYr!F117</f>
        <v>6356507</v>
      </c>
      <c r="C64" s="62"/>
      <c r="D64" s="475">
        <f>inputPrYr!E41</f>
        <v>6378528</v>
      </c>
      <c r="E64" s="62"/>
      <c r="F64" s="474" t="s">
        <v>65</v>
      </c>
      <c r="G64" s="62"/>
      <c r="H64" s="100"/>
      <c r="J64" s="490" t="str">
        <f>CONCATENATE("",H1-1," Ad Valorem Tax Revenue:")</f>
        <v>2014 Ad Valorem Tax Revenue:</v>
      </c>
      <c r="K64" s="484"/>
      <c r="L64" s="484"/>
      <c r="M64" s="498">
        <f>ROUND(F65*M56/1000,0)</f>
        <v>6705840</v>
      </c>
    </row>
    <row r="65" spans="1:13" ht="15.75">
      <c r="A65" s="61" t="s">
        <v>200</v>
      </c>
      <c r="B65" s="102">
        <f>inputPrYr!F118</f>
        <v>122278372</v>
      </c>
      <c r="C65" s="62"/>
      <c r="D65" s="102">
        <f>inputPrYr!F85</f>
        <v>123702182</v>
      </c>
      <c r="E65" s="62"/>
      <c r="F65" s="102">
        <f>inputOth!E6</f>
        <v>130046357</v>
      </c>
      <c r="G65" s="62"/>
      <c r="H65" s="100"/>
      <c r="J65" s="495" t="s">
        <v>663</v>
      </c>
      <c r="K65" s="496"/>
      <c r="L65" s="496"/>
      <c r="M65" s="488">
        <f>SUM(M63-M64)</f>
        <v>54962</v>
      </c>
    </row>
    <row r="66" spans="1:13" ht="15.75">
      <c r="A66" s="62"/>
      <c r="B66" s="62"/>
      <c r="C66" s="62"/>
      <c r="D66" s="62"/>
      <c r="E66" s="62"/>
      <c r="F66" s="62"/>
      <c r="G66" s="62"/>
      <c r="H66" s="100"/>
      <c r="J66" s="489"/>
      <c r="K66" s="489"/>
      <c r="L66" s="489"/>
      <c r="M66" s="497"/>
    </row>
    <row r="67" spans="1:13" ht="15.75">
      <c r="A67" s="61" t="s">
        <v>201</v>
      </c>
      <c r="B67" s="62"/>
      <c r="C67" s="62"/>
      <c r="D67" s="62"/>
      <c r="E67" s="62"/>
      <c r="F67" s="62"/>
      <c r="G67" s="62"/>
      <c r="H67" s="112"/>
      <c r="J67" s="845" t="s">
        <v>664</v>
      </c>
      <c r="K67" s="848"/>
      <c r="L67" s="848"/>
      <c r="M67" s="849"/>
    </row>
    <row r="68" spans="1:13" ht="15.75">
      <c r="A68" s="61" t="s">
        <v>202</v>
      </c>
      <c r="B68" s="361">
        <f>H1-3</f>
        <v>2012</v>
      </c>
      <c r="C68" s="62"/>
      <c r="D68" s="361">
        <f>H1-2</f>
        <v>2013</v>
      </c>
      <c r="E68" s="62"/>
      <c r="F68" s="361">
        <f>H1-1</f>
        <v>2014</v>
      </c>
      <c r="G68" s="62"/>
      <c r="H68" s="112"/>
      <c r="J68" s="490"/>
      <c r="K68" s="484"/>
      <c r="L68" s="484"/>
      <c r="M68" s="491"/>
    </row>
    <row r="69" spans="1:13" ht="15.75">
      <c r="A69" s="61" t="s">
        <v>203</v>
      </c>
      <c r="B69" s="102">
        <f>inputPrYr!D122</f>
        <v>283365</v>
      </c>
      <c r="C69" s="62"/>
      <c r="D69" s="102">
        <f>inputPrYr!E122</f>
        <v>250000</v>
      </c>
      <c r="E69" s="62"/>
      <c r="F69" s="102">
        <f>debt!G19</f>
        <v>242000</v>
      </c>
      <c r="G69" s="62"/>
      <c r="H69" s="112"/>
      <c r="J69" s="490" t="str">
        <f>CONCATENATE("Current ",H1," Estimated Mill Rate:")</f>
        <v>Current 2015 Estimated Mill Rate:</v>
      </c>
      <c r="K69" s="484"/>
      <c r="L69" s="484"/>
      <c r="M69" s="492">
        <f>H61</f>
        <v>51.98700000000003</v>
      </c>
    </row>
    <row r="70" spans="1:13" ht="15.75">
      <c r="A70" s="61" t="s">
        <v>204</v>
      </c>
      <c r="B70" s="102">
        <f>inputPrYr!D123</f>
        <v>0</v>
      </c>
      <c r="C70" s="62"/>
      <c r="D70" s="102">
        <f>inputPrYr!E123</f>
        <v>0</v>
      </c>
      <c r="E70" s="62"/>
      <c r="F70" s="102">
        <f>debt!G27</f>
        <v>0</v>
      </c>
      <c r="G70" s="62"/>
      <c r="H70" s="112"/>
      <c r="J70" s="490" t="str">
        <f>CONCATENATE("Desired ",H1," Mill Rate:")</f>
        <v>Desired 2015 Mill Rate:</v>
      </c>
      <c r="K70" s="484"/>
      <c r="L70" s="484"/>
      <c r="M70" s="499">
        <v>51.565</v>
      </c>
    </row>
    <row r="71" spans="1:13" ht="15.75">
      <c r="A71" s="61" t="s">
        <v>191</v>
      </c>
      <c r="B71" s="102">
        <f>inputPrYr!D124</f>
        <v>0</v>
      </c>
      <c r="C71" s="62"/>
      <c r="D71" s="102">
        <f>inputPrYr!E124</f>
        <v>0</v>
      </c>
      <c r="E71" s="62"/>
      <c r="F71" s="102">
        <f>debt!G36</f>
        <v>0</v>
      </c>
      <c r="G71" s="62"/>
      <c r="H71" s="112"/>
      <c r="J71" s="490" t="str">
        <f>CONCATENATE("",H1," Ad Valorem Tax:")</f>
        <v>2015 Ad Valorem Tax:</v>
      </c>
      <c r="K71" s="484"/>
      <c r="L71" s="484"/>
      <c r="M71" s="498">
        <f>ROUND(F65*M70/1000,0)</f>
        <v>6705840</v>
      </c>
    </row>
    <row r="72" spans="1:13" ht="15.75">
      <c r="A72" s="61" t="s">
        <v>281</v>
      </c>
      <c r="B72" s="102">
        <f>inputPrYr!D125</f>
        <v>77424</v>
      </c>
      <c r="C72" s="62"/>
      <c r="D72" s="102">
        <f>inputPrYr!E125</f>
        <v>102986</v>
      </c>
      <c r="E72" s="62"/>
      <c r="F72" s="102">
        <f>lpform!G37</f>
        <v>88097</v>
      </c>
      <c r="G72" s="62"/>
      <c r="H72" s="112"/>
      <c r="J72" s="495" t="str">
        <f>CONCATENATE("",H1," Tax Levy Fund Exp. Changed By:")</f>
        <v>2015 Tax Levy Fund Exp. Changed By:</v>
      </c>
      <c r="K72" s="496"/>
      <c r="L72" s="496"/>
      <c r="M72" s="488">
        <f>IF(M70=0,0,(M71-G61))</f>
        <v>-54962</v>
      </c>
    </row>
    <row r="73" spans="1:8" ht="16.5" thickBot="1">
      <c r="A73" s="61" t="s">
        <v>205</v>
      </c>
      <c r="B73" s="500">
        <f>SUM(B69:B72)</f>
        <v>360789</v>
      </c>
      <c r="C73" s="62"/>
      <c r="D73" s="500">
        <f>SUM(D69:D72)</f>
        <v>352986</v>
      </c>
      <c r="E73" s="62"/>
      <c r="F73" s="500">
        <f>SUM(F69:F72)</f>
        <v>330097</v>
      </c>
      <c r="G73" s="62"/>
      <c r="H73" s="112"/>
    </row>
    <row r="74" spans="1:8" ht="16.5" thickTop="1">
      <c r="A74" s="61" t="s">
        <v>206</v>
      </c>
      <c r="B74" s="62"/>
      <c r="C74" s="62"/>
      <c r="D74" s="62"/>
      <c r="E74" s="62"/>
      <c r="F74" s="62"/>
      <c r="G74" s="62"/>
      <c r="H74" s="112"/>
    </row>
    <row r="75" spans="1:8" ht="15.75">
      <c r="A75" s="62"/>
      <c r="B75" s="62"/>
      <c r="C75" s="62"/>
      <c r="D75" s="62"/>
      <c r="E75" s="62"/>
      <c r="F75" s="62"/>
      <c r="G75" s="62"/>
      <c r="H75" s="112"/>
    </row>
    <row r="76" spans="1:8" ht="15.75">
      <c r="A76" s="850" t="str">
        <f>inputBudSum!B3</f>
        <v>Sonya L. Stohs</v>
      </c>
      <c r="B76" s="850"/>
      <c r="C76" s="62"/>
      <c r="D76" s="62"/>
      <c r="E76" s="62"/>
      <c r="F76" s="62"/>
      <c r="G76" s="62"/>
      <c r="H76" s="112"/>
    </row>
    <row r="77" spans="1:8" ht="15.75">
      <c r="A77" s="184" t="s">
        <v>207</v>
      </c>
      <c r="B77" s="68"/>
      <c r="C77" s="62"/>
      <c r="D77" s="62"/>
      <c r="E77" s="62"/>
      <c r="F77" s="62"/>
      <c r="G77" s="62"/>
      <c r="H77" s="112"/>
    </row>
    <row r="78" spans="1:8" ht="15.75">
      <c r="A78" s="62"/>
      <c r="B78" s="62"/>
      <c r="C78" s="62"/>
      <c r="D78" s="256" t="s">
        <v>168</v>
      </c>
      <c r="E78" s="363">
        <v>33</v>
      </c>
      <c r="F78" s="62"/>
      <c r="G78" s="62"/>
      <c r="H78" s="112"/>
    </row>
    <row r="79" spans="1:8" ht="15.75">
      <c r="A79" s="118"/>
      <c r="D79" s="118"/>
      <c r="E79" s="118"/>
      <c r="F79" s="118"/>
      <c r="G79" s="118"/>
      <c r="H79" s="118"/>
    </row>
  </sheetData>
  <sheetProtection/>
  <mergeCells count="14">
    <mergeCell ref="J61:M61"/>
    <mergeCell ref="J67:M67"/>
    <mergeCell ref="A76:B76"/>
    <mergeCell ref="G14:G15"/>
    <mergeCell ref="J50:M50"/>
    <mergeCell ref="J54:M54"/>
    <mergeCell ref="A2:H2"/>
    <mergeCell ref="A4:H4"/>
    <mergeCell ref="A5:H5"/>
    <mergeCell ref="A6:H6"/>
    <mergeCell ref="A10:H10"/>
    <mergeCell ref="A11:H11"/>
    <mergeCell ref="A7:H7"/>
    <mergeCell ref="A8:H8"/>
  </mergeCells>
  <printOptions/>
  <pageMargins left="1.12" right="0.5" top="0.74" bottom="0.34" header="0.5" footer="0"/>
  <pageSetup blackAndWhite="1" fitToHeight="1" fitToWidth="1" horizontalDpi="600" verticalDpi="600" orientation="portrait" scale="58" r:id="rId1"/>
  <headerFooter alignWithMargins="0">
    <oddHeader>&amp;RState of Kansas
County
</oddHeader>
  </headerFooter>
</worksheet>
</file>

<file path=xl/worksheets/sheet43.xml><?xml version="1.0" encoding="utf-8"?>
<worksheet xmlns="http://schemas.openxmlformats.org/spreadsheetml/2006/main" xmlns:r="http://schemas.openxmlformats.org/officeDocument/2006/relationships">
  <sheetPr>
    <pageSetUpPr fitToPage="1"/>
  </sheetPr>
  <dimension ref="A1:J57"/>
  <sheetViews>
    <sheetView zoomScale="75" zoomScaleNormal="75" zoomScalePageLayoutView="0" workbookViewId="0" topLeftCell="A25">
      <selection activeCell="E42" sqref="E42"/>
    </sheetView>
  </sheetViews>
  <sheetFormatPr defaultColWidth="8.796875" defaultRowHeight="15"/>
  <cols>
    <col min="1" max="1" width="21.8984375" style="2" customWidth="1"/>
    <col min="2" max="2" width="12.796875" style="2" customWidth="1"/>
    <col min="3" max="3" width="10.296875" style="2" customWidth="1"/>
    <col min="4" max="4" width="12.8984375" style="2" customWidth="1"/>
    <col min="5" max="5" width="10.19921875" style="2" customWidth="1"/>
    <col min="6" max="6" width="15" style="2" customWidth="1"/>
    <col min="7" max="7" width="12.796875" style="2" customWidth="1"/>
    <col min="8" max="8" width="15.296875" style="2" customWidth="1"/>
    <col min="9" max="9" width="9.796875" style="2" customWidth="1"/>
    <col min="10" max="16384" width="8.8984375" style="2" customWidth="1"/>
  </cols>
  <sheetData>
    <row r="1" spans="1:9" ht="15.75">
      <c r="A1" s="26" t="str">
        <f>inputPrYr!C2</f>
        <v>Marshall County</v>
      </c>
      <c r="B1" s="13"/>
      <c r="C1" s="13"/>
      <c r="D1" s="13"/>
      <c r="E1" s="13"/>
      <c r="F1" s="13"/>
      <c r="G1" s="13"/>
      <c r="H1" s="13"/>
      <c r="I1" s="35">
        <f>inputPrYr!C4</f>
        <v>2015</v>
      </c>
    </row>
    <row r="2" spans="1:9" ht="15.75">
      <c r="A2" s="13"/>
      <c r="B2" s="13"/>
      <c r="C2" s="13"/>
      <c r="D2" s="13"/>
      <c r="E2" s="13"/>
      <c r="F2" s="13"/>
      <c r="G2" s="13"/>
      <c r="H2" s="13"/>
      <c r="I2" s="12"/>
    </row>
    <row r="3" spans="1:10" ht="15.75">
      <c r="A3" s="31" t="s">
        <v>233</v>
      </c>
      <c r="B3" s="16"/>
      <c r="C3" s="16"/>
      <c r="D3" s="16"/>
      <c r="E3" s="16"/>
      <c r="F3" s="16"/>
      <c r="G3" s="16"/>
      <c r="H3" s="16"/>
      <c r="I3" s="30"/>
      <c r="J3" s="3"/>
    </row>
    <row r="4" spans="1:9" ht="15.75">
      <c r="A4" s="13"/>
      <c r="B4" s="17"/>
      <c r="C4" s="17"/>
      <c r="D4" s="17"/>
      <c r="E4" s="17"/>
      <c r="F4" s="17"/>
      <c r="G4" s="17"/>
      <c r="H4" s="17"/>
      <c r="I4" s="17"/>
    </row>
    <row r="5" spans="1:9" ht="15.75">
      <c r="A5" s="13"/>
      <c r="B5" s="32" t="str">
        <f>CONCATENATE("Prior Year Actual for ",I1-2,"")</f>
        <v>Prior Year Actual for 2013</v>
      </c>
      <c r="C5" s="20"/>
      <c r="D5" s="33" t="str">
        <f>CONCATENATE("Current Year Estimate for ",I1-1,"")</f>
        <v>Current Year Estimate for 2014</v>
      </c>
      <c r="E5" s="20"/>
      <c r="F5" s="18" t="str">
        <f>CONCATENATE("Proposed Budget Year for ",I1,"")</f>
        <v>Proposed Budget Year for 2015</v>
      </c>
      <c r="G5" s="19"/>
      <c r="H5" s="19"/>
      <c r="I5" s="20"/>
    </row>
    <row r="6" spans="1:9" ht="21" customHeight="1">
      <c r="A6" s="14" t="s">
        <v>10</v>
      </c>
      <c r="B6" s="21"/>
      <c r="C6" s="21" t="s">
        <v>193</v>
      </c>
      <c r="D6" s="21"/>
      <c r="E6" s="21" t="s">
        <v>193</v>
      </c>
      <c r="F6" s="477" t="s">
        <v>645</v>
      </c>
      <c r="G6" s="812" t="str">
        <f>CONCATENATE("Amount of ",I1-1,"    Ad Valorem Tax")</f>
        <v>Amount of 2014    Ad Valorem Tax</v>
      </c>
      <c r="H6" s="812" t="str">
        <f>CONCATENATE("July 1, ",I1-1," Estimated Valuation")</f>
        <v>July 1, 2014 Estimated Valuation</v>
      </c>
      <c r="I6" s="21" t="s">
        <v>194</v>
      </c>
    </row>
    <row r="7" spans="1:9" ht="15.75">
      <c r="A7" s="22" t="s">
        <v>11</v>
      </c>
      <c r="B7" s="28" t="s">
        <v>138</v>
      </c>
      <c r="C7" s="28" t="s">
        <v>196</v>
      </c>
      <c r="D7" s="28" t="s">
        <v>138</v>
      </c>
      <c r="E7" s="28" t="s">
        <v>196</v>
      </c>
      <c r="F7" s="478" t="s">
        <v>646</v>
      </c>
      <c r="G7" s="813"/>
      <c r="H7" s="813"/>
      <c r="I7" s="28" t="s">
        <v>196</v>
      </c>
    </row>
    <row r="8" spans="1:9" ht="15.75">
      <c r="A8" s="8"/>
      <c r="B8" s="8"/>
      <c r="C8" s="10"/>
      <c r="D8" s="8"/>
      <c r="E8" s="10"/>
      <c r="F8" s="8"/>
      <c r="G8" s="8"/>
      <c r="H8" s="8"/>
      <c r="I8" s="38" t="str">
        <f aca="true" t="shared" si="0" ref="I8:I36">IF(H8&lt;&gt;0,ROUND(G8/H8*1000,3)," ")</f>
        <v> </v>
      </c>
    </row>
    <row r="9" spans="1:9" ht="15.75">
      <c r="A9" s="8"/>
      <c r="B9" s="8"/>
      <c r="C9" s="10"/>
      <c r="D9" s="8"/>
      <c r="E9" s="10"/>
      <c r="F9" s="8"/>
      <c r="G9" s="8"/>
      <c r="H9" s="8"/>
      <c r="I9" s="38" t="str">
        <f t="shared" si="0"/>
        <v> </v>
      </c>
    </row>
    <row r="10" spans="1:9" ht="15.75">
      <c r="A10" s="8"/>
      <c r="B10" s="8"/>
      <c r="C10" s="10"/>
      <c r="D10" s="8"/>
      <c r="E10" s="10"/>
      <c r="F10" s="8"/>
      <c r="G10" s="8"/>
      <c r="H10" s="8"/>
      <c r="I10" s="38" t="str">
        <f t="shared" si="0"/>
        <v> </v>
      </c>
    </row>
    <row r="11" spans="1:9" ht="15.75">
      <c r="A11" s="8"/>
      <c r="B11" s="8"/>
      <c r="C11" s="10"/>
      <c r="D11" s="8"/>
      <c r="E11" s="10"/>
      <c r="F11" s="8"/>
      <c r="G11" s="8"/>
      <c r="H11" s="8"/>
      <c r="I11" s="38" t="str">
        <f t="shared" si="0"/>
        <v> </v>
      </c>
    </row>
    <row r="12" spans="1:9" ht="15.75">
      <c r="A12" s="8"/>
      <c r="B12" s="8"/>
      <c r="C12" s="10"/>
      <c r="D12" s="8"/>
      <c r="E12" s="10"/>
      <c r="F12" s="8"/>
      <c r="G12" s="8"/>
      <c r="H12" s="8"/>
      <c r="I12" s="38" t="str">
        <f t="shared" si="0"/>
        <v> </v>
      </c>
    </row>
    <row r="13" spans="1:9" ht="15.75">
      <c r="A13" s="8"/>
      <c r="B13" s="8"/>
      <c r="C13" s="10"/>
      <c r="D13" s="8"/>
      <c r="E13" s="10"/>
      <c r="F13" s="8"/>
      <c r="G13" s="8"/>
      <c r="H13" s="8"/>
      <c r="I13" s="38" t="str">
        <f t="shared" si="0"/>
        <v> </v>
      </c>
    </row>
    <row r="14" spans="1:9" ht="15.75">
      <c r="A14" s="8"/>
      <c r="B14" s="8"/>
      <c r="C14" s="10"/>
      <c r="D14" s="8"/>
      <c r="E14" s="10"/>
      <c r="F14" s="8"/>
      <c r="G14" s="8"/>
      <c r="H14" s="8"/>
      <c r="I14" s="38" t="str">
        <f t="shared" si="0"/>
        <v> </v>
      </c>
    </row>
    <row r="15" spans="1:9" ht="15.75">
      <c r="A15" s="8"/>
      <c r="B15" s="8"/>
      <c r="C15" s="10"/>
      <c r="D15" s="8"/>
      <c r="E15" s="10"/>
      <c r="F15" s="8"/>
      <c r="G15" s="8"/>
      <c r="H15" s="8"/>
      <c r="I15" s="38" t="str">
        <f t="shared" si="0"/>
        <v> </v>
      </c>
    </row>
    <row r="16" spans="1:9" ht="15.75">
      <c r="A16" s="8"/>
      <c r="B16" s="8"/>
      <c r="C16" s="10"/>
      <c r="D16" s="8"/>
      <c r="E16" s="10"/>
      <c r="F16" s="8"/>
      <c r="G16" s="8"/>
      <c r="H16" s="8"/>
      <c r="I16" s="38" t="str">
        <f t="shared" si="0"/>
        <v> </v>
      </c>
    </row>
    <row r="17" spans="1:9" ht="15.75">
      <c r="A17" s="8"/>
      <c r="B17" s="8"/>
      <c r="C17" s="10"/>
      <c r="D17" s="8"/>
      <c r="E17" s="10"/>
      <c r="F17" s="8"/>
      <c r="G17" s="8"/>
      <c r="H17" s="8"/>
      <c r="I17" s="38" t="str">
        <f t="shared" si="0"/>
        <v> </v>
      </c>
    </row>
    <row r="18" spans="1:9" ht="15.75">
      <c r="A18" s="8"/>
      <c r="B18" s="8"/>
      <c r="C18" s="10"/>
      <c r="D18" s="8"/>
      <c r="E18" s="10"/>
      <c r="F18" s="8"/>
      <c r="G18" s="8"/>
      <c r="H18" s="8"/>
      <c r="I18" s="38" t="str">
        <f t="shared" si="0"/>
        <v> </v>
      </c>
    </row>
    <row r="19" spans="1:9" ht="15.75">
      <c r="A19" s="8"/>
      <c r="B19" s="8"/>
      <c r="C19" s="10"/>
      <c r="D19" s="8"/>
      <c r="E19" s="10"/>
      <c r="F19" s="8"/>
      <c r="G19" s="8"/>
      <c r="H19" s="8"/>
      <c r="I19" s="38" t="str">
        <f t="shared" si="0"/>
        <v> </v>
      </c>
    </row>
    <row r="20" spans="1:9" ht="15.75">
      <c r="A20" s="8"/>
      <c r="B20" s="8"/>
      <c r="C20" s="10"/>
      <c r="D20" s="8"/>
      <c r="E20" s="10"/>
      <c r="F20" s="8"/>
      <c r="G20" s="8"/>
      <c r="H20" s="8"/>
      <c r="I20" s="38" t="str">
        <f t="shared" si="0"/>
        <v> </v>
      </c>
    </row>
    <row r="21" spans="1:9" ht="15.75">
      <c r="A21" s="8"/>
      <c r="B21" s="8"/>
      <c r="C21" s="10"/>
      <c r="D21" s="8"/>
      <c r="E21" s="10"/>
      <c r="F21" s="8"/>
      <c r="G21" s="8"/>
      <c r="H21" s="8"/>
      <c r="I21" s="38" t="str">
        <f t="shared" si="0"/>
        <v> </v>
      </c>
    </row>
    <row r="22" spans="1:9" ht="15.75">
      <c r="A22" s="8"/>
      <c r="B22" s="8"/>
      <c r="C22" s="10"/>
      <c r="D22" s="8"/>
      <c r="E22" s="10"/>
      <c r="F22" s="8"/>
      <c r="G22" s="8"/>
      <c r="H22" s="8"/>
      <c r="I22" s="38" t="str">
        <f t="shared" si="0"/>
        <v> </v>
      </c>
    </row>
    <row r="23" spans="1:9" ht="15.75">
      <c r="A23" s="8"/>
      <c r="B23" s="8"/>
      <c r="C23" s="10"/>
      <c r="D23" s="8"/>
      <c r="E23" s="10"/>
      <c r="F23" s="8"/>
      <c r="G23" s="8"/>
      <c r="H23" s="8"/>
      <c r="I23" s="38" t="str">
        <f t="shared" si="0"/>
        <v> </v>
      </c>
    </row>
    <row r="24" spans="1:9" ht="15.75">
      <c r="A24" s="8"/>
      <c r="B24" s="8"/>
      <c r="C24" s="10"/>
      <c r="D24" s="8"/>
      <c r="E24" s="10"/>
      <c r="F24" s="8"/>
      <c r="G24" s="8"/>
      <c r="H24" s="8"/>
      <c r="I24" s="38" t="str">
        <f t="shared" si="0"/>
        <v> </v>
      </c>
    </row>
    <row r="25" spans="1:9" ht="15.75">
      <c r="A25" s="8"/>
      <c r="B25" s="8"/>
      <c r="C25" s="10"/>
      <c r="D25" s="8"/>
      <c r="E25" s="10"/>
      <c r="F25" s="8"/>
      <c r="G25" s="8"/>
      <c r="H25" s="8"/>
      <c r="I25" s="38" t="str">
        <f t="shared" si="0"/>
        <v> </v>
      </c>
    </row>
    <row r="26" spans="1:9" ht="15.75">
      <c r="A26" s="8"/>
      <c r="B26" s="8"/>
      <c r="C26" s="10"/>
      <c r="D26" s="8"/>
      <c r="E26" s="10"/>
      <c r="F26" s="8"/>
      <c r="G26" s="8"/>
      <c r="H26" s="8"/>
      <c r="I26" s="38" t="str">
        <f t="shared" si="0"/>
        <v> </v>
      </c>
    </row>
    <row r="27" spans="1:9" ht="15.75">
      <c r="A27" s="8"/>
      <c r="B27" s="8"/>
      <c r="C27" s="10"/>
      <c r="D27" s="8"/>
      <c r="E27" s="10"/>
      <c r="F27" s="8"/>
      <c r="G27" s="8"/>
      <c r="H27" s="8"/>
      <c r="I27" s="38" t="str">
        <f t="shared" si="0"/>
        <v> </v>
      </c>
    </row>
    <row r="28" spans="1:9" ht="15.75">
      <c r="A28" s="8"/>
      <c r="B28" s="8"/>
      <c r="C28" s="10"/>
      <c r="D28" s="8"/>
      <c r="E28" s="10"/>
      <c r="F28" s="8"/>
      <c r="G28" s="8"/>
      <c r="H28" s="8"/>
      <c r="I28" s="38" t="str">
        <f t="shared" si="0"/>
        <v> </v>
      </c>
    </row>
    <row r="29" spans="1:9" ht="15.75">
      <c r="A29" s="8"/>
      <c r="B29" s="8"/>
      <c r="C29" s="10"/>
      <c r="D29" s="8"/>
      <c r="E29" s="10"/>
      <c r="F29" s="8"/>
      <c r="G29" s="8"/>
      <c r="H29" s="8"/>
      <c r="I29" s="38" t="str">
        <f t="shared" si="0"/>
        <v> </v>
      </c>
    </row>
    <row r="30" spans="1:9" ht="15.75">
      <c r="A30" s="8"/>
      <c r="B30" s="8"/>
      <c r="C30" s="10"/>
      <c r="D30" s="8"/>
      <c r="E30" s="10"/>
      <c r="F30" s="8"/>
      <c r="G30" s="8"/>
      <c r="H30" s="8"/>
      <c r="I30" s="38" t="str">
        <f t="shared" si="0"/>
        <v> </v>
      </c>
    </row>
    <row r="31" spans="1:9" ht="15.75">
      <c r="A31" s="8"/>
      <c r="B31" s="8"/>
      <c r="C31" s="10"/>
      <c r="D31" s="8"/>
      <c r="E31" s="10"/>
      <c r="F31" s="8"/>
      <c r="G31" s="8"/>
      <c r="H31" s="8"/>
      <c r="I31" s="38" t="str">
        <f t="shared" si="0"/>
        <v> </v>
      </c>
    </row>
    <row r="32" spans="1:9" ht="15.75">
      <c r="A32" s="8"/>
      <c r="B32" s="8"/>
      <c r="C32" s="10"/>
      <c r="D32" s="8"/>
      <c r="E32" s="10"/>
      <c r="F32" s="8"/>
      <c r="G32" s="8"/>
      <c r="H32" s="8"/>
      <c r="I32" s="38" t="str">
        <f t="shared" si="0"/>
        <v> </v>
      </c>
    </row>
    <row r="33" spans="1:9" ht="15.75">
      <c r="A33" s="8"/>
      <c r="B33" s="8"/>
      <c r="C33" s="10"/>
      <c r="D33" s="8"/>
      <c r="E33" s="10"/>
      <c r="F33" s="8"/>
      <c r="G33" s="8"/>
      <c r="H33" s="8"/>
      <c r="I33" s="38" t="str">
        <f t="shared" si="0"/>
        <v> </v>
      </c>
    </row>
    <row r="34" spans="1:9" ht="15.75">
      <c r="A34" s="8"/>
      <c r="B34" s="8"/>
      <c r="C34" s="10"/>
      <c r="D34" s="8"/>
      <c r="E34" s="10"/>
      <c r="F34" s="8"/>
      <c r="G34" s="8"/>
      <c r="H34" s="8"/>
      <c r="I34" s="38" t="str">
        <f t="shared" si="0"/>
        <v> </v>
      </c>
    </row>
    <row r="35" spans="1:9" ht="15.75">
      <c r="A35" s="8"/>
      <c r="B35" s="8"/>
      <c r="C35" s="10"/>
      <c r="D35" s="8"/>
      <c r="E35" s="10"/>
      <c r="F35" s="8"/>
      <c r="G35" s="8"/>
      <c r="H35" s="8"/>
      <c r="I35" s="38" t="str">
        <f t="shared" si="0"/>
        <v> </v>
      </c>
    </row>
    <row r="36" spans="1:9" ht="15.75">
      <c r="A36" s="8"/>
      <c r="B36" s="8"/>
      <c r="C36" s="10"/>
      <c r="D36" s="8"/>
      <c r="E36" s="10"/>
      <c r="F36" s="8"/>
      <c r="G36" s="8"/>
      <c r="H36" s="8"/>
      <c r="I36" s="38" t="str">
        <f t="shared" si="0"/>
        <v> </v>
      </c>
    </row>
    <row r="37" spans="1:9" ht="15.75">
      <c r="A37" s="23" t="s">
        <v>155</v>
      </c>
      <c r="B37" s="24">
        <f>SUM(B8:B36)</f>
        <v>0</v>
      </c>
      <c r="C37" s="34">
        <f>SUM(C8:C24)</f>
        <v>0</v>
      </c>
      <c r="D37" s="24">
        <f>SUM(D8:D36)</f>
        <v>0</v>
      </c>
      <c r="E37" s="34">
        <f>SUM(E8:E24)</f>
        <v>0</v>
      </c>
      <c r="F37" s="24">
        <f>SUM(F8:F36)</f>
        <v>0</v>
      </c>
      <c r="G37" s="24">
        <f>SUM(G8:G36)</f>
        <v>0</v>
      </c>
      <c r="H37" s="24"/>
      <c r="I37" s="34">
        <f>SUM(I8:I24)</f>
        <v>0</v>
      </c>
    </row>
    <row r="38" spans="1:9" ht="15.75">
      <c r="A38" s="13"/>
      <c r="B38" s="13"/>
      <c r="C38" s="13"/>
      <c r="D38" s="13"/>
      <c r="E38" s="13"/>
      <c r="F38" s="13"/>
      <c r="G38" s="13"/>
      <c r="H38" s="13"/>
      <c r="I38" s="13"/>
    </row>
    <row r="39" spans="1:9" ht="15.75">
      <c r="A39" s="14" t="s">
        <v>206</v>
      </c>
      <c r="B39" s="13"/>
      <c r="C39" s="13"/>
      <c r="D39" s="13"/>
      <c r="E39" s="13"/>
      <c r="F39" s="13"/>
      <c r="G39" s="13"/>
      <c r="H39" s="13"/>
      <c r="I39" s="13"/>
    </row>
    <row r="40" spans="1:9" ht="15.75">
      <c r="A40" s="13"/>
      <c r="B40" s="13"/>
      <c r="C40" s="13"/>
      <c r="D40" s="13"/>
      <c r="E40" s="13"/>
      <c r="F40" s="13"/>
      <c r="G40" s="13"/>
      <c r="H40" s="13"/>
      <c r="I40" s="13"/>
    </row>
    <row r="41" spans="1:9" ht="15.75">
      <c r="A41" s="25"/>
      <c r="B41" s="13"/>
      <c r="C41" s="13"/>
      <c r="D41" s="13"/>
      <c r="E41" s="13"/>
      <c r="F41" s="13"/>
      <c r="G41" s="13"/>
      <c r="H41" s="13"/>
      <c r="I41" s="13"/>
    </row>
    <row r="42" spans="1:9" ht="15.75">
      <c r="A42" s="15" t="s">
        <v>207</v>
      </c>
      <c r="B42" s="13"/>
      <c r="C42" s="13"/>
      <c r="D42" s="13" t="s">
        <v>192</v>
      </c>
      <c r="E42" s="9"/>
      <c r="F42" s="13"/>
      <c r="G42" s="13"/>
      <c r="H42" s="13"/>
      <c r="I42" s="13"/>
    </row>
    <row r="44" spans="1:9" ht="15.75">
      <c r="A44" s="1"/>
      <c r="B44" s="1"/>
      <c r="C44" s="1"/>
      <c r="D44" s="1"/>
      <c r="E44" s="1"/>
      <c r="F44" s="1"/>
      <c r="G44" s="1"/>
      <c r="H44" s="1"/>
      <c r="I44" s="1"/>
    </row>
    <row r="45" spans="1:9" ht="15.75">
      <c r="A45" s="4"/>
      <c r="B45" s="1"/>
      <c r="C45" s="1"/>
      <c r="D45" s="1"/>
      <c r="E45" s="1"/>
      <c r="F45" s="1"/>
      <c r="G45" s="1"/>
      <c r="H45" s="1"/>
      <c r="I45" s="1"/>
    </row>
    <row r="46" spans="1:9" ht="15.75">
      <c r="A46" s="4"/>
      <c r="B46" s="5"/>
      <c r="C46" s="1"/>
      <c r="D46" s="5"/>
      <c r="E46" s="1"/>
      <c r="F46" s="5"/>
      <c r="G46" s="1"/>
      <c r="H46" s="1"/>
      <c r="I46" s="1"/>
    </row>
    <row r="47" spans="1:9" ht="15.75">
      <c r="A47" s="4"/>
      <c r="B47" s="4"/>
      <c r="C47" s="1"/>
      <c r="D47" s="4"/>
      <c r="E47" s="1"/>
      <c r="F47" s="4"/>
      <c r="G47" s="1"/>
      <c r="H47" s="1"/>
      <c r="I47" s="1"/>
    </row>
    <row r="48" spans="1:9" ht="15.75">
      <c r="A48" s="4"/>
      <c r="B48" s="4"/>
      <c r="C48" s="1"/>
      <c r="D48" s="4"/>
      <c r="E48" s="1"/>
      <c r="F48" s="4"/>
      <c r="G48" s="1"/>
      <c r="H48" s="1"/>
      <c r="I48" s="1"/>
    </row>
    <row r="49" spans="1:9" ht="15.75">
      <c r="A49" s="4"/>
      <c r="B49" s="4"/>
      <c r="C49" s="1"/>
      <c r="D49" s="4"/>
      <c r="E49" s="1"/>
      <c r="F49" s="4"/>
      <c r="G49" s="1"/>
      <c r="H49" s="1"/>
      <c r="I49" s="1"/>
    </row>
    <row r="50" spans="1:9" ht="15.75">
      <c r="A50" s="4"/>
      <c r="B50" s="4"/>
      <c r="C50" s="1"/>
      <c r="D50" s="4"/>
      <c r="E50" s="1"/>
      <c r="F50" s="4"/>
      <c r="G50" s="1"/>
      <c r="H50" s="1"/>
      <c r="I50" s="1"/>
    </row>
    <row r="51" spans="1:9" ht="15.75">
      <c r="A51" s="4"/>
      <c r="B51" s="4"/>
      <c r="C51" s="1"/>
      <c r="D51" s="4"/>
      <c r="E51" s="1"/>
      <c r="F51" s="4"/>
      <c r="G51" s="1"/>
      <c r="H51" s="1"/>
      <c r="I51" s="1"/>
    </row>
    <row r="52" spans="2:9" ht="15.75">
      <c r="B52" s="1"/>
      <c r="C52" s="1"/>
      <c r="D52" s="1"/>
      <c r="E52" s="1"/>
      <c r="F52" s="1"/>
      <c r="G52" s="1"/>
      <c r="H52" s="1"/>
      <c r="I52" s="1"/>
    </row>
    <row r="53" spans="2:9" ht="15.75">
      <c r="B53" s="1"/>
      <c r="C53" s="1"/>
      <c r="D53" s="1"/>
      <c r="E53" s="1"/>
      <c r="F53" s="1"/>
      <c r="G53" s="1"/>
      <c r="H53" s="1"/>
      <c r="I53" s="1"/>
    </row>
    <row r="54" spans="2:9" ht="15.75">
      <c r="B54" s="7"/>
      <c r="C54" s="1"/>
      <c r="D54" s="1"/>
      <c r="E54" s="1"/>
      <c r="F54" s="1"/>
      <c r="G54" s="1"/>
      <c r="H54" s="1"/>
      <c r="I54" s="1"/>
    </row>
    <row r="55" spans="2:9" ht="15.75">
      <c r="B55" s="6"/>
      <c r="C55" s="1"/>
      <c r="D55" s="1"/>
      <c r="E55" s="1"/>
      <c r="F55" s="1"/>
      <c r="G55" s="1"/>
      <c r="H55" s="1"/>
      <c r="I55" s="1"/>
    </row>
    <row r="56" spans="1:9" ht="15.75">
      <c r="A56" s="1"/>
      <c r="B56" s="1"/>
      <c r="C56" s="1"/>
      <c r="D56" s="1"/>
      <c r="E56" s="1"/>
      <c r="F56" s="1"/>
      <c r="G56" s="1"/>
      <c r="H56" s="1"/>
      <c r="I56" s="1"/>
    </row>
    <row r="57" spans="1:9" ht="15.75">
      <c r="A57" s="1"/>
      <c r="B57" s="1" t="s">
        <v>168</v>
      </c>
      <c r="C57" s="9"/>
      <c r="D57" s="1"/>
      <c r="E57" s="1"/>
      <c r="F57" s="1"/>
      <c r="G57" s="1"/>
      <c r="H57" s="1"/>
      <c r="I57" s="1"/>
    </row>
  </sheetData>
  <sheetProtection/>
  <mergeCells count="2">
    <mergeCell ref="G6:G7"/>
    <mergeCell ref="H6:H7"/>
  </mergeCells>
  <printOptions/>
  <pageMargins left="1.12" right="0.5" top="0.74" bottom="0.34" header="0.5" footer="0"/>
  <pageSetup blackAndWhite="1" fitToHeight="1" fitToWidth="1" horizontalDpi="120" verticalDpi="120" orientation="portrait" scale="56" r:id="rId1"/>
  <headerFooter alignWithMargins="0">
    <oddHeader>&amp;RState of Kansas
County
</oddHeader>
  </headerFooter>
</worksheet>
</file>

<file path=xl/worksheets/sheet44.xml><?xml version="1.0" encoding="utf-8"?>
<worksheet xmlns="http://schemas.openxmlformats.org/spreadsheetml/2006/main" xmlns:r="http://schemas.openxmlformats.org/officeDocument/2006/relationships">
  <sheetPr>
    <pageSetUpPr fitToPage="1"/>
  </sheetPr>
  <dimension ref="A1:F52"/>
  <sheetViews>
    <sheetView zoomScalePageLayoutView="0" workbookViewId="0" topLeftCell="A1">
      <selection activeCell="J24" sqref="J24"/>
    </sheetView>
  </sheetViews>
  <sheetFormatPr defaultColWidth="8.796875" defaultRowHeight="15"/>
  <cols>
    <col min="1" max="1" width="9.19921875" style="140" customWidth="1"/>
    <col min="2" max="2" width="18.59765625" style="140" customWidth="1"/>
    <col min="3" max="3" width="11.796875" style="140" customWidth="1"/>
    <col min="4" max="4" width="12.796875" style="140" customWidth="1"/>
    <col min="5" max="5" width="11.796875" style="140" customWidth="1"/>
    <col min="6" max="16384" width="8.8984375" style="140" customWidth="1"/>
  </cols>
  <sheetData>
    <row r="1" spans="1:6" ht="15.75">
      <c r="A1" s="201" t="str">
        <f>inputPrYr!C2</f>
        <v>Marshall County</v>
      </c>
      <c r="B1" s="62"/>
      <c r="C1" s="62"/>
      <c r="D1" s="62"/>
      <c r="E1" s="62"/>
      <c r="F1" s="295">
        <f>inputPrYr!C4</f>
        <v>2015</v>
      </c>
    </row>
    <row r="2" spans="1:6" ht="15.75">
      <c r="A2" s="62"/>
      <c r="B2" s="62"/>
      <c r="C2" s="62"/>
      <c r="D2" s="62"/>
      <c r="E2" s="62"/>
      <c r="F2" s="62"/>
    </row>
    <row r="3" spans="1:6" ht="15.75">
      <c r="A3" s="62"/>
      <c r="B3" s="809" t="str">
        <f>CONCATENATE("",F1," Neighborhood Revitalization Rebate")</f>
        <v>2015 Neighborhood Revitalization Rebate</v>
      </c>
      <c r="C3" s="854"/>
      <c r="D3" s="854"/>
      <c r="E3" s="854"/>
      <c r="F3" s="62"/>
    </row>
    <row r="4" spans="1:6" ht="15.75">
      <c r="A4" s="62"/>
      <c r="B4" s="62"/>
      <c r="C4" s="62"/>
      <c r="D4" s="62"/>
      <c r="E4" s="62"/>
      <c r="F4" s="62"/>
    </row>
    <row r="5" spans="1:6" ht="51" customHeight="1">
      <c r="A5" s="62"/>
      <c r="B5" s="364" t="str">
        <f>CONCATENATE("Budgeted Funds                       for ",F1,"")</f>
        <v>Budgeted Funds                       for 2015</v>
      </c>
      <c r="C5" s="364" t="str">
        <f>CONCATENATE("",F1-1," Ad Valorem before Rebate**")</f>
        <v>2014 Ad Valorem before Rebate**</v>
      </c>
      <c r="D5" s="365" t="str">
        <f>CONCATENATE("",F1-1," Mil Rate before Rebate")</f>
        <v>2014 Mil Rate before Rebate</v>
      </c>
      <c r="E5" s="366" t="str">
        <f>CONCATENATE("Estimate ",F1," NR Rebate")</f>
        <v>Estimate 2015 NR Rebate</v>
      </c>
      <c r="F5" s="112"/>
    </row>
    <row r="6" spans="1:6" ht="15.75">
      <c r="A6" s="62"/>
      <c r="B6" s="78" t="str">
        <f>inputPrYr!B16</f>
        <v>General</v>
      </c>
      <c r="C6" s="367">
        <v>1616273</v>
      </c>
      <c r="D6" s="368">
        <f>IF(C6&gt;0,C6/$D$36,"")</f>
        <v>12.428437345615148</v>
      </c>
      <c r="E6" s="248">
        <f aca="true" t="shared" si="0" ref="E6:E30">IF(C6&gt;0,ROUND(D6*$D$40,0),"")</f>
        <v>25457</v>
      </c>
      <c r="F6" s="112"/>
    </row>
    <row r="7" spans="1:6" ht="15.75">
      <c r="A7" s="62"/>
      <c r="B7" s="78" t="str">
        <f>inputPrYr!B17</f>
        <v>Debt Service</v>
      </c>
      <c r="C7" s="367">
        <v>2866</v>
      </c>
      <c r="D7" s="368">
        <f aca="true" t="shared" si="1" ref="D7:D30">IF(C7&gt;0,C7/$D$36,"")</f>
        <v>0.02203829515962527</v>
      </c>
      <c r="E7" s="248">
        <f t="shared" si="0"/>
        <v>45</v>
      </c>
      <c r="F7" s="112"/>
    </row>
    <row r="8" spans="1:6" ht="15.75">
      <c r="A8" s="62"/>
      <c r="B8" s="78" t="str">
        <f>inputPrYr!B18</f>
        <v>Road &amp; Bridge</v>
      </c>
      <c r="C8" s="367">
        <v>1925388</v>
      </c>
      <c r="D8" s="368">
        <f t="shared" si="1"/>
        <v>14.805397432240259</v>
      </c>
      <c r="E8" s="248">
        <f t="shared" si="0"/>
        <v>30325</v>
      </c>
      <c r="F8" s="112"/>
    </row>
    <row r="9" spans="1:6" ht="15.75">
      <c r="A9" s="62"/>
      <c r="B9" s="78" t="str">
        <f>inputPrYr!B19</f>
        <v>Health Nurse</v>
      </c>
      <c r="C9" s="367">
        <v>208882</v>
      </c>
      <c r="D9" s="368">
        <f t="shared" si="1"/>
        <v>1.6062118525934563</v>
      </c>
      <c r="E9" s="248">
        <f t="shared" si="0"/>
        <v>3290</v>
      </c>
      <c r="F9" s="112"/>
    </row>
    <row r="10" spans="1:6" ht="15.75">
      <c r="A10" s="62"/>
      <c r="B10" s="78" t="str">
        <f>inputPrYr!B20</f>
        <v>Fair</v>
      </c>
      <c r="C10" s="367">
        <v>17933</v>
      </c>
      <c r="D10" s="368">
        <f t="shared" si="1"/>
        <v>0.13789698084353105</v>
      </c>
      <c r="E10" s="248">
        <f t="shared" si="0"/>
        <v>282</v>
      </c>
      <c r="F10" s="112"/>
    </row>
    <row r="11" spans="1:6" ht="15.75">
      <c r="A11" s="62"/>
      <c r="B11" s="78" t="str">
        <f>inputPrYr!B21</f>
        <v>4-H Building</v>
      </c>
      <c r="C11" s="367">
        <v>6707</v>
      </c>
      <c r="D11" s="368">
        <f t="shared" si="1"/>
        <v>0.05157391683028845</v>
      </c>
      <c r="E11" s="248">
        <f t="shared" si="0"/>
        <v>106</v>
      </c>
      <c r="F11" s="112"/>
    </row>
    <row r="12" spans="1:6" ht="15.75">
      <c r="A12" s="62"/>
      <c r="B12" s="78" t="str">
        <f>inputPrYr!B22</f>
        <v>Recycling/HHW</v>
      </c>
      <c r="C12" s="369">
        <v>20827</v>
      </c>
      <c r="D12" s="368">
        <f t="shared" si="1"/>
        <v>0.16015058384142203</v>
      </c>
      <c r="E12" s="248">
        <f t="shared" si="0"/>
        <v>328</v>
      </c>
      <c r="F12" s="112"/>
    </row>
    <row r="13" spans="1:6" ht="15.75">
      <c r="A13" s="62"/>
      <c r="B13" s="78" t="str">
        <f>inputPrYr!B23</f>
        <v>Agency on Aging</v>
      </c>
      <c r="C13" s="369">
        <v>142172</v>
      </c>
      <c r="D13" s="368">
        <f t="shared" si="1"/>
        <v>1.0932409279254165</v>
      </c>
      <c r="E13" s="248">
        <f t="shared" si="0"/>
        <v>2239</v>
      </c>
      <c r="F13" s="112"/>
    </row>
    <row r="14" spans="1:6" ht="15.75">
      <c r="A14" s="62"/>
      <c r="B14" s="78" t="str">
        <f>inputPrYr!B24</f>
        <v>Soil Conservation</v>
      </c>
      <c r="C14" s="369">
        <v>22183</v>
      </c>
      <c r="D14" s="368">
        <f t="shared" si="1"/>
        <v>0.17057763486600397</v>
      </c>
      <c r="E14" s="248">
        <f t="shared" si="0"/>
        <v>349</v>
      </c>
      <c r="F14" s="112"/>
    </row>
    <row r="15" spans="1:6" ht="15.75">
      <c r="A15" s="62"/>
      <c r="B15" s="78" t="str">
        <f>inputPrYr!B25</f>
        <v>Historical</v>
      </c>
      <c r="C15" s="369">
        <v>11864</v>
      </c>
      <c r="D15" s="368">
        <f t="shared" si="1"/>
        <v>0.0912290068994397</v>
      </c>
      <c r="E15" s="248">
        <f t="shared" si="0"/>
        <v>187</v>
      </c>
      <c r="F15" s="112"/>
    </row>
    <row r="16" spans="1:6" ht="15.75">
      <c r="A16" s="62"/>
      <c r="B16" s="78" t="str">
        <f>inputPrYr!B26</f>
        <v>Appraiser</v>
      </c>
      <c r="C16" s="369">
        <v>144202</v>
      </c>
      <c r="D16" s="368">
        <f t="shared" si="1"/>
        <v>1.1088507461996802</v>
      </c>
      <c r="E16" s="248">
        <f t="shared" si="0"/>
        <v>2271</v>
      </c>
      <c r="F16" s="112"/>
    </row>
    <row r="17" spans="1:6" ht="15.75">
      <c r="A17" s="62"/>
      <c r="B17" s="78" t="str">
        <f>inputPrYr!B27</f>
        <v>Noxious Weed</v>
      </c>
      <c r="C17" s="369">
        <v>64234</v>
      </c>
      <c r="D17" s="368">
        <f t="shared" si="1"/>
        <v>0.49393156011282957</v>
      </c>
      <c r="E17" s="248">
        <f t="shared" si="0"/>
        <v>1012</v>
      </c>
      <c r="F17" s="112"/>
    </row>
    <row r="18" spans="1:6" ht="15.75">
      <c r="A18" s="62"/>
      <c r="B18" s="78" t="str">
        <f>inputPrYr!B28</f>
        <v>Election</v>
      </c>
      <c r="C18" s="369">
        <v>78004</v>
      </c>
      <c r="D18" s="368">
        <f t="shared" si="1"/>
        <v>0.5998168791456419</v>
      </c>
      <c r="E18" s="248">
        <f t="shared" si="0"/>
        <v>1229</v>
      </c>
      <c r="F18" s="112"/>
    </row>
    <row r="19" spans="1:6" ht="15.75">
      <c r="A19" s="62"/>
      <c r="B19" s="78" t="str">
        <f>inputPrYr!B29</f>
        <v>Extension Council</v>
      </c>
      <c r="C19" s="369">
        <v>130349</v>
      </c>
      <c r="D19" s="368">
        <f t="shared" si="1"/>
        <v>1.0023271932177231</v>
      </c>
      <c r="E19" s="248">
        <f t="shared" si="0"/>
        <v>2053</v>
      </c>
      <c r="F19" s="112"/>
    </row>
    <row r="20" spans="1:6" ht="15.75">
      <c r="A20" s="62"/>
      <c r="B20" s="78" t="str">
        <f>inputPrYr!B30</f>
        <v>Solid Waste</v>
      </c>
      <c r="C20" s="369"/>
      <c r="D20" s="368">
        <f t="shared" si="1"/>
      </c>
      <c r="E20" s="248">
        <f t="shared" si="0"/>
      </c>
      <c r="F20" s="112"/>
    </row>
    <row r="21" spans="1:6" ht="15.75">
      <c r="A21" s="62"/>
      <c r="B21" s="78" t="str">
        <f>inputPrYr!B31</f>
        <v>Ambulance</v>
      </c>
      <c r="C21" s="369">
        <v>315973</v>
      </c>
      <c r="D21" s="368">
        <f t="shared" si="1"/>
        <v>2.4296951278689027</v>
      </c>
      <c r="E21" s="248">
        <f t="shared" si="0"/>
        <v>4977</v>
      </c>
      <c r="F21" s="112"/>
    </row>
    <row r="22" spans="1:6" ht="15.75">
      <c r="A22" s="62"/>
      <c r="B22" s="78" t="str">
        <f>inputPrYr!B32</f>
        <v>Men Health Ret Workshop</v>
      </c>
      <c r="C22" s="369">
        <v>49790</v>
      </c>
      <c r="D22" s="368">
        <f t="shared" si="1"/>
        <v>0.38286347383033575</v>
      </c>
      <c r="E22" s="248">
        <f t="shared" si="0"/>
        <v>784</v>
      </c>
      <c r="F22" s="112"/>
    </row>
    <row r="23" spans="1:6" ht="15.75">
      <c r="A23" s="62"/>
      <c r="B23" s="78" t="str">
        <f>inputPrYr!B33</f>
        <v>Pawnee Mental Health </v>
      </c>
      <c r="C23" s="369">
        <v>73036</v>
      </c>
      <c r="D23" s="368">
        <f t="shared" si="1"/>
        <v>0.5616151169847841</v>
      </c>
      <c r="E23" s="248">
        <f t="shared" si="0"/>
        <v>1150</v>
      </c>
      <c r="F23" s="112"/>
    </row>
    <row r="24" spans="1:6" ht="15.75">
      <c r="A24" s="62"/>
      <c r="B24" s="78" t="str">
        <f>inputPrYr!B34</f>
        <v>Emp Ben (Health Insurance)</v>
      </c>
      <c r="C24" s="369">
        <v>1298955</v>
      </c>
      <c r="D24" s="368">
        <f t="shared" si="1"/>
        <v>9.98839975194384</v>
      </c>
      <c r="E24" s="248">
        <f t="shared" si="0"/>
        <v>20459</v>
      </c>
      <c r="F24" s="112"/>
    </row>
    <row r="25" spans="1:6" ht="15.75">
      <c r="A25" s="62"/>
      <c r="B25" s="78" t="str">
        <f>inputPrYr!B35</f>
        <v>Unemployment</v>
      </c>
      <c r="C25" s="369">
        <v>4250</v>
      </c>
      <c r="D25" s="368">
        <f t="shared" si="1"/>
        <v>0.03268065402247292</v>
      </c>
      <c r="E25" s="248">
        <f t="shared" si="0"/>
        <v>67</v>
      </c>
      <c r="F25" s="112"/>
    </row>
    <row r="26" spans="1:6" ht="15.75">
      <c r="A26" s="62"/>
      <c r="B26" s="78" t="str">
        <f>inputPrYr!B36</f>
        <v>Liability </v>
      </c>
      <c r="C26" s="369">
        <v>50294</v>
      </c>
      <c r="D26" s="368">
        <f t="shared" si="1"/>
        <v>0.3867390149191184</v>
      </c>
      <c r="E26" s="248">
        <f t="shared" si="0"/>
        <v>792</v>
      </c>
      <c r="F26" s="112"/>
    </row>
    <row r="27" spans="1:6" ht="15.75">
      <c r="A27" s="62"/>
      <c r="B27" s="78" t="str">
        <f>inputPrYr!B37</f>
        <v>Employee Retirement</v>
      </c>
      <c r="C27" s="369">
        <v>249649</v>
      </c>
      <c r="D27" s="368">
        <f t="shared" si="1"/>
        <v>1.919692375542669</v>
      </c>
      <c r="E27" s="248">
        <f t="shared" si="0"/>
        <v>3932</v>
      </c>
      <c r="F27" s="112"/>
    </row>
    <row r="28" spans="1:6" ht="15.75">
      <c r="A28" s="62"/>
      <c r="B28" s="78" t="str">
        <f>inputPrYr!B38</f>
        <v>Workers Compensation</v>
      </c>
      <c r="C28" s="369">
        <v>27203</v>
      </c>
      <c r="D28" s="368">
        <f t="shared" si="1"/>
        <v>0.20917925444078375</v>
      </c>
      <c r="E28" s="248">
        <f t="shared" si="0"/>
        <v>428</v>
      </c>
      <c r="F28" s="112"/>
    </row>
    <row r="29" spans="1:6" ht="15.75">
      <c r="A29" s="62"/>
      <c r="B29" s="78" t="str">
        <f>inputPrYr!B39</f>
        <v>Social Security</v>
      </c>
      <c r="C29" s="369">
        <v>194936</v>
      </c>
      <c r="D29" s="368">
        <f t="shared" si="1"/>
        <v>1.498973170005831</v>
      </c>
      <c r="E29" s="248">
        <f t="shared" si="0"/>
        <v>3070</v>
      </c>
      <c r="F29" s="112"/>
    </row>
    <row r="30" spans="1:6" ht="15.75">
      <c r="A30" s="62"/>
      <c r="B30" s="78">
        <f>inputPrYr!B40</f>
        <v>0</v>
      </c>
      <c r="C30" s="369"/>
      <c r="D30" s="368">
        <f t="shared" si="1"/>
      </c>
      <c r="E30" s="248">
        <f t="shared" si="0"/>
      </c>
      <c r="F30" s="112"/>
    </row>
    <row r="31" spans="1:6" ht="16.5" thickBot="1">
      <c r="A31" s="62"/>
      <c r="B31" s="83" t="s">
        <v>150</v>
      </c>
      <c r="C31" s="370">
        <f>SUM(C6:C30)</f>
        <v>6655970</v>
      </c>
      <c r="D31" s="371">
        <f>SUM(D6:D30)</f>
        <v>51.181518295049194</v>
      </c>
      <c r="E31" s="370">
        <f>SUM(E6:E30)</f>
        <v>104832</v>
      </c>
      <c r="F31" s="112"/>
    </row>
    <row r="32" spans="1:6" ht="16.5" thickTop="1">
      <c r="A32" s="62"/>
      <c r="B32" s="62"/>
      <c r="C32" s="62"/>
      <c r="D32" s="62"/>
      <c r="E32" s="62"/>
      <c r="F32" s="112"/>
    </row>
    <row r="33" spans="1:6" ht="15.75">
      <c r="A33" s="62"/>
      <c r="B33" s="62"/>
      <c r="C33" s="62"/>
      <c r="D33" s="62"/>
      <c r="E33" s="62"/>
      <c r="F33" s="112"/>
    </row>
    <row r="34" spans="1:6" ht="15.75">
      <c r="A34" s="855" t="str">
        <f>CONCATENATE("",F1-1," July 1 Valuation:")</f>
        <v>2014 July 1 Valuation:</v>
      </c>
      <c r="B34" s="831"/>
      <c r="C34" s="855"/>
      <c r="D34" s="372">
        <f>inputOth!E6</f>
        <v>130046357</v>
      </c>
      <c r="E34" s="62"/>
      <c r="F34" s="112"/>
    </row>
    <row r="35" spans="1:6" ht="15.75">
      <c r="A35" s="62"/>
      <c r="B35" s="62"/>
      <c r="C35" s="62"/>
      <c r="D35" s="62"/>
      <c r="E35" s="62"/>
      <c r="F35" s="112"/>
    </row>
    <row r="36" spans="1:6" ht="15.75">
      <c r="A36" s="62"/>
      <c r="B36" s="855" t="s">
        <v>387</v>
      </c>
      <c r="C36" s="855"/>
      <c r="D36" s="373">
        <f>IF(D34&gt;0,(D34*0.001),"")</f>
        <v>130046.357</v>
      </c>
      <c r="E36" s="62"/>
      <c r="F36" s="112"/>
    </row>
    <row r="37" spans="1:6" ht="15.75">
      <c r="A37" s="62"/>
      <c r="B37" s="256"/>
      <c r="C37" s="256"/>
      <c r="D37" s="374"/>
      <c r="E37" s="62"/>
      <c r="F37" s="112"/>
    </row>
    <row r="38" spans="1:6" ht="15.75">
      <c r="A38" s="853" t="s">
        <v>388</v>
      </c>
      <c r="B38" s="802"/>
      <c r="C38" s="802"/>
      <c r="D38" s="375">
        <f>inputOth!E12</f>
        <v>2048266</v>
      </c>
      <c r="E38" s="129"/>
      <c r="F38" s="129"/>
    </row>
    <row r="39" spans="1:6" ht="15">
      <c r="A39" s="129"/>
      <c r="B39" s="129"/>
      <c r="C39" s="129"/>
      <c r="D39" s="376"/>
      <c r="E39" s="129"/>
      <c r="F39" s="129"/>
    </row>
    <row r="40" spans="1:6" ht="15.75">
      <c r="A40" s="129"/>
      <c r="B40" s="853" t="s">
        <v>389</v>
      </c>
      <c r="C40" s="831"/>
      <c r="D40" s="377">
        <f>IF(D38&gt;0,(D38*0.001),"")</f>
        <v>2048.266</v>
      </c>
      <c r="E40" s="129"/>
      <c r="F40" s="129"/>
    </row>
    <row r="41" spans="1:6" ht="15">
      <c r="A41" s="129"/>
      <c r="B41" s="129"/>
      <c r="C41" s="129"/>
      <c r="D41" s="129"/>
      <c r="E41" s="129"/>
      <c r="F41" s="129"/>
    </row>
    <row r="42" spans="1:6" ht="15">
      <c r="A42" s="129"/>
      <c r="B42" s="129"/>
      <c r="C42" s="129"/>
      <c r="D42" s="129"/>
      <c r="E42" s="129"/>
      <c r="F42" s="129"/>
    </row>
    <row r="43" spans="1:6" ht="15.75">
      <c r="A43" s="27" t="str">
        <f>CONCATENATE("**This information comes from the ",F1," Budget Summary page.  See instructions tab #11 for completing")</f>
        <v>**This information comes from the 2015 Budget Summary page.  See instructions tab #11 for completing</v>
      </c>
      <c r="B43" s="129"/>
      <c r="C43" s="129"/>
      <c r="D43" s="129"/>
      <c r="E43" s="129"/>
      <c r="F43" s="129"/>
    </row>
    <row r="44" spans="1:6" ht="15.75">
      <c r="A44" s="27" t="s">
        <v>628</v>
      </c>
      <c r="B44" s="129"/>
      <c r="C44" s="129"/>
      <c r="D44" s="129"/>
      <c r="E44" s="129"/>
      <c r="F44" s="129"/>
    </row>
    <row r="45" spans="1:6" ht="15.75">
      <c r="A45" s="27"/>
      <c r="B45" s="129"/>
      <c r="C45" s="129"/>
      <c r="D45" s="129"/>
      <c r="E45" s="129"/>
      <c r="F45" s="129"/>
    </row>
    <row r="46" spans="1:6" ht="15.75">
      <c r="A46" s="27"/>
      <c r="B46" s="129"/>
      <c r="C46" s="129"/>
      <c r="D46" s="129"/>
      <c r="E46" s="129"/>
      <c r="F46" s="129"/>
    </row>
    <row r="47" spans="1:6" ht="15.75">
      <c r="A47" s="27"/>
      <c r="B47" s="129"/>
      <c r="C47" s="129"/>
      <c r="D47" s="129"/>
      <c r="E47" s="129"/>
      <c r="F47" s="129"/>
    </row>
    <row r="48" spans="1:6" ht="15.75">
      <c r="A48" s="27"/>
      <c r="B48" s="129"/>
      <c r="C48" s="129"/>
      <c r="D48" s="129"/>
      <c r="E48" s="129"/>
      <c r="F48" s="129"/>
    </row>
    <row r="49" spans="1:6" ht="15">
      <c r="A49" s="129"/>
      <c r="B49" s="129"/>
      <c r="C49" s="129"/>
      <c r="D49" s="129"/>
      <c r="E49" s="129"/>
      <c r="F49" s="129"/>
    </row>
    <row r="50" spans="1:6" ht="15">
      <c r="A50" s="129"/>
      <c r="B50" s="129"/>
      <c r="C50" s="129"/>
      <c r="D50" s="129"/>
      <c r="E50" s="129"/>
      <c r="F50" s="129"/>
    </row>
    <row r="51" spans="1:6" ht="15.75">
      <c r="A51" s="129"/>
      <c r="B51" s="291" t="s">
        <v>192</v>
      </c>
      <c r="C51" s="318">
        <v>34</v>
      </c>
      <c r="D51" s="129"/>
      <c r="E51" s="129"/>
      <c r="F51" s="129"/>
    </row>
    <row r="52" spans="1:6" ht="15.75">
      <c r="A52" s="112"/>
      <c r="B52" s="62"/>
      <c r="C52" s="62"/>
      <c r="D52" s="378"/>
      <c r="E52" s="112"/>
      <c r="F52" s="112"/>
    </row>
  </sheetData>
  <sheetProtection sheet="1"/>
  <mergeCells count="5">
    <mergeCell ref="B40:C40"/>
    <mergeCell ref="B3:E3"/>
    <mergeCell ref="A34:C34"/>
    <mergeCell ref="B36:C36"/>
    <mergeCell ref="A38:C38"/>
  </mergeCells>
  <printOptions/>
  <pageMargins left="0.75" right="0.75" top="1" bottom="1" header="0.5" footer="0.5"/>
  <pageSetup blackAndWhite="1" fitToHeight="1" fitToWidth="1" horizontalDpi="600" verticalDpi="600" orientation="portrait" scale="77" r:id="rId1"/>
  <headerFooter alignWithMargins="0">
    <oddHeader>&amp;RState of Kansas
County</oddHeader>
  </headerFooter>
</worksheet>
</file>

<file path=xl/worksheets/sheet45.xml><?xml version="1.0" encoding="utf-8"?>
<worksheet xmlns="http://schemas.openxmlformats.org/spreadsheetml/2006/main" xmlns:r="http://schemas.openxmlformats.org/officeDocument/2006/relationships">
  <dimension ref="A2:G7"/>
  <sheetViews>
    <sheetView zoomScalePageLayoutView="0" workbookViewId="0" topLeftCell="A1">
      <selection activeCell="A1" sqref="A1:H9"/>
    </sheetView>
  </sheetViews>
  <sheetFormatPr defaultColWidth="8.796875" defaultRowHeight="15"/>
  <sheetData>
    <row r="2" spans="1:7" ht="15.75">
      <c r="A2" s="748"/>
      <c r="B2" s="748"/>
      <c r="C2" s="748"/>
      <c r="D2" s="748"/>
      <c r="E2" s="748"/>
      <c r="F2" s="748"/>
      <c r="G2" s="752">
        <f>inputPrYr!C4</f>
        <v>2015</v>
      </c>
    </row>
    <row r="3" spans="1:7" ht="15.75" thickBot="1">
      <c r="A3" s="748"/>
      <c r="B3" s="748"/>
      <c r="C3" s="748"/>
      <c r="D3" s="748"/>
      <c r="E3" s="748"/>
      <c r="F3" s="748"/>
      <c r="G3" s="748"/>
    </row>
    <row r="4" spans="1:7" ht="19.5" thickBot="1">
      <c r="A4" s="859" t="s">
        <v>887</v>
      </c>
      <c r="B4" s="860"/>
      <c r="C4" s="860"/>
      <c r="D4" s="860"/>
      <c r="E4" s="860"/>
      <c r="F4" s="860"/>
      <c r="G4" s="861"/>
    </row>
    <row r="5" spans="1:7" ht="16.5" thickBot="1">
      <c r="A5" s="749"/>
      <c r="B5" s="749"/>
      <c r="C5" s="750"/>
      <c r="D5" s="751"/>
      <c r="E5" s="749"/>
      <c r="F5" s="749"/>
      <c r="G5" s="749"/>
    </row>
    <row r="6" spans="1:7" ht="15.75">
      <c r="A6" s="862" t="str">
        <f>CONCATENATE("Notice of Vote - ",inputPrYr!C2)</f>
        <v>Notice of Vote - Marshall County</v>
      </c>
      <c r="B6" s="863"/>
      <c r="C6" s="863"/>
      <c r="D6" s="863"/>
      <c r="E6" s="863"/>
      <c r="F6" s="863"/>
      <c r="G6" s="864"/>
    </row>
    <row r="7" spans="1:7" ht="60.75" customHeight="1" thickBot="1">
      <c r="A7" s="856" t="str">
        <f>CONCATENATE("In adopting the ",G2," budget the governing body voted to increase property taxes in an amount greater than the amount levied for the ",G2-1," budget, adjusted by the ",G2-2," CPI for all urban consumers.  _3__ members voted in favor of the budget and _0__ members voted against the budget.")</f>
        <v>In adopting the 2015 budget the governing body voted to increase property taxes in an amount greater than the amount levied for the 2014 budget, adjusted by the 2013 CPI for all urban consumers.  _3__ members voted in favor of the budget and _0__ members voted against the budget.</v>
      </c>
      <c r="B7" s="857"/>
      <c r="C7" s="857"/>
      <c r="D7" s="857"/>
      <c r="E7" s="857"/>
      <c r="F7" s="857"/>
      <c r="G7" s="858"/>
    </row>
  </sheetData>
  <sheetProtection/>
  <mergeCells count="3">
    <mergeCell ref="A7:G7"/>
    <mergeCell ref="A4:G4"/>
    <mergeCell ref="A6:G6"/>
  </mergeCells>
  <printOptions/>
  <pageMargins left="0.7" right="0.7" top="0.75" bottom="0.75" header="0.3" footer="0.3"/>
  <pageSetup horizontalDpi="600" verticalDpi="600" orientation="portrait" r:id="rId1"/>
</worksheet>
</file>

<file path=xl/worksheets/sheet46.xml><?xml version="1.0" encoding="utf-8"?>
<worksheet xmlns="http://schemas.openxmlformats.org/spreadsheetml/2006/main" xmlns:r="http://schemas.openxmlformats.org/officeDocument/2006/relationships">
  <dimension ref="C2:H12"/>
  <sheetViews>
    <sheetView zoomScalePageLayoutView="0" workbookViewId="0" topLeftCell="A1">
      <selection activeCell="U79" sqref="U79"/>
    </sheetView>
  </sheetViews>
  <sheetFormatPr defaultColWidth="8.796875" defaultRowHeight="15"/>
  <cols>
    <col min="5" max="5" width="12.19921875" style="0" customWidth="1"/>
    <col min="7" max="7" width="3.296875" style="0" customWidth="1"/>
  </cols>
  <sheetData>
    <row r="2" spans="3:8" ht="15.75">
      <c r="C2" s="748"/>
      <c r="D2" s="748"/>
      <c r="E2" s="748"/>
      <c r="F2" s="748"/>
      <c r="G2" s="748"/>
      <c r="H2" s="752">
        <f>inputPrYr!C4</f>
        <v>2015</v>
      </c>
    </row>
    <row r="3" spans="3:8" ht="15.75" thickBot="1">
      <c r="C3" s="748"/>
      <c r="D3" s="748"/>
      <c r="E3" s="748"/>
      <c r="F3" s="748"/>
      <c r="G3" s="748"/>
      <c r="H3" s="748"/>
    </row>
    <row r="4" spans="3:8" ht="19.5" thickBot="1">
      <c r="C4" s="865" t="s">
        <v>888</v>
      </c>
      <c r="D4" s="866"/>
      <c r="E4" s="866"/>
      <c r="F4" s="866"/>
      <c r="G4" s="866"/>
      <c r="H4" s="867"/>
    </row>
    <row r="5" spans="3:8" ht="16.5" thickBot="1">
      <c r="C5" s="754"/>
      <c r="D5" s="754"/>
      <c r="E5" s="754"/>
      <c r="F5" s="754"/>
      <c r="G5" s="754"/>
      <c r="H5" s="754"/>
    </row>
    <row r="6" spans="3:8" ht="15.75">
      <c r="C6" s="862" t="str">
        <f>CONCATENATE("Notice of Vote - ",inputPrYr!C2)</f>
        <v>Notice of Vote - Marshall County</v>
      </c>
      <c r="D6" s="863"/>
      <c r="E6" s="863"/>
      <c r="F6" s="863"/>
      <c r="G6" s="863"/>
      <c r="H6" s="864"/>
    </row>
    <row r="7" spans="3:8" ht="15.75">
      <c r="C7" s="868" t="s">
        <v>889</v>
      </c>
      <c r="D7" s="869"/>
      <c r="E7" s="869"/>
      <c r="F7" s="869"/>
      <c r="G7" s="869"/>
      <c r="H7" s="870"/>
    </row>
    <row r="8" spans="3:8" ht="15.75">
      <c r="C8" s="868" t="s">
        <v>890</v>
      </c>
      <c r="D8" s="869"/>
      <c r="E8" s="869"/>
      <c r="F8" s="869"/>
      <c r="G8" s="869"/>
      <c r="H8" s="870"/>
    </row>
    <row r="9" spans="3:8" ht="15.75">
      <c r="C9" s="757" t="str">
        <f>CONCATENATE(H2-1," Budget")</f>
        <v>2014 Budget</v>
      </c>
      <c r="D9" s="759" t="s">
        <v>248</v>
      </c>
      <c r="E9" s="760">
        <f>inputPrYr!E41</f>
        <v>6378528</v>
      </c>
      <c r="F9" s="755"/>
      <c r="G9" s="755"/>
      <c r="H9" s="756"/>
    </row>
    <row r="10" spans="3:8" ht="15.75">
      <c r="C10" s="757" t="str">
        <f>CONCATENATE(H2," Budget")</f>
        <v>2015 Budget</v>
      </c>
      <c r="D10" s="759" t="s">
        <v>248</v>
      </c>
      <c r="E10" s="761">
        <f>cert!E66</f>
        <v>6760802</v>
      </c>
      <c r="F10" s="755"/>
      <c r="G10" s="755"/>
      <c r="H10" s="756"/>
    </row>
    <row r="11" spans="3:8" ht="15.75">
      <c r="C11" s="757"/>
      <c r="D11" s="755"/>
      <c r="E11" s="755" t="s">
        <v>891</v>
      </c>
      <c r="F11" s="762"/>
      <c r="G11" s="758" t="s">
        <v>892</v>
      </c>
      <c r="H11" s="763"/>
    </row>
    <row r="12" spans="3:8" ht="16.5" thickBot="1">
      <c r="C12" s="764"/>
      <c r="D12" s="765"/>
      <c r="E12" s="765"/>
      <c r="F12" s="765"/>
      <c r="G12" s="765"/>
      <c r="H12" s="766"/>
    </row>
  </sheetData>
  <sheetProtection sheet="1" objects="1" scenarios="1"/>
  <mergeCells count="4">
    <mergeCell ref="C4:H4"/>
    <mergeCell ref="C6:H6"/>
    <mergeCell ref="C7:H7"/>
    <mergeCell ref="C8:H8"/>
  </mergeCells>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2" sqref="A2"/>
    </sheetView>
  </sheetViews>
  <sheetFormatPr defaultColWidth="8.796875" defaultRowHeight="15"/>
  <cols>
    <col min="1" max="1" width="71.296875" style="0" customWidth="1"/>
  </cols>
  <sheetData>
    <row r="3" spans="1:12" ht="15">
      <c r="A3" s="399" t="s">
        <v>404</v>
      </c>
      <c r="B3" s="399"/>
      <c r="C3" s="399"/>
      <c r="D3" s="399"/>
      <c r="E3" s="399"/>
      <c r="F3" s="399"/>
      <c r="G3" s="399"/>
      <c r="H3" s="399"/>
      <c r="I3" s="399"/>
      <c r="J3" s="399"/>
      <c r="K3" s="399"/>
      <c r="L3" s="399"/>
    </row>
    <row r="5" ht="15">
      <c r="A5" s="400" t="s">
        <v>405</v>
      </c>
    </row>
    <row r="6" ht="15">
      <c r="A6" s="400" t="str">
        <f>CONCATENATE(inputPrYr!C4-2," 'total expenditures' exceed your ",inputPrYr!C4-2," 'budget authority.'")</f>
        <v>2013 'total expenditures' exceed your 2013 'budget authority.'</v>
      </c>
    </row>
    <row r="7" ht="15">
      <c r="A7" s="400"/>
    </row>
    <row r="8" ht="15">
      <c r="A8" s="400" t="s">
        <v>406</v>
      </c>
    </row>
    <row r="9" ht="15">
      <c r="A9" s="400" t="s">
        <v>407</v>
      </c>
    </row>
    <row r="10" ht="15">
      <c r="A10" s="400" t="s">
        <v>408</v>
      </c>
    </row>
    <row r="11" ht="15">
      <c r="A11" s="400"/>
    </row>
    <row r="12" ht="15">
      <c r="A12" s="400"/>
    </row>
    <row r="13" ht="15">
      <c r="A13" s="401" t="s">
        <v>409</v>
      </c>
    </row>
    <row r="15" ht="15">
      <c r="A15" s="400" t="s">
        <v>410</v>
      </c>
    </row>
    <row r="16" ht="15">
      <c r="A16" s="400" t="str">
        <f>CONCATENATE("(i.e. an audit has not been completed, or the ",inputPrYr!C4," adopted")</f>
        <v>(i.e. an audit has not been completed, or the 2015 adopted</v>
      </c>
    </row>
    <row r="17" ht="15">
      <c r="A17" s="400" t="s">
        <v>411</v>
      </c>
    </row>
    <row r="18" ht="15">
      <c r="A18" s="400" t="s">
        <v>412</v>
      </c>
    </row>
    <row r="19" ht="15">
      <c r="A19" s="400" t="s">
        <v>413</v>
      </c>
    </row>
    <row r="21" ht="15">
      <c r="A21" s="401" t="s">
        <v>414</v>
      </c>
    </row>
    <row r="22" ht="15">
      <c r="A22" s="401"/>
    </row>
    <row r="23" ht="15">
      <c r="A23" s="400" t="s">
        <v>415</v>
      </c>
    </row>
    <row r="24" ht="15">
      <c r="A24" s="400" t="s">
        <v>416</v>
      </c>
    </row>
    <row r="25" ht="15">
      <c r="A25" s="400" t="str">
        <f>CONCATENATE("particular fund.  If your ",inputPrYr!C4-2," budget was amended, did you")</f>
        <v>particular fund.  If your 2013 budget was amended, did you</v>
      </c>
    </row>
    <row r="26" ht="15">
      <c r="A26" s="400" t="s">
        <v>417</v>
      </c>
    </row>
    <row r="27" ht="15">
      <c r="A27" s="400"/>
    </row>
    <row r="28" ht="15">
      <c r="A28" s="400" t="str">
        <f>CONCATENATE("Next, look to see if any of your ",inputPrYr!C4-2," expenditures can be")</f>
        <v>Next, look to see if any of your 2013 expenditures can be</v>
      </c>
    </row>
    <row r="29" ht="15">
      <c r="A29" s="400" t="s">
        <v>418</v>
      </c>
    </row>
    <row r="30" ht="15">
      <c r="A30" s="400" t="s">
        <v>419</v>
      </c>
    </row>
    <row r="31" ht="15">
      <c r="A31" s="400" t="s">
        <v>420</v>
      </c>
    </row>
    <row r="32" ht="15">
      <c r="A32" s="400"/>
    </row>
    <row r="33" ht="15">
      <c r="A33" s="400" t="str">
        <f>CONCATENATE("Additionally, do your ",inputPrYr!C4-2," receipts contain a reimbursement")</f>
        <v>Additionally, do your 2013 receipts contain a reimbursement</v>
      </c>
    </row>
    <row r="34" ht="15">
      <c r="A34" s="400" t="s">
        <v>421</v>
      </c>
    </row>
    <row r="35" ht="15">
      <c r="A35" s="400" t="s">
        <v>422</v>
      </c>
    </row>
    <row r="36" ht="15">
      <c r="A36" s="400"/>
    </row>
    <row r="37" ht="15">
      <c r="A37" s="400" t="s">
        <v>423</v>
      </c>
    </row>
    <row r="38" ht="15">
      <c r="A38" s="400" t="s">
        <v>424</v>
      </c>
    </row>
    <row r="39" ht="15">
      <c r="A39" s="400" t="s">
        <v>425</v>
      </c>
    </row>
    <row r="40" ht="15">
      <c r="A40" s="400" t="s">
        <v>426</v>
      </c>
    </row>
    <row r="41" ht="15">
      <c r="A41" s="400" t="s">
        <v>427</v>
      </c>
    </row>
    <row r="42" ht="15">
      <c r="A42" s="400" t="s">
        <v>428</v>
      </c>
    </row>
    <row r="43" ht="15">
      <c r="A43" s="400" t="s">
        <v>429</v>
      </c>
    </row>
    <row r="44" ht="15">
      <c r="A44" s="400" t="s">
        <v>430</v>
      </c>
    </row>
    <row r="45" ht="15">
      <c r="A45" s="400"/>
    </row>
    <row r="46" ht="15">
      <c r="A46" s="400" t="s">
        <v>431</v>
      </c>
    </row>
    <row r="47" ht="15">
      <c r="A47" s="400" t="s">
        <v>432</v>
      </c>
    </row>
    <row r="48" ht="15">
      <c r="A48" s="400" t="s">
        <v>433</v>
      </c>
    </row>
    <row r="49" ht="15">
      <c r="A49" s="400"/>
    </row>
    <row r="50" ht="15">
      <c r="A50" s="400" t="s">
        <v>434</v>
      </c>
    </row>
    <row r="51" ht="15">
      <c r="A51" s="400" t="s">
        <v>435</v>
      </c>
    </row>
    <row r="52" ht="15">
      <c r="A52" s="400" t="s">
        <v>436</v>
      </c>
    </row>
    <row r="53" ht="15">
      <c r="A53" s="400"/>
    </row>
    <row r="54" ht="15">
      <c r="A54" s="401" t="s">
        <v>437</v>
      </c>
    </row>
    <row r="55" ht="15">
      <c r="A55" s="400"/>
    </row>
    <row r="56" ht="15">
      <c r="A56" s="400" t="s">
        <v>438</v>
      </c>
    </row>
    <row r="57" ht="15">
      <c r="A57" s="400" t="s">
        <v>439</v>
      </c>
    </row>
    <row r="58" ht="15">
      <c r="A58" s="400" t="s">
        <v>440</v>
      </c>
    </row>
    <row r="59" ht="15">
      <c r="A59" s="400" t="s">
        <v>441</v>
      </c>
    </row>
    <row r="60" ht="15">
      <c r="A60" s="400" t="s">
        <v>442</v>
      </c>
    </row>
    <row r="61" ht="15">
      <c r="A61" s="400" t="s">
        <v>443</v>
      </c>
    </row>
    <row r="62" ht="15">
      <c r="A62" s="400" t="s">
        <v>444</v>
      </c>
    </row>
    <row r="63" ht="15">
      <c r="A63" s="400" t="s">
        <v>445</v>
      </c>
    </row>
    <row r="64" ht="15">
      <c r="A64" s="400" t="s">
        <v>446</v>
      </c>
    </row>
    <row r="65" ht="15">
      <c r="A65" s="400" t="s">
        <v>447</v>
      </c>
    </row>
    <row r="66" ht="15">
      <c r="A66" s="400" t="s">
        <v>448</v>
      </c>
    </row>
    <row r="67" ht="15">
      <c r="A67" s="400" t="s">
        <v>449</v>
      </c>
    </row>
    <row r="68" ht="15">
      <c r="A68" s="400" t="s">
        <v>450</v>
      </c>
    </row>
    <row r="69" ht="15">
      <c r="A69" s="400"/>
    </row>
    <row r="70" ht="15">
      <c r="A70" s="400" t="s">
        <v>451</v>
      </c>
    </row>
    <row r="71" ht="15">
      <c r="A71" s="400" t="s">
        <v>452</v>
      </c>
    </row>
    <row r="72" ht="15">
      <c r="A72" s="400" t="s">
        <v>453</v>
      </c>
    </row>
    <row r="73" ht="15">
      <c r="A73" s="400"/>
    </row>
    <row r="74" ht="15">
      <c r="A74" s="401" t="str">
        <f>CONCATENATE("What if the ",inputPrYr!C4-2," financial records have been closed?")</f>
        <v>What if the 2013 financial records have been closed?</v>
      </c>
    </row>
    <row r="76" ht="15">
      <c r="A76" s="400" t="s">
        <v>454</v>
      </c>
    </row>
    <row r="77" ht="15">
      <c r="A77" s="400" t="str">
        <f>CONCATENATE("(i.e. an audit for ",inputPrYr!C4-2," has been completed, or the ",inputPrYr!C4)</f>
        <v>(i.e. an audit for 2013 has been completed, or the 2015</v>
      </c>
    </row>
    <row r="78" ht="15">
      <c r="A78" s="400" t="s">
        <v>455</v>
      </c>
    </row>
    <row r="79" ht="15">
      <c r="A79" s="400" t="s">
        <v>456</v>
      </c>
    </row>
    <row r="80" ht="15">
      <c r="A80" s="400"/>
    </row>
    <row r="81" ht="15">
      <c r="A81" s="400" t="s">
        <v>457</v>
      </c>
    </row>
    <row r="82" ht="15">
      <c r="A82" s="400" t="s">
        <v>458</v>
      </c>
    </row>
    <row r="83" ht="15">
      <c r="A83" s="400" t="s">
        <v>459</v>
      </c>
    </row>
    <row r="84" ht="15">
      <c r="A84" s="400"/>
    </row>
    <row r="85" ht="15">
      <c r="A85" s="400" t="s">
        <v>460</v>
      </c>
    </row>
  </sheetData>
  <sheetProtection sheet="1"/>
  <printOptions/>
  <pageMargins left="0.7" right="0.7" top="0.75" bottom="0.75" header="0.3" footer="0.3"/>
  <pageSetup horizontalDpi="600" verticalDpi="600" orientation="portrait" r:id="rId1"/>
</worksheet>
</file>

<file path=xl/worksheets/sheet4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2" sqref="A2"/>
    </sheetView>
  </sheetViews>
  <sheetFormatPr defaultColWidth="8.796875" defaultRowHeight="15"/>
  <cols>
    <col min="1" max="1" width="71.296875" style="0" customWidth="1"/>
  </cols>
  <sheetData>
    <row r="3" spans="1:10" ht="15">
      <c r="A3" s="399" t="s">
        <v>461</v>
      </c>
      <c r="B3" s="399"/>
      <c r="C3" s="399"/>
      <c r="D3" s="399"/>
      <c r="E3" s="399"/>
      <c r="F3" s="399"/>
      <c r="G3" s="399"/>
      <c r="H3" s="402"/>
      <c r="I3" s="402"/>
      <c r="J3" s="402"/>
    </row>
    <row r="5" ht="15">
      <c r="A5" s="400" t="s">
        <v>462</v>
      </c>
    </row>
    <row r="6" ht="15">
      <c r="A6" t="str">
        <f>CONCATENATE(inputPrYr!C4-2," expenditures show that you finished the year with a ")</f>
        <v>2013 expenditures show that you finished the year with a </v>
      </c>
    </row>
    <row r="7" ht="15">
      <c r="A7" t="s">
        <v>463</v>
      </c>
    </row>
    <row r="9" ht="15">
      <c r="A9" t="s">
        <v>464</v>
      </c>
    </row>
    <row r="10" ht="15">
      <c r="A10" t="s">
        <v>465</v>
      </c>
    </row>
    <row r="11" ht="15">
      <c r="A11" t="s">
        <v>466</v>
      </c>
    </row>
    <row r="13" ht="15">
      <c r="A13" s="401" t="s">
        <v>467</v>
      </c>
    </row>
    <row r="14" ht="15">
      <c r="A14" s="401"/>
    </row>
    <row r="15" ht="15">
      <c r="A15" s="400" t="s">
        <v>468</v>
      </c>
    </row>
    <row r="16" ht="15">
      <c r="A16" s="400" t="s">
        <v>469</v>
      </c>
    </row>
    <row r="17" ht="15">
      <c r="A17" s="400" t="s">
        <v>470</v>
      </c>
    </row>
    <row r="18" ht="15">
      <c r="A18" s="400"/>
    </row>
    <row r="19" ht="15">
      <c r="A19" s="401" t="s">
        <v>471</v>
      </c>
    </row>
    <row r="20" ht="15">
      <c r="A20" s="401"/>
    </row>
    <row r="21" ht="15">
      <c r="A21" s="400" t="s">
        <v>472</v>
      </c>
    </row>
    <row r="22" ht="15">
      <c r="A22" s="400" t="s">
        <v>473</v>
      </c>
    </row>
    <row r="23" ht="15">
      <c r="A23" s="400" t="s">
        <v>474</v>
      </c>
    </row>
    <row r="24" ht="15">
      <c r="A24" s="400"/>
    </row>
    <row r="25" ht="15">
      <c r="A25" s="401" t="s">
        <v>475</v>
      </c>
    </row>
    <row r="26" ht="15">
      <c r="A26" s="401"/>
    </row>
    <row r="27" ht="15">
      <c r="A27" s="400" t="s">
        <v>476</v>
      </c>
    </row>
    <row r="28" ht="15">
      <c r="A28" s="400" t="s">
        <v>477</v>
      </c>
    </row>
    <row r="29" ht="15">
      <c r="A29" s="400" t="s">
        <v>478</v>
      </c>
    </row>
    <row r="30" ht="15">
      <c r="A30" s="400"/>
    </row>
    <row r="31" ht="15">
      <c r="A31" s="401" t="s">
        <v>479</v>
      </c>
    </row>
    <row r="32" ht="15">
      <c r="A32" s="401"/>
    </row>
    <row r="33" spans="1:8" ht="15">
      <c r="A33" s="400" t="str">
        <f>CONCATENATE("If your financial records for ",inputPrYr!C4-2," are not closed")</f>
        <v>If your financial records for 2013 are not closed</v>
      </c>
      <c r="B33" s="400"/>
      <c r="C33" s="400"/>
      <c r="D33" s="400"/>
      <c r="E33" s="400"/>
      <c r="F33" s="400"/>
      <c r="G33" s="400"/>
      <c r="H33" s="400"/>
    </row>
    <row r="34" spans="1:8" ht="15">
      <c r="A34" s="400" t="str">
        <f>CONCATENATE("(i.e. an audit has not been completed, or the ",inputPrYr!C4," adopted ")</f>
        <v>(i.e. an audit has not been completed, or the 2015 adopted </v>
      </c>
      <c r="B34" s="400"/>
      <c r="C34" s="400"/>
      <c r="D34" s="400"/>
      <c r="E34" s="400"/>
      <c r="F34" s="400"/>
      <c r="G34" s="400"/>
      <c r="H34" s="400"/>
    </row>
    <row r="35" spans="1:8" ht="15">
      <c r="A35" s="400" t="s">
        <v>480</v>
      </c>
      <c r="B35" s="400"/>
      <c r="C35" s="400"/>
      <c r="D35" s="400"/>
      <c r="E35" s="400"/>
      <c r="F35" s="400"/>
      <c r="G35" s="400"/>
      <c r="H35" s="400"/>
    </row>
    <row r="36" spans="1:8" ht="15">
      <c r="A36" s="400" t="s">
        <v>481</v>
      </c>
      <c r="B36" s="400"/>
      <c r="C36" s="400"/>
      <c r="D36" s="400"/>
      <c r="E36" s="400"/>
      <c r="F36" s="400"/>
      <c r="G36" s="400"/>
      <c r="H36" s="400"/>
    </row>
    <row r="37" spans="1:8" ht="15">
      <c r="A37" s="400" t="s">
        <v>482</v>
      </c>
      <c r="B37" s="400"/>
      <c r="C37" s="400"/>
      <c r="D37" s="400"/>
      <c r="E37" s="400"/>
      <c r="F37" s="400"/>
      <c r="G37" s="400"/>
      <c r="H37" s="400"/>
    </row>
    <row r="38" spans="1:8" ht="15">
      <c r="A38" s="400" t="s">
        <v>483</v>
      </c>
      <c r="B38" s="400"/>
      <c r="C38" s="400"/>
      <c r="D38" s="400"/>
      <c r="E38" s="400"/>
      <c r="F38" s="400"/>
      <c r="G38" s="400"/>
      <c r="H38" s="400"/>
    </row>
    <row r="39" spans="1:8" ht="15">
      <c r="A39" s="400" t="s">
        <v>484</v>
      </c>
      <c r="B39" s="400"/>
      <c r="C39" s="400"/>
      <c r="D39" s="400"/>
      <c r="E39" s="400"/>
      <c r="F39" s="400"/>
      <c r="G39" s="400"/>
      <c r="H39" s="400"/>
    </row>
    <row r="40" spans="1:8" ht="15">
      <c r="A40" s="400"/>
      <c r="B40" s="400"/>
      <c r="C40" s="400"/>
      <c r="D40" s="400"/>
      <c r="E40" s="400"/>
      <c r="F40" s="400"/>
      <c r="G40" s="400"/>
      <c r="H40" s="400"/>
    </row>
    <row r="41" spans="1:8" ht="15">
      <c r="A41" s="400" t="s">
        <v>485</v>
      </c>
      <c r="B41" s="400"/>
      <c r="C41" s="400"/>
      <c r="D41" s="400"/>
      <c r="E41" s="400"/>
      <c r="F41" s="400"/>
      <c r="G41" s="400"/>
      <c r="H41" s="400"/>
    </row>
    <row r="42" spans="1:8" ht="15">
      <c r="A42" s="400" t="s">
        <v>486</v>
      </c>
      <c r="B42" s="400"/>
      <c r="C42" s="400"/>
      <c r="D42" s="400"/>
      <c r="E42" s="400"/>
      <c r="F42" s="400"/>
      <c r="G42" s="400"/>
      <c r="H42" s="400"/>
    </row>
    <row r="43" spans="1:8" ht="15">
      <c r="A43" s="400" t="s">
        <v>487</v>
      </c>
      <c r="B43" s="400"/>
      <c r="C43" s="400"/>
      <c r="D43" s="400"/>
      <c r="E43" s="400"/>
      <c r="F43" s="400"/>
      <c r="G43" s="400"/>
      <c r="H43" s="400"/>
    </row>
    <row r="44" spans="1:8" ht="15">
      <c r="A44" s="400" t="s">
        <v>488</v>
      </c>
      <c r="B44" s="400"/>
      <c r="C44" s="400"/>
      <c r="D44" s="400"/>
      <c r="E44" s="400"/>
      <c r="F44" s="400"/>
      <c r="G44" s="400"/>
      <c r="H44" s="400"/>
    </row>
    <row r="45" spans="1:8" ht="15">
      <c r="A45" s="400"/>
      <c r="B45" s="400"/>
      <c r="C45" s="400"/>
      <c r="D45" s="400"/>
      <c r="E45" s="400"/>
      <c r="F45" s="400"/>
      <c r="G45" s="400"/>
      <c r="H45" s="400"/>
    </row>
    <row r="46" spans="1:8" ht="15">
      <c r="A46" s="400" t="s">
        <v>489</v>
      </c>
      <c r="B46" s="400"/>
      <c r="C46" s="400"/>
      <c r="D46" s="400"/>
      <c r="E46" s="400"/>
      <c r="F46" s="400"/>
      <c r="G46" s="400"/>
      <c r="H46" s="400"/>
    </row>
    <row r="47" spans="1:8" ht="15">
      <c r="A47" s="400" t="s">
        <v>490</v>
      </c>
      <c r="B47" s="400"/>
      <c r="C47" s="400"/>
      <c r="D47" s="400"/>
      <c r="E47" s="400"/>
      <c r="F47" s="400"/>
      <c r="G47" s="400"/>
      <c r="H47" s="400"/>
    </row>
    <row r="48" spans="1:8" ht="15">
      <c r="A48" s="400" t="s">
        <v>491</v>
      </c>
      <c r="B48" s="400"/>
      <c r="C48" s="400"/>
      <c r="D48" s="400"/>
      <c r="E48" s="400"/>
      <c r="F48" s="400"/>
      <c r="G48" s="400"/>
      <c r="H48" s="400"/>
    </row>
    <row r="49" spans="1:8" ht="15">
      <c r="A49" s="400" t="s">
        <v>492</v>
      </c>
      <c r="B49" s="400"/>
      <c r="C49" s="400"/>
      <c r="D49" s="400"/>
      <c r="E49" s="400"/>
      <c r="F49" s="400"/>
      <c r="G49" s="400"/>
      <c r="H49" s="400"/>
    </row>
    <row r="50" spans="1:8" ht="15">
      <c r="A50" s="400" t="s">
        <v>493</v>
      </c>
      <c r="B50" s="400"/>
      <c r="C50" s="400"/>
      <c r="D50" s="400"/>
      <c r="E50" s="400"/>
      <c r="F50" s="400"/>
      <c r="G50" s="400"/>
      <c r="H50" s="400"/>
    </row>
    <row r="51" spans="1:8" ht="15">
      <c r="A51" s="400"/>
      <c r="B51" s="400"/>
      <c r="C51" s="400"/>
      <c r="D51" s="400"/>
      <c r="E51" s="400"/>
      <c r="F51" s="400"/>
      <c r="G51" s="400"/>
      <c r="H51" s="400"/>
    </row>
    <row r="52" spans="1:8" ht="15">
      <c r="A52" s="401" t="s">
        <v>494</v>
      </c>
      <c r="B52" s="401"/>
      <c r="C52" s="401"/>
      <c r="D52" s="401"/>
      <c r="E52" s="401"/>
      <c r="F52" s="401"/>
      <c r="G52" s="401"/>
      <c r="H52" s="400"/>
    </row>
    <row r="53" spans="1:8" ht="15">
      <c r="A53" s="401" t="s">
        <v>495</v>
      </c>
      <c r="B53" s="401"/>
      <c r="C53" s="401"/>
      <c r="D53" s="401"/>
      <c r="E53" s="401"/>
      <c r="F53" s="401"/>
      <c r="G53" s="401"/>
      <c r="H53" s="400"/>
    </row>
    <row r="54" spans="1:8" ht="15">
      <c r="A54" s="400"/>
      <c r="B54" s="400"/>
      <c r="C54" s="400"/>
      <c r="D54" s="400"/>
      <c r="E54" s="400"/>
      <c r="F54" s="400"/>
      <c r="G54" s="400"/>
      <c r="H54" s="400"/>
    </row>
    <row r="55" spans="1:8" ht="15">
      <c r="A55" s="400" t="s">
        <v>496</v>
      </c>
      <c r="B55" s="400"/>
      <c r="C55" s="400"/>
      <c r="D55" s="400"/>
      <c r="E55" s="400"/>
      <c r="F55" s="400"/>
      <c r="G55" s="400"/>
      <c r="H55" s="400"/>
    </row>
    <row r="56" spans="1:8" ht="15">
      <c r="A56" s="400" t="s">
        <v>497</v>
      </c>
      <c r="B56" s="400"/>
      <c r="C56" s="400"/>
      <c r="D56" s="400"/>
      <c r="E56" s="400"/>
      <c r="F56" s="400"/>
      <c r="G56" s="400"/>
      <c r="H56" s="400"/>
    </row>
    <row r="57" spans="1:8" ht="15">
      <c r="A57" s="400" t="s">
        <v>498</v>
      </c>
      <c r="B57" s="400"/>
      <c r="C57" s="400"/>
      <c r="D57" s="400"/>
      <c r="E57" s="400"/>
      <c r="F57" s="400"/>
      <c r="G57" s="400"/>
      <c r="H57" s="400"/>
    </row>
    <row r="58" spans="1:8" ht="15">
      <c r="A58" s="400" t="s">
        <v>499</v>
      </c>
      <c r="B58" s="400"/>
      <c r="C58" s="400"/>
      <c r="D58" s="400"/>
      <c r="E58" s="400"/>
      <c r="F58" s="400"/>
      <c r="G58" s="400"/>
      <c r="H58" s="400"/>
    </row>
    <row r="59" spans="1:8" ht="15">
      <c r="A59" s="400"/>
      <c r="B59" s="400"/>
      <c r="C59" s="400"/>
      <c r="D59" s="400"/>
      <c r="E59" s="400"/>
      <c r="F59" s="400"/>
      <c r="G59" s="400"/>
      <c r="H59" s="400"/>
    </row>
    <row r="60" spans="1:8" ht="15">
      <c r="A60" s="400" t="s">
        <v>500</v>
      </c>
      <c r="B60" s="400"/>
      <c r="C60" s="400"/>
      <c r="D60" s="400"/>
      <c r="E60" s="400"/>
      <c r="F60" s="400"/>
      <c r="G60" s="400"/>
      <c r="H60" s="400"/>
    </row>
    <row r="61" spans="1:8" ht="15">
      <c r="A61" s="400" t="s">
        <v>501</v>
      </c>
      <c r="B61" s="400"/>
      <c r="C61" s="400"/>
      <c r="D61" s="400"/>
      <c r="E61" s="400"/>
      <c r="F61" s="400"/>
      <c r="G61" s="400"/>
      <c r="H61" s="400"/>
    </row>
    <row r="62" spans="1:8" ht="15">
      <c r="A62" s="400" t="s">
        <v>502</v>
      </c>
      <c r="B62" s="400"/>
      <c r="C62" s="400"/>
      <c r="D62" s="400"/>
      <c r="E62" s="400"/>
      <c r="F62" s="400"/>
      <c r="G62" s="400"/>
      <c r="H62" s="400"/>
    </row>
    <row r="63" spans="1:8" ht="15">
      <c r="A63" s="400" t="s">
        <v>503</v>
      </c>
      <c r="B63" s="400"/>
      <c r="C63" s="400"/>
      <c r="D63" s="400"/>
      <c r="E63" s="400"/>
      <c r="F63" s="400"/>
      <c r="G63" s="400"/>
      <c r="H63" s="400"/>
    </row>
    <row r="64" spans="1:8" ht="15">
      <c r="A64" s="400" t="s">
        <v>504</v>
      </c>
      <c r="B64" s="400"/>
      <c r="C64" s="400"/>
      <c r="D64" s="400"/>
      <c r="E64" s="400"/>
      <c r="F64" s="400"/>
      <c r="G64" s="400"/>
      <c r="H64" s="400"/>
    </row>
    <row r="65" spans="1:8" ht="15">
      <c r="A65" s="400" t="s">
        <v>505</v>
      </c>
      <c r="B65" s="400"/>
      <c r="C65" s="400"/>
      <c r="D65" s="400"/>
      <c r="E65" s="400"/>
      <c r="F65" s="400"/>
      <c r="G65" s="400"/>
      <c r="H65" s="400"/>
    </row>
    <row r="66" spans="1:8" ht="15">
      <c r="A66" s="400"/>
      <c r="B66" s="400"/>
      <c r="C66" s="400"/>
      <c r="D66" s="400"/>
      <c r="E66" s="400"/>
      <c r="F66" s="400"/>
      <c r="G66" s="400"/>
      <c r="H66" s="400"/>
    </row>
    <row r="67" spans="1:8" ht="15">
      <c r="A67" s="400" t="s">
        <v>506</v>
      </c>
      <c r="B67" s="400"/>
      <c r="C67" s="400"/>
      <c r="D67" s="400"/>
      <c r="E67" s="400"/>
      <c r="F67" s="400"/>
      <c r="G67" s="400"/>
      <c r="H67" s="400"/>
    </row>
    <row r="68" spans="1:8" ht="15">
      <c r="A68" s="400" t="s">
        <v>507</v>
      </c>
      <c r="B68" s="400"/>
      <c r="C68" s="400"/>
      <c r="D68" s="400"/>
      <c r="E68" s="400"/>
      <c r="F68" s="400"/>
      <c r="G68" s="400"/>
      <c r="H68" s="400"/>
    </row>
    <row r="69" spans="1:8" ht="15">
      <c r="A69" s="400" t="s">
        <v>508</v>
      </c>
      <c r="B69" s="400"/>
      <c r="C69" s="400"/>
      <c r="D69" s="400"/>
      <c r="E69" s="400"/>
      <c r="F69" s="400"/>
      <c r="G69" s="400"/>
      <c r="H69" s="400"/>
    </row>
    <row r="70" spans="1:8" ht="15">
      <c r="A70" s="400" t="s">
        <v>509</v>
      </c>
      <c r="B70" s="400"/>
      <c r="C70" s="400"/>
      <c r="D70" s="400"/>
      <c r="E70" s="400"/>
      <c r="F70" s="400"/>
      <c r="G70" s="400"/>
      <c r="H70" s="400"/>
    </row>
    <row r="71" spans="1:8" ht="15">
      <c r="A71" s="400" t="s">
        <v>510</v>
      </c>
      <c r="B71" s="400"/>
      <c r="C71" s="400"/>
      <c r="D71" s="400"/>
      <c r="E71" s="400"/>
      <c r="F71" s="400"/>
      <c r="G71" s="400"/>
      <c r="H71" s="400"/>
    </row>
    <row r="72" spans="1:8" ht="15">
      <c r="A72" s="400" t="s">
        <v>511</v>
      </c>
      <c r="B72" s="400"/>
      <c r="C72" s="400"/>
      <c r="D72" s="400"/>
      <c r="E72" s="400"/>
      <c r="F72" s="400"/>
      <c r="G72" s="400"/>
      <c r="H72" s="400"/>
    </row>
    <row r="73" spans="1:8" ht="15">
      <c r="A73" s="400" t="s">
        <v>512</v>
      </c>
      <c r="B73" s="400"/>
      <c r="C73" s="400"/>
      <c r="D73" s="400"/>
      <c r="E73" s="400"/>
      <c r="F73" s="400"/>
      <c r="G73" s="400"/>
      <c r="H73" s="400"/>
    </row>
    <row r="74" spans="1:8" ht="15">
      <c r="A74" s="400"/>
      <c r="B74" s="400"/>
      <c r="C74" s="400"/>
      <c r="D74" s="400"/>
      <c r="E74" s="400"/>
      <c r="F74" s="400"/>
      <c r="G74" s="400"/>
      <c r="H74" s="400"/>
    </row>
    <row r="75" spans="1:8" ht="15">
      <c r="A75" s="400" t="s">
        <v>513</v>
      </c>
      <c r="B75" s="400"/>
      <c r="C75" s="400"/>
      <c r="D75" s="400"/>
      <c r="E75" s="400"/>
      <c r="F75" s="400"/>
      <c r="G75" s="400"/>
      <c r="H75" s="400"/>
    </row>
    <row r="76" spans="1:8" ht="15">
      <c r="A76" s="400" t="s">
        <v>514</v>
      </c>
      <c r="B76" s="400"/>
      <c r="C76" s="400"/>
      <c r="D76" s="400"/>
      <c r="E76" s="400"/>
      <c r="F76" s="400"/>
      <c r="G76" s="400"/>
      <c r="H76" s="400"/>
    </row>
    <row r="77" spans="1:8" ht="15">
      <c r="A77" s="400" t="s">
        <v>515</v>
      </c>
      <c r="B77" s="400"/>
      <c r="C77" s="400"/>
      <c r="D77" s="400"/>
      <c r="E77" s="400"/>
      <c r="F77" s="400"/>
      <c r="G77" s="400"/>
      <c r="H77" s="400"/>
    </row>
    <row r="78" spans="1:8" ht="15">
      <c r="A78" s="400"/>
      <c r="B78" s="400"/>
      <c r="C78" s="400"/>
      <c r="D78" s="400"/>
      <c r="E78" s="400"/>
      <c r="F78" s="400"/>
      <c r="G78" s="400"/>
      <c r="H78" s="400"/>
    </row>
    <row r="79" ht="15">
      <c r="A79" s="400" t="s">
        <v>460</v>
      </c>
    </row>
    <row r="80" ht="15">
      <c r="A80" s="401"/>
    </row>
    <row r="81" ht="15">
      <c r="A81" s="400"/>
    </row>
    <row r="82" ht="15">
      <c r="A82" s="400"/>
    </row>
    <row r="83" ht="15">
      <c r="A83" s="400"/>
    </row>
    <row r="84" ht="15">
      <c r="A84" s="400"/>
    </row>
    <row r="85" ht="15">
      <c r="A85" s="400"/>
    </row>
    <row r="86" ht="15">
      <c r="A86" s="400"/>
    </row>
    <row r="87" ht="15">
      <c r="A87" s="400"/>
    </row>
    <row r="88" ht="15">
      <c r="A88" s="400"/>
    </row>
    <row r="89" ht="15">
      <c r="A89" s="400"/>
    </row>
    <row r="90" ht="15">
      <c r="A90" s="400"/>
    </row>
    <row r="91" ht="15">
      <c r="A91" s="400"/>
    </row>
    <row r="92" ht="15">
      <c r="A92" s="400"/>
    </row>
    <row r="93" ht="15">
      <c r="A93" s="400"/>
    </row>
    <row r="94" ht="15">
      <c r="A94" s="400"/>
    </row>
    <row r="95" ht="15">
      <c r="A95" s="400"/>
    </row>
    <row r="96" ht="15">
      <c r="A96" s="400"/>
    </row>
    <row r="97" ht="15">
      <c r="A97" s="400"/>
    </row>
    <row r="98" ht="15">
      <c r="A98" s="400"/>
    </row>
    <row r="99" ht="15">
      <c r="A99" s="400"/>
    </row>
    <row r="100" ht="15">
      <c r="A100" s="400"/>
    </row>
    <row r="101" ht="15">
      <c r="A101" s="400"/>
    </row>
    <row r="103" ht="15">
      <c r="A103" s="400"/>
    </row>
    <row r="104" ht="15">
      <c r="A104" s="400"/>
    </row>
    <row r="105" ht="15">
      <c r="A105" s="400"/>
    </row>
    <row r="107" ht="15">
      <c r="A107" s="401"/>
    </row>
    <row r="108" ht="15">
      <c r="A108" s="401"/>
    </row>
    <row r="109" ht="15">
      <c r="A109" s="401"/>
    </row>
  </sheetData>
  <sheetProtection sheet="1"/>
  <printOptions/>
  <pageMargins left="0.7" right="0.7" top="0.75" bottom="0.75" header="0.3" footer="0.3"/>
  <pageSetup horizontalDpi="600" verticalDpi="600" orientation="portrait" r:id="rId1"/>
</worksheet>
</file>

<file path=xl/worksheets/sheet4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2" sqref="A2"/>
    </sheetView>
  </sheetViews>
  <sheetFormatPr defaultColWidth="8.796875" defaultRowHeight="15"/>
  <cols>
    <col min="1" max="1" width="71.296875" style="0" customWidth="1"/>
  </cols>
  <sheetData>
    <row r="3" spans="1:12" ht="15">
      <c r="A3" s="399" t="s">
        <v>516</v>
      </c>
      <c r="B3" s="399"/>
      <c r="C3" s="399"/>
      <c r="D3" s="399"/>
      <c r="E3" s="399"/>
      <c r="F3" s="399"/>
      <c r="G3" s="399"/>
      <c r="H3" s="399"/>
      <c r="I3" s="399"/>
      <c r="J3" s="399"/>
      <c r="K3" s="399"/>
      <c r="L3" s="399"/>
    </row>
    <row r="4" spans="1:12" ht="15">
      <c r="A4" s="399"/>
      <c r="B4" s="399"/>
      <c r="C4" s="399"/>
      <c r="D4" s="399"/>
      <c r="E4" s="399"/>
      <c r="F4" s="399"/>
      <c r="G4" s="399"/>
      <c r="H4" s="399"/>
      <c r="I4" s="399"/>
      <c r="J4" s="399"/>
      <c r="K4" s="399"/>
      <c r="L4" s="399"/>
    </row>
    <row r="5" spans="1:12" ht="15">
      <c r="A5" s="400" t="s">
        <v>405</v>
      </c>
      <c r="I5" s="399"/>
      <c r="J5" s="399"/>
      <c r="K5" s="399"/>
      <c r="L5" s="399"/>
    </row>
    <row r="6" spans="1:12" ht="15">
      <c r="A6" s="400" t="str">
        <f>CONCATENATE("estimated ",inputPrYr!C4-1," 'total expenditures' exceed your ",inputPrYr!C4-1,"")</f>
        <v>estimated 2014 'total expenditures' exceed your 2014</v>
      </c>
      <c r="I6" s="399"/>
      <c r="J6" s="399"/>
      <c r="K6" s="399"/>
      <c r="L6" s="399"/>
    </row>
    <row r="7" spans="1:12" ht="15">
      <c r="A7" s="403" t="s">
        <v>517</v>
      </c>
      <c r="I7" s="399"/>
      <c r="J7" s="399"/>
      <c r="K7" s="399"/>
      <c r="L7" s="399"/>
    </row>
    <row r="8" spans="1:12" ht="15">
      <c r="A8" s="400"/>
      <c r="I8" s="399"/>
      <c r="J8" s="399"/>
      <c r="K8" s="399"/>
      <c r="L8" s="399"/>
    </row>
    <row r="9" spans="1:12" ht="15">
      <c r="A9" s="400" t="s">
        <v>518</v>
      </c>
      <c r="I9" s="399"/>
      <c r="J9" s="399"/>
      <c r="K9" s="399"/>
      <c r="L9" s="399"/>
    </row>
    <row r="10" spans="1:12" ht="15">
      <c r="A10" s="400" t="s">
        <v>519</v>
      </c>
      <c r="I10" s="399"/>
      <c r="J10" s="399"/>
      <c r="K10" s="399"/>
      <c r="L10" s="399"/>
    </row>
    <row r="11" spans="1:12" ht="15">
      <c r="A11" s="400" t="s">
        <v>520</v>
      </c>
      <c r="I11" s="399"/>
      <c r="J11" s="399"/>
      <c r="K11" s="399"/>
      <c r="L11" s="399"/>
    </row>
    <row r="12" spans="1:12" ht="15">
      <c r="A12" s="400" t="s">
        <v>521</v>
      </c>
      <c r="I12" s="399"/>
      <c r="J12" s="399"/>
      <c r="K12" s="399"/>
      <c r="L12" s="399"/>
    </row>
    <row r="13" spans="1:12" ht="15">
      <c r="A13" s="400" t="s">
        <v>522</v>
      </c>
      <c r="I13" s="399"/>
      <c r="J13" s="399"/>
      <c r="K13" s="399"/>
      <c r="L13" s="399"/>
    </row>
    <row r="14" spans="1:12" ht="15">
      <c r="A14" s="399"/>
      <c r="B14" s="399"/>
      <c r="C14" s="399"/>
      <c r="D14" s="399"/>
      <c r="E14" s="399"/>
      <c r="F14" s="399"/>
      <c r="G14" s="399"/>
      <c r="H14" s="399"/>
      <c r="I14" s="399"/>
      <c r="J14" s="399"/>
      <c r="K14" s="399"/>
      <c r="L14" s="399"/>
    </row>
    <row r="15" ht="15">
      <c r="A15" s="401" t="s">
        <v>523</v>
      </c>
    </row>
    <row r="16" ht="15">
      <c r="A16" s="401" t="s">
        <v>524</v>
      </c>
    </row>
    <row r="17" ht="15">
      <c r="A17" s="401"/>
    </row>
    <row r="18" spans="1:7" ht="15">
      <c r="A18" s="400" t="s">
        <v>525</v>
      </c>
      <c r="B18" s="400"/>
      <c r="C18" s="400"/>
      <c r="D18" s="400"/>
      <c r="E18" s="400"/>
      <c r="F18" s="400"/>
      <c r="G18" s="400"/>
    </row>
    <row r="19" spans="1:7" ht="15">
      <c r="A19" s="400" t="str">
        <f>CONCATENATE("your ",inputPrYr!C4-1," numbers to see what steps might be necessary to")</f>
        <v>your 2014 numbers to see what steps might be necessary to</v>
      </c>
      <c r="B19" s="400"/>
      <c r="C19" s="400"/>
      <c r="D19" s="400"/>
      <c r="E19" s="400"/>
      <c r="F19" s="400"/>
      <c r="G19" s="400"/>
    </row>
    <row r="20" spans="1:7" ht="15">
      <c r="A20" s="400" t="s">
        <v>526</v>
      </c>
      <c r="B20" s="400"/>
      <c r="C20" s="400"/>
      <c r="D20" s="400"/>
      <c r="E20" s="400"/>
      <c r="F20" s="400"/>
      <c r="G20" s="400"/>
    </row>
    <row r="21" spans="1:7" ht="15">
      <c r="A21" s="400" t="s">
        <v>527</v>
      </c>
      <c r="B21" s="400"/>
      <c r="C21" s="400"/>
      <c r="D21" s="400"/>
      <c r="E21" s="400"/>
      <c r="F21" s="400"/>
      <c r="G21" s="400"/>
    </row>
    <row r="22" ht="15">
      <c r="A22" s="400"/>
    </row>
    <row r="23" ht="15">
      <c r="A23" s="401" t="s">
        <v>528</v>
      </c>
    </row>
    <row r="24" ht="15">
      <c r="A24" s="401"/>
    </row>
    <row r="25" ht="15">
      <c r="A25" s="400" t="s">
        <v>529</v>
      </c>
    </row>
    <row r="26" spans="1:6" ht="15">
      <c r="A26" s="400" t="s">
        <v>530</v>
      </c>
      <c r="B26" s="400"/>
      <c r="C26" s="400"/>
      <c r="D26" s="400"/>
      <c r="E26" s="400"/>
      <c r="F26" s="400"/>
    </row>
    <row r="27" spans="1:6" ht="15">
      <c r="A27" s="400" t="s">
        <v>531</v>
      </c>
      <c r="B27" s="400"/>
      <c r="C27" s="400"/>
      <c r="D27" s="400"/>
      <c r="E27" s="400"/>
      <c r="F27" s="400"/>
    </row>
    <row r="28" spans="1:6" ht="15">
      <c r="A28" s="400" t="s">
        <v>532</v>
      </c>
      <c r="B28" s="400"/>
      <c r="C28" s="400"/>
      <c r="D28" s="400"/>
      <c r="E28" s="400"/>
      <c r="F28" s="400"/>
    </row>
    <row r="29" spans="1:6" ht="15">
      <c r="A29" s="400"/>
      <c r="B29" s="400"/>
      <c r="C29" s="400"/>
      <c r="D29" s="400"/>
      <c r="E29" s="400"/>
      <c r="F29" s="400"/>
    </row>
    <row r="30" spans="1:7" ht="15">
      <c r="A30" s="401" t="s">
        <v>533</v>
      </c>
      <c r="B30" s="401"/>
      <c r="C30" s="401"/>
      <c r="D30" s="401"/>
      <c r="E30" s="401"/>
      <c r="F30" s="401"/>
      <c r="G30" s="401"/>
    </row>
    <row r="31" spans="1:7" ht="15">
      <c r="A31" s="401" t="s">
        <v>534</v>
      </c>
      <c r="B31" s="401"/>
      <c r="C31" s="401"/>
      <c r="D31" s="401"/>
      <c r="E31" s="401"/>
      <c r="F31" s="401"/>
      <c r="G31" s="401"/>
    </row>
    <row r="32" spans="1:6" ht="15">
      <c r="A32" s="400"/>
      <c r="B32" s="400"/>
      <c r="C32" s="400"/>
      <c r="D32" s="400"/>
      <c r="E32" s="400"/>
      <c r="F32" s="400"/>
    </row>
    <row r="33" spans="1:6" ht="15">
      <c r="A33" s="404" t="str">
        <f>CONCATENATE("Well, let's look to see if any of your ",inputPrYr!C4-1," expenditures can")</f>
        <v>Well, let's look to see if any of your 2014 expenditures can</v>
      </c>
      <c r="B33" s="400"/>
      <c r="C33" s="400"/>
      <c r="D33" s="400"/>
      <c r="E33" s="400"/>
      <c r="F33" s="400"/>
    </row>
    <row r="34" spans="1:6" ht="15">
      <c r="A34" s="404" t="s">
        <v>535</v>
      </c>
      <c r="B34" s="400"/>
      <c r="C34" s="400"/>
      <c r="D34" s="400"/>
      <c r="E34" s="400"/>
      <c r="F34" s="400"/>
    </row>
    <row r="35" spans="1:6" ht="15">
      <c r="A35" s="404" t="s">
        <v>419</v>
      </c>
      <c r="B35" s="400"/>
      <c r="C35" s="400"/>
      <c r="D35" s="400"/>
      <c r="E35" s="400"/>
      <c r="F35" s="400"/>
    </row>
    <row r="36" spans="1:6" ht="15">
      <c r="A36" s="404" t="s">
        <v>420</v>
      </c>
      <c r="B36" s="400"/>
      <c r="C36" s="400"/>
      <c r="D36" s="400"/>
      <c r="E36" s="400"/>
      <c r="F36" s="400"/>
    </row>
    <row r="37" spans="1:6" ht="15">
      <c r="A37" s="404"/>
      <c r="B37" s="400"/>
      <c r="C37" s="400"/>
      <c r="D37" s="400"/>
      <c r="E37" s="400"/>
      <c r="F37" s="400"/>
    </row>
    <row r="38" spans="1:6" ht="15">
      <c r="A38" s="404" t="str">
        <f>CONCATENATE("Additionally, do your ",inputPrYr!C4-1," receipts contain a reimbursement")</f>
        <v>Additionally, do your 2014 receipts contain a reimbursement</v>
      </c>
      <c r="B38" s="400"/>
      <c r="C38" s="400"/>
      <c r="D38" s="400"/>
      <c r="E38" s="400"/>
      <c r="F38" s="400"/>
    </row>
    <row r="39" spans="1:6" ht="15">
      <c r="A39" s="404" t="s">
        <v>421</v>
      </c>
      <c r="B39" s="400"/>
      <c r="C39" s="400"/>
      <c r="D39" s="400"/>
      <c r="E39" s="400"/>
      <c r="F39" s="400"/>
    </row>
    <row r="40" spans="1:6" ht="15">
      <c r="A40" s="404" t="s">
        <v>422</v>
      </c>
      <c r="B40" s="400"/>
      <c r="C40" s="400"/>
      <c r="D40" s="400"/>
      <c r="E40" s="400"/>
      <c r="F40" s="400"/>
    </row>
    <row r="41" spans="1:6" ht="15">
      <c r="A41" s="404"/>
      <c r="B41" s="400"/>
      <c r="C41" s="400"/>
      <c r="D41" s="400"/>
      <c r="E41" s="400"/>
      <c r="F41" s="400"/>
    </row>
    <row r="42" spans="1:6" ht="15">
      <c r="A42" s="404" t="s">
        <v>423</v>
      </c>
      <c r="B42" s="400"/>
      <c r="C42" s="400"/>
      <c r="D42" s="400"/>
      <c r="E42" s="400"/>
      <c r="F42" s="400"/>
    </row>
    <row r="43" spans="1:6" ht="15">
      <c r="A43" s="404" t="s">
        <v>424</v>
      </c>
      <c r="B43" s="400"/>
      <c r="C43" s="400"/>
      <c r="D43" s="400"/>
      <c r="E43" s="400"/>
      <c r="F43" s="400"/>
    </row>
    <row r="44" spans="1:6" ht="15">
      <c r="A44" s="404" t="s">
        <v>425</v>
      </c>
      <c r="B44" s="400"/>
      <c r="C44" s="400"/>
      <c r="D44" s="400"/>
      <c r="E44" s="400"/>
      <c r="F44" s="400"/>
    </row>
    <row r="45" spans="1:6" ht="15">
      <c r="A45" s="404" t="s">
        <v>536</v>
      </c>
      <c r="B45" s="400"/>
      <c r="C45" s="400"/>
      <c r="D45" s="400"/>
      <c r="E45" s="400"/>
      <c r="F45" s="400"/>
    </row>
    <row r="46" spans="1:6" ht="15">
      <c r="A46" s="404" t="s">
        <v>427</v>
      </c>
      <c r="B46" s="400"/>
      <c r="C46" s="400"/>
      <c r="D46" s="400"/>
      <c r="E46" s="400"/>
      <c r="F46" s="400"/>
    </row>
    <row r="47" spans="1:6" ht="15">
      <c r="A47" s="404" t="s">
        <v>537</v>
      </c>
      <c r="B47" s="400"/>
      <c r="C47" s="400"/>
      <c r="D47" s="400"/>
      <c r="E47" s="400"/>
      <c r="F47" s="400"/>
    </row>
    <row r="48" spans="1:6" ht="15">
      <c r="A48" s="404" t="s">
        <v>538</v>
      </c>
      <c r="B48" s="400"/>
      <c r="C48" s="400"/>
      <c r="D48" s="400"/>
      <c r="E48" s="400"/>
      <c r="F48" s="400"/>
    </row>
    <row r="49" spans="1:6" ht="15">
      <c r="A49" s="404" t="s">
        <v>430</v>
      </c>
      <c r="B49" s="400"/>
      <c r="C49" s="400"/>
      <c r="D49" s="400"/>
      <c r="E49" s="400"/>
      <c r="F49" s="400"/>
    </row>
    <row r="50" spans="1:6" ht="15">
      <c r="A50" s="404"/>
      <c r="B50" s="400"/>
      <c r="C50" s="400"/>
      <c r="D50" s="400"/>
      <c r="E50" s="400"/>
      <c r="F50" s="400"/>
    </row>
    <row r="51" spans="1:6" ht="15">
      <c r="A51" s="404" t="s">
        <v>431</v>
      </c>
      <c r="B51" s="400"/>
      <c r="C51" s="400"/>
      <c r="D51" s="400"/>
      <c r="E51" s="400"/>
      <c r="F51" s="400"/>
    </row>
    <row r="52" spans="1:6" ht="15">
      <c r="A52" s="404" t="s">
        <v>432</v>
      </c>
      <c r="B52" s="400"/>
      <c r="C52" s="400"/>
      <c r="D52" s="400"/>
      <c r="E52" s="400"/>
      <c r="F52" s="400"/>
    </row>
    <row r="53" spans="1:6" ht="15">
      <c r="A53" s="404" t="s">
        <v>433</v>
      </c>
      <c r="B53" s="400"/>
      <c r="C53" s="400"/>
      <c r="D53" s="400"/>
      <c r="E53" s="400"/>
      <c r="F53" s="400"/>
    </row>
    <row r="54" spans="1:6" ht="15">
      <c r="A54" s="404"/>
      <c r="B54" s="400"/>
      <c r="C54" s="400"/>
      <c r="D54" s="400"/>
      <c r="E54" s="400"/>
      <c r="F54" s="400"/>
    </row>
    <row r="55" spans="1:6" ht="15">
      <c r="A55" s="404" t="s">
        <v>539</v>
      </c>
      <c r="B55" s="400"/>
      <c r="C55" s="400"/>
      <c r="D55" s="400"/>
      <c r="E55" s="400"/>
      <c r="F55" s="400"/>
    </row>
    <row r="56" spans="1:6" ht="15">
      <c r="A56" s="404" t="s">
        <v>540</v>
      </c>
      <c r="B56" s="400"/>
      <c r="C56" s="400"/>
      <c r="D56" s="400"/>
      <c r="E56" s="400"/>
      <c r="F56" s="400"/>
    </row>
    <row r="57" spans="1:6" ht="15">
      <c r="A57" s="404" t="s">
        <v>541</v>
      </c>
      <c r="B57" s="400"/>
      <c r="C57" s="400"/>
      <c r="D57" s="400"/>
      <c r="E57" s="400"/>
      <c r="F57" s="400"/>
    </row>
    <row r="58" spans="1:6" ht="15">
      <c r="A58" s="404" t="s">
        <v>542</v>
      </c>
      <c r="B58" s="400"/>
      <c r="C58" s="400"/>
      <c r="D58" s="400"/>
      <c r="E58" s="400"/>
      <c r="F58" s="400"/>
    </row>
    <row r="59" spans="1:6" ht="15">
      <c r="A59" s="404" t="s">
        <v>543</v>
      </c>
      <c r="B59" s="400"/>
      <c r="C59" s="400"/>
      <c r="D59" s="400"/>
      <c r="E59" s="400"/>
      <c r="F59" s="400"/>
    </row>
    <row r="60" spans="1:6" ht="15">
      <c r="A60" s="404"/>
      <c r="B60" s="400"/>
      <c r="C60" s="400"/>
      <c r="D60" s="400"/>
      <c r="E60" s="400"/>
      <c r="F60" s="400"/>
    </row>
    <row r="61" spans="1:6" ht="15">
      <c r="A61" s="405" t="s">
        <v>544</v>
      </c>
      <c r="B61" s="400"/>
      <c r="C61" s="400"/>
      <c r="D61" s="400"/>
      <c r="E61" s="400"/>
      <c r="F61" s="400"/>
    </row>
    <row r="62" spans="1:6" ht="15">
      <c r="A62" s="405" t="s">
        <v>545</v>
      </c>
      <c r="B62" s="400"/>
      <c r="C62" s="400"/>
      <c r="D62" s="400"/>
      <c r="E62" s="400"/>
      <c r="F62" s="400"/>
    </row>
    <row r="63" spans="1:6" ht="15">
      <c r="A63" s="405" t="s">
        <v>546</v>
      </c>
      <c r="B63" s="400"/>
      <c r="C63" s="400"/>
      <c r="D63" s="400"/>
      <c r="E63" s="400"/>
      <c r="F63" s="400"/>
    </row>
    <row r="64" ht="15">
      <c r="A64" s="405" t="s">
        <v>547</v>
      </c>
    </row>
    <row r="65" ht="15">
      <c r="A65" s="405" t="s">
        <v>548</v>
      </c>
    </row>
    <row r="66" ht="15">
      <c r="A66" s="405" t="s">
        <v>549</v>
      </c>
    </row>
    <row r="68" ht="15">
      <c r="A68" s="400" t="s">
        <v>550</v>
      </c>
    </row>
    <row r="69" ht="15">
      <c r="A69" s="400" t="s">
        <v>551</v>
      </c>
    </row>
    <row r="70" ht="15">
      <c r="A70" s="400" t="s">
        <v>552</v>
      </c>
    </row>
    <row r="71" ht="15">
      <c r="A71" s="400" t="s">
        <v>553</v>
      </c>
    </row>
    <row r="72" ht="15">
      <c r="A72" s="400" t="s">
        <v>554</v>
      </c>
    </row>
    <row r="73" ht="15">
      <c r="A73" s="400" t="s">
        <v>555</v>
      </c>
    </row>
    <row r="75" ht="15">
      <c r="A75" s="400" t="s">
        <v>460</v>
      </c>
    </row>
  </sheetData>
  <sheetProtection sheet="1"/>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F84"/>
  <sheetViews>
    <sheetView tabSelected="1" zoomScale="90" zoomScaleNormal="90" zoomScalePageLayoutView="0" workbookViewId="0" topLeftCell="A1">
      <selection activeCell="E69" sqref="E69"/>
    </sheetView>
  </sheetViews>
  <sheetFormatPr defaultColWidth="8.796875" defaultRowHeight="15"/>
  <cols>
    <col min="1" max="1" width="20.796875" style="138" customWidth="1"/>
    <col min="2" max="2" width="9.796875" style="138" customWidth="1"/>
    <col min="3" max="3" width="5.796875" style="138" customWidth="1"/>
    <col min="4" max="6" width="15.796875" style="138" customWidth="1"/>
    <col min="7" max="16384" width="8.8984375" style="138" customWidth="1"/>
  </cols>
  <sheetData>
    <row r="1" spans="1:6" ht="12.75">
      <c r="A1" s="137"/>
      <c r="B1" s="137"/>
      <c r="C1" s="137"/>
      <c r="D1" s="137"/>
      <c r="E1" s="137"/>
      <c r="F1" s="137"/>
    </row>
    <row r="2" spans="1:6" ht="12.75">
      <c r="A2" s="795" t="s">
        <v>231</v>
      </c>
      <c r="B2" s="795"/>
      <c r="C2" s="795"/>
      <c r="D2" s="795"/>
      <c r="E2" s="795"/>
      <c r="F2" s="795"/>
    </row>
    <row r="3" spans="1:6" ht="15" customHeight="1">
      <c r="A3" s="139"/>
      <c r="B3" s="139"/>
      <c r="C3" s="139"/>
      <c r="D3" s="139"/>
      <c r="E3" s="139"/>
      <c r="F3" s="137">
        <f>inputPrYr!C4</f>
        <v>2015</v>
      </c>
    </row>
    <row r="4" spans="1:6" ht="15">
      <c r="A4" s="800" t="str">
        <f>CONCATENATE("To the Clerk of ",inputPrYr!C2,", State of Kansas")</f>
        <v>To the Clerk of Marshall County, State of Kansas</v>
      </c>
      <c r="B4" s="801"/>
      <c r="C4" s="801"/>
      <c r="D4" s="801"/>
      <c r="E4" s="801"/>
      <c r="F4" s="801"/>
    </row>
    <row r="5" spans="1:6" ht="15">
      <c r="A5" s="800" t="s">
        <v>5</v>
      </c>
      <c r="B5" s="802"/>
      <c r="C5" s="802"/>
      <c r="D5" s="802"/>
      <c r="E5" s="802"/>
      <c r="F5" s="802"/>
    </row>
    <row r="6" spans="1:6" ht="15">
      <c r="A6" s="798" t="str">
        <f>(inputPrYr!C2)</f>
        <v>Marshall County</v>
      </c>
      <c r="B6" s="799"/>
      <c r="C6" s="799"/>
      <c r="D6" s="799"/>
      <c r="E6" s="799"/>
      <c r="F6" s="799"/>
    </row>
    <row r="7" spans="1:6" ht="12.75">
      <c r="A7" s="141" t="s">
        <v>132</v>
      </c>
      <c r="B7" s="142"/>
      <c r="C7" s="142"/>
      <c r="D7" s="142"/>
      <c r="E7" s="142"/>
      <c r="F7" s="142"/>
    </row>
    <row r="8" spans="1:6" ht="12.75">
      <c r="A8" s="141" t="s">
        <v>133</v>
      </c>
      <c r="B8" s="142"/>
      <c r="C8" s="142"/>
      <c r="D8" s="142"/>
      <c r="E8" s="142"/>
      <c r="F8" s="142"/>
    </row>
    <row r="9" spans="1:6" ht="12.75">
      <c r="A9" s="141" t="str">
        <f>CONCATENATE("maximum expenditure for the various funds for the year ",F3,"; and")</f>
        <v>maximum expenditure for the various funds for the year 2015; and</v>
      </c>
      <c r="B9" s="142"/>
      <c r="C9" s="142"/>
      <c r="D9" s="142"/>
      <c r="E9" s="142"/>
      <c r="F9" s="142"/>
    </row>
    <row r="10" spans="1:6" ht="12.75">
      <c r="A10" s="141" t="str">
        <f>CONCATENATE("(3) the Amount(s) of ",F3-1," Ad Valorem Tax are within statutory limitations.")</f>
        <v>(3) the Amount(s) of 2014 Ad Valorem Tax are within statutory limitations.</v>
      </c>
      <c r="B10" s="142"/>
      <c r="C10" s="142"/>
      <c r="D10" s="142"/>
      <c r="E10" s="142"/>
      <c r="F10" s="142"/>
    </row>
    <row r="11" spans="1:6" ht="8.25" customHeight="1">
      <c r="A11" s="143"/>
      <c r="B11" s="139"/>
      <c r="C11" s="139"/>
      <c r="D11" s="144"/>
      <c r="E11" s="144"/>
      <c r="F11" s="144"/>
    </row>
    <row r="12" spans="1:6" ht="12.75">
      <c r="A12" s="139"/>
      <c r="B12" s="139"/>
      <c r="C12" s="139"/>
      <c r="D12" s="145" t="str">
        <f>CONCATENATE("",F3," Adopted Budget")</f>
        <v>2015 Adopted Budget</v>
      </c>
      <c r="E12" s="146"/>
      <c r="F12" s="147"/>
    </row>
    <row r="13" spans="1:6" ht="13.5" customHeight="1">
      <c r="A13" s="139"/>
      <c r="B13" s="139"/>
      <c r="C13" s="148" t="s">
        <v>134</v>
      </c>
      <c r="D13" s="441" t="s">
        <v>645</v>
      </c>
      <c r="E13" s="796" t="str">
        <f>CONCATENATE("Amount of ",F3-1,"               Ad Valorem Tax")</f>
        <v>Amount of 2014               Ad Valorem Tax</v>
      </c>
      <c r="F13" s="148" t="s">
        <v>135</v>
      </c>
    </row>
    <row r="14" spans="1:6" ht="12.75" customHeight="1">
      <c r="A14" s="149" t="s">
        <v>136</v>
      </c>
      <c r="B14" s="150"/>
      <c r="C14" s="151" t="s">
        <v>137</v>
      </c>
      <c r="D14" s="440" t="s">
        <v>646</v>
      </c>
      <c r="E14" s="797"/>
      <c r="F14" s="151" t="s">
        <v>139</v>
      </c>
    </row>
    <row r="15" spans="1:6" ht="12.75">
      <c r="A15" s="152" t="str">
        <f>CONCATENATE("Computation to Determine Limit for ",F3,"")</f>
        <v>Computation to Determine Limit for 2015</v>
      </c>
      <c r="B15" s="156"/>
      <c r="C15" s="151">
        <v>2</v>
      </c>
      <c r="D15" s="153"/>
      <c r="E15" s="153"/>
      <c r="F15" s="153"/>
    </row>
    <row r="16" spans="1:6" ht="12.75">
      <c r="A16" s="155" t="s">
        <v>815</v>
      </c>
      <c r="B16" s="156"/>
      <c r="C16" s="157">
        <v>3</v>
      </c>
      <c r="D16" s="153"/>
      <c r="E16" s="153"/>
      <c r="F16" s="153"/>
    </row>
    <row r="17" spans="1:6" ht="12.75">
      <c r="A17" s="624" t="s">
        <v>277</v>
      </c>
      <c r="B17" s="670"/>
      <c r="C17" s="157">
        <v>4</v>
      </c>
      <c r="D17" s="153"/>
      <c r="E17" s="153"/>
      <c r="F17" s="153"/>
    </row>
    <row r="18" spans="1:6" ht="12.75">
      <c r="A18" s="155" t="s">
        <v>140</v>
      </c>
      <c r="B18" s="156"/>
      <c r="C18" s="158">
        <v>5</v>
      </c>
      <c r="D18" s="159"/>
      <c r="E18" s="159"/>
      <c r="F18" s="159"/>
    </row>
    <row r="19" spans="1:6" ht="12.75">
      <c r="A19" s="155" t="s">
        <v>141</v>
      </c>
      <c r="B19" s="156"/>
      <c r="C19" s="160">
        <v>6</v>
      </c>
      <c r="D19" s="159"/>
      <c r="E19" s="159"/>
      <c r="F19" s="159"/>
    </row>
    <row r="20" spans="1:6" ht="12.75">
      <c r="A20" s="161" t="s">
        <v>142</v>
      </c>
      <c r="B20" s="162" t="s">
        <v>143</v>
      </c>
      <c r="C20" s="163"/>
      <c r="D20" s="164"/>
      <c r="E20" s="164"/>
      <c r="F20" s="164"/>
    </row>
    <row r="21" spans="1:6" ht="15.75">
      <c r="A21" s="152" t="str">
        <f>inputPrYr!B16</f>
        <v>General</v>
      </c>
      <c r="B21" s="165" t="str">
        <f>inputPrYr!C16</f>
        <v>79-1946</v>
      </c>
      <c r="C21" s="158">
        <v>7</v>
      </c>
      <c r="D21" s="674">
        <f>IF(general!$E$115&lt;&gt;0,general!$E$115,"  ")</f>
        <v>2883676</v>
      </c>
      <c r="E21" s="675">
        <f>IF(general!$E$122&lt;&gt;0,general!$E$122,0)</f>
        <v>1641730</v>
      </c>
      <c r="F21" s="676" t="str">
        <f>IF(AND(general!E122=0,$F$69&gt;=0)," ",IF(AND(E21&gt;0,$F$69=0)," ",IF(AND(E21&gt;0,$F$69&gt;0),ROUND(E21/$F$69*1000,3))))</f>
        <v> </v>
      </c>
    </row>
    <row r="22" spans="1:6" ht="15.75">
      <c r="A22" s="152" t="str">
        <f>inputPrYr!B17</f>
        <v>Debt Service</v>
      </c>
      <c r="B22" s="165" t="str">
        <f>inputPrYr!C17</f>
        <v>10-113</v>
      </c>
      <c r="C22" s="168">
        <f>IF(DebtService!C59&gt;0,DebtService!C59,"")</f>
        <v>8</v>
      </c>
      <c r="D22" s="674">
        <f>IF(DebtService!$E$50&lt;&gt;0,DebtService!$E$50,"  ")</f>
        <v>15045</v>
      </c>
      <c r="E22" s="675">
        <f>IF(DebtService!$E$57&lt;&gt;0,DebtService!$E$57,0)</f>
        <v>2911</v>
      </c>
      <c r="F22" s="676" t="str">
        <f>IF(AND(DebtService!E57=0,$F$69&gt;=0)," ",IF(AND(E22&gt;0,$F$69=0)," ",IF(AND(E22&gt;0,$F$69&gt;0),ROUND(E22/$F$69*1000,3))))</f>
        <v> </v>
      </c>
    </row>
    <row r="23" spans="1:6" ht="15.75">
      <c r="A23" s="152" t="str">
        <f>inputPrYr!B18</f>
        <v>Road &amp; Bridge</v>
      </c>
      <c r="B23" s="165" t="str">
        <f>inputPrYr!C18</f>
        <v>79-1946</v>
      </c>
      <c r="C23" s="158">
        <f>IF(road!C57&gt;0,road!C57,"")</f>
        <v>9</v>
      </c>
      <c r="D23" s="674">
        <f>IF(road!$E$111&lt;&gt;0,road!$E$111,"  ")</f>
        <v>2729537</v>
      </c>
      <c r="E23" s="675">
        <f>IF(road!$E$118&lt;&gt;0,road!$E$118,0)</f>
        <v>1955713</v>
      </c>
      <c r="F23" s="676" t="str">
        <f>IF(AND(road!E118=0,$F$69&gt;=0)," ",IF(AND(E23&gt;0,$F$69=0)," ",IF(AND(E23&gt;0,$F$69&gt;0),ROUND(E23/$F$69*1000,3))))</f>
        <v> </v>
      </c>
    </row>
    <row r="24" spans="1:6" ht="15.75">
      <c r="A24" s="166" t="str">
        <f>IF((inputPrYr!$B19&gt;"  "),(inputPrYr!$B19),"  ")</f>
        <v>Health Nurse</v>
      </c>
      <c r="B24" s="165" t="str">
        <f>IF((inputPrYr!C19&gt;0),(inputPrYr!C19),"  ")</f>
        <v>65-204</v>
      </c>
      <c r="C24" s="158">
        <f>IF('Health-Fair'!C81&gt;0,'Health-Fair'!C81,"  ")</f>
        <v>10</v>
      </c>
      <c r="D24" s="674">
        <f>IF('Health-Fair'!$E$33&lt;&gt;0,'Health-Fair'!$E$33,"  ")</f>
        <v>552800</v>
      </c>
      <c r="E24" s="675">
        <f>IF('Health-Fair'!$E$40&lt;&gt;0,'Health-Fair'!$E$40,0)</f>
        <v>212172</v>
      </c>
      <c r="F24" s="676" t="str">
        <f>IF(AND('Health-Fair'!E40=0,$F$69&gt;=0)," ",IF(AND(E24&gt;0,$F$69=0)," ",IF(AND(E24&gt;0,$F$69&gt;0),ROUND(E24/$F$69*1000,3))))</f>
        <v> </v>
      </c>
    </row>
    <row r="25" spans="1:6" ht="15.75">
      <c r="A25" s="166" t="str">
        <f>IF((inputPrYr!$B20&gt;"  "),(inputPrYr!$B20),"  ")</f>
        <v>Fair</v>
      </c>
      <c r="B25" s="165" t="str">
        <f>IF((inputPrYr!C20&gt;0),(inputPrYr!C20),"  ")</f>
        <v>2-132</v>
      </c>
      <c r="C25" s="158">
        <f>IF('Health-Fair'!C81&gt;0,'Health-Fair'!C81,"  ")</f>
        <v>10</v>
      </c>
      <c r="D25" s="674">
        <f>IF('Health-Fair'!$E$73&lt;&gt;0,'Health-Fair'!$E$73,"  ")</f>
        <v>29882</v>
      </c>
      <c r="E25" s="675">
        <f>IF('Health-Fair'!$E$80&lt;&gt;0,'Health-Fair'!$E$80,0)</f>
        <v>18215</v>
      </c>
      <c r="F25" s="676" t="str">
        <f>IF(AND('Health-Fair'!E80=0,$F$69&gt;=0)," ",IF(AND(E25&gt;0,$F$69=0)," ",IF(AND(E25&gt;0,$F$69&gt;0),ROUND(E25/$F$69*1000,3))))</f>
        <v> </v>
      </c>
    </row>
    <row r="26" spans="1:6" ht="15.75">
      <c r="A26" s="166" t="str">
        <f>IF((inputPrYr!$B21&gt;"  "),(inputPrYr!$B21),"  ")</f>
        <v>4-H Building</v>
      </c>
      <c r="B26" s="165" t="str">
        <f>IF((inputPrYr!C21&gt;0),(inputPrYr!C21),"  ")</f>
        <v>19-1561b</v>
      </c>
      <c r="C26" s="158">
        <f>IF('4-H-RecHHW'!C81&gt;0,'4-H-RecHHW'!C81,"  ")</f>
        <v>11</v>
      </c>
      <c r="D26" s="674">
        <f>IF('4-H-RecHHW'!$E$33&lt;&gt;0,'4-H-RecHHW'!$E$33,"  ")</f>
        <v>7506</v>
      </c>
      <c r="E26" s="675">
        <f>IF('4-H-RecHHW'!$E$40&lt;&gt;0,'4-H-RecHHW'!$E$40,0)</f>
        <v>6813</v>
      </c>
      <c r="F26" s="676" t="str">
        <f>IF(AND('4-H-RecHHW'!E40=0,$F$69&gt;=0)," ",IF(AND(E26&gt;0,$F$69=0)," ",IF(AND(E26&gt;0,$F$69&gt;0),ROUND(E26/$F$69*1000,3))))</f>
        <v> </v>
      </c>
    </row>
    <row r="27" spans="1:6" ht="15.75">
      <c r="A27" s="166" t="str">
        <f>IF((inputPrYr!$B22&gt;"  "),(inputPrYr!$B22),"  ")</f>
        <v>Recycling/HHW</v>
      </c>
      <c r="B27" s="165" t="str">
        <f>IF((inputPrYr!C22&gt;0),(inputPrYr!C22),"  ")</f>
        <v>CR#99-06-0</v>
      </c>
      <c r="C27" s="158">
        <f>IF('4-H-RecHHW'!C81&gt;0,'4-H-RecHHW'!C81,"  ")</f>
        <v>11</v>
      </c>
      <c r="D27" s="674">
        <f>IF('4-H-RecHHW'!$E$73&lt;&gt;0,'4-H-RecHHW'!$E$73,"  ")</f>
        <v>67428</v>
      </c>
      <c r="E27" s="675">
        <f>IF('4-H-RecHHW'!$E$80&lt;&gt;0,'4-H-RecHHW'!$E$80,0)</f>
        <v>21155</v>
      </c>
      <c r="F27" s="676" t="str">
        <f>IF(AND('4-H-RecHHW'!E80=0,$F$69&gt;=0)," ",IF(AND(E27&gt;0,$F$69=0)," ",IF(AND(E27&gt;0,$F$69&gt;0),ROUND(E27/$F$69*1000,3))))</f>
        <v> </v>
      </c>
    </row>
    <row r="28" spans="1:6" ht="15.75">
      <c r="A28" s="166" t="str">
        <f>IF((inputPrYr!$B23&gt;"  "),(inputPrYr!$B23),"  ")</f>
        <v>Agency on Aging</v>
      </c>
      <c r="B28" s="165" t="str">
        <f>IF((inputPrYr!C23&gt;0),(inputPrYr!C23),"  ")</f>
        <v>12-16880</v>
      </c>
      <c r="C28" s="158">
        <f>IF('AOA-SoilCon'!C81&gt;0,'AOA-SoilCon'!C81,"  ")</f>
        <v>12</v>
      </c>
      <c r="D28" s="674">
        <f>IF('AOA-SoilCon'!$E$33&lt;&gt;0,'AOA-SoilCon'!$E$33,"  ")</f>
        <v>230176</v>
      </c>
      <c r="E28" s="675">
        <f>IF('AOA-SoilCon'!$E$40&lt;&gt;0,'AOA-SoilCon'!$E$40,0)</f>
        <v>144411</v>
      </c>
      <c r="F28" s="676" t="str">
        <f>IF(AND('AOA-SoilCon'!E40=0,$F$69&gt;=0)," ",IF(AND(E28&gt;0,$F$69=0)," ",IF(AND(E28&gt;0,$F$69&gt;0),ROUND(E28/$F$69*1000,3))))</f>
        <v> </v>
      </c>
    </row>
    <row r="29" spans="1:6" ht="15.75">
      <c r="A29" s="166" t="str">
        <f>IF((inputPrYr!$B24&gt;"  "),(inputPrYr!$B24),"  ")</f>
        <v>Soil Conservation</v>
      </c>
      <c r="B29" s="165" t="str">
        <f>IF((inputPrYr!C24&gt;0),(inputPrYr!C24),"  ")</f>
        <v>2-1907b</v>
      </c>
      <c r="C29" s="158">
        <f>IF('AOA-SoilCon'!C81&gt;0,'AOA-SoilCon'!C81,"  ")</f>
        <v>12</v>
      </c>
      <c r="D29" s="674">
        <f>IF('AOA-SoilCon'!$E$73&lt;&gt;0,'AOA-SoilCon'!$E$73,"  ")</f>
        <v>24849</v>
      </c>
      <c r="E29" s="675">
        <f>IF('AOA-SoilCon'!$E$80&lt;&gt;0,'AOA-SoilCon'!$E$80,0)</f>
        <v>22532</v>
      </c>
      <c r="F29" s="676" t="str">
        <f>IF(AND('AOA-SoilCon'!E80=0,$F$69&gt;=0)," ",IF(AND(E29&gt;0,$F$69=0)," ",IF(AND(E29&gt;0,$F$69&gt;0),ROUND(E29/$F$69*1000,3))))</f>
        <v> </v>
      </c>
    </row>
    <row r="30" spans="1:6" ht="15.75">
      <c r="A30" s="166" t="str">
        <f>IF((inputPrYr!$B25&gt;"  "),(inputPrYr!$B25),"  ")</f>
        <v>Historical</v>
      </c>
      <c r="B30" s="165" t="str">
        <f>IF((inputPrYr!C25&gt;0),(inputPrYr!C25),"  ")</f>
        <v>19-2651</v>
      </c>
      <c r="C30" s="158">
        <f>IF('Hist-Appr'!C81&gt;0,'Hist-Appr'!C81,"  ")</f>
        <v>13</v>
      </c>
      <c r="D30" s="674">
        <f>IF('Hist-Appr'!$E$33&lt;&gt;0,'Hist-Appr'!$E$33,"  ")</f>
        <v>12187</v>
      </c>
      <c r="E30" s="675">
        <f>IF('Hist-Appr'!$E$40&lt;&gt;0,'Hist-Appr'!$E$40,0)</f>
        <v>11051</v>
      </c>
      <c r="F30" s="676" t="str">
        <f>IF(AND('Hist-Appr'!E40=0,$F$69&gt;=0)," ",IF(AND(E30&gt;0,$F$69=0)," ",IF(AND(E30&gt;0,$F$69&gt;0),ROUND(E30/$F$69*1000,3))))</f>
        <v> </v>
      </c>
    </row>
    <row r="31" spans="1:6" ht="15.75">
      <c r="A31" s="166" t="str">
        <f>IF((inputPrYr!$B26&gt;"  "),(inputPrYr!$B26),"  ")</f>
        <v>Appraiser</v>
      </c>
      <c r="B31" s="165" t="str">
        <f>IF((inputPrYr!C26&gt;0),(inputPrYr!C26),"  ")</f>
        <v>19-436</v>
      </c>
      <c r="C31" s="158">
        <f>IF('Hist-Appr'!C81&gt;0,'Hist-Appr'!C81,"  ")</f>
        <v>13</v>
      </c>
      <c r="D31" s="674">
        <f>IF('Hist-Appr'!$E$73&lt;&gt;0,'Hist-Appr'!$E$73,"  ")</f>
        <v>178031</v>
      </c>
      <c r="E31" s="675">
        <f>IF('Hist-Appr'!$E$80&lt;&gt;0,'Hist-Appr'!$E$80,0)</f>
        <v>146473</v>
      </c>
      <c r="F31" s="676" t="str">
        <f>IF(AND('Hist-Appr'!E80=0,$F$69&gt;=0)," ",IF(AND(E31&gt;0,$F$69=0)," ",IF(AND(E31&gt;0,$F$69&gt;0),ROUND(E31/$F$69*1000,3))))</f>
        <v> </v>
      </c>
    </row>
    <row r="32" spans="1:6" ht="15.75">
      <c r="A32" s="166" t="str">
        <f>IF((inputPrYr!$B27&gt;"  "),(inputPrYr!$B27),"  ")</f>
        <v>Noxious Weed</v>
      </c>
      <c r="B32" s="165" t="str">
        <f>IF((inputPrYr!C27&gt;0),(inputPrYr!C27),"  ")</f>
        <v>2-1318</v>
      </c>
      <c r="C32" s="158">
        <f>IF('Nox Weed-Elect'!C81&gt;0,'Nox Weed-Elect'!C81,"  ")</f>
        <v>14</v>
      </c>
      <c r="D32" s="674">
        <f>IF('Nox Weed-Elect'!$E$33&lt;&gt;0,'Nox Weed-Elect'!$E$33,"  ")</f>
        <v>93882</v>
      </c>
      <c r="E32" s="675">
        <f>IF('Nox Weed-Elect'!$E$40&lt;&gt;0,'Nox Weed-Elect'!$E$40,0)</f>
        <v>65246</v>
      </c>
      <c r="F32" s="676" t="str">
        <f>IF(AND('Nox Weed-Elect'!E40=0,$F$69&gt;=0)," ",IF(AND(E32&gt;0,$F$69=0)," ",IF(AND(E32&gt;0,$F$69&gt;0),ROUND(E32/$F$69*1000,3))))</f>
        <v> </v>
      </c>
    </row>
    <row r="33" spans="1:6" ht="15.75">
      <c r="A33" s="166" t="str">
        <f>IF((inputPrYr!$B28&gt;"  "),(inputPrYr!$B28),"  ")</f>
        <v>Election</v>
      </c>
      <c r="B33" s="165" t="str">
        <f>IF((inputPrYr!C28&gt;0),(inputPrYr!C28),"  ")</f>
        <v>25-2201a</v>
      </c>
      <c r="C33" s="158">
        <f>IF('Nox Weed-Elect'!C81&gt;0,'Nox Weed-Elect'!C81,"  ")</f>
        <v>14</v>
      </c>
      <c r="D33" s="674">
        <f>IF('Nox Weed-Elect'!$E$73&lt;&gt;0,'Nox Weed-Elect'!$E$73,"  ")</f>
        <v>90029</v>
      </c>
      <c r="E33" s="675">
        <f>IF('Nox Weed-Elect'!$E$80&lt;&gt;0,'Nox Weed-Elect'!$E$80,0)</f>
        <v>79233</v>
      </c>
      <c r="F33" s="676" t="str">
        <f>IF(AND('Nox Weed-Elect'!E80=0,$F$69&gt;=0)," ",IF(AND(E33&gt;0,$F$69=0)," ",IF(AND(E33&gt;0,$F$69&gt;0),ROUND(E33/$F$69*1000,3))))</f>
        <v> </v>
      </c>
    </row>
    <row r="34" spans="1:6" ht="15.75">
      <c r="A34" s="166" t="str">
        <f>IF((inputPrYr!$B29&gt;"  "),(inputPrYr!$B29),"  ")</f>
        <v>Extension Council</v>
      </c>
      <c r="B34" s="165" t="str">
        <f>IF((inputPrYr!C29&gt;0),(inputPrYr!C29),"  ")</f>
        <v>2-610</v>
      </c>
      <c r="C34" s="158">
        <f>IF('ExtCoun-SW'!C81&gt;0,'ExtCoun-SW'!C81,"  ")</f>
        <v>15</v>
      </c>
      <c r="D34" s="674">
        <f>IF('ExtCoun-SW'!$E$33&lt;&gt;0,'ExtCoun-SW'!$E$33,"  ")</f>
        <v>148553</v>
      </c>
      <c r="E34" s="675">
        <f>IF('ExtCoun-SW'!$E$40&lt;&gt;0,'ExtCoun-SW'!$E$40,0)</f>
        <v>133402</v>
      </c>
      <c r="F34" s="676" t="str">
        <f>IF(AND('ExtCoun-SW'!E40=0,$F$69&gt;=0)," ",IF(AND(E34&gt;0,$F$69=0)," ",IF(AND(E34&gt;0,$F$69&gt;0),ROUND(E34/$F$69*1000,3))))</f>
        <v> </v>
      </c>
    </row>
    <row r="35" spans="1:6" ht="15.75">
      <c r="A35" s="166" t="str">
        <f>IF((inputPrYr!$B30&gt;"  "),(inputPrYr!$B30),"  ")</f>
        <v>Solid Waste</v>
      </c>
      <c r="B35" s="165" t="str">
        <f>IF((inputPrYr!C30&gt;0),(inputPrYr!C30),"  ")</f>
        <v>CR#87-1</v>
      </c>
      <c r="C35" s="158">
        <f>IF('ExtCoun-SW'!C81&gt;0,'ExtCoun-SW'!C81,"  ")</f>
        <v>15</v>
      </c>
      <c r="D35" s="674">
        <f>IF('ExtCoun-SW'!$E$73&lt;&gt;0,'ExtCoun-SW'!$E$73,"  ")</f>
        <v>393170</v>
      </c>
      <c r="E35" s="675">
        <f>IF('ExtCoun-SW'!$E$80&lt;&gt;0,'ExtCoun-SW'!$E$80,0)</f>
        <v>0</v>
      </c>
      <c r="F35" s="676" t="str">
        <f>IF(AND('ExtCoun-SW'!E80=0,$F$69&gt;=0)," ",IF(AND(E35&gt;0,$F$69=0)," ",IF(AND(E35&gt;0,$F$69&gt;0),ROUND(E35/$F$69*1000,3))))</f>
        <v> </v>
      </c>
    </row>
    <row r="36" spans="1:6" ht="15.75">
      <c r="A36" s="166" t="str">
        <f>IF((inputPrYr!$B31&gt;"  "),(inputPrYr!$B31),"  ")</f>
        <v>Ambulance</v>
      </c>
      <c r="B36" s="165" t="str">
        <f>IF((inputPrYr!C31&gt;0),(inputPrYr!C31),"  ")</f>
        <v>65-6113</v>
      </c>
      <c r="C36" s="158">
        <f>IF('Amb-MenHealth'!C81&gt;0,'Amb-MenHealth'!C81,"  ")</f>
        <v>16</v>
      </c>
      <c r="D36" s="674">
        <f>IF('Amb-MenHealth'!$E$33&lt;&gt;0,'Amb-MenHealth'!$E$33,"  ")</f>
        <v>357977</v>
      </c>
      <c r="E36" s="675">
        <f>IF('Amb-MenHealth'!$E$40&lt;&gt;0,'Amb-MenHealth'!$E$40,0)</f>
        <v>320950</v>
      </c>
      <c r="F36" s="676" t="str">
        <f>IF(AND('Amb-MenHealth'!E40=0,$F$69&gt;=0)," ",IF(AND(E36&gt;0,$F$69=0)," ",IF(AND(E36&gt;0,$F$69&gt;0),ROUND(E36/$F$69*1000,3))))</f>
        <v> </v>
      </c>
    </row>
    <row r="37" spans="1:6" ht="15.75">
      <c r="A37" s="166" t="str">
        <f>IF((inputPrYr!$B32&gt;"  "),(inputPrYr!$B32),"  ")</f>
        <v>Men Health Ret Workshop</v>
      </c>
      <c r="B37" s="165" t="str">
        <f>IF((inputPrYr!C32&gt;0),(inputPrYr!C32),"  ")</f>
        <v>19-4004</v>
      </c>
      <c r="C37" s="158">
        <f>IF('Amb-MenHealth'!C81&gt;0,'Amb-MenHealth'!C81,"  ")</f>
        <v>16</v>
      </c>
      <c r="D37" s="674">
        <f>IF('Amb-MenHealth'!$E$73&lt;&gt;0,'Amb-MenHealth'!$E$73,"  ")</f>
        <v>55784</v>
      </c>
      <c r="E37" s="675">
        <f>IF('Amb-MenHealth'!$E$80&lt;&gt;0,'Amb-MenHealth'!$E$80,0)</f>
        <v>50574</v>
      </c>
      <c r="F37" s="676" t="str">
        <f>IF(AND('Amb-MenHealth'!E80=0,$F$69&gt;=0)," ",IF(AND(E37&gt;0,$F$69=0)," ",IF(AND(E37&gt;0,$F$69&gt;0),ROUND(E37/$F$69*1000,3))))</f>
        <v> </v>
      </c>
    </row>
    <row r="38" spans="1:6" ht="15.75">
      <c r="A38" s="166" t="str">
        <f>IF((inputPrYr!$B33&gt;"  "),(inputPrYr!$B33),"  ")</f>
        <v>Pawnee Mental Health </v>
      </c>
      <c r="B38" s="165" t="str">
        <f>IF((inputPrYr!C33&gt;0),(inputPrYr!C33),"  ")</f>
        <v>19-4011</v>
      </c>
      <c r="C38" s="158">
        <f>IF('Pawnee-EmpBen'!C81&gt;0,'Pawnee-EmpBen'!C81,"  ")</f>
        <v>17</v>
      </c>
      <c r="D38" s="674">
        <f>IF('Pawnee-EmpBen'!$E$33&lt;&gt;0,'Pawnee-EmpBen'!$E$33,"  ")</f>
        <v>81888</v>
      </c>
      <c r="E38" s="675">
        <f>IF('Pawnee-EmpBen'!$E$40&lt;&gt;0,'Pawnee-EmpBen'!$E$40,0)</f>
        <v>74186</v>
      </c>
      <c r="F38" s="676" t="str">
        <f>IF(AND('Pawnee-EmpBen'!E40=0,$F$69&gt;=0)," ",IF(AND(E38&gt;0,$F$69=0)," ",IF(AND(E38&gt;0,$F$69&gt;0),ROUND(E38/$F$69*1000,3))))</f>
        <v> </v>
      </c>
    </row>
    <row r="39" spans="1:6" ht="15.75">
      <c r="A39" s="166" t="str">
        <f>IF((inputPrYr!$B34&gt;"  "),(inputPrYr!$B34),"  ")</f>
        <v>Emp Ben (Health Insurance)</v>
      </c>
      <c r="B39" s="165" t="str">
        <f>IF((inputPrYr!C34&gt;0),(inputPrYr!C34),"  ")</f>
        <v>12-16,102</v>
      </c>
      <c r="C39" s="158">
        <f>IF('Pawnee-EmpBen'!C81&gt;0,'Pawnee-EmpBen'!C81,"  ")</f>
        <v>17</v>
      </c>
      <c r="D39" s="674">
        <f>IF('Pawnee-EmpBen'!$E$73&lt;&gt;0,'Pawnee-EmpBen'!$E$73,"  ")</f>
        <v>1520459</v>
      </c>
      <c r="E39" s="675">
        <f>IF('Pawnee-EmpBen'!$E$80&lt;&gt;0,'Pawnee-EmpBen'!$E$80,0)</f>
        <v>1319414</v>
      </c>
      <c r="F39" s="676" t="str">
        <f>IF(AND('Pawnee-EmpBen'!E80=0,$F$69&gt;=0)," ",IF(AND(E39&gt;0,$F$69=0)," ",IF(AND(E39&gt;0,$F$69&gt;0),ROUND(E39/$F$69*1000,3))))</f>
        <v> </v>
      </c>
    </row>
    <row r="40" spans="1:6" ht="15.75">
      <c r="A40" s="166" t="str">
        <f>IF((inputPrYr!$B35&gt;"  "),(inputPrYr!$B35),"  ")</f>
        <v>Unemployment</v>
      </c>
      <c r="B40" s="165" t="str">
        <f>IF((inputPrYr!C35&gt;0),(inputPrYr!C35),"  ")</f>
        <v>44-710e</v>
      </c>
      <c r="C40" s="158">
        <f>IF('Unemp-Liab'!C81&gt;0,'Unemp-Liab'!C81,"  ")</f>
        <v>18</v>
      </c>
      <c r="D40" s="674">
        <f>IF('Unemp-Liab'!$E$33&lt;&gt;0,'Unemp-Liab'!$E$33,"  ")</f>
        <v>6067</v>
      </c>
      <c r="E40" s="675">
        <f>IF('Unemp-Liab'!$E$40&lt;&gt;0,'Unemp-Liab'!$E$40,0)</f>
        <v>4317</v>
      </c>
      <c r="F40" s="676" t="str">
        <f>IF(AND('Unemp-Liab'!E40=0,$F$69&gt;=0)," ",IF(AND(E40&gt;0,$F$69=0)," ",IF(AND(E40&gt;0,$F$69&gt;0),ROUND(E40/$F$69*1000,3))))</f>
        <v> </v>
      </c>
    </row>
    <row r="41" spans="1:6" ht="15.75">
      <c r="A41" s="166" t="str">
        <f>IF((inputPrYr!$B36&gt;"  "),(inputPrYr!$B36),"  ")</f>
        <v>Liability </v>
      </c>
      <c r="B41" s="165" t="str">
        <f>IF((inputPrYr!C36&gt;0),(inputPrYr!C36),"  ")</f>
        <v>75-6110</v>
      </c>
      <c r="C41" s="158">
        <f>IF('Unemp-Liab'!C81&gt;0,'Unemp-Liab'!C81,"  ")</f>
        <v>18</v>
      </c>
      <c r="D41" s="674">
        <f>IF('Unemp-Liab'!$E$73&lt;&gt;0,'Unemp-Liab'!$E$73,"  ")</f>
        <v>75792</v>
      </c>
      <c r="E41" s="675">
        <f>IF('Unemp-Liab'!$E$80&lt;&gt;0,'Unemp-Liab'!$E$80,0)</f>
        <v>51086</v>
      </c>
      <c r="F41" s="676" t="str">
        <f>IF(AND('Unemp-Liab'!E80=0,$F$69&gt;=0)," ",IF(AND(E41&gt;0,$F$69=0)," ",IF(AND(E41&gt;0,$F$69&gt;0),ROUND(E41/$F$69*1000,3))))</f>
        <v> </v>
      </c>
    </row>
    <row r="42" spans="1:6" ht="15.75">
      <c r="A42" s="166" t="str">
        <f>IF((inputPrYr!$B37&gt;"  "),(inputPrYr!$B37),"  ")</f>
        <v>Employee Retirement</v>
      </c>
      <c r="B42" s="165" t="str">
        <f>IF((inputPrYr!C37&gt;0),(inputPrYr!C37),"  ")</f>
        <v>74-4920</v>
      </c>
      <c r="C42" s="158">
        <f>IF('EmpRet-WorkComp'!C81&gt;0,'EmpRet-WorkComp'!C81,"  ")</f>
        <v>19</v>
      </c>
      <c r="D42" s="674">
        <f>IF('EmpRet-WorkComp'!E33&lt;&gt;0,'EmpRet-WorkComp'!E33,"  ")</f>
        <v>378932</v>
      </c>
      <c r="E42" s="675">
        <f>IF('EmpRet-WorkComp'!E40&lt;&gt;0,'EmpRet-WorkComp'!E40,0)</f>
        <v>253581</v>
      </c>
      <c r="F42" s="676" t="str">
        <f>IF(AND('EmpRet-WorkComp'!E40=0,$F$69&gt;=0)," ",IF(AND(E42&gt;0,$F$69=0)," ",IF(AND(E42&gt;0,$F$69&gt;0),ROUND(E42/$F$69*1000,3))))</f>
        <v> </v>
      </c>
    </row>
    <row r="43" spans="1:6" ht="15.75">
      <c r="A43" s="166" t="str">
        <f>IF((inputPrYr!$B38&gt;"  "),(inputPrYr!$B38),"  ")</f>
        <v>Workers Compensation</v>
      </c>
      <c r="B43" s="165" t="str">
        <f>IF((inputPrYr!C38&gt;0),(inputPrYr!C38),"  ")</f>
        <v>44-505c</v>
      </c>
      <c r="C43" s="158">
        <f>IF('EmpRet-WorkComp'!C81&gt;0,'EmpRet-WorkComp'!C81,"  ")</f>
        <v>19</v>
      </c>
      <c r="D43" s="674">
        <f>IF('EmpRet-WorkComp'!E73&lt;&gt;0,'EmpRet-WorkComp'!E73,"  ")</f>
        <v>80428</v>
      </c>
      <c r="E43" s="675">
        <f>IF('EmpRet-WorkComp'!E80&lt;&gt;0,'EmpRet-WorkComp'!E80,0)</f>
        <v>27631</v>
      </c>
      <c r="F43" s="676" t="str">
        <f>IF(AND('EmpRet-WorkComp'!E80=0,$F$69&gt;=0)," ",IF(AND(E43&gt;0,$F$69=0)," ",IF(AND(E43&gt;0,$F$69&gt;0),ROUND(E43/$F$69*1000,3))))</f>
        <v> </v>
      </c>
    </row>
    <row r="44" spans="1:6" ht="15.75">
      <c r="A44" s="166" t="str">
        <f>IF((inputPrYr!$B39&gt;"  "),(inputPrYr!$B39),"  ")</f>
        <v>Social Security</v>
      </c>
      <c r="B44" s="165" t="str">
        <f>IF((inputPrYr!C39&gt;0),(inputPrYr!C39),"  ")</f>
        <v>40-2305</v>
      </c>
      <c r="C44" s="158">
        <f>IF('Social Sec'!C81&gt;0,'Social Sec'!C81,"  ")</f>
        <v>20</v>
      </c>
      <c r="D44" s="674">
        <f>IF('Social Sec'!$E$33&lt;&gt;0,'Social Sec'!$E$33,"  ")</f>
        <v>288070</v>
      </c>
      <c r="E44" s="675">
        <f>IF('Social Sec'!$E$40&lt;&gt;0,'Social Sec'!$E$40,0)</f>
        <v>198006</v>
      </c>
      <c r="F44" s="676" t="str">
        <f>IF(AND('Social Sec'!E40=0,$F$69&gt;=0)," ",IF(AND(E44&gt;0,$F$69=0)," ",IF(AND(E44&gt;0,$F$69&gt;0),ROUND(E44/$F$69*1000,3))))</f>
        <v> </v>
      </c>
    </row>
    <row r="45" spans="1:6" ht="15.75">
      <c r="A45" s="166" t="str">
        <f>IF((inputPrYr!$B40&gt;"  "),(inputPrYr!$B40),"  ")</f>
        <v>  </v>
      </c>
      <c r="B45" s="165" t="str">
        <f>IF((inputPrYr!C40&gt;0),(inputPrYr!C40),"  ")</f>
        <v>  </v>
      </c>
      <c r="C45" s="158">
        <f>IF('Social Sec'!C81&gt;0,'Social Sec'!C81,"  ")</f>
        <v>20</v>
      </c>
      <c r="D45" s="674" t="str">
        <f>IF('Social Sec'!$E$73&lt;&gt;0,'Social Sec'!$E$73,"  ")</f>
        <v>  </v>
      </c>
      <c r="E45" s="675">
        <f>IF('Social Sec'!$E$80&lt;&gt;0,'Social Sec'!$E$80,0)</f>
        <v>0</v>
      </c>
      <c r="F45" s="676" t="str">
        <f>IF(AND('Social Sec'!E80=0,$F$69&gt;=0)," ",IF(AND(E45&gt;0,$F$69=0)," ",IF(AND(E45&gt;0,$F$69&gt;0),ROUND(E45/$F$69*1000,3))))</f>
        <v> </v>
      </c>
    </row>
    <row r="46" spans="1:6" ht="12.75">
      <c r="A46" s="166" t="str">
        <f>IF((inputPrYr!$B43&gt;"  "),(inputPrYr!$B43),"  ")</f>
        <v>Special Park &amp; Rec</v>
      </c>
      <c r="B46" s="169"/>
      <c r="C46" s="158">
        <f>IF('SpecPark-SpecAlch'!C66&gt;0,'SpecPark-SpecAlch'!C66,"  ")</f>
        <v>21</v>
      </c>
      <c r="D46" s="674" t="str">
        <f>IF('SpecPark-SpecAlch'!$E$29&lt;&gt;0,'SpecPark-SpecAlch'!$E$29,"  ")</f>
        <v>  </v>
      </c>
      <c r="E46" s="677"/>
      <c r="F46" s="677"/>
    </row>
    <row r="47" spans="1:6" ht="12.75">
      <c r="A47" s="166" t="str">
        <f>IF((inputPrYr!$B44&gt;"  "),(inputPrYr!$B44),"  ")</f>
        <v>Special Alcohol</v>
      </c>
      <c r="B47" s="169"/>
      <c r="C47" s="158">
        <f>IF('SpecPark-SpecAlch'!C66&gt;0,'SpecPark-SpecAlch'!C66,"  ")</f>
        <v>21</v>
      </c>
      <c r="D47" s="674" t="str">
        <f>IF('SpecPark-SpecAlch'!$E$60&lt;&gt;0,'SpecPark-SpecAlch'!$E$60,"  ")</f>
        <v>  </v>
      </c>
      <c r="E47" s="677"/>
      <c r="F47" s="677"/>
    </row>
    <row r="48" spans="1:6" ht="12.75">
      <c r="A48" s="166" t="str">
        <f>IF((inputPrYr!$B45&gt;"  "),(inputPrYr!$B45),"  ")</f>
        <v>Aging - KDOT</v>
      </c>
      <c r="B48" s="169"/>
      <c r="C48" s="158">
        <f>IF('AKDOT-AKitch'!C66&gt;0,'AKDOT-AKitch'!C66,"  ")</f>
        <v>22</v>
      </c>
      <c r="D48" s="674" t="str">
        <f>IF('AKDOT-AKitch'!$E$29&lt;&gt;0,'AKDOT-AKitch'!$E$29,"  ")</f>
        <v>  </v>
      </c>
      <c r="E48" s="677"/>
      <c r="F48" s="677"/>
    </row>
    <row r="49" spans="1:6" ht="12.75">
      <c r="A49" s="166" t="str">
        <f>IF((inputPrYr!$B46&gt;"  "),(inputPrYr!$B46),"  ")</f>
        <v>Aging - Kitchen Equip</v>
      </c>
      <c r="B49" s="169"/>
      <c r="C49" s="158">
        <f>IF('AKDOT-AKitch'!C66&gt;0,'AKDOT-AKitch'!C66,"  ")</f>
        <v>22</v>
      </c>
      <c r="D49" s="674" t="str">
        <f>IF('AKDOT-AKitch'!$E$60&lt;&gt;0,'AKDOT-AKitch'!$E$60,"  ")</f>
        <v>  </v>
      </c>
      <c r="E49" s="677"/>
      <c r="F49" s="677"/>
    </row>
    <row r="50" spans="1:6" ht="12.75">
      <c r="A50" s="166" t="str">
        <f>IF((inputPrYr!$B47&gt;"  "),(inputPrYr!$B47),"  ")</f>
        <v>Health Cap Outlay</v>
      </c>
      <c r="B50" s="169"/>
      <c r="C50" s="158">
        <f>IF('HCO-911Local'!C66&gt;0,'HCO-911Local'!C66,"  ")</f>
        <v>23</v>
      </c>
      <c r="D50" s="674" t="str">
        <f>IF('HCO-911Local'!$E$29&lt;&gt;0,'HCO-911Local'!$E$29,"  ")</f>
        <v>  </v>
      </c>
      <c r="E50" s="677"/>
      <c r="F50" s="677"/>
    </row>
    <row r="51" spans="1:6" ht="12.75">
      <c r="A51" s="166" t="str">
        <f>IF((inputPrYr!$B48&gt;"  "),(inputPrYr!$B48),"  ")</f>
        <v>911 Local</v>
      </c>
      <c r="B51" s="169"/>
      <c r="C51" s="158">
        <f>IF('HCO-911Local'!C66&gt;0,'HCO-911Local'!C66,"  ")</f>
        <v>23</v>
      </c>
      <c r="D51" s="674" t="str">
        <f>IF('HCO-911Local'!$E$60&lt;&gt;0,'HCO-911Local'!$E$60,"  ")</f>
        <v>  </v>
      </c>
      <c r="E51" s="677"/>
      <c r="F51" s="677"/>
    </row>
    <row r="52" spans="1:6" ht="12.75">
      <c r="A52" s="166" t="str">
        <f>IF((inputPrYr!$B49&gt;"  "),(inputPrYr!$B49),"  ")</f>
        <v>911 Special</v>
      </c>
      <c r="B52" s="169"/>
      <c r="C52" s="158">
        <f>IF('911Spec-EMCO'!C66&gt;0,'911Spec-EMCO'!C66,"  ")</f>
        <v>24</v>
      </c>
      <c r="D52" s="674" t="str">
        <f>IF('911Spec-EMCO'!$E$29&lt;&gt;0,'911Spec-EMCO'!$E$29,"  ")</f>
        <v>  </v>
      </c>
      <c r="E52" s="677"/>
      <c r="F52" s="677"/>
    </row>
    <row r="53" spans="1:6" ht="12.75">
      <c r="A53" s="166" t="str">
        <f>IF((inputPrYr!$B50&gt;"  "),(inputPrYr!$B50),"  ")</f>
        <v>EM Capital Outlay</v>
      </c>
      <c r="B53" s="169"/>
      <c r="C53" s="158">
        <f>IF('911Spec-EMCO'!C66&gt;0,'911Spec-EMCO'!C66,"  ")</f>
        <v>24</v>
      </c>
      <c r="D53" s="674" t="str">
        <f>IF('911Spec-EMCO'!$E$60&lt;&gt;0,'911Spec-EMCO'!$E$60,"  ")</f>
        <v>  </v>
      </c>
      <c r="E53" s="677"/>
      <c r="F53" s="677"/>
    </row>
    <row r="54" spans="1:6" ht="12.75">
      <c r="A54" s="166" t="str">
        <f>IF((inputPrYr!$B51&gt;"  "),(inputPrYr!$B51),"  ")</f>
        <v>Title III C</v>
      </c>
      <c r="B54" s="169"/>
      <c r="C54" s="158">
        <f>IF('Title IIIC-Spec Mach'!C66&gt;0,'Title IIIC-Spec Mach'!C66,"  ")</f>
        <v>25</v>
      </c>
      <c r="D54" s="674" t="str">
        <f>IF('Title IIIC-Spec Mach'!$E$29&lt;&gt;0,'Title IIIC-Spec Mach'!$E$29,"  ")</f>
        <v>  </v>
      </c>
      <c r="E54" s="677"/>
      <c r="F54" s="677"/>
    </row>
    <row r="55" spans="1:6" ht="12.75">
      <c r="A55" s="166" t="str">
        <f>IF((inputPrYr!$B52&gt;"  "),(inputPrYr!$B52),"  ")</f>
        <v>Special Machinery</v>
      </c>
      <c r="B55" s="169"/>
      <c r="C55" s="158">
        <f>IF('Title IIIC-Spec Mach'!C66&gt;0,'Title IIIC-Spec Mach'!C66,"  ")</f>
        <v>25</v>
      </c>
      <c r="D55" s="674" t="str">
        <f>IF('Title IIIC-Spec Mach'!$E$60&lt;&gt;0,'Title IIIC-Spec Mach'!$E$60,"  ")</f>
        <v>  </v>
      </c>
      <c r="E55" s="677"/>
      <c r="F55" s="677"/>
    </row>
    <row r="56" spans="1:6" ht="12.75">
      <c r="A56" s="166" t="str">
        <f>IF((inputPrYr!$B53&gt;"  "),(inputPrYr!$B53),"  ")</f>
        <v>Motor Vehicle Operating</v>
      </c>
      <c r="B56" s="169"/>
      <c r="C56" s="158">
        <f>IF('MotorVeh-ElecRes'!C66&gt;0,'MotorVeh-ElecRes'!C66,"  ")</f>
        <v>26</v>
      </c>
      <c r="D56" s="674" t="str">
        <f>IF('MotorVeh-ElecRes'!$E$29&lt;&gt;0,'MotorVeh-ElecRes'!$E$29,"  ")</f>
        <v>  </v>
      </c>
      <c r="E56" s="677"/>
      <c r="F56" s="677"/>
    </row>
    <row r="57" spans="1:6" ht="12.75">
      <c r="A57" s="166" t="str">
        <f>IF((inputPrYr!$B54&gt;"  "),(inputPrYr!$B54),"  ")</f>
        <v>Election Equipment Reserve</v>
      </c>
      <c r="B57" s="169"/>
      <c r="C57" s="158">
        <f>IF('MotorVeh-ElecRes'!C66&gt;0,'MotorVeh-ElecRes'!C66,"  ")</f>
        <v>26</v>
      </c>
      <c r="D57" s="674" t="str">
        <f>IF('MotorVeh-ElecRes'!$E$60&lt;&gt;0,'MotorVeh-ElecRes'!$E$60,"  ")</f>
        <v>  </v>
      </c>
      <c r="E57" s="678"/>
      <c r="F57" s="678"/>
    </row>
    <row r="58" spans="1:6" ht="12.75">
      <c r="A58" s="166" t="str">
        <f>IF((inputPrYr!$B55&gt;"  "),(inputPrYr!$B55),"  ")</f>
        <v>Nox Weed Capital Outlay</v>
      </c>
      <c r="B58" s="169"/>
      <c r="C58" s="158">
        <f>IF('NoxWeedCO-ApprCO'!C66&gt;0,'NoxWeedCO-ApprCO'!C66,"  ")</f>
        <v>27</v>
      </c>
      <c r="D58" s="674" t="str">
        <f>IF('NoxWeedCO-ApprCO'!$E$29&lt;&gt;0,'NoxWeedCO-ApprCO'!$E$29,"  ")</f>
        <v>  </v>
      </c>
      <c r="E58" s="678"/>
      <c r="F58" s="678"/>
    </row>
    <row r="59" spans="1:6" ht="12.75">
      <c r="A59" s="166" t="str">
        <f>IF((inputPrYr!$B56&gt;"  "),(inputPrYr!$B56),"  ")</f>
        <v>Appraiser Capital Outlay</v>
      </c>
      <c r="B59" s="169"/>
      <c r="C59" s="158">
        <f>IF('NoxWeedCO-ApprCO'!C66&gt;0,'NoxWeedCO-ApprCO'!C66,"  ")</f>
        <v>27</v>
      </c>
      <c r="D59" s="674" t="str">
        <f>IF('NoxWeedCO-ApprCO'!$E$60&lt;&gt;0,'NoxWeedCO-ApprCO'!$E$60,"  ")</f>
        <v>  </v>
      </c>
      <c r="E59" s="678"/>
      <c r="F59" s="678"/>
    </row>
    <row r="60" spans="1:6" ht="12.75">
      <c r="A60" s="166" t="str">
        <f>IF((inputPrYr!$B57&gt;"  "),(inputPrYr!$B57),"  ")</f>
        <v>Health Dept Building </v>
      </c>
      <c r="B60" s="169"/>
      <c r="C60" s="158">
        <f>IF('HealthBldg-Machinery'!C66&gt;0,'HealthBldg-Machinery'!C66,"  ")</f>
        <v>28</v>
      </c>
      <c r="D60" s="674" t="str">
        <f>IF('HealthBldg-Machinery'!$E$29&lt;&gt;0,'HealthBldg-Machinery'!$E$29,"  ")</f>
        <v>  </v>
      </c>
      <c r="E60" s="678"/>
      <c r="F60" s="678"/>
    </row>
    <row r="61" spans="1:6" ht="12.75">
      <c r="A61" s="166" t="str">
        <f>IF((inputPrYr!$B58&gt;"  "),(inputPrYr!$B58),"  ")</f>
        <v>Road &amp; Bridge Machinery</v>
      </c>
      <c r="B61" s="163"/>
      <c r="C61" s="158">
        <f>IF('HealthBldg-Machinery'!C66&gt;0,'HealthBldg-Machinery'!C66,"  ")</f>
        <v>28</v>
      </c>
      <c r="D61" s="674" t="str">
        <f>IF('HealthBldg-Machinery'!$E$60&lt;&gt;0,'HealthBldg-Machinery'!$E$60,"  ")</f>
        <v>  </v>
      </c>
      <c r="E61" s="678"/>
      <c r="F61" s="678"/>
    </row>
    <row r="62" spans="1:6" ht="12.75">
      <c r="A62" s="166" t="str">
        <f>IF((inputPrYr!$B62&gt;"  "),(nonbudA!$A3),"  ")</f>
        <v>Non-Budgeted Funds-A</v>
      </c>
      <c r="B62" s="163"/>
      <c r="C62" s="158">
        <f>IF(nonbudA!$F$33&gt;0,nonbudA!$F$33,"  ")</f>
        <v>29</v>
      </c>
      <c r="D62" s="674"/>
      <c r="E62" s="678"/>
      <c r="F62" s="678"/>
    </row>
    <row r="63" spans="1:6" ht="12.75">
      <c r="A63" s="166" t="str">
        <f>IF((inputPrYr!$B68&gt;"  "),(nonbudB!$A3),"  ")</f>
        <v>Non-Budgeted Funds-B</v>
      </c>
      <c r="B63" s="163"/>
      <c r="C63" s="158">
        <f>IF(nonbudB!$F$33&gt;0,nonbudB!$F$33,"  ")</f>
        <v>30</v>
      </c>
      <c r="D63" s="674"/>
      <c r="E63" s="678"/>
      <c r="F63" s="678"/>
    </row>
    <row r="64" spans="1:6" ht="12.75">
      <c r="A64" s="166" t="str">
        <f>IF((inputPrYr!$B74&gt;"  "),(nonbudC!$A3),"  ")</f>
        <v>Non-Budgeted Funds-C</v>
      </c>
      <c r="B64" s="163"/>
      <c r="C64" s="158">
        <f>IF(nonbudC!$F$33&gt;0,nonbudC!$F$33,"  ")</f>
        <v>31</v>
      </c>
      <c r="D64" s="674"/>
      <c r="E64" s="678"/>
      <c r="F64" s="678"/>
    </row>
    <row r="65" spans="1:6" ht="12.75">
      <c r="A65" s="166" t="str">
        <f>IF((inputPrYr!$B80&gt;"  "),(nonbudD!$A3),"  ")</f>
        <v>Non-Budgeted Funds-D</v>
      </c>
      <c r="B65" s="163"/>
      <c r="C65" s="158">
        <f>IF(nonbudD!$F$33&gt;0,nonbudD!$F$33,"  ")</f>
        <v>32</v>
      </c>
      <c r="D65" s="674"/>
      <c r="E65" s="678"/>
      <c r="F65" s="678"/>
    </row>
    <row r="66" spans="1:6" ht="14.25" customHeight="1" thickBot="1">
      <c r="A66" s="171" t="s">
        <v>155</v>
      </c>
      <c r="B66" s="170"/>
      <c r="C66" s="158" t="s">
        <v>51</v>
      </c>
      <c r="D66" s="679">
        <f>SUM(D21:D65)</f>
        <v>10302148</v>
      </c>
      <c r="E66" s="679">
        <f>SUM(E21:E45)</f>
        <v>6760802</v>
      </c>
      <c r="F66" s="680">
        <f>IF(SUM(F21:F45)=0,"",SUM(F21:F45))</f>
      </c>
    </row>
    <row r="67" spans="1:6" ht="14.25" customHeight="1" thickTop="1">
      <c r="A67" s="172" t="s">
        <v>50</v>
      </c>
      <c r="B67" s="173"/>
      <c r="C67" s="158">
        <f>summ!E78</f>
        <v>33</v>
      </c>
      <c r="D67" s="174"/>
      <c r="E67" s="174"/>
      <c r="F67" s="154"/>
    </row>
    <row r="68" spans="1:6" ht="12.75">
      <c r="A68" s="155" t="s">
        <v>84</v>
      </c>
      <c r="B68" s="156"/>
      <c r="C68" s="158">
        <f>IF(summ2!E42&gt;0,summ2!E42,"")</f>
      </c>
      <c r="D68" s="175"/>
      <c r="E68" s="139"/>
      <c r="F68" s="433" t="s">
        <v>301</v>
      </c>
    </row>
    <row r="69" spans="1:6" ht="15.75">
      <c r="A69" s="803" t="s">
        <v>74</v>
      </c>
      <c r="B69" s="804"/>
      <c r="C69" s="188">
        <f>IF(Nhood!C51&gt;0,Nhood!C51,"")</f>
        <v>34</v>
      </c>
      <c r="D69" s="722" t="s">
        <v>886</v>
      </c>
      <c r="E69" s="176" t="str">
        <f>IF(E66&gt;computation!J42,"Yes","No")</f>
        <v>Yes</v>
      </c>
      <c r="F69" s="177"/>
    </row>
    <row r="70" spans="1:6" ht="14.25" customHeight="1">
      <c r="A70" s="768"/>
      <c r="B70" s="769"/>
      <c r="C70" s="770"/>
      <c r="D70" s="175"/>
      <c r="E70" s="154"/>
      <c r="F70" s="806" t="str">
        <f>CONCATENATE("Nov 1, ",F3-1," Total Assessed Valuation")</f>
        <v>Nov 1, 2014 Total Assessed Valuation</v>
      </c>
    </row>
    <row r="71" spans="1:6" ht="12.75">
      <c r="A71" s="137" t="s">
        <v>146</v>
      </c>
      <c r="B71" s="139"/>
      <c r="C71" s="143"/>
      <c r="D71" s="139"/>
      <c r="E71" s="139"/>
      <c r="F71" s="807"/>
    </row>
    <row r="72" spans="1:6" ht="12.75">
      <c r="A72" s="179"/>
      <c r="B72" s="139"/>
      <c r="C72" s="139"/>
      <c r="D72" s="139"/>
      <c r="E72" s="390"/>
      <c r="F72" s="390"/>
    </row>
    <row r="73" spans="1:6" ht="12.75">
      <c r="A73" s="180"/>
      <c r="B73" s="178"/>
      <c r="C73" s="154"/>
      <c r="D73" s="154"/>
      <c r="E73" s="684"/>
      <c r="F73" s="684"/>
    </row>
    <row r="74" spans="1:6" ht="12.75">
      <c r="A74" s="388" t="s">
        <v>303</v>
      </c>
      <c r="B74" s="178"/>
      <c r="C74" s="154"/>
      <c r="D74" s="154"/>
      <c r="E74" s="684"/>
      <c r="F74" s="684"/>
    </row>
    <row r="75" spans="1:6" ht="12.75">
      <c r="A75" s="179"/>
      <c r="B75" s="139"/>
      <c r="C75" s="154" t="s">
        <v>859</v>
      </c>
      <c r="D75" s="154"/>
      <c r="E75" s="683"/>
      <c r="F75" s="683"/>
    </row>
    <row r="76" spans="1:6" ht="12.75">
      <c r="A76" s="180"/>
      <c r="B76" s="181"/>
      <c r="C76" s="154"/>
      <c r="D76" s="154"/>
      <c r="E76" s="684"/>
      <c r="F76" s="685"/>
    </row>
    <row r="77" spans="1:6" ht="12.75">
      <c r="A77" s="388" t="s">
        <v>858</v>
      </c>
      <c r="B77" s="139"/>
      <c r="C77" s="154" t="s">
        <v>859</v>
      </c>
      <c r="D77" s="154"/>
      <c r="E77" s="683"/>
      <c r="F77" s="684"/>
    </row>
    <row r="78" spans="1:6" ht="12.75">
      <c r="A78" s="179"/>
      <c r="B78" s="139"/>
      <c r="C78" s="154"/>
      <c r="D78" s="154"/>
      <c r="E78" s="683"/>
      <c r="F78" s="684"/>
    </row>
    <row r="79" spans="1:6" ht="12.75">
      <c r="A79" s="388"/>
      <c r="B79" s="139"/>
      <c r="C79" s="154" t="s">
        <v>859</v>
      </c>
      <c r="D79" s="154"/>
      <c r="E79" s="683"/>
      <c r="F79" s="684"/>
    </row>
    <row r="80" spans="1:6" ht="12.75">
      <c r="A80" s="432" t="s">
        <v>6</v>
      </c>
      <c r="B80" s="182">
        <f>F3-1</f>
        <v>2014</v>
      </c>
      <c r="C80" s="154"/>
      <c r="D80" s="154"/>
      <c r="E80" s="686"/>
      <c r="F80" s="154"/>
    </row>
    <row r="81" spans="1:6" ht="12.75">
      <c r="A81" s="431"/>
      <c r="B81" s="139"/>
      <c r="C81" s="154" t="s">
        <v>859</v>
      </c>
      <c r="D81" s="154"/>
      <c r="E81" s="154"/>
      <c r="F81" s="154"/>
    </row>
    <row r="82" spans="1:6" ht="15">
      <c r="A82" s="434" t="s">
        <v>148</v>
      </c>
      <c r="B82" s="139"/>
      <c r="C82" s="805" t="s">
        <v>147</v>
      </c>
      <c r="D82" s="802"/>
      <c r="E82" s="802"/>
      <c r="F82" s="802"/>
    </row>
    <row r="83" spans="1:6" ht="12.75">
      <c r="A83" s="794"/>
      <c r="B83" s="794"/>
      <c r="C83" s="794"/>
      <c r="D83" s="794"/>
      <c r="E83" s="794"/>
      <c r="F83" s="794"/>
    </row>
    <row r="84" spans="3:6" ht="12.75">
      <c r="C84" s="183"/>
      <c r="E84" s="183"/>
      <c r="F84" s="183"/>
    </row>
  </sheetData>
  <sheetProtection sheet="1"/>
  <mergeCells count="9">
    <mergeCell ref="A83:F83"/>
    <mergeCell ref="A2:F2"/>
    <mergeCell ref="E13:E14"/>
    <mergeCell ref="A6:F6"/>
    <mergeCell ref="A4:F4"/>
    <mergeCell ref="A5:F5"/>
    <mergeCell ref="A69:B69"/>
    <mergeCell ref="C82:F82"/>
    <mergeCell ref="F70:F71"/>
  </mergeCells>
  <printOptions/>
  <pageMargins left="0.5" right="0.5" top="0" bottom="0.23" header="0" footer="0"/>
  <pageSetup blackAndWhite="1" fitToHeight="1" fitToWidth="1" horizontalDpi="600" verticalDpi="600" orientation="portrait" scale="67" r:id="rId1"/>
  <headerFooter alignWithMargins="0">
    <oddHeader>&amp;RState of Kansas
County
</oddHeader>
    <oddFooter>&amp;CPage No. 1</oddFooter>
  </headerFooter>
</worksheet>
</file>

<file path=xl/worksheets/sheet5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2" sqref="A2"/>
    </sheetView>
  </sheetViews>
  <sheetFormatPr defaultColWidth="8.796875" defaultRowHeight="15"/>
  <cols>
    <col min="1" max="1" width="71.296875" style="0" customWidth="1"/>
  </cols>
  <sheetData>
    <row r="3" spans="1:7" ht="15">
      <c r="A3" s="399" t="s">
        <v>556</v>
      </c>
      <c r="B3" s="399"/>
      <c r="C3" s="399"/>
      <c r="D3" s="399"/>
      <c r="E3" s="399"/>
      <c r="F3" s="399"/>
      <c r="G3" s="399"/>
    </row>
    <row r="4" spans="1:7" ht="15">
      <c r="A4" s="399"/>
      <c r="B4" s="399"/>
      <c r="C4" s="399"/>
      <c r="D4" s="399"/>
      <c r="E4" s="399"/>
      <c r="F4" s="399"/>
      <c r="G4" s="399"/>
    </row>
    <row r="5" ht="15">
      <c r="A5" s="400" t="s">
        <v>462</v>
      </c>
    </row>
    <row r="6" ht="15">
      <c r="A6" s="400" t="str">
        <f>CONCATENATE(inputPrYr!C4-1," estimated expenditures show that at the end of this year")</f>
        <v>2014 estimated expenditures show that at the end of this year</v>
      </c>
    </row>
    <row r="7" ht="15">
      <c r="A7" s="400" t="s">
        <v>557</v>
      </c>
    </row>
    <row r="8" ht="15">
      <c r="A8" s="400" t="s">
        <v>558</v>
      </c>
    </row>
    <row r="10" ht="15">
      <c r="A10" t="s">
        <v>464</v>
      </c>
    </row>
    <row r="11" ht="15">
      <c r="A11" t="s">
        <v>465</v>
      </c>
    </row>
    <row r="12" ht="15">
      <c r="A12" t="s">
        <v>466</v>
      </c>
    </row>
    <row r="13" spans="1:7" ht="15">
      <c r="A13" s="399"/>
      <c r="B13" s="399"/>
      <c r="C13" s="399"/>
      <c r="D13" s="399"/>
      <c r="E13" s="399"/>
      <c r="F13" s="399"/>
      <c r="G13" s="399"/>
    </row>
    <row r="14" ht="15">
      <c r="A14" s="401" t="s">
        <v>559</v>
      </c>
    </row>
    <row r="15" ht="15">
      <c r="A15" s="400"/>
    </row>
    <row r="16" ht="15">
      <c r="A16" s="400" t="s">
        <v>560</v>
      </c>
    </row>
    <row r="17" ht="15">
      <c r="A17" s="400" t="s">
        <v>561</v>
      </c>
    </row>
    <row r="18" ht="15">
      <c r="A18" s="400" t="s">
        <v>562</v>
      </c>
    </row>
    <row r="19" ht="15">
      <c r="A19" s="400"/>
    </row>
    <row r="20" ht="15">
      <c r="A20" s="400" t="s">
        <v>563</v>
      </c>
    </row>
    <row r="21" ht="15">
      <c r="A21" s="400" t="s">
        <v>564</v>
      </c>
    </row>
    <row r="22" ht="15">
      <c r="A22" s="400" t="s">
        <v>565</v>
      </c>
    </row>
    <row r="23" ht="15">
      <c r="A23" s="400" t="s">
        <v>566</v>
      </c>
    </row>
    <row r="24" ht="15">
      <c r="A24" s="400"/>
    </row>
    <row r="25" ht="15">
      <c r="A25" s="401" t="s">
        <v>528</v>
      </c>
    </row>
    <row r="26" ht="15">
      <c r="A26" s="401"/>
    </row>
    <row r="27" ht="15">
      <c r="A27" s="400" t="s">
        <v>529</v>
      </c>
    </row>
    <row r="28" spans="1:6" ht="15">
      <c r="A28" s="400" t="s">
        <v>530</v>
      </c>
      <c r="B28" s="400"/>
      <c r="C28" s="400"/>
      <c r="D28" s="400"/>
      <c r="E28" s="400"/>
      <c r="F28" s="400"/>
    </row>
    <row r="29" spans="1:6" ht="15">
      <c r="A29" s="400" t="s">
        <v>531</v>
      </c>
      <c r="B29" s="400"/>
      <c r="C29" s="400"/>
      <c r="D29" s="400"/>
      <c r="E29" s="400"/>
      <c r="F29" s="400"/>
    </row>
    <row r="30" spans="1:6" ht="15">
      <c r="A30" s="400" t="s">
        <v>532</v>
      </c>
      <c r="B30" s="400"/>
      <c r="C30" s="400"/>
      <c r="D30" s="400"/>
      <c r="E30" s="400"/>
      <c r="F30" s="400"/>
    </row>
    <row r="31" ht="15">
      <c r="A31" s="400"/>
    </row>
    <row r="32" spans="1:7" ht="15">
      <c r="A32" s="401" t="s">
        <v>533</v>
      </c>
      <c r="B32" s="401"/>
      <c r="C32" s="401"/>
      <c r="D32" s="401"/>
      <c r="E32" s="401"/>
      <c r="F32" s="401"/>
      <c r="G32" s="401"/>
    </row>
    <row r="33" spans="1:7" ht="15">
      <c r="A33" s="401" t="s">
        <v>534</v>
      </c>
      <c r="B33" s="401"/>
      <c r="C33" s="401"/>
      <c r="D33" s="401"/>
      <c r="E33" s="401"/>
      <c r="F33" s="401"/>
      <c r="G33" s="401"/>
    </row>
    <row r="34" spans="1:7" ht="15">
      <c r="A34" s="401"/>
      <c r="B34" s="401"/>
      <c r="C34" s="401"/>
      <c r="D34" s="401"/>
      <c r="E34" s="401"/>
      <c r="F34" s="401"/>
      <c r="G34" s="401"/>
    </row>
    <row r="35" spans="1:7" ht="15">
      <c r="A35" s="400" t="s">
        <v>567</v>
      </c>
      <c r="B35" s="400"/>
      <c r="C35" s="400"/>
      <c r="D35" s="400"/>
      <c r="E35" s="400"/>
      <c r="F35" s="400"/>
      <c r="G35" s="400"/>
    </row>
    <row r="36" spans="1:7" ht="15">
      <c r="A36" s="400" t="s">
        <v>568</v>
      </c>
      <c r="B36" s="400"/>
      <c r="C36" s="400"/>
      <c r="D36" s="400"/>
      <c r="E36" s="400"/>
      <c r="F36" s="400"/>
      <c r="G36" s="400"/>
    </row>
    <row r="37" spans="1:7" ht="15">
      <c r="A37" s="400" t="s">
        <v>569</v>
      </c>
      <c r="B37" s="400"/>
      <c r="C37" s="400"/>
      <c r="D37" s="400"/>
      <c r="E37" s="400"/>
      <c r="F37" s="400"/>
      <c r="G37" s="400"/>
    </row>
    <row r="38" spans="1:7" ht="15">
      <c r="A38" s="400" t="s">
        <v>570</v>
      </c>
      <c r="B38" s="400"/>
      <c r="C38" s="400"/>
      <c r="D38" s="400"/>
      <c r="E38" s="400"/>
      <c r="F38" s="400"/>
      <c r="G38" s="400"/>
    </row>
    <row r="39" spans="1:7" ht="15">
      <c r="A39" s="400" t="s">
        <v>571</v>
      </c>
      <c r="B39" s="400"/>
      <c r="C39" s="400"/>
      <c r="D39" s="400"/>
      <c r="E39" s="400"/>
      <c r="F39" s="400"/>
      <c r="G39" s="400"/>
    </row>
    <row r="40" spans="1:7" ht="15">
      <c r="A40" s="401"/>
      <c r="B40" s="401"/>
      <c r="C40" s="401"/>
      <c r="D40" s="401"/>
      <c r="E40" s="401"/>
      <c r="F40" s="401"/>
      <c r="G40" s="401"/>
    </row>
    <row r="41" spans="1:6" ht="15">
      <c r="A41" s="404" t="str">
        <f>CONCATENATE("So, let's look to see if any of your ",inputPrYr!C4-1," expenditures can")</f>
        <v>So, let's look to see if any of your 2014 expenditures can</v>
      </c>
      <c r="B41" s="400"/>
      <c r="C41" s="400"/>
      <c r="D41" s="400"/>
      <c r="E41" s="400"/>
      <c r="F41" s="400"/>
    </row>
    <row r="42" spans="1:6" ht="15">
      <c r="A42" s="404" t="s">
        <v>535</v>
      </c>
      <c r="B42" s="400"/>
      <c r="C42" s="400"/>
      <c r="D42" s="400"/>
      <c r="E42" s="400"/>
      <c r="F42" s="400"/>
    </row>
    <row r="43" spans="1:6" ht="15">
      <c r="A43" s="404" t="s">
        <v>419</v>
      </c>
      <c r="B43" s="400"/>
      <c r="C43" s="400"/>
      <c r="D43" s="400"/>
      <c r="E43" s="400"/>
      <c r="F43" s="400"/>
    </row>
    <row r="44" spans="1:6" ht="15">
      <c r="A44" s="404" t="s">
        <v>420</v>
      </c>
      <c r="B44" s="400"/>
      <c r="C44" s="400"/>
      <c r="D44" s="400"/>
      <c r="E44" s="400"/>
      <c r="F44" s="400"/>
    </row>
    <row r="45" ht="15">
      <c r="A45" s="400"/>
    </row>
    <row r="46" spans="1:6" ht="15">
      <c r="A46" s="404" t="str">
        <f>CONCATENATE("Additionally, do your ",inputPrYr!C4-1," receipts contain a reimbursement")</f>
        <v>Additionally, do your 2014 receipts contain a reimbursement</v>
      </c>
      <c r="B46" s="400"/>
      <c r="C46" s="400"/>
      <c r="D46" s="400"/>
      <c r="E46" s="400"/>
      <c r="F46" s="400"/>
    </row>
    <row r="47" spans="1:6" ht="15">
      <c r="A47" s="404" t="s">
        <v>421</v>
      </c>
      <c r="B47" s="400"/>
      <c r="C47" s="400"/>
      <c r="D47" s="400"/>
      <c r="E47" s="400"/>
      <c r="F47" s="400"/>
    </row>
    <row r="48" spans="1:6" ht="15">
      <c r="A48" s="404" t="s">
        <v>422</v>
      </c>
      <c r="B48" s="400"/>
      <c r="C48" s="400"/>
      <c r="D48" s="400"/>
      <c r="E48" s="400"/>
      <c r="F48" s="400"/>
    </row>
    <row r="49" spans="1:7" ht="15">
      <c r="A49" s="400"/>
      <c r="B49" s="400"/>
      <c r="C49" s="400"/>
      <c r="D49" s="400"/>
      <c r="E49" s="400"/>
      <c r="F49" s="400"/>
      <c r="G49" s="400"/>
    </row>
    <row r="50" spans="1:7" ht="15">
      <c r="A50" s="400" t="s">
        <v>489</v>
      </c>
      <c r="B50" s="400"/>
      <c r="C50" s="400"/>
      <c r="D50" s="400"/>
      <c r="E50" s="400"/>
      <c r="F50" s="400"/>
      <c r="G50" s="400"/>
    </row>
    <row r="51" spans="1:7" ht="15">
      <c r="A51" s="400" t="s">
        <v>490</v>
      </c>
      <c r="B51" s="400"/>
      <c r="C51" s="400"/>
      <c r="D51" s="400"/>
      <c r="E51" s="400"/>
      <c r="F51" s="400"/>
      <c r="G51" s="400"/>
    </row>
    <row r="52" spans="1:7" ht="15">
      <c r="A52" s="400" t="s">
        <v>491</v>
      </c>
      <c r="B52" s="400"/>
      <c r="C52" s="400"/>
      <c r="D52" s="400"/>
      <c r="E52" s="400"/>
      <c r="F52" s="400"/>
      <c r="G52" s="400"/>
    </row>
    <row r="53" spans="1:7" ht="15">
      <c r="A53" s="400" t="s">
        <v>492</v>
      </c>
      <c r="B53" s="400"/>
      <c r="C53" s="400"/>
      <c r="D53" s="400"/>
      <c r="E53" s="400"/>
      <c r="F53" s="400"/>
      <c r="G53" s="400"/>
    </row>
    <row r="54" spans="1:7" ht="15">
      <c r="A54" s="400" t="s">
        <v>493</v>
      </c>
      <c r="B54" s="400"/>
      <c r="C54" s="400"/>
      <c r="D54" s="400"/>
      <c r="E54" s="400"/>
      <c r="F54" s="400"/>
      <c r="G54" s="400"/>
    </row>
    <row r="55" spans="1:7" ht="15">
      <c r="A55" s="400"/>
      <c r="B55" s="400"/>
      <c r="C55" s="400"/>
      <c r="D55" s="400"/>
      <c r="E55" s="400"/>
      <c r="F55" s="400"/>
      <c r="G55" s="400"/>
    </row>
    <row r="56" spans="1:6" ht="15">
      <c r="A56" s="404" t="s">
        <v>431</v>
      </c>
      <c r="B56" s="400"/>
      <c r="C56" s="400"/>
      <c r="D56" s="400"/>
      <c r="E56" s="400"/>
      <c r="F56" s="400"/>
    </row>
    <row r="57" spans="1:6" ht="15">
      <c r="A57" s="404" t="s">
        <v>432</v>
      </c>
      <c r="B57" s="400"/>
      <c r="C57" s="400"/>
      <c r="D57" s="400"/>
      <c r="E57" s="400"/>
      <c r="F57" s="400"/>
    </row>
    <row r="58" spans="1:6" ht="15">
      <c r="A58" s="404" t="s">
        <v>433</v>
      </c>
      <c r="B58" s="400"/>
      <c r="C58" s="400"/>
      <c r="D58" s="400"/>
      <c r="E58" s="400"/>
      <c r="F58" s="400"/>
    </row>
    <row r="59" spans="1:6" ht="15">
      <c r="A59" s="404"/>
      <c r="B59" s="400"/>
      <c r="C59" s="400"/>
      <c r="D59" s="400"/>
      <c r="E59" s="400"/>
      <c r="F59" s="400"/>
    </row>
    <row r="60" spans="1:7" ht="15">
      <c r="A60" s="400" t="s">
        <v>572</v>
      </c>
      <c r="B60" s="400"/>
      <c r="C60" s="400"/>
      <c r="D60" s="400"/>
      <c r="E60" s="400"/>
      <c r="F60" s="400"/>
      <c r="G60" s="400"/>
    </row>
    <row r="61" spans="1:7" ht="15">
      <c r="A61" s="400" t="s">
        <v>573</v>
      </c>
      <c r="B61" s="400"/>
      <c r="C61" s="400"/>
      <c r="D61" s="400"/>
      <c r="E61" s="400"/>
      <c r="F61" s="400"/>
      <c r="G61" s="400"/>
    </row>
    <row r="62" spans="1:7" ht="15">
      <c r="A62" s="400" t="s">
        <v>574</v>
      </c>
      <c r="B62" s="400"/>
      <c r="C62" s="400"/>
      <c r="D62" s="400"/>
      <c r="E62" s="400"/>
      <c r="F62" s="400"/>
      <c r="G62" s="400"/>
    </row>
    <row r="63" spans="1:7" ht="15">
      <c r="A63" s="400" t="s">
        <v>575</v>
      </c>
      <c r="B63" s="400"/>
      <c r="C63" s="400"/>
      <c r="D63" s="400"/>
      <c r="E63" s="400"/>
      <c r="F63" s="400"/>
      <c r="G63" s="400"/>
    </row>
    <row r="64" spans="1:7" ht="15">
      <c r="A64" s="400" t="s">
        <v>576</v>
      </c>
      <c r="B64" s="400"/>
      <c r="C64" s="400"/>
      <c r="D64" s="400"/>
      <c r="E64" s="400"/>
      <c r="F64" s="400"/>
      <c r="G64" s="400"/>
    </row>
    <row r="66" spans="1:6" ht="15">
      <c r="A66" s="404" t="s">
        <v>539</v>
      </c>
      <c r="B66" s="400"/>
      <c r="C66" s="400"/>
      <c r="D66" s="400"/>
      <c r="E66" s="400"/>
      <c r="F66" s="400"/>
    </row>
    <row r="67" spans="1:6" ht="15">
      <c r="A67" s="404" t="s">
        <v>540</v>
      </c>
      <c r="B67" s="400"/>
      <c r="C67" s="400"/>
      <c r="D67" s="400"/>
      <c r="E67" s="400"/>
      <c r="F67" s="400"/>
    </row>
    <row r="68" spans="1:6" ht="15">
      <c r="A68" s="404" t="s">
        <v>541</v>
      </c>
      <c r="B68" s="400"/>
      <c r="C68" s="400"/>
      <c r="D68" s="400"/>
      <c r="E68" s="400"/>
      <c r="F68" s="400"/>
    </row>
    <row r="69" spans="1:6" ht="15">
      <c r="A69" s="404" t="s">
        <v>542</v>
      </c>
      <c r="B69" s="400"/>
      <c r="C69" s="400"/>
      <c r="D69" s="400"/>
      <c r="E69" s="400"/>
      <c r="F69" s="400"/>
    </row>
    <row r="70" spans="1:6" ht="15">
      <c r="A70" s="404" t="s">
        <v>543</v>
      </c>
      <c r="B70" s="400"/>
      <c r="C70" s="400"/>
      <c r="D70" s="400"/>
      <c r="E70" s="400"/>
      <c r="F70" s="400"/>
    </row>
    <row r="71" ht="15">
      <c r="A71" s="400"/>
    </row>
    <row r="72" ht="15">
      <c r="A72" s="400" t="s">
        <v>460</v>
      </c>
    </row>
    <row r="73" ht="15">
      <c r="A73" s="400"/>
    </row>
    <row r="74" ht="15">
      <c r="A74" s="400"/>
    </row>
    <row r="75" ht="15">
      <c r="A75" s="400"/>
    </row>
    <row r="78" ht="15">
      <c r="A78" s="401"/>
    </row>
    <row r="80" ht="15">
      <c r="A80" s="400"/>
    </row>
    <row r="81" ht="15">
      <c r="A81" s="400"/>
    </row>
    <row r="82" ht="15">
      <c r="A82" s="400"/>
    </row>
    <row r="83" ht="15">
      <c r="A83" s="400"/>
    </row>
    <row r="84" ht="15">
      <c r="A84" s="400"/>
    </row>
    <row r="85" ht="15">
      <c r="A85" s="400"/>
    </row>
    <row r="86" ht="15">
      <c r="A86" s="400"/>
    </row>
    <row r="87" ht="15">
      <c r="A87" s="400"/>
    </row>
    <row r="88" ht="15">
      <c r="A88" s="400"/>
    </row>
    <row r="89" ht="15">
      <c r="A89" s="400"/>
    </row>
    <row r="90" ht="15">
      <c r="A90" s="400"/>
    </row>
    <row r="92" ht="15">
      <c r="A92" s="400"/>
    </row>
    <row r="93" ht="15">
      <c r="A93" s="400"/>
    </row>
    <row r="94" ht="15">
      <c r="A94" s="400"/>
    </row>
    <row r="95" ht="15">
      <c r="A95" s="400"/>
    </row>
    <row r="96" ht="15">
      <c r="A96" s="400"/>
    </row>
    <row r="97" ht="15">
      <c r="A97" s="400"/>
    </row>
    <row r="98" ht="15">
      <c r="A98" s="400"/>
    </row>
    <row r="99" ht="15">
      <c r="A99" s="400"/>
    </row>
    <row r="100" ht="15">
      <c r="A100" s="400"/>
    </row>
    <row r="101" ht="15">
      <c r="A101" s="400"/>
    </row>
    <row r="102" ht="15">
      <c r="A102" s="400"/>
    </row>
    <row r="103" ht="15">
      <c r="A103" s="400"/>
    </row>
    <row r="104" ht="15">
      <c r="A104" s="400"/>
    </row>
    <row r="105" ht="15">
      <c r="A105" s="400"/>
    </row>
    <row r="106" ht="15">
      <c r="A106" s="400"/>
    </row>
  </sheetData>
  <sheetProtection sheet="1"/>
  <printOptions/>
  <pageMargins left="0.7" right="0.7" top="0.75" bottom="0.75" header="0.3" footer="0.3"/>
  <pageSetup horizontalDpi="600" verticalDpi="600" orientation="portrait" r:id="rId1"/>
</worksheet>
</file>

<file path=xl/worksheets/sheet5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2" sqref="A2"/>
    </sheetView>
  </sheetViews>
  <sheetFormatPr defaultColWidth="8.796875" defaultRowHeight="15"/>
  <cols>
    <col min="1" max="1" width="71.296875" style="0" customWidth="1"/>
  </cols>
  <sheetData>
    <row r="3" spans="1:7" ht="15">
      <c r="A3" s="399" t="s">
        <v>577</v>
      </c>
      <c r="B3" s="399"/>
      <c r="C3" s="399"/>
      <c r="D3" s="399"/>
      <c r="E3" s="399"/>
      <c r="F3" s="399"/>
      <c r="G3" s="399"/>
    </row>
    <row r="4" spans="1:7" ht="15">
      <c r="A4" s="399" t="s">
        <v>578</v>
      </c>
      <c r="B4" s="399"/>
      <c r="C4" s="399"/>
      <c r="D4" s="399"/>
      <c r="E4" s="399"/>
      <c r="F4" s="399"/>
      <c r="G4" s="399"/>
    </row>
    <row r="5" spans="1:7" ht="15">
      <c r="A5" s="399"/>
      <c r="B5" s="399"/>
      <c r="C5" s="399"/>
      <c r="D5" s="399"/>
      <c r="E5" s="399"/>
      <c r="F5" s="399"/>
      <c r="G5" s="399"/>
    </row>
    <row r="6" spans="1:7" ht="15">
      <c r="A6" s="399"/>
      <c r="B6" s="399"/>
      <c r="C6" s="399"/>
      <c r="D6" s="399"/>
      <c r="E6" s="399"/>
      <c r="F6" s="399"/>
      <c r="G6" s="399"/>
    </row>
    <row r="7" ht="15">
      <c r="A7" s="400" t="s">
        <v>405</v>
      </c>
    </row>
    <row r="8" ht="15">
      <c r="A8" s="400" t="str">
        <f>CONCATENATE("estimated ",inputPrYr!C4," 'total expenditures' exceed your ",inputPrYr!C4,"")</f>
        <v>estimated 2015 'total expenditures' exceed your 2015</v>
      </c>
    </row>
    <row r="9" ht="15">
      <c r="A9" s="403" t="s">
        <v>579</v>
      </c>
    </row>
    <row r="10" ht="15">
      <c r="A10" s="400"/>
    </row>
    <row r="11" ht="15">
      <c r="A11" s="400" t="s">
        <v>580</v>
      </c>
    </row>
    <row r="12" ht="15">
      <c r="A12" s="400" t="s">
        <v>581</v>
      </c>
    </row>
    <row r="13" ht="15">
      <c r="A13" s="400" t="s">
        <v>582</v>
      </c>
    </row>
    <row r="14" ht="15">
      <c r="A14" s="400"/>
    </row>
    <row r="15" ht="15">
      <c r="A15" s="401" t="s">
        <v>583</v>
      </c>
    </row>
    <row r="16" spans="1:7" ht="15">
      <c r="A16" s="399"/>
      <c r="B16" s="399"/>
      <c r="C16" s="399"/>
      <c r="D16" s="399"/>
      <c r="E16" s="399"/>
      <c r="F16" s="399"/>
      <c r="G16" s="399"/>
    </row>
    <row r="17" spans="1:8" ht="15">
      <c r="A17" s="406" t="s">
        <v>584</v>
      </c>
      <c r="B17" s="387"/>
      <c r="C17" s="387"/>
      <c r="D17" s="387"/>
      <c r="E17" s="387"/>
      <c r="F17" s="387"/>
      <c r="G17" s="387"/>
      <c r="H17" s="387"/>
    </row>
    <row r="18" spans="1:7" ht="15">
      <c r="A18" s="400" t="s">
        <v>585</v>
      </c>
      <c r="B18" s="407"/>
      <c r="C18" s="407"/>
      <c r="D18" s="407"/>
      <c r="E18" s="407"/>
      <c r="F18" s="407"/>
      <c r="G18" s="407"/>
    </row>
    <row r="19" ht="15">
      <c r="A19" s="400" t="s">
        <v>586</v>
      </c>
    </row>
    <row r="20" ht="15">
      <c r="A20" s="400" t="s">
        <v>587</v>
      </c>
    </row>
    <row r="22" ht="15">
      <c r="A22" s="401" t="s">
        <v>588</v>
      </c>
    </row>
    <row r="24" ht="15">
      <c r="A24" s="400" t="s">
        <v>589</v>
      </c>
    </row>
    <row r="25" ht="15">
      <c r="A25" s="400" t="s">
        <v>590</v>
      </c>
    </row>
    <row r="26" ht="15">
      <c r="A26" s="400" t="s">
        <v>591</v>
      </c>
    </row>
    <row r="28" ht="15">
      <c r="A28" s="401" t="s">
        <v>592</v>
      </c>
    </row>
    <row r="30" ht="15">
      <c r="A30" t="s">
        <v>593</v>
      </c>
    </row>
    <row r="31" ht="15">
      <c r="A31" t="s">
        <v>594</v>
      </c>
    </row>
    <row r="32" ht="15">
      <c r="A32" t="s">
        <v>595</v>
      </c>
    </row>
    <row r="33" ht="15">
      <c r="A33" s="400" t="s">
        <v>596</v>
      </c>
    </row>
    <row r="35" ht="15">
      <c r="A35" t="s">
        <v>597</v>
      </c>
    </row>
    <row r="36" ht="15">
      <c r="A36" t="s">
        <v>598</v>
      </c>
    </row>
    <row r="37" ht="15">
      <c r="A37" t="s">
        <v>599</v>
      </c>
    </row>
    <row r="38" ht="15">
      <c r="A38" t="s">
        <v>600</v>
      </c>
    </row>
    <row r="40" ht="15">
      <c r="A40" t="s">
        <v>601</v>
      </c>
    </row>
    <row r="41" ht="15">
      <c r="A41" t="s">
        <v>602</v>
      </c>
    </row>
    <row r="42" ht="15">
      <c r="A42" t="s">
        <v>603</v>
      </c>
    </row>
    <row r="43" ht="15">
      <c r="A43" t="s">
        <v>604</v>
      </c>
    </row>
    <row r="44" ht="15">
      <c r="A44" t="s">
        <v>605</v>
      </c>
    </row>
    <row r="45" ht="15">
      <c r="A45" t="s">
        <v>606</v>
      </c>
    </row>
    <row r="47" ht="15">
      <c r="A47" t="s">
        <v>607</v>
      </c>
    </row>
    <row r="48" ht="15">
      <c r="A48" t="s">
        <v>608</v>
      </c>
    </row>
    <row r="49" ht="15">
      <c r="A49" s="400" t="s">
        <v>609</v>
      </c>
    </row>
    <row r="50" ht="15">
      <c r="A50" s="400" t="s">
        <v>610</v>
      </c>
    </row>
    <row r="52" ht="15">
      <c r="A52" t="s">
        <v>460</v>
      </c>
    </row>
  </sheetData>
  <sheetProtection sheet="1"/>
  <printOptions/>
  <pageMargins left="0.7" right="0.7" top="0.75" bottom="0.75" header="0.3" footer="0.3"/>
  <pageSetup horizontalDpi="600" verticalDpi="600" orientation="portrait" r:id="rId1"/>
</worksheet>
</file>

<file path=xl/worksheets/sheet5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504" customWidth="1"/>
    <col min="2" max="2" width="11.19921875" style="531" customWidth="1"/>
    <col min="3" max="3" width="7.3984375" style="531" customWidth="1"/>
    <col min="4" max="4" width="8.8984375" style="531" customWidth="1"/>
    <col min="5" max="5" width="1.59765625" style="531" customWidth="1"/>
    <col min="6" max="6" width="14.296875" style="531" customWidth="1"/>
    <col min="7" max="7" width="2.59765625" style="531" customWidth="1"/>
    <col min="8" max="8" width="9.796875" style="531" customWidth="1"/>
    <col min="9" max="9" width="2" style="531" customWidth="1"/>
    <col min="10" max="10" width="8.59765625" style="531" customWidth="1"/>
    <col min="11" max="11" width="11.69921875" style="531" customWidth="1"/>
    <col min="12" max="12" width="7.59765625" style="504" customWidth="1"/>
    <col min="13" max="14" width="8.8984375" style="504" customWidth="1"/>
    <col min="15" max="15" width="9.8984375" style="504" bestFit="1" customWidth="1"/>
    <col min="16" max="16384" width="8.8984375" style="504" customWidth="1"/>
  </cols>
  <sheetData>
    <row r="1" spans="1:12" ht="14.25">
      <c r="A1" s="530"/>
      <c r="B1" s="530"/>
      <c r="C1" s="530"/>
      <c r="D1" s="530"/>
      <c r="E1" s="530"/>
      <c r="F1" s="530"/>
      <c r="G1" s="530"/>
      <c r="H1" s="530"/>
      <c r="I1" s="530"/>
      <c r="J1" s="530"/>
      <c r="K1" s="530"/>
      <c r="L1" s="530"/>
    </row>
    <row r="2" spans="1:12" ht="14.25">
      <c r="A2" s="530"/>
      <c r="B2" s="530"/>
      <c r="C2" s="530"/>
      <c r="D2" s="530"/>
      <c r="E2" s="530"/>
      <c r="F2" s="530"/>
      <c r="G2" s="530"/>
      <c r="H2" s="530"/>
      <c r="I2" s="530"/>
      <c r="J2" s="530"/>
      <c r="K2" s="530"/>
      <c r="L2" s="530"/>
    </row>
    <row r="3" spans="1:12" ht="14.25">
      <c r="A3" s="530"/>
      <c r="B3" s="530"/>
      <c r="C3" s="530"/>
      <c r="D3" s="530"/>
      <c r="E3" s="530"/>
      <c r="F3" s="530"/>
      <c r="G3" s="530"/>
      <c r="H3" s="530"/>
      <c r="I3" s="530"/>
      <c r="J3" s="530"/>
      <c r="K3" s="530"/>
      <c r="L3" s="530"/>
    </row>
    <row r="4" spans="1:12" ht="14.25">
      <c r="A4" s="530"/>
      <c r="L4" s="530"/>
    </row>
    <row r="5" spans="1:12" ht="15" customHeight="1">
      <c r="A5" s="530"/>
      <c r="L5" s="530"/>
    </row>
    <row r="6" spans="1:12" ht="33" customHeight="1">
      <c r="A6" s="530"/>
      <c r="B6" s="883" t="s">
        <v>708</v>
      </c>
      <c r="C6" s="888"/>
      <c r="D6" s="888"/>
      <c r="E6" s="888"/>
      <c r="F6" s="888"/>
      <c r="G6" s="888"/>
      <c r="H6" s="888"/>
      <c r="I6" s="888"/>
      <c r="J6" s="888"/>
      <c r="K6" s="888"/>
      <c r="L6" s="532"/>
    </row>
    <row r="7" spans="1:12" ht="40.5" customHeight="1">
      <c r="A7" s="530"/>
      <c r="B7" s="897" t="s">
        <v>709</v>
      </c>
      <c r="C7" s="898"/>
      <c r="D7" s="898"/>
      <c r="E7" s="898"/>
      <c r="F7" s="898"/>
      <c r="G7" s="898"/>
      <c r="H7" s="898"/>
      <c r="I7" s="898"/>
      <c r="J7" s="898"/>
      <c r="K7" s="898"/>
      <c r="L7" s="530"/>
    </row>
    <row r="8" spans="1:12" ht="14.25">
      <c r="A8" s="530"/>
      <c r="B8" s="889" t="s">
        <v>710</v>
      </c>
      <c r="C8" s="889"/>
      <c r="D8" s="889"/>
      <c r="E8" s="889"/>
      <c r="F8" s="889"/>
      <c r="G8" s="889"/>
      <c r="H8" s="889"/>
      <c r="I8" s="889"/>
      <c r="J8" s="889"/>
      <c r="K8" s="889"/>
      <c r="L8" s="530"/>
    </row>
    <row r="9" spans="1:12" ht="14.25">
      <c r="A9" s="530"/>
      <c r="L9" s="530"/>
    </row>
    <row r="10" spans="1:12" ht="14.25">
      <c r="A10" s="530"/>
      <c r="B10" s="889" t="s">
        <v>711</v>
      </c>
      <c r="C10" s="889"/>
      <c r="D10" s="889"/>
      <c r="E10" s="889"/>
      <c r="F10" s="889"/>
      <c r="G10" s="889"/>
      <c r="H10" s="889"/>
      <c r="I10" s="889"/>
      <c r="J10" s="889"/>
      <c r="K10" s="889"/>
      <c r="L10" s="530"/>
    </row>
    <row r="11" spans="1:12" ht="14.25">
      <c r="A11" s="530"/>
      <c r="B11" s="591"/>
      <c r="C11" s="591"/>
      <c r="D11" s="591"/>
      <c r="E11" s="591"/>
      <c r="F11" s="591"/>
      <c r="G11" s="591"/>
      <c r="H11" s="591"/>
      <c r="I11" s="591"/>
      <c r="J11" s="591"/>
      <c r="K11" s="591"/>
      <c r="L11" s="530"/>
    </row>
    <row r="12" spans="1:12" ht="32.25" customHeight="1">
      <c r="A12" s="530"/>
      <c r="B12" s="884" t="s">
        <v>712</v>
      </c>
      <c r="C12" s="884"/>
      <c r="D12" s="884"/>
      <c r="E12" s="884"/>
      <c r="F12" s="884"/>
      <c r="G12" s="884"/>
      <c r="H12" s="884"/>
      <c r="I12" s="884"/>
      <c r="J12" s="884"/>
      <c r="K12" s="884"/>
      <c r="L12" s="530"/>
    </row>
    <row r="13" spans="1:12" ht="14.25">
      <c r="A13" s="530"/>
      <c r="L13" s="530"/>
    </row>
    <row r="14" spans="1:12" ht="14.25">
      <c r="A14" s="530"/>
      <c r="B14" s="513" t="s">
        <v>713</v>
      </c>
      <c r="L14" s="530"/>
    </row>
    <row r="15" spans="1:12" ht="14.25">
      <c r="A15" s="530"/>
      <c r="L15" s="530"/>
    </row>
    <row r="16" spans="1:12" ht="14.25">
      <c r="A16" s="530"/>
      <c r="B16" s="531" t="s">
        <v>714</v>
      </c>
      <c r="L16" s="530"/>
    </row>
    <row r="17" spans="1:12" ht="14.25">
      <c r="A17" s="530"/>
      <c r="B17" s="531" t="s">
        <v>715</v>
      </c>
      <c r="L17" s="530"/>
    </row>
    <row r="18" spans="1:12" ht="14.25">
      <c r="A18" s="530"/>
      <c r="L18" s="530"/>
    </row>
    <row r="19" spans="1:12" ht="14.25">
      <c r="A19" s="530"/>
      <c r="B19" s="513" t="s">
        <v>785</v>
      </c>
      <c r="L19" s="530"/>
    </row>
    <row r="20" spans="1:12" ht="14.25">
      <c r="A20" s="530"/>
      <c r="B20" s="513"/>
      <c r="L20" s="530"/>
    </row>
    <row r="21" spans="1:12" ht="14.25">
      <c r="A21" s="530"/>
      <c r="B21" s="531" t="s">
        <v>786</v>
      </c>
      <c r="L21" s="530"/>
    </row>
    <row r="22" spans="1:12" ht="14.25">
      <c r="A22" s="530"/>
      <c r="L22" s="530"/>
    </row>
    <row r="23" spans="1:12" ht="14.25">
      <c r="A23" s="530"/>
      <c r="B23" s="531" t="s">
        <v>716</v>
      </c>
      <c r="E23" s="531" t="s">
        <v>717</v>
      </c>
      <c r="F23" s="885">
        <v>312000000</v>
      </c>
      <c r="G23" s="885"/>
      <c r="L23" s="530"/>
    </row>
    <row r="24" spans="1:12" ht="14.25">
      <c r="A24" s="530"/>
      <c r="L24" s="530"/>
    </row>
    <row r="25" spans="1:12" ht="14.25">
      <c r="A25" s="530"/>
      <c r="C25" s="899">
        <f>F23</f>
        <v>312000000</v>
      </c>
      <c r="D25" s="899"/>
      <c r="E25" s="531" t="s">
        <v>718</v>
      </c>
      <c r="F25" s="533">
        <v>1000</v>
      </c>
      <c r="G25" s="533" t="s">
        <v>717</v>
      </c>
      <c r="H25" s="592">
        <f>F23/F25</f>
        <v>312000</v>
      </c>
      <c r="L25" s="530"/>
    </row>
    <row r="26" spans="1:12" ht="15" thickBot="1">
      <c r="A26" s="530"/>
      <c r="L26" s="530"/>
    </row>
    <row r="27" spans="1:12" ht="14.25">
      <c r="A27" s="530"/>
      <c r="B27" s="514" t="s">
        <v>713</v>
      </c>
      <c r="C27" s="534"/>
      <c r="D27" s="534"/>
      <c r="E27" s="534"/>
      <c r="F27" s="534"/>
      <c r="G27" s="534"/>
      <c r="H27" s="534"/>
      <c r="I27" s="534"/>
      <c r="J27" s="534"/>
      <c r="K27" s="535"/>
      <c r="L27" s="530"/>
    </row>
    <row r="28" spans="1:12" ht="14.25">
      <c r="A28" s="530"/>
      <c r="B28" s="536">
        <f>F23</f>
        <v>312000000</v>
      </c>
      <c r="C28" s="537" t="s">
        <v>719</v>
      </c>
      <c r="D28" s="537"/>
      <c r="E28" s="537" t="s">
        <v>718</v>
      </c>
      <c r="F28" s="595">
        <v>1000</v>
      </c>
      <c r="G28" s="595" t="s">
        <v>717</v>
      </c>
      <c r="H28" s="538">
        <f>B28/F28</f>
        <v>312000</v>
      </c>
      <c r="I28" s="537" t="s">
        <v>720</v>
      </c>
      <c r="J28" s="537"/>
      <c r="K28" s="539"/>
      <c r="L28" s="530"/>
    </row>
    <row r="29" spans="1:12" ht="15" thickBot="1">
      <c r="A29" s="530"/>
      <c r="B29" s="540"/>
      <c r="C29" s="541"/>
      <c r="D29" s="541"/>
      <c r="E29" s="541"/>
      <c r="F29" s="541"/>
      <c r="G29" s="541"/>
      <c r="H29" s="541"/>
      <c r="I29" s="541"/>
      <c r="J29" s="541"/>
      <c r="K29" s="542"/>
      <c r="L29" s="530"/>
    </row>
    <row r="30" spans="1:12" ht="40.5" customHeight="1">
      <c r="A30" s="530"/>
      <c r="B30" s="886" t="s">
        <v>709</v>
      </c>
      <c r="C30" s="886"/>
      <c r="D30" s="886"/>
      <c r="E30" s="886"/>
      <c r="F30" s="886"/>
      <c r="G30" s="886"/>
      <c r="H30" s="886"/>
      <c r="I30" s="886"/>
      <c r="J30" s="886"/>
      <c r="K30" s="886"/>
      <c r="L30" s="530"/>
    </row>
    <row r="31" spans="1:12" ht="14.25">
      <c r="A31" s="530"/>
      <c r="B31" s="889" t="s">
        <v>721</v>
      </c>
      <c r="C31" s="889"/>
      <c r="D31" s="889"/>
      <c r="E31" s="889"/>
      <c r="F31" s="889"/>
      <c r="G31" s="889"/>
      <c r="H31" s="889"/>
      <c r="I31" s="889"/>
      <c r="J31" s="889"/>
      <c r="K31" s="889"/>
      <c r="L31" s="530"/>
    </row>
    <row r="32" spans="1:12" ht="14.25">
      <c r="A32" s="530"/>
      <c r="L32" s="530"/>
    </row>
    <row r="33" spans="1:12" ht="14.25">
      <c r="A33" s="530"/>
      <c r="B33" s="889" t="s">
        <v>722</v>
      </c>
      <c r="C33" s="889"/>
      <c r="D33" s="889"/>
      <c r="E33" s="889"/>
      <c r="F33" s="889"/>
      <c r="G33" s="889"/>
      <c r="H33" s="889"/>
      <c r="I33" s="889"/>
      <c r="J33" s="889"/>
      <c r="K33" s="889"/>
      <c r="L33" s="530"/>
    </row>
    <row r="34" spans="1:12" ht="14.25">
      <c r="A34" s="530"/>
      <c r="L34" s="530"/>
    </row>
    <row r="35" spans="1:12" ht="89.25" customHeight="1">
      <c r="A35" s="530"/>
      <c r="B35" s="884" t="s">
        <v>723</v>
      </c>
      <c r="C35" s="890"/>
      <c r="D35" s="890"/>
      <c r="E35" s="890"/>
      <c r="F35" s="890"/>
      <c r="G35" s="890"/>
      <c r="H35" s="890"/>
      <c r="I35" s="890"/>
      <c r="J35" s="890"/>
      <c r="K35" s="890"/>
      <c r="L35" s="530"/>
    </row>
    <row r="36" spans="1:12" ht="14.25">
      <c r="A36" s="530"/>
      <c r="L36" s="530"/>
    </row>
    <row r="37" spans="1:12" ht="14.25">
      <c r="A37" s="530"/>
      <c r="B37" s="513" t="s">
        <v>724</v>
      </c>
      <c r="L37" s="530"/>
    </row>
    <row r="38" spans="1:12" ht="14.25">
      <c r="A38" s="530"/>
      <c r="L38" s="530"/>
    </row>
    <row r="39" spans="1:12" ht="14.25">
      <c r="A39" s="530"/>
      <c r="B39" s="531" t="s">
        <v>725</v>
      </c>
      <c r="L39" s="530"/>
    </row>
    <row r="40" spans="1:12" ht="14.25">
      <c r="A40" s="530"/>
      <c r="L40" s="530"/>
    </row>
    <row r="41" spans="1:12" ht="14.25">
      <c r="A41" s="530"/>
      <c r="C41" s="891">
        <v>312000000</v>
      </c>
      <c r="D41" s="891"/>
      <c r="E41" s="531" t="s">
        <v>718</v>
      </c>
      <c r="F41" s="533">
        <v>1000</v>
      </c>
      <c r="G41" s="533" t="s">
        <v>717</v>
      </c>
      <c r="H41" s="543">
        <f>C41/F41</f>
        <v>312000</v>
      </c>
      <c r="L41" s="530"/>
    </row>
    <row r="42" spans="1:12" ht="14.25">
      <c r="A42" s="530"/>
      <c r="L42" s="530"/>
    </row>
    <row r="43" spans="1:12" ht="14.25">
      <c r="A43" s="530"/>
      <c r="B43" s="531" t="s">
        <v>726</v>
      </c>
      <c r="L43" s="530"/>
    </row>
    <row r="44" spans="1:12" ht="14.25">
      <c r="A44" s="530"/>
      <c r="L44" s="530"/>
    </row>
    <row r="45" spans="1:12" ht="14.25">
      <c r="A45" s="530"/>
      <c r="B45" s="531" t="s">
        <v>727</v>
      </c>
      <c r="L45" s="530"/>
    </row>
    <row r="46" spans="1:12" ht="15" thickBot="1">
      <c r="A46" s="530"/>
      <c r="L46" s="530"/>
    </row>
    <row r="47" spans="1:12" ht="14.25">
      <c r="A47" s="530"/>
      <c r="B47" s="544" t="s">
        <v>713</v>
      </c>
      <c r="C47" s="534"/>
      <c r="D47" s="534"/>
      <c r="E47" s="534"/>
      <c r="F47" s="534"/>
      <c r="G47" s="534"/>
      <c r="H47" s="534"/>
      <c r="I47" s="534"/>
      <c r="J47" s="534"/>
      <c r="K47" s="535"/>
      <c r="L47" s="530"/>
    </row>
    <row r="48" spans="1:12" ht="14.25">
      <c r="A48" s="530"/>
      <c r="B48" s="892">
        <v>312000000</v>
      </c>
      <c r="C48" s="885"/>
      <c r="D48" s="537" t="s">
        <v>728</v>
      </c>
      <c r="E48" s="537" t="s">
        <v>718</v>
      </c>
      <c r="F48" s="595">
        <v>1000</v>
      </c>
      <c r="G48" s="595" t="s">
        <v>717</v>
      </c>
      <c r="H48" s="538">
        <f>B48/F48</f>
        <v>312000</v>
      </c>
      <c r="I48" s="537" t="s">
        <v>729</v>
      </c>
      <c r="J48" s="537"/>
      <c r="K48" s="539"/>
      <c r="L48" s="530"/>
    </row>
    <row r="49" spans="1:12" ht="14.25">
      <c r="A49" s="530"/>
      <c r="B49" s="545"/>
      <c r="C49" s="537"/>
      <c r="D49" s="537"/>
      <c r="E49" s="537"/>
      <c r="F49" s="537"/>
      <c r="G49" s="537"/>
      <c r="H49" s="537"/>
      <c r="I49" s="537"/>
      <c r="J49" s="537"/>
      <c r="K49" s="539"/>
      <c r="L49" s="530"/>
    </row>
    <row r="50" spans="1:12" ht="14.25">
      <c r="A50" s="530"/>
      <c r="B50" s="546">
        <v>50000</v>
      </c>
      <c r="C50" s="537" t="s">
        <v>730</v>
      </c>
      <c r="D50" s="537"/>
      <c r="E50" s="537" t="s">
        <v>718</v>
      </c>
      <c r="F50" s="538">
        <f>H48</f>
        <v>312000</v>
      </c>
      <c r="G50" s="893" t="s">
        <v>731</v>
      </c>
      <c r="H50" s="894"/>
      <c r="I50" s="595" t="s">
        <v>717</v>
      </c>
      <c r="J50" s="547">
        <f>B50/F50</f>
        <v>0.16025641025641027</v>
      </c>
      <c r="K50" s="539"/>
      <c r="L50" s="530"/>
    </row>
    <row r="51" spans="1:15" ht="15" thickBot="1">
      <c r="A51" s="530"/>
      <c r="B51" s="540"/>
      <c r="C51" s="541"/>
      <c r="D51" s="541"/>
      <c r="E51" s="541"/>
      <c r="F51" s="541"/>
      <c r="G51" s="541"/>
      <c r="H51" s="541"/>
      <c r="I51" s="895" t="s">
        <v>732</v>
      </c>
      <c r="J51" s="895"/>
      <c r="K51" s="896"/>
      <c r="L51" s="530"/>
      <c r="O51" s="548"/>
    </row>
    <row r="52" spans="1:12" ht="40.5" customHeight="1">
      <c r="A52" s="530"/>
      <c r="B52" s="886" t="s">
        <v>709</v>
      </c>
      <c r="C52" s="886"/>
      <c r="D52" s="886"/>
      <c r="E52" s="886"/>
      <c r="F52" s="886"/>
      <c r="G52" s="886"/>
      <c r="H52" s="886"/>
      <c r="I52" s="886"/>
      <c r="J52" s="886"/>
      <c r="K52" s="886"/>
      <c r="L52" s="530"/>
    </row>
    <row r="53" spans="1:12" ht="14.25">
      <c r="A53" s="530"/>
      <c r="B53" s="889" t="s">
        <v>733</v>
      </c>
      <c r="C53" s="889"/>
      <c r="D53" s="889"/>
      <c r="E53" s="889"/>
      <c r="F53" s="889"/>
      <c r="G53" s="889"/>
      <c r="H53" s="889"/>
      <c r="I53" s="889"/>
      <c r="J53" s="889"/>
      <c r="K53" s="889"/>
      <c r="L53" s="530"/>
    </row>
    <row r="54" spans="1:12" ht="14.25">
      <c r="A54" s="530"/>
      <c r="B54" s="591"/>
      <c r="C54" s="591"/>
      <c r="D54" s="591"/>
      <c r="E54" s="591"/>
      <c r="F54" s="591"/>
      <c r="G54" s="591"/>
      <c r="H54" s="591"/>
      <c r="I54" s="591"/>
      <c r="J54" s="591"/>
      <c r="K54" s="591"/>
      <c r="L54" s="530"/>
    </row>
    <row r="55" spans="1:12" ht="14.25">
      <c r="A55" s="530"/>
      <c r="B55" s="883" t="s">
        <v>734</v>
      </c>
      <c r="C55" s="883"/>
      <c r="D55" s="883"/>
      <c r="E55" s="883"/>
      <c r="F55" s="883"/>
      <c r="G55" s="883"/>
      <c r="H55" s="883"/>
      <c r="I55" s="883"/>
      <c r="J55" s="883"/>
      <c r="K55" s="883"/>
      <c r="L55" s="530"/>
    </row>
    <row r="56" spans="1:12" ht="15" customHeight="1">
      <c r="A56" s="530"/>
      <c r="L56" s="530"/>
    </row>
    <row r="57" spans="1:24" ht="74.25" customHeight="1">
      <c r="A57" s="530"/>
      <c r="B57" s="884" t="s">
        <v>735</v>
      </c>
      <c r="C57" s="890"/>
      <c r="D57" s="890"/>
      <c r="E57" s="890"/>
      <c r="F57" s="890"/>
      <c r="G57" s="890"/>
      <c r="H57" s="890"/>
      <c r="I57" s="890"/>
      <c r="J57" s="890"/>
      <c r="K57" s="890"/>
      <c r="L57" s="530"/>
      <c r="M57" s="515"/>
      <c r="N57" s="503"/>
      <c r="O57" s="503"/>
      <c r="P57" s="503"/>
      <c r="Q57" s="503"/>
      <c r="R57" s="503"/>
      <c r="S57" s="503"/>
      <c r="T57" s="503"/>
      <c r="U57" s="503"/>
      <c r="V57" s="503"/>
      <c r="W57" s="503"/>
      <c r="X57" s="503"/>
    </row>
    <row r="58" spans="1:24" ht="15" customHeight="1">
      <c r="A58" s="530"/>
      <c r="B58" s="884"/>
      <c r="C58" s="890"/>
      <c r="D58" s="890"/>
      <c r="E58" s="890"/>
      <c r="F58" s="890"/>
      <c r="G58" s="890"/>
      <c r="H58" s="890"/>
      <c r="I58" s="890"/>
      <c r="J58" s="890"/>
      <c r="K58" s="890"/>
      <c r="L58" s="530"/>
      <c r="M58" s="515"/>
      <c r="N58" s="503"/>
      <c r="O58" s="503"/>
      <c r="P58" s="503"/>
      <c r="Q58" s="503"/>
      <c r="R58" s="503"/>
      <c r="S58" s="503"/>
      <c r="T58" s="503"/>
      <c r="U58" s="503"/>
      <c r="V58" s="503"/>
      <c r="W58" s="503"/>
      <c r="X58" s="503"/>
    </row>
    <row r="59" spans="1:24" ht="14.25">
      <c r="A59" s="530"/>
      <c r="B59" s="513" t="s">
        <v>724</v>
      </c>
      <c r="L59" s="530"/>
      <c r="M59" s="503"/>
      <c r="N59" s="503"/>
      <c r="O59" s="503"/>
      <c r="P59" s="503"/>
      <c r="Q59" s="503"/>
      <c r="R59" s="503"/>
      <c r="S59" s="503"/>
      <c r="T59" s="503"/>
      <c r="U59" s="503"/>
      <c r="V59" s="503"/>
      <c r="W59" s="503"/>
      <c r="X59" s="503"/>
    </row>
    <row r="60" spans="1:24" ht="14.25">
      <c r="A60" s="530"/>
      <c r="L60" s="530"/>
      <c r="M60" s="503"/>
      <c r="N60" s="503"/>
      <c r="O60" s="503"/>
      <c r="P60" s="503"/>
      <c r="Q60" s="503"/>
      <c r="R60" s="503"/>
      <c r="S60" s="503"/>
      <c r="T60" s="503"/>
      <c r="U60" s="503"/>
      <c r="V60" s="503"/>
      <c r="W60" s="503"/>
      <c r="X60" s="503"/>
    </row>
    <row r="61" spans="1:24" ht="14.25">
      <c r="A61" s="530"/>
      <c r="B61" s="531" t="s">
        <v>736</v>
      </c>
      <c r="L61" s="530"/>
      <c r="M61" s="503"/>
      <c r="N61" s="503"/>
      <c r="O61" s="503"/>
      <c r="P61" s="503"/>
      <c r="Q61" s="503"/>
      <c r="R61" s="503"/>
      <c r="S61" s="503"/>
      <c r="T61" s="503"/>
      <c r="U61" s="503"/>
      <c r="V61" s="503"/>
      <c r="W61" s="503"/>
      <c r="X61" s="503"/>
    </row>
    <row r="62" spans="1:24" ht="14.25">
      <c r="A62" s="530"/>
      <c r="B62" s="531" t="s">
        <v>787</v>
      </c>
      <c r="L62" s="530"/>
      <c r="M62" s="503"/>
      <c r="N62" s="503"/>
      <c r="O62" s="503"/>
      <c r="P62" s="503"/>
      <c r="Q62" s="503"/>
      <c r="R62" s="503"/>
      <c r="S62" s="503"/>
      <c r="T62" s="503"/>
      <c r="U62" s="503"/>
      <c r="V62" s="503"/>
      <c r="W62" s="503"/>
      <c r="X62" s="503"/>
    </row>
    <row r="63" spans="1:24" ht="14.25">
      <c r="A63" s="530"/>
      <c r="B63" s="531" t="s">
        <v>788</v>
      </c>
      <c r="L63" s="530"/>
      <c r="M63" s="503"/>
      <c r="N63" s="503"/>
      <c r="O63" s="503"/>
      <c r="P63" s="503"/>
      <c r="Q63" s="503"/>
      <c r="R63" s="503"/>
      <c r="S63" s="503"/>
      <c r="T63" s="503"/>
      <c r="U63" s="503"/>
      <c r="V63" s="503"/>
      <c r="W63" s="503"/>
      <c r="X63" s="503"/>
    </row>
    <row r="64" spans="1:24" ht="14.25">
      <c r="A64" s="530"/>
      <c r="L64" s="530"/>
      <c r="M64" s="503"/>
      <c r="N64" s="503"/>
      <c r="O64" s="503"/>
      <c r="P64" s="503"/>
      <c r="Q64" s="503"/>
      <c r="R64" s="503"/>
      <c r="S64" s="503"/>
      <c r="T64" s="503"/>
      <c r="U64" s="503"/>
      <c r="V64" s="503"/>
      <c r="W64" s="503"/>
      <c r="X64" s="503"/>
    </row>
    <row r="65" spans="1:24" ht="14.25">
      <c r="A65" s="530"/>
      <c r="B65" s="531" t="s">
        <v>737</v>
      </c>
      <c r="L65" s="530"/>
      <c r="M65" s="503"/>
      <c r="N65" s="503"/>
      <c r="O65" s="503"/>
      <c r="P65" s="503"/>
      <c r="Q65" s="503"/>
      <c r="R65" s="503"/>
      <c r="S65" s="503"/>
      <c r="T65" s="503"/>
      <c r="U65" s="503"/>
      <c r="V65" s="503"/>
      <c r="W65" s="503"/>
      <c r="X65" s="503"/>
    </row>
    <row r="66" spans="1:24" ht="14.25">
      <c r="A66" s="530"/>
      <c r="B66" s="531" t="s">
        <v>738</v>
      </c>
      <c r="L66" s="530"/>
      <c r="M66" s="503"/>
      <c r="N66" s="503"/>
      <c r="O66" s="503"/>
      <c r="P66" s="503"/>
      <c r="Q66" s="503"/>
      <c r="R66" s="503"/>
      <c r="S66" s="503"/>
      <c r="T66" s="503"/>
      <c r="U66" s="503"/>
      <c r="V66" s="503"/>
      <c r="W66" s="503"/>
      <c r="X66" s="503"/>
    </row>
    <row r="67" spans="1:24" ht="14.25">
      <c r="A67" s="530"/>
      <c r="L67" s="530"/>
      <c r="M67" s="503"/>
      <c r="N67" s="503"/>
      <c r="O67" s="503"/>
      <c r="P67" s="503"/>
      <c r="Q67" s="503"/>
      <c r="R67" s="503"/>
      <c r="S67" s="503"/>
      <c r="T67" s="503"/>
      <c r="U67" s="503"/>
      <c r="V67" s="503"/>
      <c r="W67" s="503"/>
      <c r="X67" s="503"/>
    </row>
    <row r="68" spans="1:24" ht="14.25">
      <c r="A68" s="530"/>
      <c r="B68" s="531" t="s">
        <v>739</v>
      </c>
      <c r="L68" s="530"/>
      <c r="M68" s="516"/>
      <c r="N68" s="502"/>
      <c r="O68" s="502"/>
      <c r="P68" s="502"/>
      <c r="Q68" s="502"/>
      <c r="R68" s="502"/>
      <c r="S68" s="502"/>
      <c r="T68" s="502"/>
      <c r="U68" s="502"/>
      <c r="V68" s="502"/>
      <c r="W68" s="502"/>
      <c r="X68" s="503"/>
    </row>
    <row r="69" spans="1:24" ht="14.25">
      <c r="A69" s="530"/>
      <c r="B69" s="531" t="s">
        <v>789</v>
      </c>
      <c r="L69" s="530"/>
      <c r="M69" s="503"/>
      <c r="N69" s="503"/>
      <c r="O69" s="503"/>
      <c r="P69" s="503"/>
      <c r="Q69" s="503"/>
      <c r="R69" s="503"/>
      <c r="S69" s="503"/>
      <c r="T69" s="503"/>
      <c r="U69" s="503"/>
      <c r="V69" s="503"/>
      <c r="W69" s="503"/>
      <c r="X69" s="503"/>
    </row>
    <row r="70" spans="1:24" ht="14.25">
      <c r="A70" s="530"/>
      <c r="B70" s="531" t="s">
        <v>790</v>
      </c>
      <c r="L70" s="530"/>
      <c r="M70" s="503"/>
      <c r="N70" s="503"/>
      <c r="O70" s="503"/>
      <c r="P70" s="503"/>
      <c r="Q70" s="503"/>
      <c r="R70" s="503"/>
      <c r="S70" s="503"/>
      <c r="T70" s="503"/>
      <c r="U70" s="503"/>
      <c r="V70" s="503"/>
      <c r="W70" s="503"/>
      <c r="X70" s="503"/>
    </row>
    <row r="71" spans="1:12" ht="15" thickBot="1">
      <c r="A71" s="530"/>
      <c r="B71" s="537"/>
      <c r="C71" s="537"/>
      <c r="D71" s="537"/>
      <c r="E71" s="537"/>
      <c r="F71" s="537"/>
      <c r="G71" s="537"/>
      <c r="H71" s="537"/>
      <c r="I71" s="537"/>
      <c r="J71" s="537"/>
      <c r="K71" s="537"/>
      <c r="L71" s="530"/>
    </row>
    <row r="72" spans="1:12" ht="14.25">
      <c r="A72" s="530"/>
      <c r="B72" s="514" t="s">
        <v>713</v>
      </c>
      <c r="C72" s="534"/>
      <c r="D72" s="534"/>
      <c r="E72" s="534"/>
      <c r="F72" s="534"/>
      <c r="G72" s="534"/>
      <c r="H72" s="534"/>
      <c r="I72" s="534"/>
      <c r="J72" s="534"/>
      <c r="K72" s="535"/>
      <c r="L72" s="549"/>
    </row>
    <row r="73" spans="1:12" ht="14.25">
      <c r="A73" s="530"/>
      <c r="B73" s="545"/>
      <c r="C73" s="537" t="s">
        <v>719</v>
      </c>
      <c r="D73" s="537"/>
      <c r="E73" s="537"/>
      <c r="F73" s="537"/>
      <c r="G73" s="537"/>
      <c r="H73" s="537"/>
      <c r="I73" s="537"/>
      <c r="J73" s="537"/>
      <c r="K73" s="539"/>
      <c r="L73" s="549"/>
    </row>
    <row r="74" spans="1:12" ht="14.25">
      <c r="A74" s="530"/>
      <c r="B74" s="545" t="s">
        <v>740</v>
      </c>
      <c r="C74" s="885">
        <v>312000000</v>
      </c>
      <c r="D74" s="885"/>
      <c r="E74" s="595" t="s">
        <v>718</v>
      </c>
      <c r="F74" s="595">
        <v>1000</v>
      </c>
      <c r="G74" s="595" t="s">
        <v>717</v>
      </c>
      <c r="H74" s="586">
        <f>C74/F74</f>
        <v>312000</v>
      </c>
      <c r="I74" s="537" t="s">
        <v>741</v>
      </c>
      <c r="J74" s="537"/>
      <c r="K74" s="539"/>
      <c r="L74" s="549"/>
    </row>
    <row r="75" spans="1:12" ht="14.25">
      <c r="A75" s="530"/>
      <c r="B75" s="545"/>
      <c r="C75" s="537"/>
      <c r="D75" s="537"/>
      <c r="E75" s="595"/>
      <c r="F75" s="537"/>
      <c r="G75" s="537"/>
      <c r="H75" s="537"/>
      <c r="I75" s="537"/>
      <c r="J75" s="537"/>
      <c r="K75" s="539"/>
      <c r="L75" s="549"/>
    </row>
    <row r="76" spans="1:12" ht="14.25">
      <c r="A76" s="530"/>
      <c r="B76" s="545"/>
      <c r="C76" s="537" t="s">
        <v>742</v>
      </c>
      <c r="D76" s="537"/>
      <c r="E76" s="595"/>
      <c r="F76" s="537" t="s">
        <v>741</v>
      </c>
      <c r="G76" s="537"/>
      <c r="H76" s="537"/>
      <c r="I76" s="537"/>
      <c r="J76" s="537"/>
      <c r="K76" s="539"/>
      <c r="L76" s="549"/>
    </row>
    <row r="77" spans="1:12" ht="14.25">
      <c r="A77" s="530"/>
      <c r="B77" s="545" t="s">
        <v>745</v>
      </c>
      <c r="C77" s="885">
        <v>50000</v>
      </c>
      <c r="D77" s="885"/>
      <c r="E77" s="595" t="s">
        <v>718</v>
      </c>
      <c r="F77" s="586">
        <f>H74</f>
        <v>312000</v>
      </c>
      <c r="G77" s="595" t="s">
        <v>717</v>
      </c>
      <c r="H77" s="547">
        <f>C77/F77</f>
        <v>0.16025641025641027</v>
      </c>
      <c r="I77" s="537" t="s">
        <v>743</v>
      </c>
      <c r="J77" s="537"/>
      <c r="K77" s="539"/>
      <c r="L77" s="549"/>
    </row>
    <row r="78" spans="1:12" ht="14.25">
      <c r="A78" s="530"/>
      <c r="B78" s="545"/>
      <c r="C78" s="537"/>
      <c r="D78" s="537"/>
      <c r="E78" s="595"/>
      <c r="F78" s="537"/>
      <c r="G78" s="537"/>
      <c r="H78" s="537"/>
      <c r="I78" s="537"/>
      <c r="J78" s="537"/>
      <c r="K78" s="539"/>
      <c r="L78" s="549"/>
    </row>
    <row r="79" spans="1:12" ht="14.25">
      <c r="A79" s="530"/>
      <c r="B79" s="550"/>
      <c r="C79" s="551" t="s">
        <v>744</v>
      </c>
      <c r="D79" s="551"/>
      <c r="E79" s="587"/>
      <c r="F79" s="551"/>
      <c r="G79" s="551"/>
      <c r="H79" s="551"/>
      <c r="I79" s="551"/>
      <c r="J79" s="551"/>
      <c r="K79" s="552"/>
      <c r="L79" s="549"/>
    </row>
    <row r="80" spans="1:12" ht="14.25">
      <c r="A80" s="530"/>
      <c r="B80" s="545" t="s">
        <v>770</v>
      </c>
      <c r="C80" s="885">
        <v>100000</v>
      </c>
      <c r="D80" s="885"/>
      <c r="E80" s="595" t="s">
        <v>145</v>
      </c>
      <c r="F80" s="595">
        <v>0.115</v>
      </c>
      <c r="G80" s="595" t="s">
        <v>717</v>
      </c>
      <c r="H80" s="586">
        <f>C80*F80</f>
        <v>11500</v>
      </c>
      <c r="I80" s="537" t="s">
        <v>746</v>
      </c>
      <c r="J80" s="537"/>
      <c r="K80" s="539"/>
      <c r="L80" s="549"/>
    </row>
    <row r="81" spans="1:12" ht="14.25">
      <c r="A81" s="530"/>
      <c r="B81" s="545"/>
      <c r="C81" s="537"/>
      <c r="D81" s="537"/>
      <c r="E81" s="595"/>
      <c r="F81" s="537"/>
      <c r="G81" s="537"/>
      <c r="H81" s="537"/>
      <c r="I81" s="537"/>
      <c r="J81" s="537"/>
      <c r="K81" s="539"/>
      <c r="L81" s="549"/>
    </row>
    <row r="82" spans="1:12" ht="14.25">
      <c r="A82" s="530"/>
      <c r="B82" s="550"/>
      <c r="C82" s="551" t="s">
        <v>747</v>
      </c>
      <c r="D82" s="551"/>
      <c r="E82" s="587"/>
      <c r="F82" s="551" t="s">
        <v>743</v>
      </c>
      <c r="G82" s="551"/>
      <c r="H82" s="551"/>
      <c r="I82" s="551"/>
      <c r="J82" s="551" t="s">
        <v>748</v>
      </c>
      <c r="K82" s="552"/>
      <c r="L82" s="549"/>
    </row>
    <row r="83" spans="1:12" ht="14.25">
      <c r="A83" s="530"/>
      <c r="B83" s="545" t="s">
        <v>771</v>
      </c>
      <c r="C83" s="874">
        <f>H80</f>
        <v>11500</v>
      </c>
      <c r="D83" s="874"/>
      <c r="E83" s="595" t="s">
        <v>145</v>
      </c>
      <c r="F83" s="547">
        <f>H77</f>
        <v>0.16025641025641027</v>
      </c>
      <c r="G83" s="595" t="s">
        <v>718</v>
      </c>
      <c r="H83" s="595">
        <v>1000</v>
      </c>
      <c r="I83" s="595" t="s">
        <v>717</v>
      </c>
      <c r="J83" s="588">
        <f>C83*F83/H83</f>
        <v>1.842948717948718</v>
      </c>
      <c r="K83" s="539"/>
      <c r="L83" s="549"/>
    </row>
    <row r="84" spans="1:12" ht="15" thickBot="1">
      <c r="A84" s="530"/>
      <c r="B84" s="540"/>
      <c r="C84" s="553"/>
      <c r="D84" s="553"/>
      <c r="E84" s="554"/>
      <c r="F84" s="555"/>
      <c r="G84" s="554"/>
      <c r="H84" s="554"/>
      <c r="I84" s="554"/>
      <c r="J84" s="556"/>
      <c r="K84" s="542"/>
      <c r="L84" s="549"/>
    </row>
    <row r="85" spans="1:12" ht="40.5" customHeight="1">
      <c r="A85" s="530"/>
      <c r="B85" s="886" t="s">
        <v>709</v>
      </c>
      <c r="C85" s="886"/>
      <c r="D85" s="886"/>
      <c r="E85" s="886"/>
      <c r="F85" s="886"/>
      <c r="G85" s="886"/>
      <c r="H85" s="886"/>
      <c r="I85" s="886"/>
      <c r="J85" s="886"/>
      <c r="K85" s="886"/>
      <c r="L85" s="530"/>
    </row>
    <row r="86" spans="1:12" ht="14.25">
      <c r="A86" s="530"/>
      <c r="B86" s="883" t="s">
        <v>749</v>
      </c>
      <c r="C86" s="883"/>
      <c r="D86" s="883"/>
      <c r="E86" s="883"/>
      <c r="F86" s="883"/>
      <c r="G86" s="883"/>
      <c r="H86" s="883"/>
      <c r="I86" s="883"/>
      <c r="J86" s="883"/>
      <c r="K86" s="883"/>
      <c r="L86" s="530"/>
    </row>
    <row r="87" spans="1:12" ht="14.25">
      <c r="A87" s="530"/>
      <c r="B87" s="557"/>
      <c r="C87" s="557"/>
      <c r="D87" s="557"/>
      <c r="E87" s="557"/>
      <c r="F87" s="557"/>
      <c r="G87" s="557"/>
      <c r="H87" s="557"/>
      <c r="I87" s="557"/>
      <c r="J87" s="557"/>
      <c r="K87" s="557"/>
      <c r="L87" s="530"/>
    </row>
    <row r="88" spans="1:12" ht="14.25">
      <c r="A88" s="530"/>
      <c r="B88" s="883" t="s">
        <v>750</v>
      </c>
      <c r="C88" s="883"/>
      <c r="D88" s="883"/>
      <c r="E88" s="883"/>
      <c r="F88" s="883"/>
      <c r="G88" s="883"/>
      <c r="H88" s="883"/>
      <c r="I88" s="883"/>
      <c r="J88" s="883"/>
      <c r="K88" s="883"/>
      <c r="L88" s="530"/>
    </row>
    <row r="89" spans="1:12" ht="14.25">
      <c r="A89" s="530"/>
      <c r="B89" s="589"/>
      <c r="C89" s="589"/>
      <c r="D89" s="589"/>
      <c r="E89" s="589"/>
      <c r="F89" s="589"/>
      <c r="G89" s="589"/>
      <c r="H89" s="589"/>
      <c r="I89" s="589"/>
      <c r="J89" s="589"/>
      <c r="K89" s="589"/>
      <c r="L89" s="530"/>
    </row>
    <row r="90" spans="1:12" ht="45" customHeight="1">
      <c r="A90" s="530"/>
      <c r="B90" s="884" t="s">
        <v>751</v>
      </c>
      <c r="C90" s="884"/>
      <c r="D90" s="884"/>
      <c r="E90" s="884"/>
      <c r="F90" s="884"/>
      <c r="G90" s="884"/>
      <c r="H90" s="884"/>
      <c r="I90" s="884"/>
      <c r="J90" s="884"/>
      <c r="K90" s="884"/>
      <c r="L90" s="530"/>
    </row>
    <row r="91" spans="1:12" ht="15" customHeight="1" thickBot="1">
      <c r="A91" s="530"/>
      <c r="L91" s="530"/>
    </row>
    <row r="92" spans="1:12" ht="15" customHeight="1">
      <c r="A92" s="530"/>
      <c r="B92" s="517" t="s">
        <v>713</v>
      </c>
      <c r="C92" s="558"/>
      <c r="D92" s="558"/>
      <c r="E92" s="558"/>
      <c r="F92" s="558"/>
      <c r="G92" s="558"/>
      <c r="H92" s="558"/>
      <c r="I92" s="558"/>
      <c r="J92" s="558"/>
      <c r="K92" s="559"/>
      <c r="L92" s="530"/>
    </row>
    <row r="93" spans="1:12" ht="15" customHeight="1">
      <c r="A93" s="530"/>
      <c r="B93" s="560"/>
      <c r="C93" s="593" t="s">
        <v>719</v>
      </c>
      <c r="D93" s="593"/>
      <c r="E93" s="593"/>
      <c r="F93" s="593"/>
      <c r="G93" s="593"/>
      <c r="H93" s="593"/>
      <c r="I93" s="593"/>
      <c r="J93" s="593"/>
      <c r="K93" s="561"/>
      <c r="L93" s="530"/>
    </row>
    <row r="94" spans="1:12" ht="15" customHeight="1">
      <c r="A94" s="530"/>
      <c r="B94" s="560" t="s">
        <v>740</v>
      </c>
      <c r="C94" s="885">
        <v>312000000</v>
      </c>
      <c r="D94" s="885"/>
      <c r="E94" s="595" t="s">
        <v>718</v>
      </c>
      <c r="F94" s="595">
        <v>1000</v>
      </c>
      <c r="G94" s="595" t="s">
        <v>717</v>
      </c>
      <c r="H94" s="586">
        <f>C94/F94</f>
        <v>312000</v>
      </c>
      <c r="I94" s="593" t="s">
        <v>741</v>
      </c>
      <c r="J94" s="593"/>
      <c r="K94" s="561"/>
      <c r="L94" s="530"/>
    </row>
    <row r="95" spans="1:12" ht="15" customHeight="1">
      <c r="A95" s="530"/>
      <c r="B95" s="560"/>
      <c r="C95" s="593"/>
      <c r="D95" s="593"/>
      <c r="E95" s="595"/>
      <c r="F95" s="593"/>
      <c r="G95" s="593"/>
      <c r="H95" s="593"/>
      <c r="I95" s="593"/>
      <c r="J95" s="593"/>
      <c r="K95" s="561"/>
      <c r="L95" s="530"/>
    </row>
    <row r="96" spans="1:12" ht="15" customHeight="1">
      <c r="A96" s="530"/>
      <c r="B96" s="560"/>
      <c r="C96" s="593" t="s">
        <v>742</v>
      </c>
      <c r="D96" s="593"/>
      <c r="E96" s="595"/>
      <c r="F96" s="593" t="s">
        <v>741</v>
      </c>
      <c r="G96" s="593"/>
      <c r="H96" s="593"/>
      <c r="I96" s="593"/>
      <c r="J96" s="593"/>
      <c r="K96" s="561"/>
      <c r="L96" s="530"/>
    </row>
    <row r="97" spans="1:12" ht="15" customHeight="1">
      <c r="A97" s="530"/>
      <c r="B97" s="560" t="s">
        <v>745</v>
      </c>
      <c r="C97" s="885">
        <v>50000</v>
      </c>
      <c r="D97" s="885"/>
      <c r="E97" s="595" t="s">
        <v>718</v>
      </c>
      <c r="F97" s="586">
        <f>H94</f>
        <v>312000</v>
      </c>
      <c r="G97" s="595" t="s">
        <v>717</v>
      </c>
      <c r="H97" s="547">
        <f>C97/F97</f>
        <v>0.16025641025641027</v>
      </c>
      <c r="I97" s="593" t="s">
        <v>743</v>
      </c>
      <c r="J97" s="593"/>
      <c r="K97" s="561"/>
      <c r="L97" s="530"/>
    </row>
    <row r="98" spans="1:12" ht="15" customHeight="1">
      <c r="A98" s="530"/>
      <c r="B98" s="560"/>
      <c r="C98" s="593"/>
      <c r="D98" s="593"/>
      <c r="E98" s="595"/>
      <c r="F98" s="593"/>
      <c r="G98" s="593"/>
      <c r="H98" s="593"/>
      <c r="I98" s="593"/>
      <c r="J98" s="593"/>
      <c r="K98" s="561"/>
      <c r="L98" s="530"/>
    </row>
    <row r="99" spans="1:12" ht="15" customHeight="1">
      <c r="A99" s="530"/>
      <c r="B99" s="562"/>
      <c r="C99" s="563" t="s">
        <v>752</v>
      </c>
      <c r="D99" s="563"/>
      <c r="E99" s="587"/>
      <c r="F99" s="563"/>
      <c r="G99" s="563"/>
      <c r="H99" s="563"/>
      <c r="I99" s="563"/>
      <c r="J99" s="563"/>
      <c r="K99" s="564"/>
      <c r="L99" s="530"/>
    </row>
    <row r="100" spans="1:12" ht="15" customHeight="1">
      <c r="A100" s="530"/>
      <c r="B100" s="560" t="s">
        <v>770</v>
      </c>
      <c r="C100" s="885">
        <v>2500000</v>
      </c>
      <c r="D100" s="885"/>
      <c r="E100" s="595" t="s">
        <v>145</v>
      </c>
      <c r="F100" s="565">
        <v>0.3</v>
      </c>
      <c r="G100" s="595" t="s">
        <v>717</v>
      </c>
      <c r="H100" s="586">
        <f>C100*F100</f>
        <v>750000</v>
      </c>
      <c r="I100" s="593" t="s">
        <v>746</v>
      </c>
      <c r="J100" s="593"/>
      <c r="K100" s="561"/>
      <c r="L100" s="530"/>
    </row>
    <row r="101" spans="1:12" ht="15" customHeight="1">
      <c r="A101" s="530"/>
      <c r="B101" s="560"/>
      <c r="C101" s="593"/>
      <c r="D101" s="593"/>
      <c r="E101" s="595"/>
      <c r="F101" s="593"/>
      <c r="G101" s="593"/>
      <c r="H101" s="593"/>
      <c r="I101" s="593"/>
      <c r="J101" s="593"/>
      <c r="K101" s="561"/>
      <c r="L101" s="530"/>
    </row>
    <row r="102" spans="1:12" ht="15" customHeight="1">
      <c r="A102" s="530"/>
      <c r="B102" s="562"/>
      <c r="C102" s="563" t="s">
        <v>747</v>
      </c>
      <c r="D102" s="563"/>
      <c r="E102" s="587"/>
      <c r="F102" s="563" t="s">
        <v>743</v>
      </c>
      <c r="G102" s="563"/>
      <c r="H102" s="563"/>
      <c r="I102" s="563"/>
      <c r="J102" s="563" t="s">
        <v>748</v>
      </c>
      <c r="K102" s="564"/>
      <c r="L102" s="530"/>
    </row>
    <row r="103" spans="1:12" ht="15" customHeight="1">
      <c r="A103" s="530"/>
      <c r="B103" s="560" t="s">
        <v>771</v>
      </c>
      <c r="C103" s="874">
        <f>H100</f>
        <v>750000</v>
      </c>
      <c r="D103" s="874"/>
      <c r="E103" s="595" t="s">
        <v>145</v>
      </c>
      <c r="F103" s="547">
        <f>H97</f>
        <v>0.16025641025641027</v>
      </c>
      <c r="G103" s="595" t="s">
        <v>718</v>
      </c>
      <c r="H103" s="595">
        <v>1000</v>
      </c>
      <c r="I103" s="595" t="s">
        <v>717</v>
      </c>
      <c r="J103" s="588">
        <f>C103*F103/H103</f>
        <v>120.19230769230771</v>
      </c>
      <c r="K103" s="561"/>
      <c r="L103" s="530"/>
    </row>
    <row r="104" spans="1:12" ht="15" customHeight="1" thickBot="1">
      <c r="A104" s="530"/>
      <c r="B104" s="566"/>
      <c r="C104" s="553"/>
      <c r="D104" s="553"/>
      <c r="E104" s="554"/>
      <c r="F104" s="555"/>
      <c r="G104" s="554"/>
      <c r="H104" s="554"/>
      <c r="I104" s="554"/>
      <c r="J104" s="556"/>
      <c r="K104" s="594"/>
      <c r="L104" s="530"/>
    </row>
    <row r="105" spans="1:12" ht="40.5" customHeight="1">
      <c r="A105" s="530"/>
      <c r="B105" s="886" t="s">
        <v>709</v>
      </c>
      <c r="C105" s="887"/>
      <c r="D105" s="887"/>
      <c r="E105" s="887"/>
      <c r="F105" s="887"/>
      <c r="G105" s="887"/>
      <c r="H105" s="887"/>
      <c r="I105" s="887"/>
      <c r="J105" s="887"/>
      <c r="K105" s="887"/>
      <c r="L105" s="530"/>
    </row>
    <row r="106" spans="1:12" ht="15" customHeight="1">
      <c r="A106" s="530"/>
      <c r="B106" s="881" t="s">
        <v>753</v>
      </c>
      <c r="C106" s="888"/>
      <c r="D106" s="888"/>
      <c r="E106" s="888"/>
      <c r="F106" s="888"/>
      <c r="G106" s="888"/>
      <c r="H106" s="888"/>
      <c r="I106" s="888"/>
      <c r="J106" s="888"/>
      <c r="K106" s="888"/>
      <c r="L106" s="530"/>
    </row>
    <row r="107" spans="1:12" ht="15" customHeight="1">
      <c r="A107" s="530"/>
      <c r="B107" s="593"/>
      <c r="C107" s="567"/>
      <c r="D107" s="567"/>
      <c r="E107" s="595"/>
      <c r="F107" s="547"/>
      <c r="G107" s="595"/>
      <c r="H107" s="595"/>
      <c r="I107" s="595"/>
      <c r="J107" s="588"/>
      <c r="K107" s="593"/>
      <c r="L107" s="530"/>
    </row>
    <row r="108" spans="1:12" ht="15" customHeight="1">
      <c r="A108" s="530"/>
      <c r="B108" s="881" t="s">
        <v>754</v>
      </c>
      <c r="C108" s="882"/>
      <c r="D108" s="882"/>
      <c r="E108" s="882"/>
      <c r="F108" s="882"/>
      <c r="G108" s="882"/>
      <c r="H108" s="882"/>
      <c r="I108" s="882"/>
      <c r="J108" s="882"/>
      <c r="K108" s="882"/>
      <c r="L108" s="530"/>
    </row>
    <row r="109" spans="1:12" ht="15" customHeight="1">
      <c r="A109" s="530"/>
      <c r="B109" s="593"/>
      <c r="C109" s="567"/>
      <c r="D109" s="567"/>
      <c r="E109" s="595"/>
      <c r="F109" s="547"/>
      <c r="G109" s="595"/>
      <c r="H109" s="595"/>
      <c r="I109" s="595"/>
      <c r="J109" s="588"/>
      <c r="K109" s="593"/>
      <c r="L109" s="530"/>
    </row>
    <row r="110" spans="1:12" ht="59.25" customHeight="1">
      <c r="A110" s="530"/>
      <c r="B110" s="900" t="s">
        <v>755</v>
      </c>
      <c r="C110" s="890"/>
      <c r="D110" s="890"/>
      <c r="E110" s="890"/>
      <c r="F110" s="890"/>
      <c r="G110" s="890"/>
      <c r="H110" s="890"/>
      <c r="I110" s="890"/>
      <c r="J110" s="890"/>
      <c r="K110" s="890"/>
      <c r="L110" s="530"/>
    </row>
    <row r="111" spans="1:12" ht="15" thickBot="1">
      <c r="A111" s="530"/>
      <c r="B111" s="591"/>
      <c r="C111" s="591"/>
      <c r="D111" s="591"/>
      <c r="E111" s="591"/>
      <c r="F111" s="591"/>
      <c r="G111" s="591"/>
      <c r="H111" s="591"/>
      <c r="I111" s="591"/>
      <c r="J111" s="591"/>
      <c r="K111" s="591"/>
      <c r="L111" s="568"/>
    </row>
    <row r="112" spans="1:12" ht="14.25">
      <c r="A112" s="530"/>
      <c r="B112" s="514" t="s">
        <v>713</v>
      </c>
      <c r="C112" s="534"/>
      <c r="D112" s="534"/>
      <c r="E112" s="534"/>
      <c r="F112" s="534"/>
      <c r="G112" s="534"/>
      <c r="H112" s="534"/>
      <c r="I112" s="534"/>
      <c r="J112" s="534"/>
      <c r="K112" s="535"/>
      <c r="L112" s="530"/>
    </row>
    <row r="113" spans="1:12" ht="14.25">
      <c r="A113" s="530"/>
      <c r="B113" s="545"/>
      <c r="C113" s="537" t="s">
        <v>719</v>
      </c>
      <c r="D113" s="537"/>
      <c r="E113" s="537"/>
      <c r="F113" s="537"/>
      <c r="G113" s="537"/>
      <c r="H113" s="537"/>
      <c r="I113" s="537"/>
      <c r="J113" s="537"/>
      <c r="K113" s="539"/>
      <c r="L113" s="530"/>
    </row>
    <row r="114" spans="1:12" ht="14.25">
      <c r="A114" s="530"/>
      <c r="B114" s="545" t="s">
        <v>740</v>
      </c>
      <c r="C114" s="885">
        <v>312000000</v>
      </c>
      <c r="D114" s="885"/>
      <c r="E114" s="595" t="s">
        <v>718</v>
      </c>
      <c r="F114" s="595">
        <v>1000</v>
      </c>
      <c r="G114" s="595" t="s">
        <v>717</v>
      </c>
      <c r="H114" s="586">
        <f>C114/F114</f>
        <v>312000</v>
      </c>
      <c r="I114" s="537" t="s">
        <v>741</v>
      </c>
      <c r="J114" s="537"/>
      <c r="K114" s="539"/>
      <c r="L114" s="530"/>
    </row>
    <row r="115" spans="1:12" ht="14.25">
      <c r="A115" s="530"/>
      <c r="B115" s="545"/>
      <c r="C115" s="537"/>
      <c r="D115" s="537"/>
      <c r="E115" s="595"/>
      <c r="F115" s="537"/>
      <c r="G115" s="537"/>
      <c r="H115" s="537"/>
      <c r="I115" s="537"/>
      <c r="J115" s="537"/>
      <c r="K115" s="539"/>
      <c r="L115" s="530"/>
    </row>
    <row r="116" spans="1:12" ht="14.25">
      <c r="A116" s="530"/>
      <c r="B116" s="545"/>
      <c r="C116" s="537" t="s">
        <v>742</v>
      </c>
      <c r="D116" s="537"/>
      <c r="E116" s="595"/>
      <c r="F116" s="537" t="s">
        <v>741</v>
      </c>
      <c r="G116" s="537"/>
      <c r="H116" s="537"/>
      <c r="I116" s="537"/>
      <c r="J116" s="537"/>
      <c r="K116" s="539"/>
      <c r="L116" s="530"/>
    </row>
    <row r="117" spans="1:12" ht="14.25">
      <c r="A117" s="530"/>
      <c r="B117" s="545" t="s">
        <v>745</v>
      </c>
      <c r="C117" s="885">
        <v>50000</v>
      </c>
      <c r="D117" s="885"/>
      <c r="E117" s="595" t="s">
        <v>718</v>
      </c>
      <c r="F117" s="586">
        <f>H114</f>
        <v>312000</v>
      </c>
      <c r="G117" s="595" t="s">
        <v>717</v>
      </c>
      <c r="H117" s="547">
        <f>C117/F117</f>
        <v>0.16025641025641027</v>
      </c>
      <c r="I117" s="537" t="s">
        <v>743</v>
      </c>
      <c r="J117" s="537"/>
      <c r="K117" s="539"/>
      <c r="L117" s="530"/>
    </row>
    <row r="118" spans="1:12" ht="14.25">
      <c r="A118" s="530"/>
      <c r="B118" s="545"/>
      <c r="C118" s="537"/>
      <c r="D118" s="537"/>
      <c r="E118" s="595"/>
      <c r="F118" s="537"/>
      <c r="G118" s="537"/>
      <c r="H118" s="537"/>
      <c r="I118" s="537"/>
      <c r="J118" s="537"/>
      <c r="K118" s="539"/>
      <c r="L118" s="530"/>
    </row>
    <row r="119" spans="1:12" ht="14.25">
      <c r="A119" s="530"/>
      <c r="B119" s="550"/>
      <c r="C119" s="551" t="s">
        <v>752</v>
      </c>
      <c r="D119" s="551"/>
      <c r="E119" s="587"/>
      <c r="F119" s="551"/>
      <c r="G119" s="551"/>
      <c r="H119" s="551"/>
      <c r="I119" s="551"/>
      <c r="J119" s="551"/>
      <c r="K119" s="552"/>
      <c r="L119" s="530"/>
    </row>
    <row r="120" spans="1:12" ht="14.25">
      <c r="A120" s="530"/>
      <c r="B120" s="545" t="s">
        <v>770</v>
      </c>
      <c r="C120" s="885">
        <v>2500000</v>
      </c>
      <c r="D120" s="885"/>
      <c r="E120" s="595" t="s">
        <v>145</v>
      </c>
      <c r="F120" s="565">
        <v>0.25</v>
      </c>
      <c r="G120" s="595" t="s">
        <v>717</v>
      </c>
      <c r="H120" s="586">
        <f>C120*F120</f>
        <v>625000</v>
      </c>
      <c r="I120" s="537" t="s">
        <v>746</v>
      </c>
      <c r="J120" s="537"/>
      <c r="K120" s="539"/>
      <c r="L120" s="530"/>
    </row>
    <row r="121" spans="1:12" ht="14.25">
      <c r="A121" s="530"/>
      <c r="B121" s="545"/>
      <c r="C121" s="537"/>
      <c r="D121" s="537"/>
      <c r="E121" s="595"/>
      <c r="F121" s="537"/>
      <c r="G121" s="537"/>
      <c r="H121" s="537"/>
      <c r="I121" s="537"/>
      <c r="J121" s="537"/>
      <c r="K121" s="539"/>
      <c r="L121" s="530"/>
    </row>
    <row r="122" spans="1:12" ht="14.25">
      <c r="A122" s="530"/>
      <c r="B122" s="550"/>
      <c r="C122" s="551" t="s">
        <v>747</v>
      </c>
      <c r="D122" s="551"/>
      <c r="E122" s="587"/>
      <c r="F122" s="551" t="s">
        <v>743</v>
      </c>
      <c r="G122" s="551"/>
      <c r="H122" s="551"/>
      <c r="I122" s="551"/>
      <c r="J122" s="551" t="s">
        <v>748</v>
      </c>
      <c r="K122" s="552"/>
      <c r="L122" s="530"/>
    </row>
    <row r="123" spans="1:12" ht="14.25">
      <c r="A123" s="530"/>
      <c r="B123" s="545" t="s">
        <v>771</v>
      </c>
      <c r="C123" s="874">
        <f>H120</f>
        <v>625000</v>
      </c>
      <c r="D123" s="874"/>
      <c r="E123" s="595" t="s">
        <v>145</v>
      </c>
      <c r="F123" s="547">
        <f>H117</f>
        <v>0.16025641025641027</v>
      </c>
      <c r="G123" s="595" t="s">
        <v>718</v>
      </c>
      <c r="H123" s="595">
        <v>1000</v>
      </c>
      <c r="I123" s="595" t="s">
        <v>717</v>
      </c>
      <c r="J123" s="588">
        <f>C123*F123/H123</f>
        <v>100.16025641025642</v>
      </c>
      <c r="K123" s="539"/>
      <c r="L123" s="530"/>
    </row>
    <row r="124" spans="1:12" ht="15" thickBot="1">
      <c r="A124" s="530"/>
      <c r="B124" s="540"/>
      <c r="C124" s="553"/>
      <c r="D124" s="553"/>
      <c r="E124" s="554"/>
      <c r="F124" s="555"/>
      <c r="G124" s="554"/>
      <c r="H124" s="554"/>
      <c r="I124" s="554"/>
      <c r="J124" s="556"/>
      <c r="K124" s="542"/>
      <c r="L124" s="530"/>
    </row>
    <row r="125" spans="1:12" ht="40.5" customHeight="1">
      <c r="A125" s="530"/>
      <c r="B125" s="886" t="s">
        <v>709</v>
      </c>
      <c r="C125" s="886"/>
      <c r="D125" s="886"/>
      <c r="E125" s="886"/>
      <c r="F125" s="886"/>
      <c r="G125" s="886"/>
      <c r="H125" s="886"/>
      <c r="I125" s="886"/>
      <c r="J125" s="886"/>
      <c r="K125" s="886"/>
      <c r="L125" s="568"/>
    </row>
    <row r="126" spans="1:12" ht="14.25">
      <c r="A126" s="530"/>
      <c r="B126" s="883" t="s">
        <v>756</v>
      </c>
      <c r="C126" s="883"/>
      <c r="D126" s="883"/>
      <c r="E126" s="883"/>
      <c r="F126" s="883"/>
      <c r="G126" s="883"/>
      <c r="H126" s="883"/>
      <c r="I126" s="883"/>
      <c r="J126" s="883"/>
      <c r="K126" s="883"/>
      <c r="L126" s="568"/>
    </row>
    <row r="127" spans="1:12" ht="14.25">
      <c r="A127" s="530"/>
      <c r="B127" s="591"/>
      <c r="C127" s="591"/>
      <c r="D127" s="591"/>
      <c r="E127" s="591"/>
      <c r="F127" s="591"/>
      <c r="G127" s="591"/>
      <c r="H127" s="591"/>
      <c r="I127" s="591"/>
      <c r="J127" s="591"/>
      <c r="K127" s="591"/>
      <c r="L127" s="568"/>
    </row>
    <row r="128" spans="1:12" ht="14.25">
      <c r="A128" s="530"/>
      <c r="B128" s="883" t="s">
        <v>757</v>
      </c>
      <c r="C128" s="883"/>
      <c r="D128" s="883"/>
      <c r="E128" s="883"/>
      <c r="F128" s="883"/>
      <c r="G128" s="883"/>
      <c r="H128" s="883"/>
      <c r="I128" s="883"/>
      <c r="J128" s="883"/>
      <c r="K128" s="883"/>
      <c r="L128" s="568"/>
    </row>
    <row r="129" spans="1:12" ht="14.25">
      <c r="A129" s="530"/>
      <c r="B129" s="589"/>
      <c r="C129" s="589"/>
      <c r="D129" s="589"/>
      <c r="E129" s="589"/>
      <c r="F129" s="589"/>
      <c r="G129" s="589"/>
      <c r="H129" s="589"/>
      <c r="I129" s="589"/>
      <c r="J129" s="589"/>
      <c r="K129" s="589"/>
      <c r="L129" s="568"/>
    </row>
    <row r="130" spans="1:12" ht="74.25" customHeight="1">
      <c r="A130" s="530"/>
      <c r="B130" s="884" t="s">
        <v>772</v>
      </c>
      <c r="C130" s="884"/>
      <c r="D130" s="884"/>
      <c r="E130" s="884"/>
      <c r="F130" s="884"/>
      <c r="G130" s="884"/>
      <c r="H130" s="884"/>
      <c r="I130" s="884"/>
      <c r="J130" s="884"/>
      <c r="K130" s="884"/>
      <c r="L130" s="568"/>
    </row>
    <row r="131" spans="1:12" ht="15" thickBot="1">
      <c r="A131" s="530"/>
      <c r="L131" s="530"/>
    </row>
    <row r="132" spans="1:12" ht="14.25">
      <c r="A132" s="530"/>
      <c r="B132" s="514" t="s">
        <v>713</v>
      </c>
      <c r="C132" s="534"/>
      <c r="D132" s="534"/>
      <c r="E132" s="534"/>
      <c r="F132" s="534"/>
      <c r="G132" s="534"/>
      <c r="H132" s="534"/>
      <c r="I132" s="534"/>
      <c r="J132" s="534"/>
      <c r="K132" s="535"/>
      <c r="L132" s="530"/>
    </row>
    <row r="133" spans="1:12" ht="14.25">
      <c r="A133" s="530"/>
      <c r="B133" s="545"/>
      <c r="C133" s="901" t="s">
        <v>758</v>
      </c>
      <c r="D133" s="901"/>
      <c r="E133" s="537"/>
      <c r="F133" s="595" t="s">
        <v>759</v>
      </c>
      <c r="G133" s="537"/>
      <c r="H133" s="901" t="s">
        <v>746</v>
      </c>
      <c r="I133" s="901"/>
      <c r="J133" s="537"/>
      <c r="K133" s="539"/>
      <c r="L133" s="530"/>
    </row>
    <row r="134" spans="1:12" ht="14.25">
      <c r="A134" s="530"/>
      <c r="B134" s="545" t="s">
        <v>740</v>
      </c>
      <c r="C134" s="885">
        <v>100000</v>
      </c>
      <c r="D134" s="885"/>
      <c r="E134" s="595" t="s">
        <v>145</v>
      </c>
      <c r="F134" s="595">
        <v>0.115</v>
      </c>
      <c r="G134" s="595" t="s">
        <v>717</v>
      </c>
      <c r="H134" s="875">
        <f>C134*F134</f>
        <v>11500</v>
      </c>
      <c r="I134" s="875"/>
      <c r="J134" s="537"/>
      <c r="K134" s="539"/>
      <c r="L134" s="530"/>
    </row>
    <row r="135" spans="1:12" ht="14.25">
      <c r="A135" s="530"/>
      <c r="B135" s="545"/>
      <c r="C135" s="537"/>
      <c r="D135" s="537"/>
      <c r="E135" s="537"/>
      <c r="F135" s="537"/>
      <c r="G135" s="537"/>
      <c r="H135" s="537"/>
      <c r="I135" s="537"/>
      <c r="J135" s="537"/>
      <c r="K135" s="539"/>
      <c r="L135" s="530"/>
    </row>
    <row r="136" spans="1:12" ht="14.25">
      <c r="A136" s="530"/>
      <c r="B136" s="550"/>
      <c r="C136" s="876" t="s">
        <v>746</v>
      </c>
      <c r="D136" s="876"/>
      <c r="E136" s="551"/>
      <c r="F136" s="587" t="s">
        <v>760</v>
      </c>
      <c r="G136" s="587"/>
      <c r="H136" s="551"/>
      <c r="I136" s="551"/>
      <c r="J136" s="551" t="s">
        <v>761</v>
      </c>
      <c r="K136" s="552"/>
      <c r="L136" s="530"/>
    </row>
    <row r="137" spans="1:12" ht="14.25">
      <c r="A137" s="530"/>
      <c r="B137" s="545" t="s">
        <v>745</v>
      </c>
      <c r="C137" s="875">
        <f>H134</f>
        <v>11500</v>
      </c>
      <c r="D137" s="875"/>
      <c r="E137" s="595" t="s">
        <v>145</v>
      </c>
      <c r="F137" s="569">
        <v>52.869</v>
      </c>
      <c r="G137" s="595" t="s">
        <v>718</v>
      </c>
      <c r="H137" s="595">
        <v>1000</v>
      </c>
      <c r="I137" s="595" t="s">
        <v>717</v>
      </c>
      <c r="J137" s="570">
        <f>C137*F137/H137</f>
        <v>607.9935</v>
      </c>
      <c r="K137" s="539"/>
      <c r="L137" s="530"/>
    </row>
    <row r="138" spans="1:12" ht="15" thickBot="1">
      <c r="A138" s="530"/>
      <c r="B138" s="540"/>
      <c r="C138" s="571"/>
      <c r="D138" s="571"/>
      <c r="E138" s="554"/>
      <c r="F138" s="572"/>
      <c r="G138" s="554"/>
      <c r="H138" s="554"/>
      <c r="I138" s="554"/>
      <c r="J138" s="573"/>
      <c r="K138" s="542"/>
      <c r="L138" s="530"/>
    </row>
    <row r="139" spans="1:12" ht="40.5" customHeight="1">
      <c r="A139" s="530"/>
      <c r="B139" s="518" t="s">
        <v>709</v>
      </c>
      <c r="C139" s="519"/>
      <c r="D139" s="519"/>
      <c r="E139" s="520"/>
      <c r="F139" s="521"/>
      <c r="G139" s="520"/>
      <c r="H139" s="520"/>
      <c r="I139" s="520"/>
      <c r="J139" s="522"/>
      <c r="K139" s="523"/>
      <c r="L139" s="530"/>
    </row>
    <row r="140" spans="1:12" ht="14.25">
      <c r="A140" s="530"/>
      <c r="B140" s="524" t="s">
        <v>773</v>
      </c>
      <c r="C140" s="525"/>
      <c r="D140" s="525"/>
      <c r="E140" s="526"/>
      <c r="F140" s="527"/>
      <c r="G140" s="526"/>
      <c r="H140" s="526"/>
      <c r="I140" s="526"/>
      <c r="J140" s="528"/>
      <c r="K140" s="529"/>
      <c r="L140" s="530"/>
    </row>
    <row r="141" spans="1:12" ht="14.25">
      <c r="A141" s="530"/>
      <c r="B141" s="545"/>
      <c r="C141" s="586"/>
      <c r="D141" s="586"/>
      <c r="E141" s="595"/>
      <c r="F141" s="574"/>
      <c r="G141" s="595"/>
      <c r="H141" s="595"/>
      <c r="I141" s="595"/>
      <c r="J141" s="570"/>
      <c r="K141" s="539"/>
      <c r="L141" s="530"/>
    </row>
    <row r="142" spans="1:12" ht="14.25">
      <c r="A142" s="530"/>
      <c r="B142" s="524" t="s">
        <v>774</v>
      </c>
      <c r="C142" s="525"/>
      <c r="D142" s="525"/>
      <c r="E142" s="526"/>
      <c r="F142" s="527"/>
      <c r="G142" s="526"/>
      <c r="H142" s="526"/>
      <c r="I142" s="526"/>
      <c r="J142" s="528"/>
      <c r="K142" s="529"/>
      <c r="L142" s="530"/>
    </row>
    <row r="143" spans="1:12" ht="14.25">
      <c r="A143" s="530"/>
      <c r="B143" s="545"/>
      <c r="C143" s="586"/>
      <c r="D143" s="586"/>
      <c r="E143" s="595"/>
      <c r="F143" s="574"/>
      <c r="G143" s="595"/>
      <c r="H143" s="595"/>
      <c r="I143" s="595"/>
      <c r="J143" s="570"/>
      <c r="K143" s="539"/>
      <c r="L143" s="530"/>
    </row>
    <row r="144" spans="1:12" ht="76.5" customHeight="1">
      <c r="A144" s="530"/>
      <c r="B144" s="877" t="s">
        <v>775</v>
      </c>
      <c r="C144" s="878"/>
      <c r="D144" s="878"/>
      <c r="E144" s="878"/>
      <c r="F144" s="878"/>
      <c r="G144" s="878"/>
      <c r="H144" s="878"/>
      <c r="I144" s="878"/>
      <c r="J144" s="878"/>
      <c r="K144" s="879"/>
      <c r="L144" s="530"/>
    </row>
    <row r="145" spans="1:12" ht="15" thickBot="1">
      <c r="A145" s="530"/>
      <c r="B145" s="545"/>
      <c r="C145" s="586"/>
      <c r="D145" s="586"/>
      <c r="E145" s="595"/>
      <c r="F145" s="574"/>
      <c r="G145" s="595"/>
      <c r="H145" s="595"/>
      <c r="I145" s="595"/>
      <c r="J145" s="570"/>
      <c r="K145" s="539"/>
      <c r="L145" s="530"/>
    </row>
    <row r="146" spans="1:12" ht="14.25">
      <c r="A146" s="530"/>
      <c r="B146" s="514" t="s">
        <v>713</v>
      </c>
      <c r="C146" s="575"/>
      <c r="D146" s="575"/>
      <c r="E146" s="576"/>
      <c r="F146" s="577"/>
      <c r="G146" s="576"/>
      <c r="H146" s="576"/>
      <c r="I146" s="576"/>
      <c r="J146" s="578"/>
      <c r="K146" s="535"/>
      <c r="L146" s="530"/>
    </row>
    <row r="147" spans="1:12" ht="14.25">
      <c r="A147" s="530"/>
      <c r="B147" s="545"/>
      <c r="C147" s="875" t="s">
        <v>776</v>
      </c>
      <c r="D147" s="875"/>
      <c r="E147" s="595"/>
      <c r="F147" s="574" t="s">
        <v>777</v>
      </c>
      <c r="G147" s="595"/>
      <c r="H147" s="595"/>
      <c r="I147" s="595"/>
      <c r="J147" s="872" t="s">
        <v>778</v>
      </c>
      <c r="K147" s="880"/>
      <c r="L147" s="530"/>
    </row>
    <row r="148" spans="1:12" ht="14.25">
      <c r="A148" s="530"/>
      <c r="B148" s="545"/>
      <c r="C148" s="871">
        <v>52.869</v>
      </c>
      <c r="D148" s="871"/>
      <c r="E148" s="595" t="s">
        <v>145</v>
      </c>
      <c r="F148" s="590">
        <v>312000000</v>
      </c>
      <c r="G148" s="579" t="s">
        <v>718</v>
      </c>
      <c r="H148" s="595">
        <v>1000</v>
      </c>
      <c r="I148" s="595" t="s">
        <v>717</v>
      </c>
      <c r="J148" s="872">
        <f>C148*(F148/1000)</f>
        <v>16495128</v>
      </c>
      <c r="K148" s="873"/>
      <c r="L148" s="530"/>
    </row>
    <row r="149" spans="1:12" ht="15" thickBot="1">
      <c r="A149" s="530"/>
      <c r="B149" s="540"/>
      <c r="C149" s="571"/>
      <c r="D149" s="571"/>
      <c r="E149" s="554"/>
      <c r="F149" s="572"/>
      <c r="G149" s="554"/>
      <c r="H149" s="554"/>
      <c r="I149" s="554"/>
      <c r="J149" s="573"/>
      <c r="K149" s="542"/>
      <c r="L149" s="530"/>
    </row>
    <row r="150" spans="1:12" ht="15" thickBot="1">
      <c r="A150" s="530"/>
      <c r="B150" s="540"/>
      <c r="C150" s="541"/>
      <c r="D150" s="541"/>
      <c r="E150" s="541"/>
      <c r="F150" s="541"/>
      <c r="G150" s="541"/>
      <c r="H150" s="541"/>
      <c r="I150" s="541"/>
      <c r="J150" s="541"/>
      <c r="K150" s="542"/>
      <c r="L150" s="530"/>
    </row>
    <row r="151" spans="1:12" ht="14.25">
      <c r="A151" s="530"/>
      <c r="B151" s="530"/>
      <c r="C151" s="530"/>
      <c r="D151" s="530"/>
      <c r="E151" s="530"/>
      <c r="F151" s="530"/>
      <c r="G151" s="530"/>
      <c r="H151" s="530"/>
      <c r="I151" s="530"/>
      <c r="J151" s="530"/>
      <c r="K151" s="530"/>
      <c r="L151" s="530"/>
    </row>
    <row r="152" spans="1:12" ht="14.25">
      <c r="A152" s="530"/>
      <c r="B152" s="530"/>
      <c r="C152" s="530"/>
      <c r="D152" s="530"/>
      <c r="E152" s="530"/>
      <c r="F152" s="530"/>
      <c r="G152" s="530"/>
      <c r="H152" s="530"/>
      <c r="I152" s="530"/>
      <c r="J152" s="530"/>
      <c r="K152" s="530"/>
      <c r="L152" s="530"/>
    </row>
    <row r="153" spans="1:12" ht="14.25">
      <c r="A153" s="530"/>
      <c r="B153" s="530"/>
      <c r="C153" s="530"/>
      <c r="D153" s="530"/>
      <c r="E153" s="530"/>
      <c r="F153" s="530"/>
      <c r="G153" s="530"/>
      <c r="H153" s="530"/>
      <c r="I153" s="530"/>
      <c r="J153" s="530"/>
      <c r="K153" s="530"/>
      <c r="L153" s="530"/>
    </row>
    <row r="154" spans="1:12" ht="14.25">
      <c r="A154" s="580"/>
      <c r="B154" s="580"/>
      <c r="C154" s="580"/>
      <c r="D154" s="580"/>
      <c r="E154" s="580"/>
      <c r="F154" s="580"/>
      <c r="G154" s="580"/>
      <c r="H154" s="580"/>
      <c r="I154" s="580"/>
      <c r="J154" s="580"/>
      <c r="K154" s="580"/>
      <c r="L154" s="580"/>
    </row>
    <row r="155" spans="1:12" ht="14.25">
      <c r="A155" s="580"/>
      <c r="B155" s="580"/>
      <c r="C155" s="580"/>
      <c r="D155" s="580"/>
      <c r="E155" s="580"/>
      <c r="F155" s="580"/>
      <c r="G155" s="580"/>
      <c r="H155" s="580"/>
      <c r="I155" s="580"/>
      <c r="J155" s="580"/>
      <c r="K155" s="580"/>
      <c r="L155" s="580"/>
    </row>
    <row r="156" spans="1:12" ht="14.25">
      <c r="A156" s="580"/>
      <c r="B156" s="580"/>
      <c r="C156" s="580"/>
      <c r="D156" s="580"/>
      <c r="E156" s="580"/>
      <c r="F156" s="580"/>
      <c r="G156" s="580"/>
      <c r="H156" s="580"/>
      <c r="I156" s="580"/>
      <c r="J156" s="580"/>
      <c r="K156" s="580"/>
      <c r="L156" s="580"/>
    </row>
    <row r="157" spans="1:12" ht="14.25">
      <c r="A157" s="580"/>
      <c r="B157" s="580"/>
      <c r="C157" s="580"/>
      <c r="D157" s="580"/>
      <c r="E157" s="580"/>
      <c r="F157" s="580"/>
      <c r="G157" s="580"/>
      <c r="H157" s="580"/>
      <c r="I157" s="580"/>
      <c r="J157" s="580"/>
      <c r="K157" s="580"/>
      <c r="L157" s="580"/>
    </row>
    <row r="158" spans="1:12" ht="14.25">
      <c r="A158" s="580"/>
      <c r="B158" s="580"/>
      <c r="C158" s="580"/>
      <c r="D158" s="580"/>
      <c r="E158" s="580"/>
      <c r="F158" s="580"/>
      <c r="G158" s="580"/>
      <c r="H158" s="580"/>
      <c r="I158" s="580"/>
      <c r="J158" s="580"/>
      <c r="K158" s="580"/>
      <c r="L158" s="580"/>
    </row>
    <row r="159" spans="1:12" ht="14.25">
      <c r="A159" s="580"/>
      <c r="B159" s="580"/>
      <c r="C159" s="580"/>
      <c r="D159" s="580"/>
      <c r="E159" s="580"/>
      <c r="F159" s="580"/>
      <c r="G159" s="580"/>
      <c r="H159" s="580"/>
      <c r="I159" s="580"/>
      <c r="J159" s="580"/>
      <c r="K159" s="580"/>
      <c r="L159" s="580"/>
    </row>
    <row r="160" spans="1:12" ht="14.25">
      <c r="A160" s="580"/>
      <c r="B160" s="580"/>
      <c r="C160" s="580"/>
      <c r="D160" s="580"/>
      <c r="E160" s="580"/>
      <c r="F160" s="580"/>
      <c r="G160" s="580"/>
      <c r="H160" s="580"/>
      <c r="I160" s="580"/>
      <c r="J160" s="580"/>
      <c r="K160" s="580"/>
      <c r="L160" s="580"/>
    </row>
    <row r="161" spans="1:12" ht="14.25">
      <c r="A161" s="580"/>
      <c r="B161" s="580"/>
      <c r="C161" s="580"/>
      <c r="D161" s="580"/>
      <c r="E161" s="580"/>
      <c r="F161" s="580"/>
      <c r="G161" s="580"/>
      <c r="H161" s="580"/>
      <c r="I161" s="580"/>
      <c r="J161" s="580"/>
      <c r="K161" s="580"/>
      <c r="L161" s="580"/>
    </row>
    <row r="162" spans="1:12" ht="14.25">
      <c r="A162" s="580"/>
      <c r="B162" s="580"/>
      <c r="C162" s="580"/>
      <c r="D162" s="580"/>
      <c r="E162" s="580"/>
      <c r="F162" s="580"/>
      <c r="G162" s="580"/>
      <c r="H162" s="580"/>
      <c r="I162" s="580"/>
      <c r="J162" s="580"/>
      <c r="K162" s="580"/>
      <c r="L162" s="580"/>
    </row>
    <row r="163" spans="1:12" ht="14.25">
      <c r="A163" s="580"/>
      <c r="B163" s="580"/>
      <c r="C163" s="580"/>
      <c r="D163" s="580"/>
      <c r="E163" s="580"/>
      <c r="F163" s="580"/>
      <c r="G163" s="580"/>
      <c r="H163" s="580"/>
      <c r="I163" s="580"/>
      <c r="J163" s="580"/>
      <c r="K163" s="580"/>
      <c r="L163" s="580"/>
    </row>
    <row r="164" spans="1:12" ht="14.25">
      <c r="A164" s="580"/>
      <c r="B164" s="580"/>
      <c r="C164" s="580"/>
      <c r="D164" s="580"/>
      <c r="E164" s="580"/>
      <c r="F164" s="580"/>
      <c r="G164" s="580"/>
      <c r="H164" s="580"/>
      <c r="I164" s="580"/>
      <c r="J164" s="580"/>
      <c r="K164" s="580"/>
      <c r="L164" s="580"/>
    </row>
    <row r="165" spans="1:12" ht="14.25">
      <c r="A165" s="580"/>
      <c r="B165" s="580"/>
      <c r="C165" s="580"/>
      <c r="D165" s="580"/>
      <c r="E165" s="580"/>
      <c r="F165" s="580"/>
      <c r="G165" s="580"/>
      <c r="H165" s="580"/>
      <c r="I165" s="580"/>
      <c r="J165" s="580"/>
      <c r="K165" s="580"/>
      <c r="L165" s="580"/>
    </row>
    <row r="166" spans="1:12" ht="14.25">
      <c r="A166" s="580"/>
      <c r="B166" s="580"/>
      <c r="C166" s="580"/>
      <c r="D166" s="580"/>
      <c r="E166" s="580"/>
      <c r="F166" s="580"/>
      <c r="G166" s="580"/>
      <c r="H166" s="580"/>
      <c r="I166" s="580"/>
      <c r="J166" s="580"/>
      <c r="K166" s="580"/>
      <c r="L166" s="580"/>
    </row>
    <row r="167" spans="1:12" ht="14.25">
      <c r="A167" s="580"/>
      <c r="B167" s="580"/>
      <c r="C167" s="580"/>
      <c r="D167" s="580"/>
      <c r="E167" s="580"/>
      <c r="F167" s="580"/>
      <c r="G167" s="580"/>
      <c r="H167" s="580"/>
      <c r="I167" s="580"/>
      <c r="J167" s="580"/>
      <c r="K167" s="580"/>
      <c r="L167" s="580"/>
    </row>
    <row r="168" spans="1:12" ht="14.25">
      <c r="A168" s="580"/>
      <c r="B168" s="580"/>
      <c r="C168" s="580"/>
      <c r="D168" s="580"/>
      <c r="E168" s="580"/>
      <c r="F168" s="580"/>
      <c r="G168" s="580"/>
      <c r="H168" s="580"/>
      <c r="I168" s="580"/>
      <c r="J168" s="580"/>
      <c r="K168" s="580"/>
      <c r="L168" s="580"/>
    </row>
    <row r="169" spans="1:12" ht="14.25">
      <c r="A169" s="580"/>
      <c r="B169" s="580"/>
      <c r="C169" s="580"/>
      <c r="D169" s="580"/>
      <c r="E169" s="580"/>
      <c r="F169" s="580"/>
      <c r="G169" s="580"/>
      <c r="H169" s="580"/>
      <c r="I169" s="580"/>
      <c r="J169" s="580"/>
      <c r="K169" s="580"/>
      <c r="L169" s="580"/>
    </row>
    <row r="170" spans="1:12" ht="14.25">
      <c r="A170" s="580"/>
      <c r="B170" s="580"/>
      <c r="C170" s="580"/>
      <c r="D170" s="580"/>
      <c r="E170" s="580"/>
      <c r="F170" s="580"/>
      <c r="G170" s="580"/>
      <c r="H170" s="580"/>
      <c r="I170" s="580"/>
      <c r="J170" s="580"/>
      <c r="K170" s="580"/>
      <c r="L170" s="580"/>
    </row>
    <row r="171" spans="1:12" ht="14.25">
      <c r="A171" s="580"/>
      <c r="B171" s="580"/>
      <c r="C171" s="580"/>
      <c r="D171" s="580"/>
      <c r="E171" s="580"/>
      <c r="F171" s="580"/>
      <c r="G171" s="580"/>
      <c r="H171" s="580"/>
      <c r="I171" s="580"/>
      <c r="J171" s="580"/>
      <c r="K171" s="580"/>
      <c r="L171" s="580"/>
    </row>
    <row r="172" spans="1:12" ht="14.25">
      <c r="A172" s="580"/>
      <c r="B172" s="580"/>
      <c r="C172" s="580"/>
      <c r="D172" s="580"/>
      <c r="E172" s="580"/>
      <c r="F172" s="580"/>
      <c r="G172" s="580"/>
      <c r="H172" s="580"/>
      <c r="I172" s="580"/>
      <c r="J172" s="580"/>
      <c r="K172" s="580"/>
      <c r="L172" s="580"/>
    </row>
    <row r="173" spans="1:12" ht="14.25">
      <c r="A173" s="580"/>
      <c r="B173" s="580"/>
      <c r="C173" s="580"/>
      <c r="D173" s="580"/>
      <c r="E173" s="580"/>
      <c r="F173" s="580"/>
      <c r="G173" s="580"/>
      <c r="H173" s="580"/>
      <c r="I173" s="580"/>
      <c r="J173" s="580"/>
      <c r="K173" s="580"/>
      <c r="L173" s="580"/>
    </row>
    <row r="174" spans="1:12" ht="14.25">
      <c r="A174" s="580"/>
      <c r="B174" s="580"/>
      <c r="C174" s="580"/>
      <c r="D174" s="580"/>
      <c r="E174" s="580"/>
      <c r="F174" s="580"/>
      <c r="G174" s="580"/>
      <c r="H174" s="580"/>
      <c r="I174" s="580"/>
      <c r="J174" s="580"/>
      <c r="K174" s="580"/>
      <c r="L174" s="580"/>
    </row>
    <row r="175" spans="1:12" ht="14.25">
      <c r="A175" s="580"/>
      <c r="B175" s="580"/>
      <c r="C175" s="580"/>
      <c r="D175" s="580"/>
      <c r="E175" s="580"/>
      <c r="F175" s="580"/>
      <c r="G175" s="580"/>
      <c r="H175" s="580"/>
      <c r="I175" s="580"/>
      <c r="J175" s="580"/>
      <c r="K175" s="580"/>
      <c r="L175" s="580"/>
    </row>
    <row r="176" spans="1:12" ht="14.25">
      <c r="A176" s="580"/>
      <c r="B176" s="580"/>
      <c r="C176" s="580"/>
      <c r="D176" s="580"/>
      <c r="E176" s="580"/>
      <c r="F176" s="580"/>
      <c r="G176" s="580"/>
      <c r="H176" s="580"/>
      <c r="I176" s="580"/>
      <c r="J176" s="580"/>
      <c r="K176" s="580"/>
      <c r="L176" s="580"/>
    </row>
    <row r="177" spans="1:12" ht="14.25">
      <c r="A177" s="580"/>
      <c r="B177" s="580"/>
      <c r="C177" s="580"/>
      <c r="D177" s="580"/>
      <c r="E177" s="580"/>
      <c r="F177" s="580"/>
      <c r="G177" s="580"/>
      <c r="H177" s="580"/>
      <c r="I177" s="580"/>
      <c r="J177" s="580"/>
      <c r="K177" s="580"/>
      <c r="L177" s="580"/>
    </row>
    <row r="178" spans="1:12" ht="14.25">
      <c r="A178" s="580"/>
      <c r="B178" s="580"/>
      <c r="C178" s="580"/>
      <c r="D178" s="580"/>
      <c r="E178" s="580"/>
      <c r="F178" s="580"/>
      <c r="G178" s="580"/>
      <c r="H178" s="580"/>
      <c r="I178" s="580"/>
      <c r="J178" s="580"/>
      <c r="K178" s="580"/>
      <c r="L178" s="580"/>
    </row>
    <row r="179" spans="1:12" ht="14.25">
      <c r="A179" s="580"/>
      <c r="B179" s="580"/>
      <c r="C179" s="580"/>
      <c r="D179" s="580"/>
      <c r="E179" s="580"/>
      <c r="F179" s="580"/>
      <c r="G179" s="580"/>
      <c r="H179" s="580"/>
      <c r="I179" s="580"/>
      <c r="J179" s="580"/>
      <c r="K179" s="580"/>
      <c r="L179" s="580"/>
    </row>
    <row r="180" spans="1:12" ht="14.25">
      <c r="A180" s="580"/>
      <c r="B180" s="580"/>
      <c r="C180" s="580"/>
      <c r="D180" s="580"/>
      <c r="E180" s="580"/>
      <c r="F180" s="580"/>
      <c r="G180" s="580"/>
      <c r="H180" s="580"/>
      <c r="I180" s="580"/>
      <c r="J180" s="580"/>
      <c r="K180" s="580"/>
      <c r="L180" s="580"/>
    </row>
    <row r="181" spans="1:12" ht="14.25">
      <c r="A181" s="580"/>
      <c r="B181" s="580"/>
      <c r="C181" s="580"/>
      <c r="D181" s="580"/>
      <c r="E181" s="580"/>
      <c r="F181" s="580"/>
      <c r="G181" s="580"/>
      <c r="H181" s="580"/>
      <c r="I181" s="580"/>
      <c r="J181" s="580"/>
      <c r="K181" s="580"/>
      <c r="L181" s="580"/>
    </row>
    <row r="182" spans="1:12" ht="14.25">
      <c r="A182" s="580"/>
      <c r="B182" s="580"/>
      <c r="C182" s="580"/>
      <c r="D182" s="580"/>
      <c r="E182" s="580"/>
      <c r="F182" s="580"/>
      <c r="G182" s="580"/>
      <c r="H182" s="580"/>
      <c r="I182" s="580"/>
      <c r="J182" s="580"/>
      <c r="K182" s="580"/>
      <c r="L182" s="580"/>
    </row>
    <row r="183" spans="1:12" ht="14.25">
      <c r="A183" s="580"/>
      <c r="B183" s="580"/>
      <c r="C183" s="580"/>
      <c r="D183" s="580"/>
      <c r="E183" s="580"/>
      <c r="F183" s="580"/>
      <c r="G183" s="580"/>
      <c r="H183" s="580"/>
      <c r="I183" s="580"/>
      <c r="J183" s="580"/>
      <c r="K183" s="580"/>
      <c r="L183" s="580"/>
    </row>
    <row r="184" spans="1:12" ht="14.25">
      <c r="A184" s="580"/>
      <c r="B184" s="580"/>
      <c r="C184" s="580"/>
      <c r="D184" s="580"/>
      <c r="E184" s="580"/>
      <c r="F184" s="580"/>
      <c r="G184" s="580"/>
      <c r="H184" s="580"/>
      <c r="I184" s="580"/>
      <c r="J184" s="580"/>
      <c r="K184" s="580"/>
      <c r="L184" s="580"/>
    </row>
    <row r="185" spans="1:12" ht="14.25">
      <c r="A185" s="580"/>
      <c r="B185" s="580"/>
      <c r="C185" s="580"/>
      <c r="D185" s="580"/>
      <c r="E185" s="580"/>
      <c r="F185" s="580"/>
      <c r="G185" s="580"/>
      <c r="H185" s="580"/>
      <c r="I185" s="580"/>
      <c r="J185" s="580"/>
      <c r="K185" s="580"/>
      <c r="L185" s="580"/>
    </row>
    <row r="186" spans="1:12" ht="14.25">
      <c r="A186" s="580"/>
      <c r="B186" s="580"/>
      <c r="C186" s="580"/>
      <c r="D186" s="580"/>
      <c r="E186" s="580"/>
      <c r="F186" s="580"/>
      <c r="G186" s="580"/>
      <c r="H186" s="580"/>
      <c r="I186" s="580"/>
      <c r="J186" s="580"/>
      <c r="K186" s="580"/>
      <c r="L186" s="580"/>
    </row>
    <row r="187" spans="1:12" ht="14.25">
      <c r="A187" s="580"/>
      <c r="B187" s="580"/>
      <c r="C187" s="580"/>
      <c r="D187" s="580"/>
      <c r="E187" s="580"/>
      <c r="F187" s="580"/>
      <c r="G187" s="580"/>
      <c r="H187" s="580"/>
      <c r="I187" s="580"/>
      <c r="J187" s="580"/>
      <c r="K187" s="580"/>
      <c r="L187" s="580"/>
    </row>
    <row r="188" spans="1:12" ht="14.25">
      <c r="A188" s="580"/>
      <c r="B188" s="580"/>
      <c r="C188" s="580"/>
      <c r="D188" s="580"/>
      <c r="E188" s="580"/>
      <c r="F188" s="580"/>
      <c r="G188" s="580"/>
      <c r="H188" s="580"/>
      <c r="I188" s="580"/>
      <c r="J188" s="580"/>
      <c r="K188" s="580"/>
      <c r="L188" s="580"/>
    </row>
    <row r="189" spans="1:12" ht="14.25">
      <c r="A189" s="580"/>
      <c r="B189" s="580"/>
      <c r="C189" s="580"/>
      <c r="D189" s="580"/>
      <c r="E189" s="580"/>
      <c r="F189" s="580"/>
      <c r="G189" s="580"/>
      <c r="H189" s="580"/>
      <c r="I189" s="580"/>
      <c r="J189" s="580"/>
      <c r="K189" s="580"/>
      <c r="L189" s="580"/>
    </row>
    <row r="190" spans="1:12" ht="14.25">
      <c r="A190" s="580"/>
      <c r="B190" s="580"/>
      <c r="C190" s="580"/>
      <c r="D190" s="580"/>
      <c r="E190" s="580"/>
      <c r="F190" s="580"/>
      <c r="G190" s="580"/>
      <c r="H190" s="580"/>
      <c r="I190" s="580"/>
      <c r="J190" s="580"/>
      <c r="K190" s="580"/>
      <c r="L190" s="580"/>
    </row>
    <row r="191" spans="1:12" ht="14.25">
      <c r="A191" s="580"/>
      <c r="B191" s="580"/>
      <c r="C191" s="580"/>
      <c r="D191" s="580"/>
      <c r="E191" s="580"/>
      <c r="F191" s="580"/>
      <c r="G191" s="580"/>
      <c r="H191" s="580"/>
      <c r="I191" s="580"/>
      <c r="J191" s="580"/>
      <c r="K191" s="580"/>
      <c r="L191" s="580"/>
    </row>
    <row r="192" spans="1:12" ht="14.25">
      <c r="A192" s="580"/>
      <c r="B192" s="580"/>
      <c r="C192" s="580"/>
      <c r="D192" s="580"/>
      <c r="E192" s="580"/>
      <c r="F192" s="580"/>
      <c r="G192" s="580"/>
      <c r="H192" s="580"/>
      <c r="I192" s="580"/>
      <c r="J192" s="580"/>
      <c r="K192" s="580"/>
      <c r="L192" s="580"/>
    </row>
    <row r="193" spans="1:12" ht="14.25">
      <c r="A193" s="580"/>
      <c r="B193" s="580"/>
      <c r="C193" s="580"/>
      <c r="D193" s="580"/>
      <c r="E193" s="580"/>
      <c r="F193" s="580"/>
      <c r="G193" s="580"/>
      <c r="H193" s="580"/>
      <c r="I193" s="580"/>
      <c r="J193" s="580"/>
      <c r="K193" s="580"/>
      <c r="L193" s="580"/>
    </row>
    <row r="194" spans="1:12" ht="14.25">
      <c r="A194" s="580"/>
      <c r="B194" s="580"/>
      <c r="C194" s="580"/>
      <c r="D194" s="580"/>
      <c r="E194" s="580"/>
      <c r="F194" s="580"/>
      <c r="G194" s="580"/>
      <c r="H194" s="580"/>
      <c r="I194" s="580"/>
      <c r="J194" s="580"/>
      <c r="K194" s="580"/>
      <c r="L194" s="580"/>
    </row>
    <row r="195" spans="1:12" ht="14.25">
      <c r="A195" s="580"/>
      <c r="B195" s="580"/>
      <c r="C195" s="580"/>
      <c r="D195" s="580"/>
      <c r="E195" s="580"/>
      <c r="F195" s="580"/>
      <c r="G195" s="580"/>
      <c r="H195" s="580"/>
      <c r="I195" s="580"/>
      <c r="J195" s="580"/>
      <c r="K195" s="580"/>
      <c r="L195" s="580"/>
    </row>
    <row r="196" spans="1:12" ht="14.25">
      <c r="A196" s="580"/>
      <c r="B196" s="580"/>
      <c r="C196" s="580"/>
      <c r="D196" s="580"/>
      <c r="E196" s="580"/>
      <c r="F196" s="580"/>
      <c r="G196" s="580"/>
      <c r="H196" s="580"/>
      <c r="I196" s="580"/>
      <c r="J196" s="580"/>
      <c r="K196" s="580"/>
      <c r="L196" s="580"/>
    </row>
    <row r="197" spans="1:12" ht="14.25">
      <c r="A197" s="580"/>
      <c r="B197" s="580"/>
      <c r="C197" s="580"/>
      <c r="D197" s="580"/>
      <c r="E197" s="580"/>
      <c r="F197" s="580"/>
      <c r="G197" s="580"/>
      <c r="H197" s="580"/>
      <c r="I197" s="580"/>
      <c r="J197" s="580"/>
      <c r="K197" s="580"/>
      <c r="L197" s="580"/>
    </row>
    <row r="198" spans="1:12" ht="14.25">
      <c r="A198" s="580"/>
      <c r="B198" s="580"/>
      <c r="C198" s="580"/>
      <c r="D198" s="580"/>
      <c r="E198" s="580"/>
      <c r="F198" s="580"/>
      <c r="G198" s="580"/>
      <c r="H198" s="580"/>
      <c r="I198" s="580"/>
      <c r="J198" s="580"/>
      <c r="K198" s="580"/>
      <c r="L198" s="580"/>
    </row>
    <row r="199" spans="1:12" ht="14.25">
      <c r="A199" s="580"/>
      <c r="B199" s="580"/>
      <c r="C199" s="580"/>
      <c r="D199" s="580"/>
      <c r="E199" s="580"/>
      <c r="F199" s="580"/>
      <c r="G199" s="580"/>
      <c r="H199" s="580"/>
      <c r="I199" s="580"/>
      <c r="J199" s="580"/>
      <c r="K199" s="580"/>
      <c r="L199" s="580"/>
    </row>
    <row r="200" spans="1:12" ht="14.25">
      <c r="A200" s="580"/>
      <c r="B200" s="580"/>
      <c r="C200" s="580"/>
      <c r="D200" s="580"/>
      <c r="E200" s="580"/>
      <c r="F200" s="580"/>
      <c r="G200" s="580"/>
      <c r="H200" s="580"/>
      <c r="I200" s="580"/>
      <c r="J200" s="580"/>
      <c r="K200" s="580"/>
      <c r="L200" s="580"/>
    </row>
    <row r="201" spans="1:12" ht="14.25">
      <c r="A201" s="580"/>
      <c r="B201" s="580"/>
      <c r="C201" s="580"/>
      <c r="D201" s="580"/>
      <c r="E201" s="580"/>
      <c r="F201" s="580"/>
      <c r="G201" s="580"/>
      <c r="H201" s="580"/>
      <c r="I201" s="580"/>
      <c r="J201" s="580"/>
      <c r="K201" s="580"/>
      <c r="L201" s="580"/>
    </row>
    <row r="202" spans="1:12" ht="14.25">
      <c r="A202" s="580"/>
      <c r="B202" s="580"/>
      <c r="C202" s="580"/>
      <c r="D202" s="580"/>
      <c r="E202" s="580"/>
      <c r="F202" s="580"/>
      <c r="G202" s="580"/>
      <c r="H202" s="580"/>
      <c r="I202" s="580"/>
      <c r="J202" s="580"/>
      <c r="K202" s="580"/>
      <c r="L202" s="580"/>
    </row>
    <row r="203" spans="1:12" ht="14.25">
      <c r="A203" s="580"/>
      <c r="B203" s="580"/>
      <c r="C203" s="580"/>
      <c r="D203" s="580"/>
      <c r="E203" s="580"/>
      <c r="F203" s="580"/>
      <c r="G203" s="580"/>
      <c r="H203" s="580"/>
      <c r="I203" s="580"/>
      <c r="J203" s="580"/>
      <c r="K203" s="580"/>
      <c r="L203" s="580"/>
    </row>
    <row r="204" spans="1:12" ht="14.25">
      <c r="A204" s="580"/>
      <c r="B204" s="580"/>
      <c r="C204" s="580"/>
      <c r="D204" s="580"/>
      <c r="E204" s="580"/>
      <c r="F204" s="580"/>
      <c r="G204" s="580"/>
      <c r="H204" s="580"/>
      <c r="I204" s="580"/>
      <c r="J204" s="580"/>
      <c r="K204" s="580"/>
      <c r="L204" s="580"/>
    </row>
    <row r="205" spans="1:12" ht="14.25">
      <c r="A205" s="580"/>
      <c r="B205" s="580"/>
      <c r="C205" s="580"/>
      <c r="D205" s="580"/>
      <c r="E205" s="580"/>
      <c r="F205" s="580"/>
      <c r="G205" s="580"/>
      <c r="H205" s="580"/>
      <c r="I205" s="580"/>
      <c r="J205" s="580"/>
      <c r="K205" s="580"/>
      <c r="L205" s="580"/>
    </row>
    <row r="206" spans="1:12" ht="14.25">
      <c r="A206" s="580"/>
      <c r="B206" s="580"/>
      <c r="C206" s="580"/>
      <c r="D206" s="580"/>
      <c r="E206" s="580"/>
      <c r="F206" s="580"/>
      <c r="G206" s="580"/>
      <c r="H206" s="580"/>
      <c r="I206" s="580"/>
      <c r="J206" s="580"/>
      <c r="K206" s="580"/>
      <c r="L206" s="580"/>
    </row>
    <row r="207" spans="1:12" ht="14.25">
      <c r="A207" s="580"/>
      <c r="B207" s="580"/>
      <c r="C207" s="580"/>
      <c r="D207" s="580"/>
      <c r="E207" s="580"/>
      <c r="F207" s="580"/>
      <c r="G207" s="580"/>
      <c r="H207" s="580"/>
      <c r="I207" s="580"/>
      <c r="J207" s="580"/>
      <c r="K207" s="580"/>
      <c r="L207" s="580"/>
    </row>
    <row r="208" spans="1:12" ht="14.25">
      <c r="A208" s="580"/>
      <c r="B208" s="580"/>
      <c r="C208" s="580"/>
      <c r="D208" s="580"/>
      <c r="E208" s="580"/>
      <c r="F208" s="580"/>
      <c r="G208" s="580"/>
      <c r="H208" s="580"/>
      <c r="I208" s="580"/>
      <c r="J208" s="580"/>
      <c r="K208" s="580"/>
      <c r="L208" s="580"/>
    </row>
    <row r="209" spans="1:12" ht="14.25">
      <c r="A209" s="580"/>
      <c r="B209" s="580"/>
      <c r="C209" s="580"/>
      <c r="D209" s="580"/>
      <c r="E209" s="580"/>
      <c r="F209" s="580"/>
      <c r="G209" s="580"/>
      <c r="H209" s="580"/>
      <c r="I209" s="580"/>
      <c r="J209" s="580"/>
      <c r="K209" s="580"/>
      <c r="L209" s="580"/>
    </row>
    <row r="210" spans="1:12" ht="14.25">
      <c r="A210" s="580"/>
      <c r="B210" s="580"/>
      <c r="C210" s="580"/>
      <c r="D210" s="580"/>
      <c r="E210" s="580"/>
      <c r="F210" s="580"/>
      <c r="G210" s="580"/>
      <c r="H210" s="580"/>
      <c r="I210" s="580"/>
      <c r="J210" s="580"/>
      <c r="K210" s="580"/>
      <c r="L210" s="580"/>
    </row>
    <row r="211" spans="1:12" ht="14.25">
      <c r="A211" s="580"/>
      <c r="B211" s="580"/>
      <c r="C211" s="580"/>
      <c r="D211" s="580"/>
      <c r="E211" s="580"/>
      <c r="F211" s="580"/>
      <c r="G211" s="580"/>
      <c r="H211" s="580"/>
      <c r="I211" s="580"/>
      <c r="J211" s="580"/>
      <c r="K211" s="580"/>
      <c r="L211" s="580"/>
    </row>
    <row r="212" spans="1:12" ht="14.25">
      <c r="A212" s="580"/>
      <c r="B212" s="580"/>
      <c r="C212" s="580"/>
      <c r="D212" s="580"/>
      <c r="E212" s="580"/>
      <c r="F212" s="580"/>
      <c r="G212" s="580"/>
      <c r="H212" s="580"/>
      <c r="I212" s="580"/>
      <c r="J212" s="580"/>
      <c r="K212" s="580"/>
      <c r="L212" s="580"/>
    </row>
    <row r="213" spans="1:12" ht="14.25">
      <c r="A213" s="580"/>
      <c r="B213" s="580"/>
      <c r="C213" s="580"/>
      <c r="D213" s="580"/>
      <c r="E213" s="580"/>
      <c r="F213" s="580"/>
      <c r="G213" s="580"/>
      <c r="H213" s="580"/>
      <c r="I213" s="580"/>
      <c r="J213" s="580"/>
      <c r="K213" s="580"/>
      <c r="L213" s="580"/>
    </row>
    <row r="214" spans="1:12" ht="14.25">
      <c r="A214" s="580"/>
      <c r="B214" s="580"/>
      <c r="C214" s="580"/>
      <c r="D214" s="580"/>
      <c r="E214" s="580"/>
      <c r="F214" s="580"/>
      <c r="G214" s="580"/>
      <c r="H214" s="580"/>
      <c r="I214" s="580"/>
      <c r="J214" s="580"/>
      <c r="K214" s="580"/>
      <c r="L214" s="580"/>
    </row>
    <row r="215" spans="1:12" ht="14.25">
      <c r="A215" s="580"/>
      <c r="B215" s="580"/>
      <c r="C215" s="580"/>
      <c r="D215" s="580"/>
      <c r="E215" s="580"/>
      <c r="F215" s="580"/>
      <c r="G215" s="580"/>
      <c r="H215" s="580"/>
      <c r="I215" s="580"/>
      <c r="J215" s="580"/>
      <c r="K215" s="580"/>
      <c r="L215" s="580"/>
    </row>
    <row r="216" spans="1:12" ht="14.25">
      <c r="A216" s="580"/>
      <c r="B216" s="580"/>
      <c r="C216" s="580"/>
      <c r="D216" s="580"/>
      <c r="E216" s="580"/>
      <c r="F216" s="580"/>
      <c r="G216" s="580"/>
      <c r="H216" s="580"/>
      <c r="I216" s="580"/>
      <c r="J216" s="580"/>
      <c r="K216" s="580"/>
      <c r="L216" s="580"/>
    </row>
    <row r="217" spans="1:12" ht="14.25">
      <c r="A217" s="580"/>
      <c r="B217" s="580"/>
      <c r="C217" s="580"/>
      <c r="D217" s="580"/>
      <c r="E217" s="580"/>
      <c r="F217" s="580"/>
      <c r="G217" s="580"/>
      <c r="H217" s="580"/>
      <c r="I217" s="580"/>
      <c r="J217" s="580"/>
      <c r="K217" s="580"/>
      <c r="L217" s="580"/>
    </row>
    <row r="218" spans="1:12" ht="14.25">
      <c r="A218" s="580"/>
      <c r="B218" s="580"/>
      <c r="C218" s="580"/>
      <c r="D218" s="580"/>
      <c r="E218" s="580"/>
      <c r="F218" s="580"/>
      <c r="G218" s="580"/>
      <c r="H218" s="580"/>
      <c r="I218" s="580"/>
      <c r="J218" s="580"/>
      <c r="K218" s="580"/>
      <c r="L218" s="580"/>
    </row>
    <row r="219" spans="1:12" ht="14.25">
      <c r="A219" s="580"/>
      <c r="B219" s="580"/>
      <c r="C219" s="580"/>
      <c r="D219" s="580"/>
      <c r="E219" s="580"/>
      <c r="F219" s="580"/>
      <c r="G219" s="580"/>
      <c r="H219" s="580"/>
      <c r="I219" s="580"/>
      <c r="J219" s="580"/>
      <c r="K219" s="580"/>
      <c r="L219" s="580"/>
    </row>
    <row r="220" spans="1:12" ht="14.25">
      <c r="A220" s="580"/>
      <c r="B220" s="580"/>
      <c r="C220" s="580"/>
      <c r="D220" s="580"/>
      <c r="E220" s="580"/>
      <c r="F220" s="580"/>
      <c r="G220" s="580"/>
      <c r="H220" s="580"/>
      <c r="I220" s="580"/>
      <c r="J220" s="580"/>
      <c r="K220" s="580"/>
      <c r="L220" s="580"/>
    </row>
    <row r="221" spans="1:12" ht="14.25">
      <c r="A221" s="580"/>
      <c r="B221" s="580"/>
      <c r="C221" s="580"/>
      <c r="D221" s="580"/>
      <c r="E221" s="580"/>
      <c r="F221" s="580"/>
      <c r="G221" s="580"/>
      <c r="H221" s="580"/>
      <c r="I221" s="580"/>
      <c r="J221" s="580"/>
      <c r="K221" s="580"/>
      <c r="L221" s="580"/>
    </row>
    <row r="222" spans="1:12" ht="14.25">
      <c r="A222" s="580"/>
      <c r="B222" s="580"/>
      <c r="C222" s="580"/>
      <c r="D222" s="580"/>
      <c r="E222" s="580"/>
      <c r="F222" s="580"/>
      <c r="G222" s="580"/>
      <c r="H222" s="580"/>
      <c r="I222" s="580"/>
      <c r="J222" s="580"/>
      <c r="K222" s="580"/>
      <c r="L222" s="580"/>
    </row>
    <row r="223" spans="1:12" ht="14.25">
      <c r="A223" s="580"/>
      <c r="B223" s="580"/>
      <c r="C223" s="580"/>
      <c r="D223" s="580"/>
      <c r="E223" s="580"/>
      <c r="F223" s="580"/>
      <c r="G223" s="580"/>
      <c r="H223" s="580"/>
      <c r="I223" s="580"/>
      <c r="J223" s="580"/>
      <c r="K223" s="580"/>
      <c r="L223" s="580"/>
    </row>
    <row r="224" spans="1:12" ht="14.25">
      <c r="A224" s="580"/>
      <c r="B224" s="580"/>
      <c r="C224" s="580"/>
      <c r="D224" s="580"/>
      <c r="E224" s="580"/>
      <c r="F224" s="580"/>
      <c r="G224" s="580"/>
      <c r="H224" s="580"/>
      <c r="I224" s="580"/>
      <c r="J224" s="580"/>
      <c r="K224" s="580"/>
      <c r="L224" s="580"/>
    </row>
    <row r="225" spans="1:12" ht="14.25">
      <c r="A225" s="580"/>
      <c r="B225" s="580"/>
      <c r="C225" s="580"/>
      <c r="D225" s="580"/>
      <c r="E225" s="580"/>
      <c r="F225" s="580"/>
      <c r="G225" s="580"/>
      <c r="H225" s="580"/>
      <c r="I225" s="580"/>
      <c r="J225" s="580"/>
      <c r="K225" s="580"/>
      <c r="L225" s="580"/>
    </row>
    <row r="226" spans="1:12" ht="14.25">
      <c r="A226" s="580"/>
      <c r="B226" s="580"/>
      <c r="C226" s="580"/>
      <c r="D226" s="580"/>
      <c r="E226" s="580"/>
      <c r="F226" s="580"/>
      <c r="G226" s="580"/>
      <c r="H226" s="580"/>
      <c r="I226" s="580"/>
      <c r="J226" s="580"/>
      <c r="K226" s="580"/>
      <c r="L226" s="580"/>
    </row>
    <row r="227" spans="1:12" ht="14.25">
      <c r="A227" s="580"/>
      <c r="B227" s="580"/>
      <c r="C227" s="580"/>
      <c r="D227" s="580"/>
      <c r="E227" s="580"/>
      <c r="F227" s="580"/>
      <c r="G227" s="580"/>
      <c r="H227" s="580"/>
      <c r="I227" s="580"/>
      <c r="J227" s="580"/>
      <c r="K227" s="580"/>
      <c r="L227" s="580"/>
    </row>
    <row r="228" spans="1:12" ht="14.25">
      <c r="A228" s="580"/>
      <c r="B228" s="580"/>
      <c r="C228" s="580"/>
      <c r="D228" s="580"/>
      <c r="E228" s="580"/>
      <c r="F228" s="580"/>
      <c r="G228" s="580"/>
      <c r="H228" s="580"/>
      <c r="I228" s="580"/>
      <c r="J228" s="580"/>
      <c r="K228" s="580"/>
      <c r="L228" s="580"/>
    </row>
    <row r="229" spans="1:12" ht="14.25">
      <c r="A229" s="580"/>
      <c r="B229" s="580"/>
      <c r="C229" s="580"/>
      <c r="D229" s="580"/>
      <c r="E229" s="580"/>
      <c r="F229" s="580"/>
      <c r="G229" s="580"/>
      <c r="H229" s="580"/>
      <c r="I229" s="580"/>
      <c r="J229" s="580"/>
      <c r="K229" s="580"/>
      <c r="L229" s="580"/>
    </row>
    <row r="230" spans="1:12" ht="14.25">
      <c r="A230" s="580"/>
      <c r="B230" s="580"/>
      <c r="C230" s="580"/>
      <c r="D230" s="580"/>
      <c r="E230" s="580"/>
      <c r="F230" s="580"/>
      <c r="G230" s="580"/>
      <c r="H230" s="580"/>
      <c r="I230" s="580"/>
      <c r="J230" s="580"/>
      <c r="K230" s="580"/>
      <c r="L230" s="580"/>
    </row>
    <row r="231" spans="1:12" ht="14.25">
      <c r="A231" s="580"/>
      <c r="B231" s="580"/>
      <c r="C231" s="580"/>
      <c r="D231" s="580"/>
      <c r="E231" s="580"/>
      <c r="F231" s="580"/>
      <c r="G231" s="580"/>
      <c r="H231" s="580"/>
      <c r="I231" s="580"/>
      <c r="J231" s="580"/>
      <c r="K231" s="580"/>
      <c r="L231" s="580"/>
    </row>
    <row r="232" spans="1:12" ht="14.25">
      <c r="A232" s="580"/>
      <c r="B232" s="580"/>
      <c r="C232" s="580"/>
      <c r="D232" s="580"/>
      <c r="E232" s="580"/>
      <c r="F232" s="580"/>
      <c r="G232" s="580"/>
      <c r="H232" s="580"/>
      <c r="I232" s="580"/>
      <c r="J232" s="580"/>
      <c r="K232" s="580"/>
      <c r="L232" s="580"/>
    </row>
    <row r="233" spans="1:12" ht="14.25">
      <c r="A233" s="580"/>
      <c r="B233" s="580"/>
      <c r="C233" s="580"/>
      <c r="D233" s="580"/>
      <c r="E233" s="580"/>
      <c r="F233" s="580"/>
      <c r="G233" s="580"/>
      <c r="H233" s="580"/>
      <c r="I233" s="580"/>
      <c r="J233" s="580"/>
      <c r="K233" s="580"/>
      <c r="L233" s="580"/>
    </row>
    <row r="234" spans="1:12" ht="14.25">
      <c r="A234" s="580"/>
      <c r="B234" s="580"/>
      <c r="C234" s="580"/>
      <c r="D234" s="580"/>
      <c r="E234" s="580"/>
      <c r="F234" s="580"/>
      <c r="G234" s="580"/>
      <c r="H234" s="580"/>
      <c r="I234" s="580"/>
      <c r="J234" s="580"/>
      <c r="K234" s="580"/>
      <c r="L234" s="580"/>
    </row>
    <row r="235" spans="1:12" ht="14.25">
      <c r="A235" s="580"/>
      <c r="B235" s="580"/>
      <c r="C235" s="580"/>
      <c r="D235" s="580"/>
      <c r="E235" s="580"/>
      <c r="F235" s="580"/>
      <c r="G235" s="580"/>
      <c r="H235" s="580"/>
      <c r="I235" s="580"/>
      <c r="J235" s="580"/>
      <c r="K235" s="580"/>
      <c r="L235" s="580"/>
    </row>
    <row r="236" spans="1:12" ht="14.25">
      <c r="A236" s="580"/>
      <c r="B236" s="580"/>
      <c r="C236" s="580"/>
      <c r="D236" s="580"/>
      <c r="E236" s="580"/>
      <c r="F236" s="580"/>
      <c r="G236" s="580"/>
      <c r="H236" s="580"/>
      <c r="I236" s="580"/>
      <c r="J236" s="580"/>
      <c r="K236" s="580"/>
      <c r="L236" s="580"/>
    </row>
    <row r="237" spans="1:12" ht="14.25">
      <c r="A237" s="580"/>
      <c r="B237" s="580"/>
      <c r="C237" s="580"/>
      <c r="D237" s="580"/>
      <c r="E237" s="580"/>
      <c r="F237" s="580"/>
      <c r="G237" s="580"/>
      <c r="H237" s="580"/>
      <c r="I237" s="580"/>
      <c r="J237" s="580"/>
      <c r="K237" s="580"/>
      <c r="L237" s="580"/>
    </row>
    <row r="238" spans="1:12" ht="14.25">
      <c r="A238" s="580"/>
      <c r="B238" s="580"/>
      <c r="C238" s="580"/>
      <c r="D238" s="580"/>
      <c r="E238" s="580"/>
      <c r="F238" s="580"/>
      <c r="G238" s="580"/>
      <c r="H238" s="580"/>
      <c r="I238" s="580"/>
      <c r="J238" s="580"/>
      <c r="K238" s="580"/>
      <c r="L238" s="580"/>
    </row>
    <row r="239" spans="1:12" ht="14.25">
      <c r="A239" s="580"/>
      <c r="B239" s="580"/>
      <c r="C239" s="580"/>
      <c r="D239" s="580"/>
      <c r="E239" s="580"/>
      <c r="F239" s="580"/>
      <c r="G239" s="580"/>
      <c r="H239" s="580"/>
      <c r="I239" s="580"/>
      <c r="J239" s="580"/>
      <c r="K239" s="580"/>
      <c r="L239" s="580"/>
    </row>
    <row r="240" spans="1:12" ht="14.25">
      <c r="A240" s="580"/>
      <c r="B240" s="580"/>
      <c r="C240" s="580"/>
      <c r="D240" s="580"/>
      <c r="E240" s="580"/>
      <c r="F240" s="580"/>
      <c r="G240" s="580"/>
      <c r="H240" s="580"/>
      <c r="I240" s="580"/>
      <c r="J240" s="580"/>
      <c r="K240" s="580"/>
      <c r="L240" s="580"/>
    </row>
    <row r="241" spans="1:12" ht="14.25">
      <c r="A241" s="580"/>
      <c r="B241" s="580"/>
      <c r="C241" s="580"/>
      <c r="D241" s="580"/>
      <c r="E241" s="580"/>
      <c r="F241" s="580"/>
      <c r="G241" s="580"/>
      <c r="H241" s="580"/>
      <c r="I241" s="580"/>
      <c r="J241" s="580"/>
      <c r="K241" s="580"/>
      <c r="L241" s="580"/>
    </row>
    <row r="242" spans="1:12" ht="14.25">
      <c r="A242" s="580"/>
      <c r="B242" s="580"/>
      <c r="C242" s="580"/>
      <c r="D242" s="580"/>
      <c r="E242" s="580"/>
      <c r="F242" s="580"/>
      <c r="G242" s="580"/>
      <c r="H242" s="580"/>
      <c r="I242" s="580"/>
      <c r="J242" s="580"/>
      <c r="K242" s="580"/>
      <c r="L242" s="580"/>
    </row>
    <row r="243" spans="1:12" ht="14.25">
      <c r="A243" s="580"/>
      <c r="B243" s="580"/>
      <c r="C243" s="580"/>
      <c r="D243" s="580"/>
      <c r="E243" s="580"/>
      <c r="F243" s="580"/>
      <c r="G243" s="580"/>
      <c r="H243" s="580"/>
      <c r="I243" s="580"/>
      <c r="J243" s="580"/>
      <c r="K243" s="580"/>
      <c r="L243" s="580"/>
    </row>
    <row r="244" spans="1:12" ht="14.25">
      <c r="A244" s="580"/>
      <c r="B244" s="580"/>
      <c r="C244" s="580"/>
      <c r="D244" s="580"/>
      <c r="E244" s="580"/>
      <c r="F244" s="580"/>
      <c r="G244" s="580"/>
      <c r="H244" s="580"/>
      <c r="I244" s="580"/>
      <c r="J244" s="580"/>
      <c r="K244" s="580"/>
      <c r="L244" s="580"/>
    </row>
    <row r="245" spans="1:12" ht="14.25">
      <c r="A245" s="580"/>
      <c r="B245" s="580"/>
      <c r="C245" s="580"/>
      <c r="D245" s="580"/>
      <c r="E245" s="580"/>
      <c r="F245" s="580"/>
      <c r="G245" s="580"/>
      <c r="H245" s="580"/>
      <c r="I245" s="580"/>
      <c r="J245" s="580"/>
      <c r="K245" s="580"/>
      <c r="L245" s="580"/>
    </row>
    <row r="246" spans="1:12" ht="14.25">
      <c r="A246" s="580"/>
      <c r="B246" s="580"/>
      <c r="C246" s="580"/>
      <c r="D246" s="580"/>
      <c r="E246" s="580"/>
      <c r="F246" s="580"/>
      <c r="G246" s="580"/>
      <c r="H246" s="580"/>
      <c r="I246" s="580"/>
      <c r="J246" s="580"/>
      <c r="K246" s="580"/>
      <c r="L246" s="580"/>
    </row>
    <row r="247" spans="1:12" ht="14.25">
      <c r="A247" s="580"/>
      <c r="B247" s="580"/>
      <c r="C247" s="580"/>
      <c r="D247" s="580"/>
      <c r="E247" s="580"/>
      <c r="F247" s="580"/>
      <c r="G247" s="580"/>
      <c r="H247" s="580"/>
      <c r="I247" s="580"/>
      <c r="J247" s="580"/>
      <c r="K247" s="580"/>
      <c r="L247" s="580"/>
    </row>
    <row r="248" spans="1:12" ht="14.25">
      <c r="A248" s="580"/>
      <c r="B248" s="580"/>
      <c r="C248" s="580"/>
      <c r="D248" s="580"/>
      <c r="E248" s="580"/>
      <c r="F248" s="580"/>
      <c r="G248" s="580"/>
      <c r="H248" s="580"/>
      <c r="I248" s="580"/>
      <c r="J248" s="580"/>
      <c r="K248" s="580"/>
      <c r="L248" s="580"/>
    </row>
    <row r="249" spans="1:12" ht="14.25">
      <c r="A249" s="580"/>
      <c r="B249" s="580"/>
      <c r="C249" s="580"/>
      <c r="D249" s="580"/>
      <c r="E249" s="580"/>
      <c r="F249" s="580"/>
      <c r="G249" s="580"/>
      <c r="H249" s="580"/>
      <c r="I249" s="580"/>
      <c r="J249" s="580"/>
      <c r="K249" s="580"/>
      <c r="L249" s="580"/>
    </row>
    <row r="250" spans="1:12" ht="14.25">
      <c r="A250" s="580"/>
      <c r="B250" s="580"/>
      <c r="C250" s="580"/>
      <c r="D250" s="580"/>
      <c r="E250" s="580"/>
      <c r="F250" s="580"/>
      <c r="G250" s="580"/>
      <c r="H250" s="580"/>
      <c r="I250" s="580"/>
      <c r="J250" s="580"/>
      <c r="K250" s="580"/>
      <c r="L250" s="580"/>
    </row>
    <row r="251" spans="1:12" ht="14.25">
      <c r="A251" s="580"/>
      <c r="B251" s="580"/>
      <c r="C251" s="580"/>
      <c r="D251" s="580"/>
      <c r="E251" s="580"/>
      <c r="F251" s="580"/>
      <c r="G251" s="580"/>
      <c r="H251" s="580"/>
      <c r="I251" s="580"/>
      <c r="J251" s="580"/>
      <c r="K251" s="580"/>
      <c r="L251" s="580"/>
    </row>
    <row r="252" spans="1:12" ht="14.25">
      <c r="A252" s="580"/>
      <c r="B252" s="580"/>
      <c r="C252" s="580"/>
      <c r="D252" s="580"/>
      <c r="E252" s="580"/>
      <c r="F252" s="580"/>
      <c r="G252" s="580"/>
      <c r="H252" s="580"/>
      <c r="I252" s="580"/>
      <c r="J252" s="580"/>
      <c r="K252" s="580"/>
      <c r="L252" s="580"/>
    </row>
    <row r="253" spans="1:12" ht="14.25">
      <c r="A253" s="580"/>
      <c r="B253" s="580"/>
      <c r="C253" s="580"/>
      <c r="D253" s="580"/>
      <c r="E253" s="580"/>
      <c r="F253" s="580"/>
      <c r="G253" s="580"/>
      <c r="H253" s="580"/>
      <c r="I253" s="580"/>
      <c r="J253" s="580"/>
      <c r="K253" s="580"/>
      <c r="L253" s="580"/>
    </row>
    <row r="254" spans="1:12" ht="14.25">
      <c r="A254" s="580"/>
      <c r="B254" s="580"/>
      <c r="C254" s="580"/>
      <c r="D254" s="580"/>
      <c r="E254" s="580"/>
      <c r="F254" s="580"/>
      <c r="G254" s="580"/>
      <c r="H254" s="580"/>
      <c r="I254" s="580"/>
      <c r="J254" s="580"/>
      <c r="K254" s="580"/>
      <c r="L254" s="580"/>
    </row>
    <row r="255" spans="1:12" ht="14.25">
      <c r="A255" s="580"/>
      <c r="B255" s="580"/>
      <c r="C255" s="580"/>
      <c r="D255" s="580"/>
      <c r="E255" s="580"/>
      <c r="F255" s="580"/>
      <c r="G255" s="580"/>
      <c r="H255" s="580"/>
      <c r="I255" s="580"/>
      <c r="J255" s="580"/>
      <c r="K255" s="580"/>
      <c r="L255" s="580"/>
    </row>
    <row r="256" spans="1:12" ht="14.25">
      <c r="A256" s="580"/>
      <c r="B256" s="580"/>
      <c r="C256" s="580"/>
      <c r="D256" s="580"/>
      <c r="E256" s="580"/>
      <c r="F256" s="580"/>
      <c r="G256" s="580"/>
      <c r="H256" s="580"/>
      <c r="I256" s="580"/>
      <c r="J256" s="580"/>
      <c r="K256" s="580"/>
      <c r="L256" s="580"/>
    </row>
    <row r="257" spans="1:12" ht="14.25">
      <c r="A257" s="580"/>
      <c r="B257" s="580"/>
      <c r="C257" s="580"/>
      <c r="D257" s="580"/>
      <c r="E257" s="580"/>
      <c r="F257" s="580"/>
      <c r="G257" s="580"/>
      <c r="H257" s="580"/>
      <c r="I257" s="580"/>
      <c r="J257" s="580"/>
      <c r="K257" s="580"/>
      <c r="L257" s="580"/>
    </row>
    <row r="258" spans="1:12" ht="14.25">
      <c r="A258" s="580"/>
      <c r="B258" s="580"/>
      <c r="C258" s="580"/>
      <c r="D258" s="580"/>
      <c r="E258" s="580"/>
      <c r="F258" s="580"/>
      <c r="G258" s="580"/>
      <c r="H258" s="580"/>
      <c r="I258" s="580"/>
      <c r="J258" s="580"/>
      <c r="K258" s="580"/>
      <c r="L258" s="580"/>
    </row>
    <row r="259" spans="1:12" ht="14.25">
      <c r="A259" s="580"/>
      <c r="B259" s="580"/>
      <c r="C259" s="580"/>
      <c r="D259" s="580"/>
      <c r="E259" s="580"/>
      <c r="F259" s="580"/>
      <c r="G259" s="580"/>
      <c r="H259" s="580"/>
      <c r="I259" s="580"/>
      <c r="J259" s="580"/>
      <c r="K259" s="580"/>
      <c r="L259" s="580"/>
    </row>
    <row r="260" spans="1:12" ht="14.25">
      <c r="A260" s="580"/>
      <c r="B260" s="580"/>
      <c r="C260" s="580"/>
      <c r="D260" s="580"/>
      <c r="E260" s="580"/>
      <c r="F260" s="580"/>
      <c r="G260" s="580"/>
      <c r="H260" s="580"/>
      <c r="I260" s="580"/>
      <c r="J260" s="580"/>
      <c r="K260" s="580"/>
      <c r="L260" s="580"/>
    </row>
    <row r="261" spans="1:12" ht="14.25">
      <c r="A261" s="580"/>
      <c r="B261" s="580"/>
      <c r="C261" s="580"/>
      <c r="D261" s="580"/>
      <c r="E261" s="580"/>
      <c r="F261" s="580"/>
      <c r="G261" s="580"/>
      <c r="H261" s="580"/>
      <c r="I261" s="580"/>
      <c r="J261" s="580"/>
      <c r="K261" s="580"/>
      <c r="L261" s="580"/>
    </row>
    <row r="262" spans="1:12" ht="14.25">
      <c r="A262" s="580"/>
      <c r="B262" s="580"/>
      <c r="C262" s="580"/>
      <c r="D262" s="580"/>
      <c r="E262" s="580"/>
      <c r="F262" s="580"/>
      <c r="G262" s="580"/>
      <c r="H262" s="580"/>
      <c r="I262" s="580"/>
      <c r="J262" s="580"/>
      <c r="K262" s="580"/>
      <c r="L262" s="580"/>
    </row>
    <row r="263" spans="1:12" ht="14.25">
      <c r="A263" s="580"/>
      <c r="B263" s="580"/>
      <c r="C263" s="580"/>
      <c r="D263" s="580"/>
      <c r="E263" s="580"/>
      <c r="F263" s="580"/>
      <c r="G263" s="580"/>
      <c r="H263" s="580"/>
      <c r="I263" s="580"/>
      <c r="J263" s="580"/>
      <c r="K263" s="580"/>
      <c r="L263" s="580"/>
    </row>
    <row r="264" spans="1:12" ht="14.25">
      <c r="A264" s="580"/>
      <c r="B264" s="580"/>
      <c r="C264" s="580"/>
      <c r="D264" s="580"/>
      <c r="E264" s="580"/>
      <c r="F264" s="580"/>
      <c r="G264" s="580"/>
      <c r="H264" s="580"/>
      <c r="I264" s="580"/>
      <c r="J264" s="580"/>
      <c r="K264" s="580"/>
      <c r="L264" s="580"/>
    </row>
    <row r="265" spans="1:12" ht="14.25">
      <c r="A265" s="580"/>
      <c r="B265" s="580"/>
      <c r="C265" s="580"/>
      <c r="D265" s="580"/>
      <c r="E265" s="580"/>
      <c r="F265" s="580"/>
      <c r="G265" s="580"/>
      <c r="H265" s="580"/>
      <c r="I265" s="580"/>
      <c r="J265" s="580"/>
      <c r="K265" s="580"/>
      <c r="L265" s="580"/>
    </row>
    <row r="266" spans="1:12" ht="14.25">
      <c r="A266" s="580"/>
      <c r="B266" s="580"/>
      <c r="C266" s="580"/>
      <c r="D266" s="580"/>
      <c r="E266" s="580"/>
      <c r="F266" s="580"/>
      <c r="G266" s="580"/>
      <c r="H266" s="580"/>
      <c r="I266" s="580"/>
      <c r="J266" s="580"/>
      <c r="K266" s="580"/>
      <c r="L266" s="580"/>
    </row>
    <row r="267" spans="1:12" ht="14.25">
      <c r="A267" s="580"/>
      <c r="B267" s="580"/>
      <c r="C267" s="580"/>
      <c r="D267" s="580"/>
      <c r="E267" s="580"/>
      <c r="F267" s="580"/>
      <c r="G267" s="580"/>
      <c r="H267" s="580"/>
      <c r="I267" s="580"/>
      <c r="J267" s="580"/>
      <c r="K267" s="580"/>
      <c r="L267" s="580"/>
    </row>
    <row r="268" spans="1:12" ht="14.25">
      <c r="A268" s="580"/>
      <c r="B268" s="580"/>
      <c r="C268" s="580"/>
      <c r="D268" s="580"/>
      <c r="E268" s="580"/>
      <c r="F268" s="580"/>
      <c r="G268" s="580"/>
      <c r="H268" s="580"/>
      <c r="I268" s="580"/>
      <c r="J268" s="580"/>
      <c r="K268" s="580"/>
      <c r="L268" s="580"/>
    </row>
    <row r="269" spans="1:12" ht="14.25">
      <c r="A269" s="580"/>
      <c r="B269" s="580"/>
      <c r="C269" s="580"/>
      <c r="D269" s="580"/>
      <c r="E269" s="580"/>
      <c r="F269" s="580"/>
      <c r="G269" s="580"/>
      <c r="H269" s="580"/>
      <c r="I269" s="580"/>
      <c r="J269" s="580"/>
      <c r="K269" s="580"/>
      <c r="L269" s="580"/>
    </row>
    <row r="270" spans="1:12" ht="14.25">
      <c r="A270" s="580"/>
      <c r="B270" s="580"/>
      <c r="C270" s="580"/>
      <c r="D270" s="580"/>
      <c r="E270" s="580"/>
      <c r="F270" s="580"/>
      <c r="G270" s="580"/>
      <c r="H270" s="580"/>
      <c r="I270" s="580"/>
      <c r="J270" s="580"/>
      <c r="K270" s="580"/>
      <c r="L270" s="580"/>
    </row>
    <row r="271" spans="1:12" ht="14.25">
      <c r="A271" s="580"/>
      <c r="B271" s="580"/>
      <c r="C271" s="580"/>
      <c r="D271" s="580"/>
      <c r="E271" s="580"/>
      <c r="F271" s="580"/>
      <c r="G271" s="580"/>
      <c r="H271" s="580"/>
      <c r="I271" s="580"/>
      <c r="J271" s="580"/>
      <c r="K271" s="580"/>
      <c r="L271" s="580"/>
    </row>
    <row r="272" spans="1:12" ht="14.25">
      <c r="A272" s="580"/>
      <c r="B272" s="580"/>
      <c r="C272" s="580"/>
      <c r="D272" s="580"/>
      <c r="E272" s="580"/>
      <c r="F272" s="580"/>
      <c r="G272" s="580"/>
      <c r="H272" s="580"/>
      <c r="I272" s="580"/>
      <c r="J272" s="580"/>
      <c r="K272" s="580"/>
      <c r="L272" s="580"/>
    </row>
    <row r="273" spans="1:12" ht="14.25">
      <c r="A273" s="580"/>
      <c r="B273" s="580"/>
      <c r="C273" s="580"/>
      <c r="D273" s="580"/>
      <c r="E273" s="580"/>
      <c r="F273" s="580"/>
      <c r="G273" s="580"/>
      <c r="H273" s="580"/>
      <c r="I273" s="580"/>
      <c r="J273" s="580"/>
      <c r="K273" s="580"/>
      <c r="L273" s="580"/>
    </row>
    <row r="274" spans="1:12" ht="14.25">
      <c r="A274" s="580"/>
      <c r="B274" s="580"/>
      <c r="C274" s="580"/>
      <c r="D274" s="580"/>
      <c r="E274" s="580"/>
      <c r="F274" s="580"/>
      <c r="G274" s="580"/>
      <c r="H274" s="580"/>
      <c r="I274" s="580"/>
      <c r="J274" s="580"/>
      <c r="K274" s="580"/>
      <c r="L274" s="580"/>
    </row>
    <row r="275" spans="1:12" ht="14.25">
      <c r="A275" s="580"/>
      <c r="B275" s="580"/>
      <c r="C275" s="580"/>
      <c r="D275" s="580"/>
      <c r="E275" s="580"/>
      <c r="F275" s="580"/>
      <c r="G275" s="580"/>
      <c r="H275" s="580"/>
      <c r="I275" s="580"/>
      <c r="J275" s="580"/>
      <c r="K275" s="580"/>
      <c r="L275" s="580"/>
    </row>
    <row r="276" spans="1:12" ht="14.25">
      <c r="A276" s="580"/>
      <c r="B276" s="580"/>
      <c r="C276" s="580"/>
      <c r="D276" s="580"/>
      <c r="E276" s="580"/>
      <c r="F276" s="580"/>
      <c r="G276" s="580"/>
      <c r="H276" s="580"/>
      <c r="I276" s="580"/>
      <c r="J276" s="580"/>
      <c r="K276" s="580"/>
      <c r="L276" s="580"/>
    </row>
    <row r="277" spans="1:12" ht="14.25">
      <c r="A277" s="580"/>
      <c r="B277" s="580"/>
      <c r="C277" s="580"/>
      <c r="D277" s="580"/>
      <c r="E277" s="580"/>
      <c r="F277" s="580"/>
      <c r="G277" s="580"/>
      <c r="H277" s="580"/>
      <c r="I277" s="580"/>
      <c r="J277" s="580"/>
      <c r="K277" s="580"/>
      <c r="L277" s="580"/>
    </row>
    <row r="278" spans="1:12" ht="14.25">
      <c r="A278" s="580"/>
      <c r="B278" s="580"/>
      <c r="C278" s="580"/>
      <c r="D278" s="580"/>
      <c r="E278" s="580"/>
      <c r="F278" s="580"/>
      <c r="G278" s="580"/>
      <c r="H278" s="580"/>
      <c r="I278" s="580"/>
      <c r="J278" s="580"/>
      <c r="K278" s="580"/>
      <c r="L278" s="580"/>
    </row>
    <row r="279" spans="1:12" ht="14.25">
      <c r="A279" s="580"/>
      <c r="B279" s="580"/>
      <c r="C279" s="580"/>
      <c r="D279" s="580"/>
      <c r="E279" s="580"/>
      <c r="F279" s="580"/>
      <c r="G279" s="580"/>
      <c r="H279" s="580"/>
      <c r="I279" s="580"/>
      <c r="J279" s="580"/>
      <c r="K279" s="580"/>
      <c r="L279" s="580"/>
    </row>
    <row r="280" spans="1:12" ht="14.25">
      <c r="A280" s="580"/>
      <c r="B280" s="580"/>
      <c r="C280" s="580"/>
      <c r="D280" s="580"/>
      <c r="E280" s="580"/>
      <c r="F280" s="580"/>
      <c r="G280" s="580"/>
      <c r="H280" s="580"/>
      <c r="I280" s="580"/>
      <c r="J280" s="580"/>
      <c r="K280" s="580"/>
      <c r="L280" s="580"/>
    </row>
    <row r="281" spans="1:12" ht="14.25">
      <c r="A281" s="580"/>
      <c r="B281" s="580"/>
      <c r="C281" s="580"/>
      <c r="D281" s="580"/>
      <c r="E281" s="580"/>
      <c r="F281" s="580"/>
      <c r="G281" s="580"/>
      <c r="H281" s="580"/>
      <c r="I281" s="580"/>
      <c r="J281" s="580"/>
      <c r="K281" s="580"/>
      <c r="L281" s="580"/>
    </row>
    <row r="282" spans="1:12" ht="14.25">
      <c r="A282" s="580"/>
      <c r="B282" s="580"/>
      <c r="C282" s="580"/>
      <c r="D282" s="580"/>
      <c r="E282" s="580"/>
      <c r="F282" s="580"/>
      <c r="G282" s="580"/>
      <c r="H282" s="580"/>
      <c r="I282" s="580"/>
      <c r="J282" s="580"/>
      <c r="K282" s="580"/>
      <c r="L282" s="580"/>
    </row>
    <row r="283" spans="1:12" ht="14.25">
      <c r="A283" s="580"/>
      <c r="B283" s="580"/>
      <c r="C283" s="580"/>
      <c r="D283" s="580"/>
      <c r="E283" s="580"/>
      <c r="F283" s="580"/>
      <c r="G283" s="580"/>
      <c r="H283" s="580"/>
      <c r="I283" s="580"/>
      <c r="J283" s="580"/>
      <c r="K283" s="580"/>
      <c r="L283" s="580"/>
    </row>
    <row r="284" spans="1:12" ht="14.25">
      <c r="A284" s="580"/>
      <c r="B284" s="580"/>
      <c r="C284" s="580"/>
      <c r="D284" s="580"/>
      <c r="E284" s="580"/>
      <c r="F284" s="580"/>
      <c r="G284" s="580"/>
      <c r="H284" s="580"/>
      <c r="I284" s="580"/>
      <c r="J284" s="580"/>
      <c r="K284" s="580"/>
      <c r="L284" s="580"/>
    </row>
    <row r="285" spans="1:12" ht="14.25">
      <c r="A285" s="580"/>
      <c r="B285" s="580"/>
      <c r="C285" s="580"/>
      <c r="D285" s="580"/>
      <c r="E285" s="580"/>
      <c r="F285" s="580"/>
      <c r="G285" s="580"/>
      <c r="H285" s="580"/>
      <c r="I285" s="580"/>
      <c r="J285" s="580"/>
      <c r="K285" s="580"/>
      <c r="L285" s="580"/>
    </row>
    <row r="286" spans="1:12" ht="14.25">
      <c r="A286" s="580"/>
      <c r="B286" s="580"/>
      <c r="C286" s="580"/>
      <c r="D286" s="580"/>
      <c r="E286" s="580"/>
      <c r="F286" s="580"/>
      <c r="G286" s="580"/>
      <c r="H286" s="580"/>
      <c r="I286" s="580"/>
      <c r="J286" s="580"/>
      <c r="K286" s="580"/>
      <c r="L286" s="580"/>
    </row>
    <row r="287" spans="1:12" ht="14.25">
      <c r="A287" s="580"/>
      <c r="B287" s="580"/>
      <c r="C287" s="580"/>
      <c r="D287" s="580"/>
      <c r="E287" s="580"/>
      <c r="F287" s="580"/>
      <c r="G287" s="580"/>
      <c r="H287" s="580"/>
      <c r="I287" s="580"/>
      <c r="J287" s="580"/>
      <c r="K287" s="580"/>
      <c r="L287" s="580"/>
    </row>
    <row r="288" spans="1:12" ht="14.25">
      <c r="A288" s="580"/>
      <c r="B288" s="580"/>
      <c r="C288" s="580"/>
      <c r="D288" s="580"/>
      <c r="E288" s="580"/>
      <c r="F288" s="580"/>
      <c r="G288" s="580"/>
      <c r="H288" s="580"/>
      <c r="I288" s="580"/>
      <c r="J288" s="580"/>
      <c r="K288" s="580"/>
      <c r="L288" s="580"/>
    </row>
    <row r="289" spans="1:12" ht="14.25">
      <c r="A289" s="580"/>
      <c r="B289" s="580"/>
      <c r="C289" s="580"/>
      <c r="D289" s="580"/>
      <c r="E289" s="580"/>
      <c r="F289" s="580"/>
      <c r="G289" s="580"/>
      <c r="H289" s="580"/>
      <c r="I289" s="580"/>
      <c r="J289" s="580"/>
      <c r="K289" s="580"/>
      <c r="L289" s="580"/>
    </row>
    <row r="290" spans="1:12" ht="14.25">
      <c r="A290" s="580"/>
      <c r="B290" s="580"/>
      <c r="C290" s="580"/>
      <c r="D290" s="580"/>
      <c r="E290" s="580"/>
      <c r="F290" s="580"/>
      <c r="G290" s="580"/>
      <c r="H290" s="580"/>
      <c r="I290" s="580"/>
      <c r="J290" s="580"/>
      <c r="K290" s="580"/>
      <c r="L290" s="580"/>
    </row>
    <row r="291" spans="1:12" ht="14.25">
      <c r="A291" s="580"/>
      <c r="B291" s="580"/>
      <c r="C291" s="580"/>
      <c r="D291" s="580"/>
      <c r="E291" s="580"/>
      <c r="F291" s="580"/>
      <c r="G291" s="580"/>
      <c r="H291" s="580"/>
      <c r="I291" s="580"/>
      <c r="J291" s="580"/>
      <c r="K291" s="580"/>
      <c r="L291" s="580"/>
    </row>
    <row r="292" spans="1:12" ht="14.25">
      <c r="A292" s="580"/>
      <c r="B292" s="580"/>
      <c r="C292" s="580"/>
      <c r="D292" s="580"/>
      <c r="E292" s="580"/>
      <c r="F292" s="580"/>
      <c r="G292" s="580"/>
      <c r="H292" s="580"/>
      <c r="I292" s="580"/>
      <c r="J292" s="580"/>
      <c r="K292" s="580"/>
      <c r="L292" s="580"/>
    </row>
    <row r="293" spans="1:12" ht="14.25">
      <c r="A293" s="580"/>
      <c r="B293" s="580"/>
      <c r="C293" s="580"/>
      <c r="D293" s="580"/>
      <c r="E293" s="580"/>
      <c r="F293" s="580"/>
      <c r="G293" s="580"/>
      <c r="H293" s="580"/>
      <c r="I293" s="580"/>
      <c r="J293" s="580"/>
      <c r="K293" s="580"/>
      <c r="L293" s="580"/>
    </row>
    <row r="294" spans="1:12" ht="14.25">
      <c r="A294" s="580"/>
      <c r="B294" s="580"/>
      <c r="C294" s="580"/>
      <c r="D294" s="580"/>
      <c r="E294" s="580"/>
      <c r="F294" s="580"/>
      <c r="G294" s="580"/>
      <c r="H294" s="580"/>
      <c r="I294" s="580"/>
      <c r="J294" s="580"/>
      <c r="K294" s="580"/>
      <c r="L294" s="580"/>
    </row>
    <row r="295" spans="1:12" ht="14.25">
      <c r="A295" s="580"/>
      <c r="B295" s="580"/>
      <c r="C295" s="580"/>
      <c r="D295" s="580"/>
      <c r="E295" s="580"/>
      <c r="F295" s="580"/>
      <c r="G295" s="580"/>
      <c r="H295" s="580"/>
      <c r="I295" s="580"/>
      <c r="J295" s="580"/>
      <c r="K295" s="580"/>
      <c r="L295" s="580"/>
    </row>
    <row r="296" spans="1:12" ht="14.25">
      <c r="A296" s="580"/>
      <c r="B296" s="580"/>
      <c r="C296" s="580"/>
      <c r="D296" s="580"/>
      <c r="E296" s="580"/>
      <c r="F296" s="580"/>
      <c r="G296" s="580"/>
      <c r="H296" s="580"/>
      <c r="I296" s="580"/>
      <c r="J296" s="580"/>
      <c r="K296" s="580"/>
      <c r="L296" s="580"/>
    </row>
    <row r="297" spans="1:12" ht="14.25">
      <c r="A297" s="580"/>
      <c r="B297" s="580"/>
      <c r="C297" s="580"/>
      <c r="D297" s="580"/>
      <c r="E297" s="580"/>
      <c r="F297" s="580"/>
      <c r="G297" s="580"/>
      <c r="H297" s="580"/>
      <c r="I297" s="580"/>
      <c r="J297" s="580"/>
      <c r="K297" s="580"/>
      <c r="L297" s="580"/>
    </row>
    <row r="298" spans="1:12" ht="14.25">
      <c r="A298" s="580"/>
      <c r="B298" s="580"/>
      <c r="C298" s="580"/>
      <c r="D298" s="580"/>
      <c r="E298" s="580"/>
      <c r="F298" s="580"/>
      <c r="G298" s="580"/>
      <c r="H298" s="580"/>
      <c r="I298" s="580"/>
      <c r="J298" s="580"/>
      <c r="K298" s="580"/>
      <c r="L298" s="580"/>
    </row>
    <row r="299" spans="1:12" ht="14.25">
      <c r="A299" s="580"/>
      <c r="B299" s="580"/>
      <c r="C299" s="580"/>
      <c r="D299" s="580"/>
      <c r="E299" s="580"/>
      <c r="F299" s="580"/>
      <c r="G299" s="580"/>
      <c r="H299" s="580"/>
      <c r="I299" s="580"/>
      <c r="J299" s="580"/>
      <c r="K299" s="580"/>
      <c r="L299" s="580"/>
    </row>
    <row r="300" spans="1:12" ht="14.25">
      <c r="A300" s="580"/>
      <c r="B300" s="580"/>
      <c r="C300" s="580"/>
      <c r="D300" s="580"/>
      <c r="E300" s="580"/>
      <c r="F300" s="580"/>
      <c r="G300" s="580"/>
      <c r="H300" s="580"/>
      <c r="I300" s="580"/>
      <c r="J300" s="580"/>
      <c r="K300" s="580"/>
      <c r="L300" s="580"/>
    </row>
    <row r="301" spans="1:12" ht="14.25">
      <c r="A301" s="580"/>
      <c r="B301" s="580"/>
      <c r="C301" s="580"/>
      <c r="D301" s="580"/>
      <c r="E301" s="580"/>
      <c r="F301" s="580"/>
      <c r="G301" s="580"/>
      <c r="H301" s="580"/>
      <c r="I301" s="580"/>
      <c r="J301" s="580"/>
      <c r="K301" s="580"/>
      <c r="L301" s="580"/>
    </row>
    <row r="302" spans="1:12" ht="14.25">
      <c r="A302" s="580"/>
      <c r="B302" s="580"/>
      <c r="C302" s="580"/>
      <c r="D302" s="580"/>
      <c r="E302" s="580"/>
      <c r="F302" s="580"/>
      <c r="G302" s="580"/>
      <c r="H302" s="580"/>
      <c r="I302" s="580"/>
      <c r="J302" s="580"/>
      <c r="K302" s="580"/>
      <c r="L302" s="580"/>
    </row>
    <row r="303" spans="1:12" ht="14.25">
      <c r="A303" s="580"/>
      <c r="B303" s="580"/>
      <c r="C303" s="580"/>
      <c r="D303" s="580"/>
      <c r="E303" s="580"/>
      <c r="F303" s="580"/>
      <c r="G303" s="580"/>
      <c r="H303" s="580"/>
      <c r="I303" s="580"/>
      <c r="J303" s="580"/>
      <c r="K303" s="580"/>
      <c r="L303" s="580"/>
    </row>
    <row r="304" spans="1:12" ht="14.25">
      <c r="A304" s="580"/>
      <c r="B304" s="580"/>
      <c r="C304" s="580"/>
      <c r="D304" s="580"/>
      <c r="E304" s="580"/>
      <c r="F304" s="580"/>
      <c r="G304" s="580"/>
      <c r="H304" s="580"/>
      <c r="I304" s="580"/>
      <c r="J304" s="580"/>
      <c r="K304" s="580"/>
      <c r="L304" s="580"/>
    </row>
    <row r="305" spans="1:12" ht="14.25">
      <c r="A305" s="580"/>
      <c r="B305" s="580"/>
      <c r="C305" s="580"/>
      <c r="D305" s="580"/>
      <c r="E305" s="580"/>
      <c r="F305" s="580"/>
      <c r="G305" s="580"/>
      <c r="H305" s="580"/>
      <c r="I305" s="580"/>
      <c r="J305" s="580"/>
      <c r="K305" s="580"/>
      <c r="L305" s="580"/>
    </row>
    <row r="306" spans="1:12" ht="14.25">
      <c r="A306" s="580"/>
      <c r="B306" s="580"/>
      <c r="C306" s="580"/>
      <c r="D306" s="580"/>
      <c r="E306" s="580"/>
      <c r="F306" s="580"/>
      <c r="G306" s="580"/>
      <c r="H306" s="580"/>
      <c r="I306" s="580"/>
      <c r="J306" s="580"/>
      <c r="K306" s="580"/>
      <c r="L306" s="580"/>
    </row>
    <row r="307" spans="1:12" ht="14.25">
      <c r="A307" s="580"/>
      <c r="B307" s="580"/>
      <c r="C307" s="580"/>
      <c r="D307" s="580"/>
      <c r="E307" s="580"/>
      <c r="F307" s="580"/>
      <c r="G307" s="580"/>
      <c r="H307" s="580"/>
      <c r="I307" s="580"/>
      <c r="J307" s="580"/>
      <c r="K307" s="580"/>
      <c r="L307" s="580"/>
    </row>
    <row r="308" spans="1:12" ht="14.25">
      <c r="A308" s="580"/>
      <c r="B308" s="580"/>
      <c r="C308" s="580"/>
      <c r="D308" s="580"/>
      <c r="E308" s="580"/>
      <c r="F308" s="580"/>
      <c r="G308" s="580"/>
      <c r="H308" s="580"/>
      <c r="I308" s="580"/>
      <c r="J308" s="580"/>
      <c r="K308" s="580"/>
      <c r="L308" s="580"/>
    </row>
    <row r="309" spans="1:12" ht="14.25">
      <c r="A309" s="580"/>
      <c r="B309" s="580"/>
      <c r="C309" s="580"/>
      <c r="D309" s="580"/>
      <c r="E309" s="580"/>
      <c r="F309" s="580"/>
      <c r="G309" s="580"/>
      <c r="H309" s="580"/>
      <c r="I309" s="580"/>
      <c r="J309" s="580"/>
      <c r="K309" s="580"/>
      <c r="L309" s="580"/>
    </row>
    <row r="310" spans="1:12" ht="14.25">
      <c r="A310" s="580"/>
      <c r="B310" s="580"/>
      <c r="C310" s="580"/>
      <c r="D310" s="580"/>
      <c r="E310" s="580"/>
      <c r="F310" s="580"/>
      <c r="G310" s="580"/>
      <c r="H310" s="580"/>
      <c r="I310" s="580"/>
      <c r="J310" s="580"/>
      <c r="K310" s="580"/>
      <c r="L310" s="580"/>
    </row>
    <row r="311" spans="1:12" ht="14.25">
      <c r="A311" s="580"/>
      <c r="B311" s="580"/>
      <c r="C311" s="580"/>
      <c r="D311" s="580"/>
      <c r="E311" s="580"/>
      <c r="F311" s="580"/>
      <c r="G311" s="580"/>
      <c r="H311" s="580"/>
      <c r="I311" s="580"/>
      <c r="J311" s="580"/>
      <c r="K311" s="580"/>
      <c r="L311" s="580"/>
    </row>
    <row r="312" spans="1:12" ht="14.25">
      <c r="A312" s="580"/>
      <c r="B312" s="580"/>
      <c r="C312" s="580"/>
      <c r="D312" s="580"/>
      <c r="E312" s="580"/>
      <c r="F312" s="580"/>
      <c r="G312" s="580"/>
      <c r="H312" s="580"/>
      <c r="I312" s="580"/>
      <c r="J312" s="580"/>
      <c r="K312" s="580"/>
      <c r="L312" s="580"/>
    </row>
    <row r="313" spans="1:12" ht="14.25">
      <c r="A313" s="580"/>
      <c r="B313" s="580"/>
      <c r="C313" s="580"/>
      <c r="D313" s="580"/>
      <c r="E313" s="580"/>
      <c r="F313" s="580"/>
      <c r="G313" s="580"/>
      <c r="H313" s="580"/>
      <c r="I313" s="580"/>
      <c r="J313" s="580"/>
      <c r="K313" s="580"/>
      <c r="L313" s="580"/>
    </row>
    <row r="314" spans="1:12" ht="14.25">
      <c r="A314" s="580"/>
      <c r="B314" s="580"/>
      <c r="C314" s="580"/>
      <c r="D314" s="580"/>
      <c r="E314" s="580"/>
      <c r="F314" s="580"/>
      <c r="G314" s="580"/>
      <c r="H314" s="580"/>
      <c r="I314" s="580"/>
      <c r="J314" s="580"/>
      <c r="K314" s="580"/>
      <c r="L314" s="580"/>
    </row>
    <row r="315" spans="1:12" ht="14.25">
      <c r="A315" s="580"/>
      <c r="B315" s="580"/>
      <c r="C315" s="580"/>
      <c r="D315" s="580"/>
      <c r="E315" s="580"/>
      <c r="F315" s="580"/>
      <c r="G315" s="580"/>
      <c r="H315" s="580"/>
      <c r="I315" s="580"/>
      <c r="J315" s="580"/>
      <c r="K315" s="580"/>
      <c r="L315" s="580"/>
    </row>
    <row r="316" spans="1:12" ht="14.25">
      <c r="A316" s="580"/>
      <c r="B316" s="580"/>
      <c r="C316" s="580"/>
      <c r="D316" s="580"/>
      <c r="E316" s="580"/>
      <c r="F316" s="580"/>
      <c r="G316" s="580"/>
      <c r="H316" s="580"/>
      <c r="I316" s="580"/>
      <c r="J316" s="580"/>
      <c r="K316" s="580"/>
      <c r="L316" s="580"/>
    </row>
    <row r="317" spans="1:12" ht="14.25">
      <c r="A317" s="580"/>
      <c r="B317" s="580"/>
      <c r="C317" s="580"/>
      <c r="D317" s="580"/>
      <c r="E317" s="580"/>
      <c r="F317" s="580"/>
      <c r="G317" s="580"/>
      <c r="H317" s="580"/>
      <c r="I317" s="580"/>
      <c r="J317" s="580"/>
      <c r="K317" s="580"/>
      <c r="L317" s="580"/>
    </row>
    <row r="318" spans="1:12" ht="14.25">
      <c r="A318" s="580"/>
      <c r="B318" s="580"/>
      <c r="C318" s="580"/>
      <c r="D318" s="580"/>
      <c r="E318" s="580"/>
      <c r="F318" s="580"/>
      <c r="G318" s="580"/>
      <c r="H318" s="580"/>
      <c r="I318" s="580"/>
      <c r="J318" s="580"/>
      <c r="K318" s="580"/>
      <c r="L318" s="580"/>
    </row>
    <row r="319" spans="1:12" ht="14.25">
      <c r="A319" s="580"/>
      <c r="B319" s="580"/>
      <c r="C319" s="580"/>
      <c r="D319" s="580"/>
      <c r="E319" s="580"/>
      <c r="F319" s="580"/>
      <c r="G319" s="580"/>
      <c r="H319" s="580"/>
      <c r="I319" s="580"/>
      <c r="J319" s="580"/>
      <c r="K319" s="580"/>
      <c r="L319" s="580"/>
    </row>
    <row r="320" spans="1:12" ht="14.25">
      <c r="A320" s="580"/>
      <c r="B320" s="580"/>
      <c r="C320" s="580"/>
      <c r="D320" s="580"/>
      <c r="E320" s="580"/>
      <c r="F320" s="580"/>
      <c r="G320" s="580"/>
      <c r="H320" s="580"/>
      <c r="I320" s="580"/>
      <c r="J320" s="580"/>
      <c r="K320" s="580"/>
      <c r="L320" s="580"/>
    </row>
    <row r="321" spans="1:12" ht="14.25">
      <c r="A321" s="580"/>
      <c r="B321" s="580"/>
      <c r="C321" s="580"/>
      <c r="D321" s="580"/>
      <c r="E321" s="580"/>
      <c r="F321" s="580"/>
      <c r="G321" s="580"/>
      <c r="H321" s="580"/>
      <c r="I321" s="580"/>
      <c r="J321" s="580"/>
      <c r="K321" s="580"/>
      <c r="L321" s="580"/>
    </row>
    <row r="322" spans="1:12" ht="14.25">
      <c r="A322" s="580"/>
      <c r="B322" s="580"/>
      <c r="C322" s="580"/>
      <c r="D322" s="580"/>
      <c r="E322" s="580"/>
      <c r="F322" s="580"/>
      <c r="G322" s="580"/>
      <c r="H322" s="580"/>
      <c r="I322" s="580"/>
      <c r="J322" s="580"/>
      <c r="K322" s="580"/>
      <c r="L322" s="580"/>
    </row>
    <row r="323" spans="1:12" ht="14.25">
      <c r="A323" s="580"/>
      <c r="B323" s="580"/>
      <c r="C323" s="580"/>
      <c r="D323" s="580"/>
      <c r="E323" s="580"/>
      <c r="F323" s="580"/>
      <c r="G323" s="580"/>
      <c r="H323" s="580"/>
      <c r="I323" s="580"/>
      <c r="J323" s="580"/>
      <c r="K323" s="580"/>
      <c r="L323" s="580"/>
    </row>
    <row r="324" spans="1:12" ht="14.25">
      <c r="A324" s="580"/>
      <c r="B324" s="580"/>
      <c r="C324" s="580"/>
      <c r="D324" s="580"/>
      <c r="E324" s="580"/>
      <c r="F324" s="580"/>
      <c r="G324" s="580"/>
      <c r="H324" s="580"/>
      <c r="I324" s="580"/>
      <c r="J324" s="580"/>
      <c r="K324" s="580"/>
      <c r="L324" s="580"/>
    </row>
    <row r="325" spans="1:12" ht="14.25">
      <c r="A325" s="580"/>
      <c r="B325" s="580"/>
      <c r="C325" s="580"/>
      <c r="D325" s="580"/>
      <c r="E325" s="580"/>
      <c r="F325" s="580"/>
      <c r="G325" s="580"/>
      <c r="H325" s="580"/>
      <c r="I325" s="580"/>
      <c r="J325" s="580"/>
      <c r="K325" s="580"/>
      <c r="L325" s="580"/>
    </row>
    <row r="326" spans="1:12" ht="14.25">
      <c r="A326" s="580"/>
      <c r="B326" s="580"/>
      <c r="C326" s="580"/>
      <c r="D326" s="580"/>
      <c r="E326" s="580"/>
      <c r="F326" s="580"/>
      <c r="G326" s="580"/>
      <c r="H326" s="580"/>
      <c r="I326" s="580"/>
      <c r="J326" s="580"/>
      <c r="K326" s="580"/>
      <c r="L326" s="580"/>
    </row>
    <row r="327" spans="1:12" ht="14.25">
      <c r="A327" s="580"/>
      <c r="B327" s="580"/>
      <c r="C327" s="580"/>
      <c r="D327" s="580"/>
      <c r="E327" s="580"/>
      <c r="F327" s="580"/>
      <c r="G327" s="580"/>
      <c r="H327" s="580"/>
      <c r="I327" s="580"/>
      <c r="J327" s="580"/>
      <c r="K327" s="580"/>
      <c r="L327" s="580"/>
    </row>
    <row r="328" spans="1:12" ht="14.25">
      <c r="A328" s="580"/>
      <c r="B328" s="580"/>
      <c r="C328" s="580"/>
      <c r="D328" s="580"/>
      <c r="E328" s="580"/>
      <c r="F328" s="580"/>
      <c r="G328" s="580"/>
      <c r="H328" s="580"/>
      <c r="I328" s="580"/>
      <c r="J328" s="580"/>
      <c r="K328" s="580"/>
      <c r="L328" s="580"/>
    </row>
    <row r="329" spans="1:12" ht="14.25">
      <c r="A329" s="580"/>
      <c r="B329" s="580"/>
      <c r="C329" s="580"/>
      <c r="D329" s="580"/>
      <c r="E329" s="580"/>
      <c r="F329" s="580"/>
      <c r="G329" s="580"/>
      <c r="H329" s="580"/>
      <c r="I329" s="580"/>
      <c r="J329" s="580"/>
      <c r="K329" s="580"/>
      <c r="L329" s="580"/>
    </row>
    <row r="330" spans="1:12" ht="14.25">
      <c r="A330" s="580"/>
      <c r="B330" s="580"/>
      <c r="C330" s="580"/>
      <c r="D330" s="580"/>
      <c r="E330" s="580"/>
      <c r="F330" s="580"/>
      <c r="G330" s="580"/>
      <c r="H330" s="580"/>
      <c r="I330" s="580"/>
      <c r="J330" s="580"/>
      <c r="K330" s="580"/>
      <c r="L330" s="580"/>
    </row>
    <row r="331" spans="1:12" ht="14.25">
      <c r="A331" s="580"/>
      <c r="B331" s="580"/>
      <c r="C331" s="580"/>
      <c r="D331" s="580"/>
      <c r="E331" s="580"/>
      <c r="F331" s="580"/>
      <c r="G331" s="580"/>
      <c r="H331" s="580"/>
      <c r="I331" s="580"/>
      <c r="J331" s="580"/>
      <c r="K331" s="580"/>
      <c r="L331" s="580"/>
    </row>
    <row r="332" spans="1:12" ht="14.25">
      <c r="A332" s="580"/>
      <c r="B332" s="580"/>
      <c r="C332" s="580"/>
      <c r="D332" s="580"/>
      <c r="E332" s="580"/>
      <c r="F332" s="580"/>
      <c r="G332" s="580"/>
      <c r="H332" s="580"/>
      <c r="I332" s="580"/>
      <c r="J332" s="580"/>
      <c r="K332" s="580"/>
      <c r="L332" s="580"/>
    </row>
    <row r="333" spans="1:12" ht="14.25">
      <c r="A333" s="580"/>
      <c r="B333" s="580"/>
      <c r="C333" s="580"/>
      <c r="D333" s="580"/>
      <c r="E333" s="580"/>
      <c r="F333" s="580"/>
      <c r="G333" s="580"/>
      <c r="H333" s="580"/>
      <c r="I333" s="580"/>
      <c r="J333" s="580"/>
      <c r="K333" s="580"/>
      <c r="L333" s="580"/>
    </row>
    <row r="334" spans="1:12" ht="14.25">
      <c r="A334" s="580"/>
      <c r="B334" s="580"/>
      <c r="C334" s="580"/>
      <c r="D334" s="580"/>
      <c r="E334" s="580"/>
      <c r="F334" s="580"/>
      <c r="G334" s="580"/>
      <c r="H334" s="580"/>
      <c r="I334" s="580"/>
      <c r="J334" s="580"/>
      <c r="K334" s="580"/>
      <c r="L334" s="580"/>
    </row>
    <row r="335" spans="1:12" ht="14.25">
      <c r="A335" s="580"/>
      <c r="B335" s="580"/>
      <c r="C335" s="580"/>
      <c r="D335" s="580"/>
      <c r="E335" s="580"/>
      <c r="F335" s="580"/>
      <c r="G335" s="580"/>
      <c r="H335" s="580"/>
      <c r="I335" s="580"/>
      <c r="J335" s="580"/>
      <c r="K335" s="580"/>
      <c r="L335" s="580"/>
    </row>
    <row r="336" spans="1:12" ht="14.25">
      <c r="A336" s="580"/>
      <c r="B336" s="580"/>
      <c r="C336" s="580"/>
      <c r="D336" s="580"/>
      <c r="E336" s="580"/>
      <c r="F336" s="580"/>
      <c r="G336" s="580"/>
      <c r="H336" s="580"/>
      <c r="I336" s="580"/>
      <c r="J336" s="580"/>
      <c r="K336" s="580"/>
      <c r="L336" s="580"/>
    </row>
    <row r="337" spans="1:12" ht="14.25">
      <c r="A337" s="580"/>
      <c r="B337" s="580"/>
      <c r="C337" s="580"/>
      <c r="D337" s="580"/>
      <c r="E337" s="580"/>
      <c r="F337" s="580"/>
      <c r="G337" s="580"/>
      <c r="H337" s="580"/>
      <c r="I337" s="580"/>
      <c r="J337" s="580"/>
      <c r="K337" s="580"/>
      <c r="L337" s="580"/>
    </row>
    <row r="338" spans="1:12" ht="14.25">
      <c r="A338" s="580"/>
      <c r="B338" s="580"/>
      <c r="C338" s="580"/>
      <c r="D338" s="580"/>
      <c r="E338" s="580"/>
      <c r="F338" s="580"/>
      <c r="G338" s="580"/>
      <c r="H338" s="580"/>
      <c r="I338" s="580"/>
      <c r="J338" s="580"/>
      <c r="K338" s="580"/>
      <c r="L338" s="580"/>
    </row>
    <row r="339" spans="1:12" ht="14.25">
      <c r="A339" s="580"/>
      <c r="B339" s="580"/>
      <c r="C339" s="580"/>
      <c r="D339" s="580"/>
      <c r="E339" s="580"/>
      <c r="F339" s="580"/>
      <c r="G339" s="580"/>
      <c r="H339" s="580"/>
      <c r="I339" s="580"/>
      <c r="J339" s="580"/>
      <c r="K339" s="580"/>
      <c r="L339" s="580"/>
    </row>
    <row r="340" spans="1:12" ht="14.25">
      <c r="A340" s="580"/>
      <c r="B340" s="580"/>
      <c r="C340" s="580"/>
      <c r="D340" s="580"/>
      <c r="E340" s="580"/>
      <c r="F340" s="580"/>
      <c r="G340" s="580"/>
      <c r="H340" s="580"/>
      <c r="I340" s="580"/>
      <c r="J340" s="580"/>
      <c r="K340" s="580"/>
      <c r="L340" s="580"/>
    </row>
    <row r="341" spans="1:12" ht="14.25">
      <c r="A341" s="580"/>
      <c r="B341" s="580"/>
      <c r="C341" s="580"/>
      <c r="D341" s="580"/>
      <c r="E341" s="580"/>
      <c r="F341" s="580"/>
      <c r="G341" s="580"/>
      <c r="H341" s="580"/>
      <c r="I341" s="580"/>
      <c r="J341" s="580"/>
      <c r="K341" s="580"/>
      <c r="L341" s="580"/>
    </row>
    <row r="342" spans="1:12" ht="14.25">
      <c r="A342" s="580"/>
      <c r="B342" s="580"/>
      <c r="C342" s="580"/>
      <c r="D342" s="580"/>
      <c r="E342" s="580"/>
      <c r="F342" s="580"/>
      <c r="G342" s="580"/>
      <c r="H342" s="580"/>
      <c r="I342" s="580"/>
      <c r="J342" s="580"/>
      <c r="K342" s="580"/>
      <c r="L342" s="580"/>
    </row>
    <row r="343" spans="1:12" ht="14.25">
      <c r="A343" s="580"/>
      <c r="B343" s="580"/>
      <c r="C343" s="580"/>
      <c r="D343" s="580"/>
      <c r="E343" s="580"/>
      <c r="F343" s="580"/>
      <c r="G343" s="580"/>
      <c r="H343" s="580"/>
      <c r="I343" s="580"/>
      <c r="J343" s="580"/>
      <c r="K343" s="580"/>
      <c r="L343" s="580"/>
    </row>
    <row r="344" spans="1:12" ht="14.25">
      <c r="A344" s="580"/>
      <c r="B344" s="580"/>
      <c r="C344" s="580"/>
      <c r="D344" s="580"/>
      <c r="E344" s="580"/>
      <c r="F344" s="580"/>
      <c r="G344" s="580"/>
      <c r="H344" s="580"/>
      <c r="I344" s="580"/>
      <c r="J344" s="580"/>
      <c r="K344" s="580"/>
      <c r="L344" s="580"/>
    </row>
    <row r="345" spans="1:12" ht="14.25">
      <c r="A345" s="580"/>
      <c r="B345" s="580"/>
      <c r="C345" s="580"/>
      <c r="D345" s="580"/>
      <c r="E345" s="580"/>
      <c r="F345" s="580"/>
      <c r="G345" s="580"/>
      <c r="H345" s="580"/>
      <c r="I345" s="580"/>
      <c r="J345" s="580"/>
      <c r="K345" s="580"/>
      <c r="L345" s="580"/>
    </row>
    <row r="346" spans="1:12" ht="14.25">
      <c r="A346" s="580"/>
      <c r="B346" s="580"/>
      <c r="C346" s="580"/>
      <c r="D346" s="580"/>
      <c r="E346" s="580"/>
      <c r="F346" s="580"/>
      <c r="G346" s="580"/>
      <c r="H346" s="580"/>
      <c r="I346" s="580"/>
      <c r="J346" s="580"/>
      <c r="K346" s="580"/>
      <c r="L346" s="580"/>
    </row>
    <row r="347" spans="1:12" ht="14.25">
      <c r="A347" s="580"/>
      <c r="B347" s="580"/>
      <c r="C347" s="580"/>
      <c r="D347" s="580"/>
      <c r="E347" s="580"/>
      <c r="F347" s="580"/>
      <c r="G347" s="580"/>
      <c r="H347" s="580"/>
      <c r="I347" s="580"/>
      <c r="J347" s="580"/>
      <c r="K347" s="580"/>
      <c r="L347" s="580"/>
    </row>
    <row r="348" spans="1:12" ht="14.25">
      <c r="A348" s="580"/>
      <c r="B348" s="580"/>
      <c r="C348" s="580"/>
      <c r="D348" s="580"/>
      <c r="E348" s="580"/>
      <c r="F348" s="580"/>
      <c r="G348" s="580"/>
      <c r="H348" s="580"/>
      <c r="I348" s="580"/>
      <c r="J348" s="580"/>
      <c r="K348" s="580"/>
      <c r="L348" s="580"/>
    </row>
    <row r="349" spans="1:12" ht="14.25">
      <c r="A349" s="580"/>
      <c r="B349" s="580"/>
      <c r="C349" s="580"/>
      <c r="D349" s="580"/>
      <c r="E349" s="580"/>
      <c r="F349" s="580"/>
      <c r="G349" s="580"/>
      <c r="H349" s="580"/>
      <c r="I349" s="580"/>
      <c r="J349" s="580"/>
      <c r="K349" s="580"/>
      <c r="L349" s="580"/>
    </row>
    <row r="350" spans="1:12" ht="14.25">
      <c r="A350" s="580"/>
      <c r="B350" s="580"/>
      <c r="C350" s="580"/>
      <c r="D350" s="580"/>
      <c r="E350" s="580"/>
      <c r="F350" s="580"/>
      <c r="G350" s="580"/>
      <c r="H350" s="580"/>
      <c r="I350" s="580"/>
      <c r="J350" s="580"/>
      <c r="K350" s="580"/>
      <c r="L350" s="580"/>
    </row>
    <row r="351" spans="1:12" ht="14.25">
      <c r="A351" s="580"/>
      <c r="B351" s="580"/>
      <c r="C351" s="580"/>
      <c r="D351" s="580"/>
      <c r="E351" s="580"/>
      <c r="F351" s="580"/>
      <c r="G351" s="580"/>
      <c r="H351" s="580"/>
      <c r="I351" s="580"/>
      <c r="J351" s="580"/>
      <c r="K351" s="580"/>
      <c r="L351" s="580"/>
    </row>
    <row r="352" spans="1:12" ht="14.25">
      <c r="A352" s="580"/>
      <c r="B352" s="580"/>
      <c r="C352" s="580"/>
      <c r="D352" s="580"/>
      <c r="E352" s="580"/>
      <c r="F352" s="580"/>
      <c r="G352" s="580"/>
      <c r="H352" s="580"/>
      <c r="I352" s="580"/>
      <c r="J352" s="580"/>
      <c r="K352" s="580"/>
      <c r="L352" s="580"/>
    </row>
    <row r="353" spans="1:12" ht="14.25">
      <c r="A353" s="580"/>
      <c r="B353" s="580"/>
      <c r="C353" s="580"/>
      <c r="D353" s="580"/>
      <c r="E353" s="580"/>
      <c r="F353" s="580"/>
      <c r="G353" s="580"/>
      <c r="H353" s="580"/>
      <c r="I353" s="580"/>
      <c r="J353" s="580"/>
      <c r="K353" s="580"/>
      <c r="L353" s="580"/>
    </row>
    <row r="354" spans="1:12" ht="14.25">
      <c r="A354" s="580"/>
      <c r="B354" s="580"/>
      <c r="C354" s="580"/>
      <c r="D354" s="580"/>
      <c r="E354" s="580"/>
      <c r="F354" s="580"/>
      <c r="G354" s="580"/>
      <c r="H354" s="580"/>
      <c r="I354" s="580"/>
      <c r="J354" s="580"/>
      <c r="K354" s="580"/>
      <c r="L354" s="580"/>
    </row>
  </sheetData>
  <sheetProtection sheet="1" objects="1" scenarios="1"/>
  <mergeCells count="55">
    <mergeCell ref="C83:D83"/>
    <mergeCell ref="B85:K85"/>
    <mergeCell ref="C134:D134"/>
    <mergeCell ref="B110:K110"/>
    <mergeCell ref="C120:D120"/>
    <mergeCell ref="C123:D123"/>
    <mergeCell ref="B130:K130"/>
    <mergeCell ref="C133:D133"/>
    <mergeCell ref="H133:I133"/>
    <mergeCell ref="C114:D114"/>
    <mergeCell ref="B6:K6"/>
    <mergeCell ref="B7:K7"/>
    <mergeCell ref="B8:K8"/>
    <mergeCell ref="B10:K10"/>
    <mergeCell ref="B12:K12"/>
    <mergeCell ref="C25:D25"/>
    <mergeCell ref="F23:G23"/>
    <mergeCell ref="B86:K86"/>
    <mergeCell ref="B88:K88"/>
    <mergeCell ref="B30:K30"/>
    <mergeCell ref="B31:K31"/>
    <mergeCell ref="B33:K33"/>
    <mergeCell ref="B35:K35"/>
    <mergeCell ref="C41:D41"/>
    <mergeCell ref="B48:C48"/>
    <mergeCell ref="G50:H50"/>
    <mergeCell ref="I51:K51"/>
    <mergeCell ref="B52:K52"/>
    <mergeCell ref="B53:K53"/>
    <mergeCell ref="B58:K58"/>
    <mergeCell ref="C74:D74"/>
    <mergeCell ref="C77:D77"/>
    <mergeCell ref="C80:D80"/>
    <mergeCell ref="B55:K55"/>
    <mergeCell ref="B57:K57"/>
    <mergeCell ref="B126:K126"/>
    <mergeCell ref="B128:K128"/>
    <mergeCell ref="B90:K90"/>
    <mergeCell ref="C94:D94"/>
    <mergeCell ref="C97:D97"/>
    <mergeCell ref="C100:D100"/>
    <mergeCell ref="B105:K105"/>
    <mergeCell ref="B106:K106"/>
    <mergeCell ref="C117:D117"/>
    <mergeCell ref="B125:K125"/>
    <mergeCell ref="C148:D148"/>
    <mergeCell ref="J148:K148"/>
    <mergeCell ref="C103:D103"/>
    <mergeCell ref="H134:I134"/>
    <mergeCell ref="C136:D136"/>
    <mergeCell ref="C137:D137"/>
    <mergeCell ref="B144:K144"/>
    <mergeCell ref="C147:D147"/>
    <mergeCell ref="J147:K147"/>
    <mergeCell ref="B108:K108"/>
  </mergeCells>
  <printOptions/>
  <pageMargins left="0.7" right="0.7" top="0.75" bottom="0.75" header="0.3" footer="0.3"/>
  <pageSetup horizontalDpi="600" verticalDpi="600" orientation="portrait" r:id="rId1"/>
</worksheet>
</file>

<file path=xl/worksheets/sheet53.xml><?xml version="1.0" encoding="utf-8"?>
<worksheet xmlns="http://schemas.openxmlformats.org/spreadsheetml/2006/main" xmlns:r="http://schemas.openxmlformats.org/officeDocument/2006/relationships">
  <dimension ref="A1:A40"/>
  <sheetViews>
    <sheetView zoomScalePageLayoutView="0" workbookViewId="0" topLeftCell="A1">
      <selection activeCell="A5" sqref="A5"/>
    </sheetView>
  </sheetViews>
  <sheetFormatPr defaultColWidth="8.796875" defaultRowHeight="15"/>
  <cols>
    <col min="1" max="1" width="71.19921875" style="0" customWidth="1"/>
  </cols>
  <sheetData>
    <row r="1" ht="16.5">
      <c r="A1" s="508" t="s">
        <v>687</v>
      </c>
    </row>
    <row r="3" ht="31.5">
      <c r="A3" s="509" t="s">
        <v>688</v>
      </c>
    </row>
    <row r="4" ht="15.75">
      <c r="A4" s="510" t="s">
        <v>689</v>
      </c>
    </row>
    <row r="7" ht="31.5">
      <c r="A7" s="509" t="s">
        <v>690</v>
      </c>
    </row>
    <row r="8" ht="15.75">
      <c r="A8" s="510" t="s">
        <v>691</v>
      </c>
    </row>
    <row r="11" ht="15.75">
      <c r="A11" s="507" t="s">
        <v>692</v>
      </c>
    </row>
    <row r="12" ht="15.75">
      <c r="A12" s="510" t="s">
        <v>693</v>
      </c>
    </row>
    <row r="15" ht="15.75">
      <c r="A15" s="507" t="s">
        <v>694</v>
      </c>
    </row>
    <row r="16" ht="15.75">
      <c r="A16" s="510" t="s">
        <v>695</v>
      </c>
    </row>
    <row r="19" ht="15.75">
      <c r="A19" s="507" t="s">
        <v>696</v>
      </c>
    </row>
    <row r="20" ht="15.75">
      <c r="A20" s="510" t="s">
        <v>697</v>
      </c>
    </row>
    <row r="23" ht="15.75">
      <c r="A23" s="507" t="s">
        <v>698</v>
      </c>
    </row>
    <row r="24" ht="15.75">
      <c r="A24" s="510" t="s">
        <v>699</v>
      </c>
    </row>
    <row r="27" ht="15.75">
      <c r="A27" s="507" t="s">
        <v>700</v>
      </c>
    </row>
    <row r="28" ht="15.75">
      <c r="A28" s="510" t="s">
        <v>701</v>
      </c>
    </row>
    <row r="31" ht="15.75">
      <c r="A31" s="507" t="s">
        <v>702</v>
      </c>
    </row>
    <row r="32" ht="15.75">
      <c r="A32" s="510" t="s">
        <v>703</v>
      </c>
    </row>
    <row r="35" ht="15.75">
      <c r="A35" s="507" t="s">
        <v>704</v>
      </c>
    </row>
    <row r="36" ht="15.75">
      <c r="A36" s="510" t="s">
        <v>705</v>
      </c>
    </row>
    <row r="39" ht="15.75">
      <c r="A39" s="507" t="s">
        <v>706</v>
      </c>
    </row>
    <row r="40" ht="15.75">
      <c r="A40" s="510" t="s">
        <v>707</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54.xml><?xml version="1.0" encoding="utf-8"?>
<worksheet xmlns="http://schemas.openxmlformats.org/spreadsheetml/2006/main" xmlns:r="http://schemas.openxmlformats.org/officeDocument/2006/relationships">
  <dimension ref="A1:A176"/>
  <sheetViews>
    <sheetView zoomScalePageLayoutView="0" workbookViewId="0" topLeftCell="A1">
      <selection activeCell="M62" sqref="M62"/>
    </sheetView>
  </sheetViews>
  <sheetFormatPr defaultColWidth="8.796875" defaultRowHeight="15"/>
  <cols>
    <col min="1" max="1" width="80.09765625" style="50" customWidth="1"/>
    <col min="2" max="16384" width="8.8984375" style="50" customWidth="1"/>
  </cols>
  <sheetData>
    <row r="1" ht="15.75">
      <c r="A1" s="397" t="s">
        <v>911</v>
      </c>
    </row>
    <row r="2" ht="15.75">
      <c r="A2" s="767" t="s">
        <v>912</v>
      </c>
    </row>
    <row r="4" ht="15.75">
      <c r="A4" s="397" t="s">
        <v>894</v>
      </c>
    </row>
    <row r="5" ht="15.75">
      <c r="A5" s="767" t="s">
        <v>893</v>
      </c>
    </row>
    <row r="7" ht="15.75">
      <c r="A7" s="397" t="s">
        <v>895</v>
      </c>
    </row>
    <row r="8" ht="15.75">
      <c r="A8" s="700" t="s">
        <v>872</v>
      </c>
    </row>
    <row r="10" ht="15.75">
      <c r="A10" s="397" t="s">
        <v>896</v>
      </c>
    </row>
    <row r="11" ht="15.75">
      <c r="A11" s="50" t="s">
        <v>870</v>
      </c>
    </row>
    <row r="13" ht="15.75">
      <c r="A13" s="397" t="s">
        <v>897</v>
      </c>
    </row>
    <row r="14" ht="15.75">
      <c r="A14" s="50" t="s">
        <v>869</v>
      </c>
    </row>
    <row r="16" ht="15.75">
      <c r="A16" s="397" t="s">
        <v>898</v>
      </c>
    </row>
    <row r="17" ht="15.75">
      <c r="A17" s="682" t="s">
        <v>867</v>
      </c>
    </row>
    <row r="19" ht="15.75">
      <c r="A19" s="397" t="s">
        <v>899</v>
      </c>
    </row>
    <row r="20" ht="15.75">
      <c r="A20" s="682" t="s">
        <v>832</v>
      </c>
    </row>
    <row r="21" ht="15.75">
      <c r="A21" s="50" t="s">
        <v>833</v>
      </c>
    </row>
    <row r="22" ht="15.75">
      <c r="A22" s="50" t="s">
        <v>834</v>
      </c>
    </row>
    <row r="23" ht="15.75">
      <c r="A23" s="50" t="s">
        <v>835</v>
      </c>
    </row>
    <row r="24" ht="15.75">
      <c r="A24" s="50" t="s">
        <v>836</v>
      </c>
    </row>
    <row r="25" ht="15.75">
      <c r="A25" s="50" t="s">
        <v>837</v>
      </c>
    </row>
    <row r="26" ht="15.75">
      <c r="A26" s="50" t="s">
        <v>838</v>
      </c>
    </row>
    <row r="27" ht="15.75">
      <c r="A27" s="50" t="s">
        <v>839</v>
      </c>
    </row>
    <row r="28" ht="15.75">
      <c r="A28" s="50" t="s">
        <v>840</v>
      </c>
    </row>
    <row r="29" ht="15.75">
      <c r="A29" s="50" t="s">
        <v>841</v>
      </c>
    </row>
    <row r="30" ht="15.75">
      <c r="A30" s="50" t="s">
        <v>842</v>
      </c>
    </row>
    <row r="31" ht="15.75">
      <c r="A31" s="50" t="s">
        <v>843</v>
      </c>
    </row>
    <row r="32" ht="47.25">
      <c r="A32" s="52" t="s">
        <v>844</v>
      </c>
    </row>
    <row r="33" ht="31.5">
      <c r="A33" s="52" t="s">
        <v>845</v>
      </c>
    </row>
    <row r="34" ht="15.75">
      <c r="A34" s="50" t="s">
        <v>846</v>
      </c>
    </row>
    <row r="35" ht="15.75">
      <c r="A35" s="50" t="s">
        <v>847</v>
      </c>
    </row>
    <row r="36" ht="15.75">
      <c r="A36" s="50" t="s">
        <v>848</v>
      </c>
    </row>
    <row r="37" ht="15.75">
      <c r="A37" s="50" t="s">
        <v>849</v>
      </c>
    </row>
    <row r="38" ht="15.75">
      <c r="A38" s="50" t="s">
        <v>850</v>
      </c>
    </row>
    <row r="39" ht="15.75">
      <c r="A39" s="50" t="s">
        <v>851</v>
      </c>
    </row>
    <row r="40" ht="15.75">
      <c r="A40" s="50" t="s">
        <v>852</v>
      </c>
    </row>
    <row r="41" ht="15.75">
      <c r="A41" s="50" t="s">
        <v>853</v>
      </c>
    </row>
    <row r="42" ht="15.75">
      <c r="A42" s="50" t="s">
        <v>854</v>
      </c>
    </row>
    <row r="43" ht="15.75">
      <c r="A43" s="50" t="s">
        <v>855</v>
      </c>
    </row>
    <row r="44" ht="15.75">
      <c r="A44" s="50" t="s">
        <v>856</v>
      </c>
    </row>
    <row r="45" ht="15.75">
      <c r="A45" s="50" t="s">
        <v>857</v>
      </c>
    </row>
    <row r="47" ht="15.75">
      <c r="A47" s="397" t="s">
        <v>900</v>
      </c>
    </row>
    <row r="48" ht="15.75">
      <c r="A48" s="506" t="s">
        <v>779</v>
      </c>
    </row>
    <row r="50" ht="15.75">
      <c r="A50" s="397" t="s">
        <v>901</v>
      </c>
    </row>
    <row r="51" ht="15.75">
      <c r="A51" s="506" t="s">
        <v>665</v>
      </c>
    </row>
    <row r="52" ht="15.75">
      <c r="A52" s="506" t="s">
        <v>666</v>
      </c>
    </row>
    <row r="53" ht="15.75">
      <c r="A53" s="505" t="s">
        <v>667</v>
      </c>
    </row>
    <row r="54" ht="15.75">
      <c r="A54" s="506" t="s">
        <v>668</v>
      </c>
    </row>
    <row r="55" ht="15.75">
      <c r="A55" s="506" t="s">
        <v>669</v>
      </c>
    </row>
    <row r="56" ht="15.75">
      <c r="A56" s="506" t="s">
        <v>670</v>
      </c>
    </row>
    <row r="57" ht="15.75">
      <c r="A57" s="506" t="s">
        <v>671</v>
      </c>
    </row>
    <row r="58" ht="15.75">
      <c r="A58" s="506" t="s">
        <v>672</v>
      </c>
    </row>
    <row r="59" ht="15.75">
      <c r="A59" s="506" t="s">
        <v>673</v>
      </c>
    </row>
    <row r="60" ht="15.75">
      <c r="A60" s="506" t="s">
        <v>674</v>
      </c>
    </row>
    <row r="61" ht="15.75">
      <c r="A61" s="506" t="s">
        <v>675</v>
      </c>
    </row>
    <row r="62" ht="15.75">
      <c r="A62" s="506" t="s">
        <v>676</v>
      </c>
    </row>
    <row r="63" ht="15.75">
      <c r="A63" s="506" t="s">
        <v>677</v>
      </c>
    </row>
    <row r="64" ht="15.75">
      <c r="A64" s="506" t="s">
        <v>678</v>
      </c>
    </row>
    <row r="65" ht="15.75">
      <c r="A65" s="506" t="s">
        <v>679</v>
      </c>
    </row>
    <row r="66" ht="15.75">
      <c r="A66" s="506" t="s">
        <v>680</v>
      </c>
    </row>
    <row r="67" ht="15.75">
      <c r="A67" s="506" t="s">
        <v>681</v>
      </c>
    </row>
    <row r="68" ht="15.75">
      <c r="A68" s="506" t="s">
        <v>682</v>
      </c>
    </row>
    <row r="69" ht="15.75">
      <c r="A69" s="506" t="s">
        <v>683</v>
      </c>
    </row>
    <row r="70" ht="15.75">
      <c r="A70" s="506" t="s">
        <v>684</v>
      </c>
    </row>
    <row r="71" ht="15.75">
      <c r="A71" s="505" t="s">
        <v>685</v>
      </c>
    </row>
    <row r="72" ht="15.75">
      <c r="A72" s="50" t="s">
        <v>686</v>
      </c>
    </row>
    <row r="74" ht="15.75">
      <c r="A74" s="397" t="s">
        <v>902</v>
      </c>
    </row>
    <row r="75" ht="15.75">
      <c r="A75" s="50" t="s">
        <v>644</v>
      </c>
    </row>
    <row r="77" ht="15.75">
      <c r="A77" s="397" t="s">
        <v>903</v>
      </c>
    </row>
    <row r="78" ht="15.75">
      <c r="A78" s="50" t="s">
        <v>639</v>
      </c>
    </row>
    <row r="79" ht="15.75">
      <c r="A79" s="50" t="s">
        <v>640</v>
      </c>
    </row>
    <row r="80" ht="15.75">
      <c r="A80" s="50" t="s">
        <v>641</v>
      </c>
    </row>
    <row r="82" ht="15.75">
      <c r="A82" s="410" t="s">
        <v>904</v>
      </c>
    </row>
    <row r="83" ht="15.75">
      <c r="A83" s="50" t="s">
        <v>638</v>
      </c>
    </row>
    <row r="85" ht="15.75">
      <c r="A85" s="397" t="s">
        <v>905</v>
      </c>
    </row>
    <row r="86" ht="15.75">
      <c r="A86" s="398" t="s">
        <v>400</v>
      </c>
    </row>
    <row r="87" ht="15.75">
      <c r="A87" s="398" t="s">
        <v>401</v>
      </c>
    </row>
    <row r="88" ht="15.75">
      <c r="A88" s="398" t="s">
        <v>402</v>
      </c>
    </row>
    <row r="89" ht="15.75">
      <c r="A89" s="50" t="s">
        <v>403</v>
      </c>
    </row>
    <row r="91" ht="15.75">
      <c r="A91" s="379" t="s">
        <v>906</v>
      </c>
    </row>
    <row r="92" ht="15.75">
      <c r="A92" s="50" t="s">
        <v>335</v>
      </c>
    </row>
    <row r="93" ht="15.75">
      <c r="A93" s="50" t="s">
        <v>336</v>
      </c>
    </row>
    <row r="94" ht="15.75">
      <c r="A94" s="50" t="s">
        <v>337</v>
      </c>
    </row>
    <row r="95" ht="15.75">
      <c r="A95" s="50" t="s">
        <v>369</v>
      </c>
    </row>
    <row r="96" ht="15.75">
      <c r="A96" s="50" t="s">
        <v>368</v>
      </c>
    </row>
    <row r="97" ht="15.75">
      <c r="A97" s="50" t="s">
        <v>370</v>
      </c>
    </row>
    <row r="98" ht="15.75">
      <c r="A98" s="50" t="s">
        <v>372</v>
      </c>
    </row>
    <row r="99" ht="16.5" customHeight="1">
      <c r="A99" s="753" t="s">
        <v>371</v>
      </c>
    </row>
    <row r="100" ht="17.25" customHeight="1">
      <c r="A100" s="52" t="s">
        <v>386</v>
      </c>
    </row>
    <row r="101" ht="18" customHeight="1">
      <c r="A101" s="389" t="s">
        <v>390</v>
      </c>
    </row>
    <row r="103" ht="15.75">
      <c r="A103" s="379" t="s">
        <v>328</v>
      </c>
    </row>
    <row r="104" ht="15.75">
      <c r="A104" s="50" t="s">
        <v>329</v>
      </c>
    </row>
    <row r="105" ht="15.75">
      <c r="A105" s="50" t="s">
        <v>330</v>
      </c>
    </row>
    <row r="107" ht="15.75">
      <c r="A107" s="379" t="s">
        <v>118</v>
      </c>
    </row>
    <row r="108" ht="15.75">
      <c r="A108" s="50" t="s">
        <v>98</v>
      </c>
    </row>
    <row r="109" ht="15.75">
      <c r="A109" s="50" t="s">
        <v>99</v>
      </c>
    </row>
    <row r="110" ht="15.75">
      <c r="A110" s="50" t="s">
        <v>100</v>
      </c>
    </row>
    <row r="111" ht="15.75">
      <c r="A111" s="50" t="s">
        <v>101</v>
      </c>
    </row>
    <row r="112" ht="15.75">
      <c r="A112" s="50" t="s">
        <v>102</v>
      </c>
    </row>
    <row r="113" ht="15.75">
      <c r="A113" s="50" t="s">
        <v>103</v>
      </c>
    </row>
    <row r="114" ht="31.5">
      <c r="A114" s="52" t="s">
        <v>104</v>
      </c>
    </row>
    <row r="115" ht="31.5">
      <c r="A115" s="52" t="s">
        <v>105</v>
      </c>
    </row>
    <row r="116" ht="15.75">
      <c r="A116" s="52" t="s">
        <v>106</v>
      </c>
    </row>
    <row r="117" ht="15.75">
      <c r="A117" s="52" t="s">
        <v>107</v>
      </c>
    </row>
    <row r="118" ht="31.5">
      <c r="A118" s="52" t="s">
        <v>108</v>
      </c>
    </row>
    <row r="119" ht="15.75">
      <c r="A119" s="50" t="s">
        <v>109</v>
      </c>
    </row>
    <row r="120" ht="31.5">
      <c r="A120" s="52" t="s">
        <v>110</v>
      </c>
    </row>
    <row r="121" ht="15.75">
      <c r="A121" s="50" t="s">
        <v>111</v>
      </c>
    </row>
    <row r="122" ht="15.75">
      <c r="A122" s="50" t="s">
        <v>112</v>
      </c>
    </row>
    <row r="123" ht="15.75">
      <c r="A123" s="50" t="s">
        <v>113</v>
      </c>
    </row>
    <row r="124" ht="15.75">
      <c r="A124" s="50" t="s">
        <v>114</v>
      </c>
    </row>
    <row r="125" ht="31.5">
      <c r="A125" s="52" t="s">
        <v>115</v>
      </c>
    </row>
    <row r="126" ht="15.75">
      <c r="A126" s="50" t="s">
        <v>116</v>
      </c>
    </row>
    <row r="129" ht="15.75">
      <c r="A129" s="379" t="s">
        <v>92</v>
      </c>
    </row>
    <row r="130" ht="15.75">
      <c r="A130" s="50" t="s">
        <v>95</v>
      </c>
    </row>
    <row r="131" ht="15.75">
      <c r="A131" s="50" t="s">
        <v>93</v>
      </c>
    </row>
    <row r="132" ht="15.75">
      <c r="A132" s="50" t="s">
        <v>94</v>
      </c>
    </row>
    <row r="133" ht="15.75">
      <c r="A133" s="50" t="s">
        <v>338</v>
      </c>
    </row>
    <row r="135" ht="15.75">
      <c r="A135" s="379" t="s">
        <v>88</v>
      </c>
    </row>
    <row r="136" ht="31.5">
      <c r="A136" s="52" t="s">
        <v>89</v>
      </c>
    </row>
    <row r="137" ht="15.75">
      <c r="A137" s="50" t="s">
        <v>90</v>
      </c>
    </row>
    <row r="138" ht="15.75">
      <c r="A138" s="50" t="s">
        <v>91</v>
      </c>
    </row>
    <row r="141" ht="15.75">
      <c r="A141" s="379" t="s">
        <v>35</v>
      </c>
    </row>
    <row r="142" ht="47.25">
      <c r="A142" s="52" t="s">
        <v>339</v>
      </c>
    </row>
    <row r="143" ht="15.75">
      <c r="A143" s="50" t="s">
        <v>36</v>
      </c>
    </row>
    <row r="144" ht="15.75">
      <c r="A144" s="50" t="s">
        <v>41</v>
      </c>
    </row>
    <row r="145" ht="15.75">
      <c r="A145" s="50" t="s">
        <v>340</v>
      </c>
    </row>
    <row r="146" ht="15.75">
      <c r="A146" s="50" t="s">
        <v>37</v>
      </c>
    </row>
    <row r="147" ht="15.75">
      <c r="A147" s="50" t="s">
        <v>38</v>
      </c>
    </row>
    <row r="148" ht="15.75">
      <c r="A148" s="50" t="s">
        <v>42</v>
      </c>
    </row>
    <row r="149" ht="15.75">
      <c r="A149" s="52" t="s">
        <v>56</v>
      </c>
    </row>
    <row r="150" ht="31.5">
      <c r="A150" s="52" t="s">
        <v>123</v>
      </c>
    </row>
    <row r="151" ht="15.75">
      <c r="A151" s="50" t="s">
        <v>43</v>
      </c>
    </row>
    <row r="152" ht="15.75">
      <c r="A152" s="50" t="s">
        <v>44</v>
      </c>
    </row>
    <row r="153" ht="15.75">
      <c r="A153" s="50" t="s">
        <v>341</v>
      </c>
    </row>
    <row r="154" ht="15.75">
      <c r="A154" s="50" t="s">
        <v>55</v>
      </c>
    </row>
    <row r="155" ht="15.75">
      <c r="A155" s="50" t="s">
        <v>342</v>
      </c>
    </row>
    <row r="156" ht="31.5">
      <c r="A156" s="52" t="s">
        <v>343</v>
      </c>
    </row>
    <row r="157" ht="15.75">
      <c r="A157" s="50" t="s">
        <v>45</v>
      </c>
    </row>
    <row r="158" ht="15.75">
      <c r="A158" s="50" t="s">
        <v>46</v>
      </c>
    </row>
    <row r="159" ht="31.5">
      <c r="A159" s="52" t="s">
        <v>47</v>
      </c>
    </row>
    <row r="160" ht="15.75">
      <c r="A160" s="50" t="s">
        <v>344</v>
      </c>
    </row>
    <row r="161" ht="15.75">
      <c r="A161" s="50" t="s">
        <v>49</v>
      </c>
    </row>
    <row r="162" ht="15.75">
      <c r="A162" s="50" t="s">
        <v>48</v>
      </c>
    </row>
    <row r="163" ht="15.75">
      <c r="A163" s="50" t="s">
        <v>52</v>
      </c>
    </row>
    <row r="164" ht="15.75">
      <c r="A164" s="50" t="s">
        <v>58</v>
      </c>
    </row>
    <row r="165" ht="15.75">
      <c r="A165" s="50" t="s">
        <v>59</v>
      </c>
    </row>
    <row r="166" ht="15.75">
      <c r="A166" s="50" t="s">
        <v>62</v>
      </c>
    </row>
    <row r="167" ht="15.75">
      <c r="A167" s="50" t="s">
        <v>345</v>
      </c>
    </row>
    <row r="168" ht="15.75">
      <c r="A168" s="50" t="s">
        <v>120</v>
      </c>
    </row>
    <row r="169" ht="15.75">
      <c r="A169" s="50" t="s">
        <v>346</v>
      </c>
    </row>
    <row r="170" ht="15.75">
      <c r="A170" s="50" t="s">
        <v>64</v>
      </c>
    </row>
    <row r="171" ht="15.75">
      <c r="A171" s="50" t="s">
        <v>66</v>
      </c>
    </row>
    <row r="172" ht="15.75">
      <c r="A172" s="50" t="s">
        <v>67</v>
      </c>
    </row>
    <row r="173" ht="15.75">
      <c r="A173" s="50" t="s">
        <v>121</v>
      </c>
    </row>
    <row r="174" ht="15.75">
      <c r="A174" s="50" t="s">
        <v>122</v>
      </c>
    </row>
    <row r="175" ht="15.75">
      <c r="A175" s="50" t="s">
        <v>87</v>
      </c>
    </row>
    <row r="176" ht="15.75">
      <c r="A176" s="50" t="s">
        <v>85</v>
      </c>
    </row>
  </sheetData>
  <sheetProtection sheet="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G58"/>
  <sheetViews>
    <sheetView zoomScalePageLayoutView="0" workbookViewId="0" topLeftCell="A1">
      <selection activeCell="R71" sqref="R71"/>
    </sheetView>
  </sheetViews>
  <sheetFormatPr defaultColWidth="8.796875" defaultRowHeight="15"/>
  <cols>
    <col min="1" max="1" width="20.796875" style="50" customWidth="1"/>
    <col min="2" max="2" width="9.796875" style="50" customWidth="1"/>
    <col min="3" max="3" width="5.796875" style="50" customWidth="1"/>
    <col min="4" max="7" width="12.796875" style="50" customWidth="1"/>
    <col min="8" max="16384" width="8.8984375" style="50" customWidth="1"/>
  </cols>
  <sheetData>
    <row r="1" spans="1:7" ht="15.75">
      <c r="A1" s="100"/>
      <c r="B1" s="100"/>
      <c r="C1" s="100"/>
      <c r="D1" s="100"/>
      <c r="E1" s="100"/>
      <c r="F1" s="100"/>
      <c r="G1" s="100"/>
    </row>
    <row r="2" spans="1:7" ht="15.75">
      <c r="A2" s="100"/>
      <c r="B2" s="100"/>
      <c r="C2" s="100"/>
      <c r="D2" s="100"/>
      <c r="E2" s="100"/>
      <c r="F2" s="100"/>
      <c r="G2" s="100"/>
    </row>
    <row r="3" spans="1:7" ht="15.75">
      <c r="A3" s="119" t="str">
        <f>inputPrYr!C2</f>
        <v>Marshall County</v>
      </c>
      <c r="B3" s="100"/>
      <c r="C3" s="100"/>
      <c r="D3" s="100"/>
      <c r="E3" s="100"/>
      <c r="F3" s="100"/>
      <c r="G3" s="100">
        <f>inputPrYr!C4</f>
        <v>2015</v>
      </c>
    </row>
    <row r="4" spans="1:7" ht="15.75">
      <c r="A4" s="781" t="s">
        <v>13</v>
      </c>
      <c r="B4" s="801"/>
      <c r="C4" s="801"/>
      <c r="D4" s="801"/>
      <c r="E4" s="801"/>
      <c r="F4" s="801"/>
      <c r="G4" s="801"/>
    </row>
    <row r="5" spans="1:7" ht="15.75">
      <c r="A5" s="184"/>
      <c r="B5" s="68"/>
      <c r="C5" s="68"/>
      <c r="D5" s="184"/>
      <c r="E5" s="184"/>
      <c r="F5" s="184"/>
      <c r="G5" s="184"/>
    </row>
    <row r="6" spans="1:7" ht="15.75">
      <c r="A6" s="62"/>
      <c r="B6" s="62"/>
      <c r="C6" s="62"/>
      <c r="D6" s="185" t="str">
        <f>CONCATENATE("",G3," Proposed Budget")</f>
        <v>2015 Proposed Budget</v>
      </c>
      <c r="E6" s="186"/>
      <c r="F6" s="186"/>
      <c r="G6" s="187"/>
    </row>
    <row r="7" spans="1:7" ht="21" customHeight="1">
      <c r="A7" s="62"/>
      <c r="B7" s="62"/>
      <c r="C7" s="188" t="s">
        <v>134</v>
      </c>
      <c r="D7" s="456" t="s">
        <v>645</v>
      </c>
      <c r="E7" s="808" t="str">
        <f>CONCATENATE("Amount of ",G3-1,"      Ad Valorem Tax")</f>
        <v>Amount of 2014      Ad Valorem Tax</v>
      </c>
      <c r="F7" s="808" t="s">
        <v>302</v>
      </c>
      <c r="G7" s="188" t="s">
        <v>135</v>
      </c>
    </row>
    <row r="8" spans="1:7" ht="15.75">
      <c r="A8" s="189" t="s">
        <v>12</v>
      </c>
      <c r="B8" s="89"/>
      <c r="C8" s="190" t="s">
        <v>137</v>
      </c>
      <c r="D8" s="457" t="s">
        <v>646</v>
      </c>
      <c r="E8" s="788"/>
      <c r="F8" s="788"/>
      <c r="G8" s="190" t="s">
        <v>139</v>
      </c>
    </row>
    <row r="9" spans="1:7" ht="15.75">
      <c r="A9" s="191" t="s">
        <v>11</v>
      </c>
      <c r="B9" s="192" t="s">
        <v>143</v>
      </c>
      <c r="C9" s="83"/>
      <c r="D9" s="83"/>
      <c r="E9" s="83"/>
      <c r="F9" s="83"/>
      <c r="G9" s="83"/>
    </row>
    <row r="10" spans="1:7" ht="15.75">
      <c r="A10" s="193"/>
      <c r="B10" s="122"/>
      <c r="C10" s="122"/>
      <c r="D10" s="122"/>
      <c r="E10" s="122"/>
      <c r="F10" s="122"/>
      <c r="G10" s="167" t="str">
        <f>IF(AND(D10=0,F10&gt;=0)," ",IF(AND(E10&gt;0,F10=0)," ",IF(AND(E10&gt;0,F10&gt;0),ROUND(E10/F10*1000,3))))</f>
        <v> </v>
      </c>
    </row>
    <row r="11" spans="1:7" ht="15.75">
      <c r="A11" s="122"/>
      <c r="B11" s="122"/>
      <c r="C11" s="122"/>
      <c r="D11" s="122"/>
      <c r="E11" s="122"/>
      <c r="F11" s="122"/>
      <c r="G11" s="167" t="str">
        <f aca="true" t="shared" si="0" ref="G11:G38">IF(AND(D11=0,F11&gt;=0)," ",IF(AND(E11&gt;0,F11=0)," ",IF(AND(E11&gt;0,F11&gt;0),ROUND(E11/F11*1000,3))))</f>
        <v> </v>
      </c>
    </row>
    <row r="12" spans="1:7" ht="15.75">
      <c r="A12" s="122"/>
      <c r="B12" s="122"/>
      <c r="C12" s="122"/>
      <c r="D12" s="122"/>
      <c r="E12" s="122"/>
      <c r="F12" s="122"/>
      <c r="G12" s="167" t="str">
        <f t="shared" si="0"/>
        <v> </v>
      </c>
    </row>
    <row r="13" spans="1:7" ht="15.75">
      <c r="A13" s="122"/>
      <c r="B13" s="122"/>
      <c r="C13" s="122"/>
      <c r="D13" s="122"/>
      <c r="E13" s="122"/>
      <c r="F13" s="122"/>
      <c r="G13" s="167" t="str">
        <f t="shared" si="0"/>
        <v> </v>
      </c>
    </row>
    <row r="14" spans="1:7" ht="15.75">
      <c r="A14" s="122"/>
      <c r="B14" s="122"/>
      <c r="C14" s="122"/>
      <c r="D14" s="122"/>
      <c r="E14" s="122"/>
      <c r="F14" s="122"/>
      <c r="G14" s="167" t="str">
        <f t="shared" si="0"/>
        <v> </v>
      </c>
    </row>
    <row r="15" spans="1:7" ht="15.75">
      <c r="A15" s="122"/>
      <c r="B15" s="122"/>
      <c r="C15" s="122"/>
      <c r="D15" s="122"/>
      <c r="E15" s="122"/>
      <c r="F15" s="122"/>
      <c r="G15" s="167" t="str">
        <f t="shared" si="0"/>
        <v> </v>
      </c>
    </row>
    <row r="16" spans="1:7" ht="15.75">
      <c r="A16" s="122"/>
      <c r="B16" s="122"/>
      <c r="C16" s="122"/>
      <c r="D16" s="122"/>
      <c r="E16" s="122"/>
      <c r="F16" s="122"/>
      <c r="G16" s="167" t="str">
        <f t="shared" si="0"/>
        <v> </v>
      </c>
    </row>
    <row r="17" spans="1:7" ht="15.75">
      <c r="A17" s="122"/>
      <c r="B17" s="122"/>
      <c r="C17" s="122"/>
      <c r="D17" s="122"/>
      <c r="E17" s="122"/>
      <c r="F17" s="122"/>
      <c r="G17" s="167" t="str">
        <f t="shared" si="0"/>
        <v> </v>
      </c>
    </row>
    <row r="18" spans="1:7" ht="15.75">
      <c r="A18" s="122"/>
      <c r="B18" s="122"/>
      <c r="C18" s="122"/>
      <c r="D18" s="122"/>
      <c r="E18" s="122"/>
      <c r="F18" s="122"/>
      <c r="G18" s="167" t="str">
        <f t="shared" si="0"/>
        <v> </v>
      </c>
    </row>
    <row r="19" spans="1:7" ht="15.75">
      <c r="A19" s="122"/>
      <c r="B19" s="122"/>
      <c r="C19" s="122"/>
      <c r="D19" s="122"/>
      <c r="E19" s="122"/>
      <c r="F19" s="122"/>
      <c r="G19" s="167" t="str">
        <f t="shared" si="0"/>
        <v> </v>
      </c>
    </row>
    <row r="20" spans="1:7" ht="15.75">
      <c r="A20" s="122"/>
      <c r="B20" s="122"/>
      <c r="C20" s="122"/>
      <c r="D20" s="122"/>
      <c r="E20" s="122"/>
      <c r="F20" s="122"/>
      <c r="G20" s="167" t="str">
        <f t="shared" si="0"/>
        <v> </v>
      </c>
    </row>
    <row r="21" spans="1:7" ht="15.75">
      <c r="A21" s="122"/>
      <c r="B21" s="122"/>
      <c r="C21" s="122"/>
      <c r="D21" s="122"/>
      <c r="E21" s="122"/>
      <c r="F21" s="122"/>
      <c r="G21" s="167" t="str">
        <f t="shared" si="0"/>
        <v> </v>
      </c>
    </row>
    <row r="22" spans="1:7" ht="15.75">
      <c r="A22" s="122"/>
      <c r="B22" s="122"/>
      <c r="C22" s="122"/>
      <c r="D22" s="122"/>
      <c r="E22" s="122"/>
      <c r="F22" s="122"/>
      <c r="G22" s="167" t="str">
        <f t="shared" si="0"/>
        <v> </v>
      </c>
    </row>
    <row r="23" spans="1:7" ht="15.75">
      <c r="A23" s="122"/>
      <c r="B23" s="122"/>
      <c r="C23" s="122"/>
      <c r="D23" s="122"/>
      <c r="E23" s="122"/>
      <c r="F23" s="122"/>
      <c r="G23" s="167" t="str">
        <f t="shared" si="0"/>
        <v> </v>
      </c>
    </row>
    <row r="24" spans="1:7" ht="15.75">
      <c r="A24" s="122"/>
      <c r="B24" s="122"/>
      <c r="C24" s="122"/>
      <c r="D24" s="122"/>
      <c r="E24" s="122"/>
      <c r="F24" s="122"/>
      <c r="G24" s="167" t="str">
        <f t="shared" si="0"/>
        <v> </v>
      </c>
    </row>
    <row r="25" spans="1:7" ht="15.75">
      <c r="A25" s="122"/>
      <c r="B25" s="122"/>
      <c r="C25" s="122"/>
      <c r="D25" s="122"/>
      <c r="E25" s="122"/>
      <c r="F25" s="122"/>
      <c r="G25" s="167" t="str">
        <f t="shared" si="0"/>
        <v> </v>
      </c>
    </row>
    <row r="26" spans="1:7" ht="15.75">
      <c r="A26" s="122"/>
      <c r="B26" s="122"/>
      <c r="C26" s="122"/>
      <c r="D26" s="122"/>
      <c r="E26" s="122"/>
      <c r="F26" s="122"/>
      <c r="G26" s="167" t="str">
        <f t="shared" si="0"/>
        <v> </v>
      </c>
    </row>
    <row r="27" spans="1:7" ht="15.75">
      <c r="A27" s="122"/>
      <c r="B27" s="122"/>
      <c r="C27" s="122"/>
      <c r="D27" s="122"/>
      <c r="E27" s="122"/>
      <c r="F27" s="122"/>
      <c r="G27" s="167" t="str">
        <f t="shared" si="0"/>
        <v> </v>
      </c>
    </row>
    <row r="28" spans="1:7" ht="15.75">
      <c r="A28" s="122"/>
      <c r="B28" s="122"/>
      <c r="C28" s="122"/>
      <c r="D28" s="122"/>
      <c r="E28" s="122"/>
      <c r="F28" s="122"/>
      <c r="G28" s="167" t="str">
        <f t="shared" si="0"/>
        <v> </v>
      </c>
    </row>
    <row r="29" spans="1:7" ht="15.75">
      <c r="A29" s="122"/>
      <c r="B29" s="86"/>
      <c r="C29" s="122"/>
      <c r="D29" s="122"/>
      <c r="E29" s="86"/>
      <c r="F29" s="86"/>
      <c r="G29" s="167" t="str">
        <f t="shared" si="0"/>
        <v> </v>
      </c>
    </row>
    <row r="30" spans="1:7" ht="15.75">
      <c r="A30" s="122"/>
      <c r="B30" s="86"/>
      <c r="C30" s="122"/>
      <c r="D30" s="122"/>
      <c r="E30" s="86"/>
      <c r="F30" s="86"/>
      <c r="G30" s="167" t="str">
        <f t="shared" si="0"/>
        <v> </v>
      </c>
    </row>
    <row r="31" spans="1:7" ht="15.75">
      <c r="A31" s="122"/>
      <c r="B31" s="86"/>
      <c r="C31" s="122"/>
      <c r="D31" s="122"/>
      <c r="E31" s="86"/>
      <c r="F31" s="86"/>
      <c r="G31" s="167" t="str">
        <f t="shared" si="0"/>
        <v> </v>
      </c>
    </row>
    <row r="32" spans="1:7" ht="15.75">
      <c r="A32" s="122"/>
      <c r="B32" s="86"/>
      <c r="C32" s="122"/>
      <c r="D32" s="122"/>
      <c r="E32" s="86"/>
      <c r="F32" s="86"/>
      <c r="G32" s="167" t="str">
        <f t="shared" si="0"/>
        <v> </v>
      </c>
    </row>
    <row r="33" spans="1:7" ht="15.75">
      <c r="A33" s="122"/>
      <c r="B33" s="86"/>
      <c r="C33" s="122"/>
      <c r="D33" s="122"/>
      <c r="E33" s="86"/>
      <c r="F33" s="86"/>
      <c r="G33" s="167" t="str">
        <f t="shared" si="0"/>
        <v> </v>
      </c>
    </row>
    <row r="34" spans="1:7" ht="15.75">
      <c r="A34" s="122"/>
      <c r="B34" s="86"/>
      <c r="C34" s="122"/>
      <c r="D34" s="122"/>
      <c r="E34" s="86"/>
      <c r="F34" s="86"/>
      <c r="G34" s="167" t="str">
        <f t="shared" si="0"/>
        <v> </v>
      </c>
    </row>
    <row r="35" spans="1:7" ht="15.75">
      <c r="A35" s="122"/>
      <c r="B35" s="86"/>
      <c r="C35" s="122"/>
      <c r="D35" s="122"/>
      <c r="E35" s="86"/>
      <c r="F35" s="86"/>
      <c r="G35" s="167" t="str">
        <f t="shared" si="0"/>
        <v> </v>
      </c>
    </row>
    <row r="36" spans="1:7" ht="15.75">
      <c r="A36" s="122"/>
      <c r="B36" s="86"/>
      <c r="C36" s="122"/>
      <c r="D36" s="122"/>
      <c r="E36" s="86"/>
      <c r="F36" s="86"/>
      <c r="G36" s="167" t="str">
        <f t="shared" si="0"/>
        <v> </v>
      </c>
    </row>
    <row r="37" spans="1:7" ht="15.75">
      <c r="A37" s="122"/>
      <c r="B37" s="86"/>
      <c r="C37" s="122"/>
      <c r="D37" s="122"/>
      <c r="E37" s="86"/>
      <c r="F37" s="86"/>
      <c r="G37" s="167" t="str">
        <f t="shared" si="0"/>
        <v> </v>
      </c>
    </row>
    <row r="38" spans="1:7" ht="15.75">
      <c r="A38" s="122"/>
      <c r="B38" s="86"/>
      <c r="C38" s="122"/>
      <c r="D38" s="122"/>
      <c r="E38" s="86"/>
      <c r="F38" s="86"/>
      <c r="G38" s="167" t="str">
        <f t="shared" si="0"/>
        <v> </v>
      </c>
    </row>
    <row r="39" spans="1:7" ht="16.5" thickBot="1">
      <c r="A39" s="123" t="s">
        <v>144</v>
      </c>
      <c r="B39" s="90"/>
      <c r="C39" s="194" t="s">
        <v>145</v>
      </c>
      <c r="D39" s="195">
        <f>SUM(D10:D38)</f>
        <v>0</v>
      </c>
      <c r="E39" s="195">
        <f>SUM(E10:E38)</f>
        <v>0</v>
      </c>
      <c r="F39" s="195"/>
      <c r="G39" s="196">
        <f>SUM(G10:G38)</f>
        <v>0</v>
      </c>
    </row>
    <row r="40" spans="1:7" ht="16.5" thickTop="1">
      <c r="A40" s="96"/>
      <c r="B40" s="63"/>
      <c r="C40" s="197"/>
      <c r="D40" s="62"/>
      <c r="E40" s="62"/>
      <c r="F40" s="62"/>
      <c r="G40" s="62"/>
    </row>
    <row r="41" spans="1:7" ht="15.75">
      <c r="A41" s="96"/>
      <c r="B41" s="62"/>
      <c r="C41" s="62"/>
      <c r="D41" s="62"/>
      <c r="E41" s="62"/>
      <c r="F41" s="62"/>
      <c r="G41" s="62"/>
    </row>
    <row r="42" spans="1:7" ht="15.75">
      <c r="A42" s="198"/>
      <c r="B42" s="118"/>
      <c r="C42" s="118"/>
      <c r="D42" s="118"/>
      <c r="E42" s="118"/>
      <c r="F42" s="118"/>
      <c r="G42" s="118"/>
    </row>
    <row r="43" spans="1:7" ht="15.75">
      <c r="A43" s="199"/>
      <c r="B43" s="199"/>
      <c r="C43" s="199"/>
      <c r="D43" s="199"/>
      <c r="E43" s="199"/>
      <c r="F43" s="199"/>
      <c r="G43" s="199"/>
    </row>
    <row r="44" spans="1:7" ht="15.75">
      <c r="A44" s="118"/>
      <c r="B44" s="118"/>
      <c r="C44" s="118"/>
      <c r="D44" s="118"/>
      <c r="E44" s="118"/>
      <c r="F44" s="118"/>
      <c r="G44" s="200"/>
    </row>
    <row r="54" spans="1:7" ht="15.75">
      <c r="A54" s="118"/>
      <c r="B54" s="118"/>
      <c r="C54" s="118"/>
      <c r="D54" s="118"/>
      <c r="E54" s="118"/>
      <c r="F54" s="118"/>
      <c r="G54" s="118"/>
    </row>
    <row r="58" spans="1:7" ht="15.75">
      <c r="A58" s="118"/>
      <c r="B58" s="118"/>
      <c r="C58" s="118"/>
      <c r="D58" s="198"/>
      <c r="E58" s="118"/>
      <c r="F58" s="118"/>
      <c r="G58" s="118"/>
    </row>
  </sheetData>
  <sheetProtection sheet="1"/>
  <mergeCells count="3">
    <mergeCell ref="E7:E8"/>
    <mergeCell ref="F7:F8"/>
    <mergeCell ref="A4:G4"/>
  </mergeCells>
  <printOptions/>
  <pageMargins left="0.5" right="0.5" top="0" bottom="0.23" header="0" footer="0"/>
  <pageSetup blackAndWhite="1" fitToHeight="1" fitToWidth="1" horizontalDpi="120" verticalDpi="120" orientation="portrait" scale="91" r:id="rId1"/>
  <headerFooter alignWithMargins="0">
    <oddHeader>&amp;RState of Kansas
County
</oddHeader>
    <oddFooter>&amp;CPage No. 1a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4">
      <selection activeCell="X67" sqref="X67"/>
    </sheetView>
  </sheetViews>
  <sheetFormatPr defaultColWidth="8.796875" defaultRowHeight="15.75" customHeight="1"/>
  <cols>
    <col min="1" max="2" width="3.296875" style="50" customWidth="1"/>
    <col min="3" max="3" width="31.296875" style="50" customWidth="1"/>
    <col min="4" max="4" width="2.296875" style="50" customWidth="1"/>
    <col min="5" max="5" width="15.796875" style="50" customWidth="1"/>
    <col min="6" max="6" width="2" style="50" customWidth="1"/>
    <col min="7" max="7" width="15.796875" style="50" customWidth="1"/>
    <col min="8" max="8" width="1.8984375" style="50" customWidth="1"/>
    <col min="9" max="9" width="1.796875" style="50" customWidth="1"/>
    <col min="10" max="10" width="15.796875" style="50" customWidth="1"/>
    <col min="11" max="16384" width="8.8984375" style="50" customWidth="1"/>
  </cols>
  <sheetData>
    <row r="1" spans="1:10" ht="15.75" customHeight="1">
      <c r="A1" s="62"/>
      <c r="B1" s="62"/>
      <c r="C1" s="201" t="str">
        <f>inputPrYr!C2</f>
        <v>Marshall County</v>
      </c>
      <c r="D1" s="62"/>
      <c r="E1" s="62"/>
      <c r="F1" s="62"/>
      <c r="G1" s="62"/>
      <c r="H1" s="62"/>
      <c r="I1" s="62"/>
      <c r="J1" s="62">
        <f>inputPrYr!C4</f>
        <v>2015</v>
      </c>
    </row>
    <row r="2" spans="1:10" ht="15.75" customHeight="1">
      <c r="A2" s="62"/>
      <c r="B2" s="62"/>
      <c r="C2" s="62"/>
      <c r="D2" s="62"/>
      <c r="E2" s="62"/>
      <c r="F2" s="62"/>
      <c r="G2" s="62"/>
      <c r="H2" s="62"/>
      <c r="I2" s="62"/>
      <c r="J2" s="62"/>
    </row>
    <row r="3" spans="1:10" ht="15.75">
      <c r="A3" s="781" t="str">
        <f>CONCATENATE("Computation to Determine Limit for ",J1,"")</f>
        <v>Computation to Determine Limit for 2015</v>
      </c>
      <c r="B3" s="809"/>
      <c r="C3" s="809"/>
      <c r="D3" s="809"/>
      <c r="E3" s="809"/>
      <c r="F3" s="809"/>
      <c r="G3" s="809"/>
      <c r="H3" s="809"/>
      <c r="I3" s="809"/>
      <c r="J3" s="809"/>
    </row>
    <row r="4" spans="1:10" ht="15.75">
      <c r="A4" s="62"/>
      <c r="B4" s="62"/>
      <c r="C4" s="62"/>
      <c r="D4" s="62"/>
      <c r="E4" s="809"/>
      <c r="F4" s="809"/>
      <c r="G4" s="809"/>
      <c r="H4" s="202"/>
      <c r="I4" s="62"/>
      <c r="J4" s="203" t="s">
        <v>245</v>
      </c>
    </row>
    <row r="5" spans="1:10" ht="15.75">
      <c r="A5" s="204" t="s">
        <v>246</v>
      </c>
      <c r="B5" s="62" t="str">
        <f>CONCATENATE("Total tax levy amount in ",J1-1," budget")</f>
        <v>Total tax levy amount in 2014 budget</v>
      </c>
      <c r="C5" s="62"/>
      <c r="D5" s="62"/>
      <c r="E5" s="120"/>
      <c r="F5" s="120"/>
      <c r="G5" s="120"/>
      <c r="H5" s="205" t="s">
        <v>247</v>
      </c>
      <c r="I5" s="120" t="s">
        <v>248</v>
      </c>
      <c r="J5" s="206">
        <f>inputPrYr!E41</f>
        <v>6378528</v>
      </c>
    </row>
    <row r="6" spans="1:10" ht="15.75">
      <c r="A6" s="204" t="s">
        <v>249</v>
      </c>
      <c r="B6" s="62" t="str">
        <f>CONCATENATE("Debt service levy in ",J1-1," budget")</f>
        <v>Debt service levy in 2014 budget</v>
      </c>
      <c r="C6" s="62"/>
      <c r="D6" s="62"/>
      <c r="E6" s="120"/>
      <c r="F6" s="120"/>
      <c r="G6" s="120"/>
      <c r="H6" s="205" t="s">
        <v>250</v>
      </c>
      <c r="I6" s="120" t="s">
        <v>248</v>
      </c>
      <c r="J6" s="126">
        <f>inputPrYr!E17</f>
        <v>3557</v>
      </c>
    </row>
    <row r="7" spans="1:10" ht="15.75">
      <c r="A7" s="204" t="s">
        <v>251</v>
      </c>
      <c r="B7" s="62" t="s">
        <v>880</v>
      </c>
      <c r="C7" s="62"/>
      <c r="D7" s="62"/>
      <c r="E7" s="120"/>
      <c r="F7" s="120"/>
      <c r="G7" s="120"/>
      <c r="H7" s="120"/>
      <c r="I7" s="120" t="s">
        <v>248</v>
      </c>
      <c r="J7" s="126">
        <f>J5-J6</f>
        <v>6374971</v>
      </c>
    </row>
    <row r="8" spans="1:10" ht="15.75">
      <c r="A8" s="62"/>
      <c r="B8" s="62"/>
      <c r="C8" s="62"/>
      <c r="D8" s="62"/>
      <c r="E8" s="120"/>
      <c r="F8" s="120"/>
      <c r="G8" s="120"/>
      <c r="H8" s="120"/>
      <c r="I8" s="120"/>
      <c r="J8" s="120"/>
    </row>
    <row r="9" spans="1:10" ht="15.75">
      <c r="A9" s="809" t="str">
        <f>CONCATENATE("",J1-1," Valuation Information for Valuation Adjustments")</f>
        <v>2014 Valuation Information for Valuation Adjustments</v>
      </c>
      <c r="B9" s="801"/>
      <c r="C9" s="801"/>
      <c r="D9" s="801"/>
      <c r="E9" s="801"/>
      <c r="F9" s="801"/>
      <c r="G9" s="801"/>
      <c r="H9" s="801"/>
      <c r="I9" s="801"/>
      <c r="J9" s="801"/>
    </row>
    <row r="10" spans="1:10" ht="15.75">
      <c r="A10" s="62"/>
      <c r="B10" s="62"/>
      <c r="C10" s="62"/>
      <c r="D10" s="62"/>
      <c r="E10" s="120"/>
      <c r="F10" s="120"/>
      <c r="G10" s="120"/>
      <c r="H10" s="120"/>
      <c r="I10" s="120"/>
      <c r="J10" s="120"/>
    </row>
    <row r="11" spans="1:10" ht="15.75">
      <c r="A11" s="204" t="s">
        <v>252</v>
      </c>
      <c r="B11" s="62" t="str">
        <f>CONCATENATE("New improvements for ",J1-1,":")</f>
        <v>New improvements for 2014:</v>
      </c>
      <c r="C11" s="62"/>
      <c r="D11" s="62"/>
      <c r="E11" s="205"/>
      <c r="F11" s="205" t="s">
        <v>247</v>
      </c>
      <c r="G11" s="206">
        <f>inputOth!E7</f>
        <v>1252937</v>
      </c>
      <c r="H11" s="98"/>
      <c r="I11" s="120"/>
      <c r="J11" s="120"/>
    </row>
    <row r="12" spans="1:10" ht="15.75">
      <c r="A12" s="204"/>
      <c r="B12" s="204"/>
      <c r="C12" s="62"/>
      <c r="D12" s="62"/>
      <c r="E12" s="205"/>
      <c r="F12" s="205"/>
      <c r="G12" s="98"/>
      <c r="H12" s="98"/>
      <c r="I12" s="120"/>
      <c r="J12" s="120"/>
    </row>
    <row r="13" spans="1:10" ht="15.75">
      <c r="A13" s="204" t="s">
        <v>253</v>
      </c>
      <c r="B13" s="62" t="str">
        <f>CONCATENATE("Increase in personal property for ",J1-1,":")</f>
        <v>Increase in personal property for 2014:</v>
      </c>
      <c r="C13" s="62"/>
      <c r="D13" s="62"/>
      <c r="E13" s="205"/>
      <c r="F13" s="205"/>
      <c r="G13" s="98"/>
      <c r="H13" s="98"/>
      <c r="I13" s="120"/>
      <c r="J13" s="120"/>
    </row>
    <row r="14" spans="1:10" ht="15.75">
      <c r="A14" s="62"/>
      <c r="B14" s="62" t="s">
        <v>254</v>
      </c>
      <c r="C14" s="62" t="str">
        <f>CONCATENATE("Personal property ",J1-1,"")</f>
        <v>Personal property 2014</v>
      </c>
      <c r="D14" s="204" t="s">
        <v>247</v>
      </c>
      <c r="E14" s="206">
        <f>inputOth!E8</f>
        <v>4763198</v>
      </c>
      <c r="F14" s="205"/>
      <c r="G14" s="120"/>
      <c r="H14" s="120"/>
      <c r="I14" s="98"/>
      <c r="J14" s="120"/>
    </row>
    <row r="15" spans="1:10" ht="15.75">
      <c r="A15" s="204"/>
      <c r="B15" s="62" t="s">
        <v>255</v>
      </c>
      <c r="C15" s="62" t="str">
        <f>CONCATENATE("Personal property ",J1-2,"")</f>
        <v>Personal property 2013</v>
      </c>
      <c r="D15" s="204" t="s">
        <v>250</v>
      </c>
      <c r="E15" s="126">
        <f>inputOth!E10</f>
        <v>5959151</v>
      </c>
      <c r="F15" s="205"/>
      <c r="G15" s="98"/>
      <c r="H15" s="98"/>
      <c r="I15" s="120"/>
      <c r="J15" s="120"/>
    </row>
    <row r="16" spans="1:10" ht="15.75">
      <c r="A16" s="204"/>
      <c r="B16" s="62" t="s">
        <v>256</v>
      </c>
      <c r="C16" s="62" t="s">
        <v>881</v>
      </c>
      <c r="D16" s="62"/>
      <c r="E16" s="120"/>
      <c r="F16" s="120" t="s">
        <v>247</v>
      </c>
      <c r="G16" s="206">
        <f>IF(E14&gt;E15,E14-E15,0)</f>
        <v>0</v>
      </c>
      <c r="H16" s="98"/>
      <c r="I16" s="120"/>
      <c r="J16" s="120"/>
    </row>
    <row r="17" spans="1:10" ht="15.75">
      <c r="A17" s="204"/>
      <c r="B17" s="204"/>
      <c r="C17" s="62"/>
      <c r="D17" s="62"/>
      <c r="E17" s="120"/>
      <c r="F17" s="120"/>
      <c r="G17" s="98" t="s">
        <v>262</v>
      </c>
      <c r="H17" s="98"/>
      <c r="I17" s="120"/>
      <c r="J17" s="120"/>
    </row>
    <row r="18" spans="1:10" ht="15.75">
      <c r="A18" s="204"/>
      <c r="B18" s="204"/>
      <c r="C18" s="62"/>
      <c r="D18" s="204"/>
      <c r="E18" s="98"/>
      <c r="F18" s="120"/>
      <c r="G18" s="98"/>
      <c r="H18" s="98"/>
      <c r="I18" s="120"/>
      <c r="J18" s="120"/>
    </row>
    <row r="19" spans="1:10" ht="15.75">
      <c r="A19" s="204" t="s">
        <v>257</v>
      </c>
      <c r="B19" s="62" t="str">
        <f>CONCATENATE("Valuation of property that has changed in use during ",J1-1,":")</f>
        <v>Valuation of property that has changed in use during 2014:</v>
      </c>
      <c r="C19" s="62"/>
      <c r="D19" s="62"/>
      <c r="E19" s="120"/>
      <c r="F19" s="120"/>
      <c r="G19" s="120">
        <f>inputOth!E9</f>
        <v>659096</v>
      </c>
      <c r="H19" s="120"/>
      <c r="I19" s="120"/>
      <c r="J19" s="120"/>
    </row>
    <row r="20" spans="1:10" ht="15.75">
      <c r="A20" s="204"/>
      <c r="B20" s="62"/>
      <c r="C20" s="62"/>
      <c r="D20" s="204"/>
      <c r="E20" s="98"/>
      <c r="F20" s="120"/>
      <c r="G20" s="707"/>
      <c r="H20" s="98"/>
      <c r="I20" s="120"/>
      <c r="J20" s="120"/>
    </row>
    <row r="21" spans="1:10" ht="15.75">
      <c r="A21" s="204" t="s">
        <v>266</v>
      </c>
      <c r="B21" s="62" t="s">
        <v>882</v>
      </c>
      <c r="C21" s="62"/>
      <c r="D21" s="62"/>
      <c r="E21" s="120"/>
      <c r="F21" s="120"/>
      <c r="G21" s="206">
        <f>G11+G16+G19</f>
        <v>1912033</v>
      </c>
      <c r="H21" s="98"/>
      <c r="I21" s="120"/>
      <c r="J21" s="120"/>
    </row>
    <row r="22" spans="1:10" ht="15.75">
      <c r="A22" s="204"/>
      <c r="B22" s="204"/>
      <c r="C22" s="62"/>
      <c r="D22" s="62"/>
      <c r="E22" s="120"/>
      <c r="F22" s="120"/>
      <c r="G22" s="98"/>
      <c r="H22" s="98"/>
      <c r="I22" s="120"/>
      <c r="J22" s="120"/>
    </row>
    <row r="23" spans="1:10" ht="15.75">
      <c r="A23" s="204" t="s">
        <v>267</v>
      </c>
      <c r="B23" s="62" t="str">
        <f>CONCATENATE("Total estimated valuation July 1,",J1-1,"")</f>
        <v>Total estimated valuation July 1,2014</v>
      </c>
      <c r="C23" s="62"/>
      <c r="D23" s="62"/>
      <c r="E23" s="206">
        <f>inputOth!E6</f>
        <v>130046357</v>
      </c>
      <c r="F23" s="120"/>
      <c r="G23" s="120"/>
      <c r="H23" s="120"/>
      <c r="I23" s="205"/>
      <c r="J23" s="120"/>
    </row>
    <row r="24" spans="1:10" ht="15.75">
      <c r="A24" s="204"/>
      <c r="B24" s="204"/>
      <c r="C24" s="62"/>
      <c r="D24" s="62"/>
      <c r="E24" s="98"/>
      <c r="F24" s="120"/>
      <c r="G24" s="120"/>
      <c r="H24" s="120"/>
      <c r="I24" s="205"/>
      <c r="J24" s="120"/>
    </row>
    <row r="25" spans="1:10" ht="15.75">
      <c r="A25" s="204" t="s">
        <v>258</v>
      </c>
      <c r="B25" s="62" t="s">
        <v>883</v>
      </c>
      <c r="C25" s="62"/>
      <c r="D25" s="62"/>
      <c r="E25" s="120"/>
      <c r="F25" s="120"/>
      <c r="G25" s="206">
        <f>E23-G21</f>
        <v>128134324</v>
      </c>
      <c r="H25" s="98"/>
      <c r="I25" s="205"/>
      <c r="J25" s="120"/>
    </row>
    <row r="26" spans="1:10" ht="15.75">
      <c r="A26" s="204"/>
      <c r="B26" s="204"/>
      <c r="C26" s="62"/>
      <c r="D26" s="62"/>
      <c r="E26" s="62"/>
      <c r="F26" s="62"/>
      <c r="G26" s="710"/>
      <c r="H26" s="614"/>
      <c r="I26" s="204"/>
      <c r="J26" s="62"/>
    </row>
    <row r="27" spans="1:10" ht="15.75">
      <c r="A27" s="204" t="s">
        <v>259</v>
      </c>
      <c r="B27" s="62" t="s">
        <v>884</v>
      </c>
      <c r="C27" s="62"/>
      <c r="D27" s="62"/>
      <c r="E27" s="62"/>
      <c r="F27" s="62"/>
      <c r="G27" s="708">
        <f>IF(G21&gt;0,G21/G25,0)</f>
        <v>0.014922098469103407</v>
      </c>
      <c r="H27" s="614"/>
      <c r="I27" s="62"/>
      <c r="J27" s="62"/>
    </row>
    <row r="28" spans="1:10" ht="15.75">
      <c r="A28" s="204"/>
      <c r="B28" s="204"/>
      <c r="C28" s="62"/>
      <c r="D28" s="62"/>
      <c r="E28" s="62"/>
      <c r="F28" s="62"/>
      <c r="G28" s="614"/>
      <c r="H28" s="614"/>
      <c r="I28" s="62"/>
      <c r="J28" s="62"/>
    </row>
    <row r="29" spans="1:10" ht="15.75">
      <c r="A29" s="204" t="s">
        <v>260</v>
      </c>
      <c r="B29" s="62" t="s">
        <v>885</v>
      </c>
      <c r="C29" s="62"/>
      <c r="D29" s="62"/>
      <c r="E29" s="62"/>
      <c r="F29" s="62"/>
      <c r="G29" s="614"/>
      <c r="H29" s="207" t="s">
        <v>247</v>
      </c>
      <c r="I29" s="62" t="s">
        <v>248</v>
      </c>
      <c r="J29" s="206">
        <f>ROUND(G27*J7,0)</f>
        <v>95128</v>
      </c>
    </row>
    <row r="30" spans="1:10" ht="15.75">
      <c r="A30" s="204"/>
      <c r="B30" s="204"/>
      <c r="C30" s="62"/>
      <c r="D30" s="62"/>
      <c r="E30" s="62"/>
      <c r="F30" s="62"/>
      <c r="G30" s="614"/>
      <c r="H30" s="207"/>
      <c r="I30" s="62"/>
      <c r="J30" s="98"/>
    </row>
    <row r="31" spans="1:10" ht="16.5" thickBot="1">
      <c r="A31" s="204" t="s">
        <v>261</v>
      </c>
      <c r="B31" s="62" t="str">
        <f>CONCATENATE(J1," budget tax levy, excluding debt service, prior to CPI adjustment (3 plus 11)")</f>
        <v>2015 budget tax levy, excluding debt service, prior to CPI adjustment (3 plus 11)</v>
      </c>
      <c r="C31" s="62"/>
      <c r="D31" s="62"/>
      <c r="E31" s="62"/>
      <c r="F31" s="62"/>
      <c r="G31" s="62"/>
      <c r="H31" s="62"/>
      <c r="I31" s="62" t="s">
        <v>248</v>
      </c>
      <c r="J31" s="709">
        <f>J7+J29</f>
        <v>6470099</v>
      </c>
    </row>
    <row r="32" spans="1:10" ht="16.5" thickTop="1">
      <c r="A32" s="62"/>
      <c r="B32" s="62"/>
      <c r="C32" s="62"/>
      <c r="D32" s="62"/>
      <c r="E32" s="62"/>
      <c r="F32" s="62"/>
      <c r="G32" s="62"/>
      <c r="H32" s="62"/>
      <c r="I32" s="62"/>
      <c r="J32" s="62"/>
    </row>
    <row r="33" spans="1:10" ht="15.75">
      <c r="A33" s="204" t="s">
        <v>270</v>
      </c>
      <c r="B33" s="62" t="str">
        <f>CONCATENATE("Debt service levy in this ",J1," budget")</f>
        <v>Debt service levy in this 2015 budget</v>
      </c>
      <c r="C33" s="62"/>
      <c r="D33" s="62"/>
      <c r="E33" s="62"/>
      <c r="F33" s="62"/>
      <c r="G33" s="62"/>
      <c r="H33" s="62"/>
      <c r="I33" s="62"/>
      <c r="J33" s="206">
        <f>DebtService!E57</f>
        <v>2911</v>
      </c>
    </row>
    <row r="34" spans="1:10" ht="15.75">
      <c r="A34" s="204"/>
      <c r="B34" s="62"/>
      <c r="C34" s="62"/>
      <c r="D34" s="62"/>
      <c r="E34" s="62"/>
      <c r="F34" s="62"/>
      <c r="G34" s="62"/>
      <c r="H34" s="62"/>
      <c r="I34" s="62"/>
      <c r="J34" s="614"/>
    </row>
    <row r="35" spans="1:10" ht="16.5" thickBot="1">
      <c r="A35" s="204" t="s">
        <v>271</v>
      </c>
      <c r="B35" s="62" t="str">
        <f>CONCATENATE(J1," budget tax levy, including debt service, prior to CPI adjustment (12 plus 13)")</f>
        <v>2015 budget tax levy, including debt service, prior to CPI adjustment (12 plus 13)</v>
      </c>
      <c r="C35" s="62"/>
      <c r="D35" s="62"/>
      <c r="E35" s="62"/>
      <c r="F35" s="62"/>
      <c r="G35" s="62"/>
      <c r="H35" s="62"/>
      <c r="I35" s="62"/>
      <c r="J35" s="709">
        <f>J31+J33</f>
        <v>6473010</v>
      </c>
    </row>
    <row r="36" spans="1:10" ht="16.5" thickTop="1">
      <c r="A36" s="716"/>
      <c r="B36" s="715"/>
      <c r="C36" s="715"/>
      <c r="D36" s="715"/>
      <c r="E36" s="715"/>
      <c r="F36" s="715"/>
      <c r="G36" s="715"/>
      <c r="H36" s="715"/>
      <c r="I36" s="715"/>
      <c r="J36" s="713"/>
    </row>
    <row r="37" spans="1:10" ht="15.75">
      <c r="A37" s="718" t="s">
        <v>875</v>
      </c>
      <c r="B37" s="715" t="str">
        <f>CONCATENATE("Consumer Price Index for all urban consumers for calendar year ",J1-2)</f>
        <v>Consumer Price Index for all urban consumers for calendar year 2013</v>
      </c>
      <c r="C37" s="715"/>
      <c r="D37" s="715"/>
      <c r="E37" s="715"/>
      <c r="F37" s="715"/>
      <c r="G37" s="715"/>
      <c r="H37" s="715"/>
      <c r="I37" s="715"/>
      <c r="J37" s="719">
        <v>0.015</v>
      </c>
    </row>
    <row r="38" spans="1:10" ht="15.75">
      <c r="A38" s="718"/>
      <c r="B38" s="715"/>
      <c r="C38" s="715"/>
      <c r="D38" s="715"/>
      <c r="E38" s="715"/>
      <c r="F38" s="715"/>
      <c r="G38" s="715"/>
      <c r="H38" s="715"/>
      <c r="I38" s="715"/>
      <c r="J38" s="720"/>
    </row>
    <row r="39" spans="1:10" ht="15.75">
      <c r="A39" s="718" t="s">
        <v>876</v>
      </c>
      <c r="B39" s="715" t="s">
        <v>909</v>
      </c>
      <c r="C39" s="715"/>
      <c r="D39" s="715"/>
      <c r="E39" s="715"/>
      <c r="F39" s="715"/>
      <c r="G39" s="715"/>
      <c r="H39" s="715"/>
      <c r="I39" s="714" t="s">
        <v>248</v>
      </c>
      <c r="J39" s="712">
        <f>ROUND(J7*J37,0)</f>
        <v>95625</v>
      </c>
    </row>
    <row r="40" spans="1:10" ht="15.75">
      <c r="A40" s="716"/>
      <c r="B40" s="715"/>
      <c r="C40" s="715"/>
      <c r="D40" s="715"/>
      <c r="E40" s="715"/>
      <c r="F40" s="715"/>
      <c r="G40" s="715"/>
      <c r="H40" s="715"/>
      <c r="I40" s="715"/>
      <c r="J40" s="713"/>
    </row>
    <row r="41" spans="1:10" ht="15.75">
      <c r="A41" s="716" t="s">
        <v>877</v>
      </c>
      <c r="B41" s="715" t="str">
        <f>CONCATENATE("Maximum levy for budget year ",J1,", including debt service, not requiring 'notice of vote publication.'")</f>
        <v>Maximum levy for budget year 2015, including debt service, not requiring 'notice of vote publication.'</v>
      </c>
      <c r="C41" s="715"/>
      <c r="D41" s="715"/>
      <c r="E41" s="715"/>
      <c r="F41" s="715"/>
      <c r="G41" s="715"/>
      <c r="H41" s="715"/>
      <c r="I41" s="715"/>
      <c r="J41" s="711"/>
    </row>
    <row r="42" spans="1:10" ht="19.5" thickBot="1">
      <c r="A42" s="706"/>
      <c r="B42" s="714" t="s">
        <v>910</v>
      </c>
      <c r="C42" s="706"/>
      <c r="D42" s="706"/>
      <c r="E42" s="706"/>
      <c r="F42" s="706"/>
      <c r="G42" s="706"/>
      <c r="H42" s="706"/>
      <c r="I42" s="714" t="s">
        <v>248</v>
      </c>
      <c r="J42" s="717">
        <f>J35+J39</f>
        <v>6568635</v>
      </c>
    </row>
    <row r="43" spans="1:10" ht="19.5" thickTop="1">
      <c r="A43" s="706"/>
      <c r="B43" s="721"/>
      <c r="C43" s="706"/>
      <c r="D43" s="706"/>
      <c r="E43" s="706"/>
      <c r="F43" s="706"/>
      <c r="G43" s="706"/>
      <c r="H43" s="706"/>
      <c r="I43" s="714"/>
      <c r="J43" s="713"/>
    </row>
    <row r="44" spans="1:10" ht="18.75">
      <c r="A44" s="706"/>
      <c r="B44" s="721"/>
      <c r="C44" s="706"/>
      <c r="D44" s="706"/>
      <c r="E44" s="706"/>
      <c r="F44" s="706"/>
      <c r="G44" s="706"/>
      <c r="H44" s="706"/>
      <c r="I44" s="714"/>
      <c r="J44" s="713"/>
    </row>
    <row r="45" spans="1:10" ht="18.75">
      <c r="A45" s="811" t="str">
        <f>CONCATENATE("If the ",J1," adopted budget includes a total property tax levy exceeding the dollar amount in line 17")</f>
        <v>If the 2015 adopted budget includes a total property tax levy exceeding the dollar amount in line 17</v>
      </c>
      <c r="B45" s="811"/>
      <c r="C45" s="811"/>
      <c r="D45" s="811"/>
      <c r="E45" s="811"/>
      <c r="F45" s="811"/>
      <c r="G45" s="811"/>
      <c r="H45" s="811"/>
      <c r="I45" s="811"/>
      <c r="J45" s="811"/>
    </row>
    <row r="46" spans="1:10" ht="18.75">
      <c r="A46" s="811" t="s">
        <v>878</v>
      </c>
      <c r="B46" s="811"/>
      <c r="C46" s="811"/>
      <c r="D46" s="811"/>
      <c r="E46" s="811"/>
      <c r="F46" s="811"/>
      <c r="G46" s="811"/>
      <c r="H46" s="811"/>
      <c r="I46" s="811"/>
      <c r="J46" s="811"/>
    </row>
    <row r="47" spans="1:10" ht="15.75">
      <c r="A47" s="810" t="s">
        <v>879</v>
      </c>
      <c r="B47" s="810"/>
      <c r="C47" s="810"/>
      <c r="D47" s="810"/>
      <c r="E47" s="810"/>
      <c r="F47" s="810"/>
      <c r="G47" s="810"/>
      <c r="H47" s="810"/>
      <c r="I47" s="810"/>
      <c r="J47" s="810"/>
    </row>
  </sheetData>
  <sheetProtection sheet="1"/>
  <mergeCells count="6">
    <mergeCell ref="A3:J3"/>
    <mergeCell ref="E4:G4"/>
    <mergeCell ref="A47:J47"/>
    <mergeCell ref="A46:J46"/>
    <mergeCell ref="A45:J45"/>
    <mergeCell ref="A9:J9"/>
  </mergeCells>
  <printOptions/>
  <pageMargins left="0.5" right="0.5" top="0.72" bottom="0.23" header="0.5" footer="0"/>
  <pageSetup blackAndWhite="1" fitToHeight="1" fitToWidth="1" horizontalDpi="600" verticalDpi="600" orientation="portrait" scale="85" r:id="rId1"/>
  <headerFooter alignWithMargins="0">
    <oddHeader>&amp;RState of Kansas
County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7">
      <selection activeCell="H7" sqref="H7"/>
    </sheetView>
  </sheetViews>
  <sheetFormatPr defaultColWidth="8.796875" defaultRowHeight="15"/>
  <cols>
    <col min="1" max="1" width="6.8984375" style="2" customWidth="1"/>
    <col min="2" max="2" width="18.796875" style="2" customWidth="1"/>
    <col min="3" max="3" width="12.796875" style="2" customWidth="1"/>
    <col min="4" max="4" width="0.203125" style="2" customWidth="1"/>
    <col min="5" max="9" width="11.796875" style="2" customWidth="1"/>
    <col min="10" max="16384" width="8.8984375" style="2" customWidth="1"/>
  </cols>
  <sheetData>
    <row r="1" spans="1:9" ht="15.75">
      <c r="A1" s="47"/>
      <c r="B1" s="26" t="str">
        <f>inputPrYr!C2</f>
        <v>Marshall County</v>
      </c>
      <c r="C1" s="13"/>
      <c r="D1" s="13"/>
      <c r="E1" s="13"/>
      <c r="F1" s="13"/>
      <c r="G1" s="12"/>
      <c r="H1" s="12"/>
      <c r="I1" s="44">
        <f>inputPrYr!C4</f>
        <v>2015</v>
      </c>
    </row>
    <row r="2" spans="1:9" ht="15.75">
      <c r="A2" s="47"/>
      <c r="B2" s="13"/>
      <c r="C2" s="13"/>
      <c r="D2" s="13"/>
      <c r="E2" s="13"/>
      <c r="F2" s="13"/>
      <c r="G2" s="12"/>
      <c r="H2" s="12"/>
      <c r="I2" s="27"/>
    </row>
    <row r="3" spans="1:9" ht="15.75">
      <c r="A3" s="47"/>
      <c r="B3" s="817" t="s">
        <v>808</v>
      </c>
      <c r="C3" s="817"/>
      <c r="D3" s="817"/>
      <c r="E3" s="817"/>
      <c r="F3" s="817"/>
      <c r="G3" s="817"/>
      <c r="H3" s="45"/>
      <c r="I3" s="46"/>
    </row>
    <row r="4" spans="1:9" ht="15.75">
      <c r="A4" s="47"/>
      <c r="B4" s="15"/>
      <c r="C4" s="16"/>
      <c r="D4" s="16"/>
      <c r="E4" s="16"/>
      <c r="F4" s="16"/>
      <c r="G4" s="13"/>
      <c r="H4" s="13"/>
      <c r="I4" s="27"/>
    </row>
    <row r="5" spans="1:9" ht="21.75" customHeight="1">
      <c r="A5" s="47"/>
      <c r="B5" s="608" t="s">
        <v>809</v>
      </c>
      <c r="C5" s="808" t="str">
        <f>CONCATENATE("Budget Tax Levy Amount for ",I1-2,"")</f>
        <v>Budget Tax Levy Amount for 2013</v>
      </c>
      <c r="D5" s="812" t="str">
        <f>CONCATENATE("Budget Tax Levy Rate for ",I1-1,"")</f>
        <v>Budget Tax Levy Rate for 2014</v>
      </c>
      <c r="E5" s="814" t="str">
        <f>CONCATENATE("Allocation for Year ",I1,"")</f>
        <v>Allocation for Year 2015</v>
      </c>
      <c r="F5" s="815"/>
      <c r="G5" s="816"/>
      <c r="H5" s="46"/>
      <c r="I5" s="46"/>
    </row>
    <row r="6" spans="1:9" ht="15.75">
      <c r="A6" s="47"/>
      <c r="B6" s="11" t="str">
        <f>CONCATENATE("for ",I1-1,"")</f>
        <v>for 2014</v>
      </c>
      <c r="C6" s="788"/>
      <c r="D6" s="813"/>
      <c r="E6" s="190" t="s">
        <v>154</v>
      </c>
      <c r="F6" s="190" t="s">
        <v>242</v>
      </c>
      <c r="G6" s="168" t="s">
        <v>269</v>
      </c>
      <c r="H6" s="41"/>
      <c r="I6" s="46"/>
    </row>
    <row r="7" spans="1:9" ht="15.75">
      <c r="A7" s="47"/>
      <c r="B7" s="24" t="str">
        <f>(inputPrYr!B16)</f>
        <v>General</v>
      </c>
      <c r="C7" s="168">
        <f>(inputPrYr!E16)</f>
        <v>1835869</v>
      </c>
      <c r="D7" s="611">
        <f>IF(inputPrYr!F16&gt;0,(inputPrYr!F16),"  ")</f>
        <v>14.841</v>
      </c>
      <c r="E7" s="168">
        <f>IF(inputPrYr!E16&gt;0,E34-SUM(E8:E31),0)</f>
        <v>168685</v>
      </c>
      <c r="F7" s="168">
        <f>IF(inputPrYr!E16=0,0,F36-SUM(F8:F31))</f>
        <v>2451</v>
      </c>
      <c r="G7" s="168">
        <f>IF(inputPrYr!E16=0,0,G38-SUM(G8:G31))</f>
        <v>10073</v>
      </c>
      <c r="H7" s="41"/>
      <c r="I7" s="46"/>
    </row>
    <row r="8" spans="1:9" ht="15.75">
      <c r="A8" s="47"/>
      <c r="B8" s="24" t="str">
        <f>(inputPrYr!B17)</f>
        <v>Debt Service</v>
      </c>
      <c r="C8" s="168">
        <f>IF(inputPrYr!E17&gt;0,inputPrYr!E17," ")</f>
        <v>3557</v>
      </c>
      <c r="D8" s="611">
        <f>IF(inputPrYr!F17&gt;0,(inputPrYr!F17),"  ")</f>
        <v>0.029</v>
      </c>
      <c r="E8" s="168">
        <f>IF(inputPrYr!$E$17&gt;0,ROUND(+C8*E$41,0)," ")</f>
        <v>327</v>
      </c>
      <c r="F8" s="168">
        <f>IF(inputPrYr!$E$17&gt;0,ROUND(+C8*F$43,0)," ")</f>
        <v>5</v>
      </c>
      <c r="G8" s="168">
        <f>IF(inputPrYr!$E$17&gt;0,ROUND(+C8*G$45,0)," ")</f>
        <v>20</v>
      </c>
      <c r="H8" s="41"/>
      <c r="I8" s="46"/>
    </row>
    <row r="9" spans="1:9" ht="15.75">
      <c r="A9" s="47"/>
      <c r="B9" s="24" t="str">
        <f>(inputPrYr!B18)</f>
        <v>Road &amp; Bridge</v>
      </c>
      <c r="C9" s="168">
        <f>IF(inputPrYr!E18&gt;0,inputPrYr!E18," ")</f>
        <v>1484495</v>
      </c>
      <c r="D9" s="611">
        <f>IF(inputPrYr!F18&gt;0,(inputPrYr!F18),"  ")</f>
        <v>12.001</v>
      </c>
      <c r="E9" s="168">
        <f>IF(inputPrYr!$E$18&gt;0,ROUND(+C9*E$41,0)," ")</f>
        <v>136400</v>
      </c>
      <c r="F9" s="168">
        <f>IF(inputPrYr!$E$18&gt;0,ROUND(+C9*F$43,0)," ")</f>
        <v>1983</v>
      </c>
      <c r="G9" s="168">
        <f>IF(inputPrYr!$E$18&gt;0,ROUND(+C9*G$45,0)," ")</f>
        <v>8146</v>
      </c>
      <c r="H9" s="41"/>
      <c r="I9" s="46"/>
    </row>
    <row r="10" spans="1:9" ht="15.75">
      <c r="A10" s="47"/>
      <c r="B10" s="24" t="str">
        <f>IF((inputPrYr!$B19&gt;" "),(inputPrYr!$B19),"  ")</f>
        <v>Health Nurse</v>
      </c>
      <c r="C10" s="168">
        <f>IF(inputPrYr!E19&gt;0,inputPrYr!E19,"  ")</f>
        <v>72678</v>
      </c>
      <c r="D10" s="611">
        <f>IF(inputPrYr!F19&gt;0,(inputPrYr!F19),"  ")</f>
        <v>0.588</v>
      </c>
      <c r="E10" s="168">
        <f>IF(inputPrYr!$E$19&gt;0,ROUND(+C10*E$41,0)," ")</f>
        <v>6678</v>
      </c>
      <c r="F10" s="168">
        <f>IF(inputPrYr!$E$19&gt;0,ROUND(+C10*F$43,0)," ")</f>
        <v>97</v>
      </c>
      <c r="G10" s="168">
        <f>IF(inputPrYr!$E$19&gt;0,ROUND(+C10*G$45,0)," ")</f>
        <v>399</v>
      </c>
      <c r="H10" s="41"/>
      <c r="I10" s="46"/>
    </row>
    <row r="11" spans="1:9" ht="15.75">
      <c r="A11" s="47"/>
      <c r="B11" s="24" t="str">
        <f>IF((inputPrYr!$B20&gt;" "),(inputPrYr!$B20),"  ")</f>
        <v>Fair</v>
      </c>
      <c r="C11" s="168">
        <f>IF(inputPrYr!E20&gt;0,inputPrYr!E20,"  ")</f>
        <v>26062</v>
      </c>
      <c r="D11" s="611">
        <f>IF(inputPrYr!F20&gt;0,(inputPrYr!F20),"  ")</f>
        <v>0.211</v>
      </c>
      <c r="E11" s="168">
        <f>IF(inputPrYr!E20&gt;0,ROUND(+C11*E$41,0),"  ")</f>
        <v>2395</v>
      </c>
      <c r="F11" s="168">
        <f>IF(inputPrYr!E20&gt;0,ROUND(+C11*F$43,0),"  ")</f>
        <v>35</v>
      </c>
      <c r="G11" s="168">
        <f>IF(inputPrYr!E20&gt;0,ROUND(+C11*G$45,0),"  ")</f>
        <v>143</v>
      </c>
      <c r="H11" s="41"/>
      <c r="I11" s="46"/>
    </row>
    <row r="12" spans="1:9" ht="15.75">
      <c r="A12" s="47"/>
      <c r="B12" s="24" t="str">
        <f>IF((inputPrYr!$B21&gt;" "),(inputPrYr!$B21),"  ")</f>
        <v>4-H Building</v>
      </c>
      <c r="C12" s="168">
        <f>IF(inputPrYr!E21&gt;0,inputPrYr!E21,"  ")</f>
        <v>6502</v>
      </c>
      <c r="D12" s="611">
        <f>IF(inputPrYr!F21&gt;0,(inputPrYr!F21),"  ")</f>
        <v>0.053</v>
      </c>
      <c r="E12" s="168">
        <f>IF(inputPrYr!E21&gt;0,ROUND(+C12*E$41,0),"  ")</f>
        <v>597</v>
      </c>
      <c r="F12" s="168">
        <f>IF(inputPrYr!E21&gt;0,ROUND(+C12*F$43,0),"  ")</f>
        <v>9</v>
      </c>
      <c r="G12" s="168">
        <f>IF(inputPrYr!E21&gt;0,ROUND(+C12*G$45,0),"  ")</f>
        <v>36</v>
      </c>
      <c r="H12" s="41"/>
      <c r="I12" s="46"/>
    </row>
    <row r="13" spans="1:9" ht="15.75">
      <c r="A13" s="47"/>
      <c r="B13" s="24" t="str">
        <f>IF((inputPrYr!$B22&gt;" "),(inputPrYr!$B22),"  ")</f>
        <v>Recycling/HHW</v>
      </c>
      <c r="C13" s="168">
        <f>IF(inputPrYr!E22&gt;0,inputPrYr!E22,"  ")</f>
        <v>55046</v>
      </c>
      <c r="D13" s="611">
        <f>IF(inputPrYr!F22&gt;0,(inputPrYr!F22),"  ")</f>
        <v>0.445</v>
      </c>
      <c r="E13" s="168">
        <f>IF(inputPrYr!E22&gt;0,ROUND(+C13*E$41,0),"  ")</f>
        <v>5058</v>
      </c>
      <c r="F13" s="168">
        <f>IF(inputPrYr!E22&gt;0,ROUND(+C13*F$43,0),"  ")</f>
        <v>74</v>
      </c>
      <c r="G13" s="168">
        <f>IF(inputPrYr!E22&gt;0,ROUND(+C13*G$45,0),"  ")</f>
        <v>302</v>
      </c>
      <c r="H13" s="41"/>
      <c r="I13" s="46"/>
    </row>
    <row r="14" spans="1:9" ht="15.75">
      <c r="A14" s="47"/>
      <c r="B14" s="24" t="str">
        <f>IF((inputPrYr!$B23&gt;" "),(inputPrYr!$B23),"  ")</f>
        <v>Agency on Aging</v>
      </c>
      <c r="C14" s="168">
        <f>IF(inputPrYr!E23&gt;0,inputPrYr!E23,"  ")</f>
        <v>128084</v>
      </c>
      <c r="D14" s="611">
        <f>IF(inputPrYr!F23&gt;0,(inputPrYr!F23),"  ")</f>
        <v>1.035</v>
      </c>
      <c r="E14" s="168">
        <f>IF(inputPrYr!E23&gt;0,ROUND(+C14*E$41,0),"  ")</f>
        <v>11769</v>
      </c>
      <c r="F14" s="168">
        <f>IF(inputPrYr!E23&gt;0,ROUND(+C14*F$43,0),"  ")</f>
        <v>171</v>
      </c>
      <c r="G14" s="168">
        <f>IF(inputPrYr!E23&gt;0,ROUND(+C14*G$45,0),"  ")</f>
        <v>703</v>
      </c>
      <c r="H14" s="41"/>
      <c r="I14" s="46"/>
    </row>
    <row r="15" spans="1:9" ht="15.75">
      <c r="A15" s="47"/>
      <c r="B15" s="24" t="str">
        <f>IF((inputPrYr!$B24&gt;" "),(inputPrYr!$B24),"  ")</f>
        <v>Soil Conservation</v>
      </c>
      <c r="C15" s="168">
        <f>IF(inputPrYr!E24&gt;0,inputPrYr!E24,"  ")</f>
        <v>21832</v>
      </c>
      <c r="D15" s="611">
        <f>IF(inputPrYr!F24&gt;0,(inputPrYr!F24),"  ")</f>
        <v>0.177</v>
      </c>
      <c r="E15" s="168">
        <f>IF(inputPrYr!E24&gt;0,ROUND(+C15*E$41,0),"  ")</f>
        <v>2006</v>
      </c>
      <c r="F15" s="168">
        <f>IF(inputPrYr!E24&gt;0,ROUND(+C15*F$43,0),"  ")</f>
        <v>29</v>
      </c>
      <c r="G15" s="168">
        <f>IF(inputPrYr!E24&gt;0,ROUND(+C15*G$45,0),"  ")</f>
        <v>120</v>
      </c>
      <c r="H15" s="41"/>
      <c r="I15" s="46"/>
    </row>
    <row r="16" spans="1:9" ht="15.75">
      <c r="A16" s="47"/>
      <c r="B16" s="24" t="str">
        <f>IF((inputPrYr!$B25&gt;" "),(inputPrYr!$B25),"  ")</f>
        <v>Historical</v>
      </c>
      <c r="C16" s="168">
        <f>IF(inputPrYr!E25&gt;0,inputPrYr!E25,"  ")</f>
        <v>10658</v>
      </c>
      <c r="D16" s="611">
        <f>IF(inputPrYr!F25&gt;0,(inputPrYr!F25),"  ")</f>
        <v>0.086</v>
      </c>
      <c r="E16" s="168">
        <f>IF(inputPrYr!E25&gt;0,ROUND(+C16*E$41,0),"  ")</f>
        <v>979</v>
      </c>
      <c r="F16" s="168">
        <f>IF(inputPrYr!E25&gt;0,ROUND(+C16*F$43,0),"  ")</f>
        <v>14</v>
      </c>
      <c r="G16" s="168">
        <f>IF(inputPrYr!E25&gt;0,ROUND(+C16*G$45,0),"  ")</f>
        <v>58</v>
      </c>
      <c r="H16" s="41"/>
      <c r="I16" s="46"/>
    </row>
    <row r="17" spans="1:9" ht="15.75">
      <c r="A17" s="47"/>
      <c r="B17" s="24" t="str">
        <f>IF((inputPrYr!$B26&gt;" "),(inputPrYr!$B26),"  ")</f>
        <v>Appraiser</v>
      </c>
      <c r="C17" s="168">
        <f>IF(inputPrYr!E26&gt;0,inputPrYr!E26,"  ")</f>
        <v>139739</v>
      </c>
      <c r="D17" s="611">
        <f>IF(inputPrYr!F26&gt;0,(inputPrYr!F26),"  ")</f>
        <v>1.13</v>
      </c>
      <c r="E17" s="168">
        <f>IF(inputPrYr!E26&gt;0,ROUND(+C17*E$41,0),"  ")</f>
        <v>12840</v>
      </c>
      <c r="F17" s="168">
        <f>IF(inputPrYr!E26&gt;0,ROUND(+C17*F$43,0),"  ")</f>
        <v>187</v>
      </c>
      <c r="G17" s="168">
        <f>IF(inputPrYr!E26&gt;0,ROUND(+C17*G$45,0),"  ")</f>
        <v>767</v>
      </c>
      <c r="H17" s="41"/>
      <c r="I17" s="46"/>
    </row>
    <row r="18" spans="1:9" ht="15.75">
      <c r="A18" s="47"/>
      <c r="B18" s="24" t="str">
        <f>IF((inputPrYr!$B27&gt;" "),(inputPrYr!$B27),"  ")</f>
        <v>Noxious Weed</v>
      </c>
      <c r="C18" s="168">
        <f>IF(inputPrYr!E27&gt;0,inputPrYr!E27,"  ")</f>
        <v>54619</v>
      </c>
      <c r="D18" s="611">
        <f>IF(inputPrYr!F27&gt;0,(inputPrYr!F27),"  ")</f>
        <v>0.442</v>
      </c>
      <c r="E18" s="168">
        <f>IF(inputPrYr!E27&gt;0,ROUND(+C18*E$41,0),"  ")</f>
        <v>5019</v>
      </c>
      <c r="F18" s="168">
        <f>IF(inputPrYr!E27&gt;0,ROUND(+C18*F$43,0),"  ")</f>
        <v>73</v>
      </c>
      <c r="G18" s="168">
        <f>IF(inputPrYr!E27&gt;0,ROUND(+C18*G$45,0),"  ")</f>
        <v>300</v>
      </c>
      <c r="H18" s="41"/>
      <c r="I18" s="46"/>
    </row>
    <row r="19" spans="1:9" ht="15.75">
      <c r="A19" s="47"/>
      <c r="B19" s="24" t="str">
        <f>IF((inputPrYr!$B28&gt;" "),(inputPrYr!$B28),"  ")</f>
        <v>Election</v>
      </c>
      <c r="C19" s="168">
        <f>IF(inputPrYr!E28&gt;0,inputPrYr!E28,"  ")</f>
        <v>76442</v>
      </c>
      <c r="D19" s="611">
        <f>IF(inputPrYr!F28&gt;0,(inputPrYr!F28),"  ")</f>
        <v>0.618</v>
      </c>
      <c r="E19" s="168">
        <f>IF(inputPrYr!E28&gt;0,ROUND(+C19*E$41,0),"  ")</f>
        <v>7024</v>
      </c>
      <c r="F19" s="168">
        <f>IF(inputPrYr!E28&gt;0,ROUND(+C19*F$43,0),"  ")</f>
        <v>102</v>
      </c>
      <c r="G19" s="168">
        <f>IF(inputPrYr!E28&gt;0,ROUND(+C19*G$45,0),"  ")</f>
        <v>419</v>
      </c>
      <c r="H19" s="41"/>
      <c r="I19" s="46"/>
    </row>
    <row r="20" spans="1:9" ht="15.75">
      <c r="A20" s="47"/>
      <c r="B20" s="24" t="str">
        <f>IF((inputPrYr!$B29&gt;" "),(inputPrYr!$B29),"  ")</f>
        <v>Extension Council</v>
      </c>
      <c r="C20" s="168">
        <f>IF(inputPrYr!E29&gt;0,inputPrYr!E29,"  ")</f>
        <v>146590</v>
      </c>
      <c r="D20" s="611">
        <f>IF(inputPrYr!F29&gt;0,(inputPrYr!F29),"  ")</f>
        <v>1.185</v>
      </c>
      <c r="E20" s="168">
        <f>IF(inputPrYr!E29&gt;0,ROUND(+C20*E$41,0),"  ")</f>
        <v>13469</v>
      </c>
      <c r="F20" s="168">
        <f>IF(inputPrYr!E29&gt;0,ROUND(+C20*F$43,0),"  ")</f>
        <v>196</v>
      </c>
      <c r="G20" s="168">
        <f>IF(inputPrYr!E29&gt;0,ROUND(+C20*G$45,0),"  ")</f>
        <v>804</v>
      </c>
      <c r="H20" s="41"/>
      <c r="I20" s="46"/>
    </row>
    <row r="21" spans="1:9" ht="15.75">
      <c r="A21" s="47"/>
      <c r="B21" s="24" t="str">
        <f>IF((inputPrYr!$B30&gt;" "),(inputPrYr!$B30),"  ")</f>
        <v>Solid Waste</v>
      </c>
      <c r="C21" s="168" t="str">
        <f>IF(inputPrYr!E30&gt;0,inputPrYr!E30,"  ")</f>
        <v>  </v>
      </c>
      <c r="D21" s="611" t="str">
        <f>IF(inputPrYr!F30&gt;0,(inputPrYr!F30),"  ")</f>
        <v>  </v>
      </c>
      <c r="E21" s="168" t="str">
        <f>IF(inputPrYr!E30&gt;0,ROUND(+C21*E$41,0),"  ")</f>
        <v>  </v>
      </c>
      <c r="F21" s="168" t="str">
        <f>IF(inputPrYr!E30&gt;0,ROUND(+C21*F$43,0),"  ")</f>
        <v>  </v>
      </c>
      <c r="G21" s="168" t="str">
        <f>IF(inputPrYr!E30&gt;0,ROUND(+C21*G$45,0),"  ")</f>
        <v>  </v>
      </c>
      <c r="H21" s="41"/>
      <c r="I21" s="46"/>
    </row>
    <row r="22" spans="1:9" ht="15.75">
      <c r="A22" s="47"/>
      <c r="B22" s="24" t="str">
        <f>IF((inputPrYr!$B31&gt;" "),(inputPrYr!$B31),"  ")</f>
        <v>Ambulance</v>
      </c>
      <c r="C22" s="168">
        <f>IF(inputPrYr!E31&gt;0,inputPrYr!E31,"  ")</f>
        <v>310635</v>
      </c>
      <c r="D22" s="611">
        <f>IF(inputPrYr!F31&gt;0,(inputPrYr!F31),"  ")</f>
        <v>2.511</v>
      </c>
      <c r="E22" s="168">
        <f>IF(inputPrYr!E31&gt;0,ROUND(+C22*E$41,0),"  ")</f>
        <v>28542</v>
      </c>
      <c r="F22" s="168">
        <f>IF(inputPrYr!E31&gt;0,ROUND(+C22*F$43,0),"  ")</f>
        <v>415</v>
      </c>
      <c r="G22" s="168">
        <f>IF(inputPrYr!E31&gt;0,ROUND(+C22*G$45,0),"  ")</f>
        <v>1705</v>
      </c>
      <c r="H22" s="41"/>
      <c r="I22" s="46"/>
    </row>
    <row r="23" spans="1:9" ht="15.75">
      <c r="A23" s="47"/>
      <c r="B23" s="24" t="str">
        <f>IF((inputPrYr!$B32&gt;" "),(inputPrYr!$B32),"  ")</f>
        <v>Men Health Ret Workshop</v>
      </c>
      <c r="C23" s="168">
        <f>IF(inputPrYr!E32&gt;0,inputPrYr!E32,"  ")</f>
        <v>50265</v>
      </c>
      <c r="D23" s="611">
        <f>IF(inputPrYr!F32&gt;0,(inputPrYr!F32),"  ")</f>
        <v>0.406</v>
      </c>
      <c r="E23" s="168">
        <f>IF(inputPrYr!E32&gt;0,ROUND(+C23*E$41,0),"  ")</f>
        <v>4619</v>
      </c>
      <c r="F23" s="168">
        <f>IF(inputPrYr!E32&gt;0,ROUND(+C23*F$43,0),"  ")</f>
        <v>67</v>
      </c>
      <c r="G23" s="168">
        <f>IF(inputPrYr!E32&gt;0,ROUND(+C23*G$45,0),"  ")</f>
        <v>276</v>
      </c>
      <c r="H23" s="41"/>
      <c r="I23" s="46"/>
    </row>
    <row r="24" spans="1:9" ht="15.75">
      <c r="A24" s="47"/>
      <c r="B24" s="24" t="str">
        <f>IF((inputPrYr!$B33&gt;" "),(inputPrYr!$B33),"  ")</f>
        <v>Pawnee Mental Health </v>
      </c>
      <c r="C24" s="168">
        <f>IF(inputPrYr!E33&gt;0,inputPrYr!E33,"  ")</f>
        <v>73776</v>
      </c>
      <c r="D24" s="611">
        <f>IF(inputPrYr!F33&gt;0,(inputPrYr!F33),"  ")</f>
        <v>0.596</v>
      </c>
      <c r="E24" s="168">
        <f>IF(inputPrYr!E33&gt;0,ROUND(+C24*E$41,0),"  ")</f>
        <v>6779</v>
      </c>
      <c r="F24" s="168">
        <f>IF(inputPrYr!E33&gt;0,ROUND(+C24*F$43,0),"  ")</f>
        <v>99</v>
      </c>
      <c r="G24" s="168">
        <f>IF(inputPrYr!E33&gt;0,ROUND(+C24*G$45,0),"  ")</f>
        <v>405</v>
      </c>
      <c r="H24" s="41"/>
      <c r="I24" s="46"/>
    </row>
    <row r="25" spans="1:9" ht="15.75">
      <c r="A25" s="47"/>
      <c r="B25" s="24" t="str">
        <f>IF((inputPrYr!$B34&gt;" "),(inputPrYr!$B34),"  ")</f>
        <v>Emp Ben (Health Insurance)</v>
      </c>
      <c r="C25" s="168">
        <f>IF(inputPrYr!E34&gt;0,inputPrYr!E34,"  ")</f>
        <v>1277876</v>
      </c>
      <c r="D25" s="611">
        <f>IF(inputPrYr!F34&gt;0,(inputPrYr!F34),"  ")</f>
        <v>10.33</v>
      </c>
      <c r="E25" s="168">
        <f>IF(inputPrYr!E34&gt;0,ROUND(+C25*E$41,0),"  ")</f>
        <v>117416</v>
      </c>
      <c r="F25" s="168">
        <f>IF(inputPrYr!E34&gt;0,ROUND(+C25*F$43,0),"  ")</f>
        <v>1707</v>
      </c>
      <c r="G25" s="168">
        <f>IF(inputPrYr!E34&gt;0,ROUND(+C25*G$45,0),"  ")</f>
        <v>7012</v>
      </c>
      <c r="H25" s="41"/>
      <c r="I25" s="46"/>
    </row>
    <row r="26" spans="1:9" ht="15.75">
      <c r="A26" s="47"/>
      <c r="B26" s="24" t="str">
        <f>IF((inputPrYr!$B35&gt;" "),(inputPrYr!$B35),"  ")</f>
        <v>Unemployment</v>
      </c>
      <c r="C26" s="168">
        <f>IF(inputPrYr!E35&gt;0,inputPrYr!E35,"  ")</f>
        <v>2206</v>
      </c>
      <c r="D26" s="611">
        <f>IF(inputPrYr!F35&gt;0,(inputPrYr!F35),"  ")</f>
        <v>0.018</v>
      </c>
      <c r="E26" s="168">
        <f>IF(inputPrYr!E35&gt;0,ROUND(+C26*E$41,0),"  ")</f>
        <v>203</v>
      </c>
      <c r="F26" s="168">
        <f>IF(inputPrYr!E35&gt;0,ROUND(+C26*F$43,0),"  ")</f>
        <v>3</v>
      </c>
      <c r="G26" s="168">
        <f>IF(inputPrYr!E35&gt;0,ROUND(+C26*G$45,0),"  ")</f>
        <v>12</v>
      </c>
      <c r="H26" s="41"/>
      <c r="I26" s="46"/>
    </row>
    <row r="27" spans="1:9" ht="15.75">
      <c r="A27" s="47"/>
      <c r="B27" s="24" t="str">
        <f>IF((inputPrYr!$B36&gt;" "),(inputPrYr!$B36),"  ")</f>
        <v>Liability </v>
      </c>
      <c r="C27" s="168">
        <f>IF(inputPrYr!E36&gt;0,inputPrYr!E36,"  ")</f>
        <v>55836</v>
      </c>
      <c r="D27" s="611">
        <f>IF(inputPrYr!F36&gt;0,(inputPrYr!F36),"  ")</f>
        <v>0.451</v>
      </c>
      <c r="E27" s="168">
        <f>IF(inputPrYr!E36&gt;0,ROUND(+C27*E$41,0),"  ")</f>
        <v>5130</v>
      </c>
      <c r="F27" s="168">
        <f>IF(inputPrYr!E36&gt;0,ROUND(+C27*F$43,0),"  ")</f>
        <v>75</v>
      </c>
      <c r="G27" s="168">
        <f>IF(inputPrYr!E36&gt;0,ROUND(+C27*G$45,0),"  ")</f>
        <v>306</v>
      </c>
      <c r="H27" s="41"/>
      <c r="I27" s="46"/>
    </row>
    <row r="28" spans="1:9" ht="15.75">
      <c r="A28" s="47"/>
      <c r="B28" s="24" t="str">
        <f>IF((inputPrYr!$B37&gt;" "),(inputPrYr!$B37),"  ")</f>
        <v>Employee Retirement</v>
      </c>
      <c r="C28" s="168">
        <f>IF(inputPrYr!E37&gt;0,inputPrYr!E37,"  ")</f>
        <v>273915</v>
      </c>
      <c r="D28" s="611">
        <f>IF(inputPrYr!F37&gt;0,(inputPrYr!F37),"  ")</f>
        <v>2.214</v>
      </c>
      <c r="E28" s="168">
        <f>IF(inputPrYr!E37&gt;0,ROUND(+C28*E$41,0),"  ")</f>
        <v>25168</v>
      </c>
      <c r="F28" s="168">
        <f>IF(inputPrYr!E37&gt;0,ROUND(+C28*F$43,0),"  ")</f>
        <v>366</v>
      </c>
      <c r="G28" s="168">
        <f>IF(inputPrYr!E37&gt;0,ROUND(+C28*G$45,0),"  ")</f>
        <v>1503</v>
      </c>
      <c r="H28" s="41"/>
      <c r="I28" s="46"/>
    </row>
    <row r="29" spans="1:9" ht="15.75">
      <c r="A29" s="47"/>
      <c r="B29" s="24" t="str">
        <f>IF((inputPrYr!$B38&gt;" "),(inputPrYr!$B38),"  ")</f>
        <v>Workers Compensation</v>
      </c>
      <c r="C29" s="168">
        <f>IF(inputPrYr!E38&gt;0,inputPrYr!E38,"  ")</f>
        <v>60745</v>
      </c>
      <c r="D29" s="611">
        <f>IF(inputPrYr!F38&gt;0,(inputPrYr!F38),"  ")</f>
        <v>0.491</v>
      </c>
      <c r="E29" s="168">
        <f>IF(inputPrYr!E38&gt;0,ROUND(+C29*E$41,0),"  ")</f>
        <v>5581</v>
      </c>
      <c r="F29" s="168">
        <f>IF(inputPrYr!E38&gt;0,ROUND(+C29*F$43,0),"  ")</f>
        <v>81</v>
      </c>
      <c r="G29" s="168">
        <f>IF(inputPrYr!E38&gt;0,ROUND(+C29*G$45,0),"  ")</f>
        <v>333</v>
      </c>
      <c r="H29" s="41"/>
      <c r="I29" s="46"/>
    </row>
    <row r="30" spans="1:9" ht="15.75">
      <c r="A30" s="47"/>
      <c r="B30" s="24" t="str">
        <f>IF((inputPrYr!$B39&gt;" "),(inputPrYr!$B39),"  ")</f>
        <v>Social Security</v>
      </c>
      <c r="C30" s="168">
        <f>IF(inputPrYr!E39&gt;0,inputPrYr!E39,"  ")</f>
        <v>211101</v>
      </c>
      <c r="D30" s="611">
        <f>IF(inputPrYr!F39&gt;0,(inputPrYr!F39),"  ")</f>
        <v>1.707</v>
      </c>
      <c r="E30" s="168">
        <f>IF(inputPrYr!E39&gt;0,ROUND(+C30*E$41,0),"  ")</f>
        <v>19397</v>
      </c>
      <c r="F30" s="168">
        <f>IF(inputPrYr!E39&gt;0,ROUND(+C30*F$43,0),"  ")</f>
        <v>282</v>
      </c>
      <c r="G30" s="168">
        <f>IF(inputPrYr!E39&gt;0,ROUND(+C30*G$45,0),"  ")</f>
        <v>1158</v>
      </c>
      <c r="H30" s="41"/>
      <c r="I30" s="46"/>
    </row>
    <row r="31" spans="1:9" ht="15.75">
      <c r="A31" s="47"/>
      <c r="B31" s="24" t="str">
        <f>IF((inputPrYr!$B40&gt;" "),(inputPrYr!$B40),"  ")</f>
        <v>  </v>
      </c>
      <c r="C31" s="168" t="str">
        <f>IF(inputPrYr!E40&gt;0,inputPrYr!E40,"  ")</f>
        <v>  </v>
      </c>
      <c r="D31" s="611" t="str">
        <f>IF(inputPrYr!F40&gt;0,(inputPrYr!F40),"  ")</f>
        <v>  </v>
      </c>
      <c r="E31" s="168" t="str">
        <f>IF(inputPrYr!E40&gt;0,ROUND(+C31*E$41,0),"  ")</f>
        <v>  </v>
      </c>
      <c r="F31" s="168" t="str">
        <f>IF(inputPrYr!E40&gt;0,ROUND(+C31*F$43,0),"  ")</f>
        <v>  </v>
      </c>
      <c r="G31" s="168" t="str">
        <f>IF(inputPrYr!E40&gt;0,ROUND(+C31*G$45,0),"  ")</f>
        <v>  </v>
      </c>
      <c r="H31" s="41"/>
      <c r="I31" s="46"/>
    </row>
    <row r="32" spans="1:9" ht="16.5" thickBot="1">
      <c r="A32" s="47"/>
      <c r="B32" s="78" t="s">
        <v>150</v>
      </c>
      <c r="C32" s="609">
        <f>SUM(C7:C31)</f>
        <v>6378528</v>
      </c>
      <c r="D32" s="610">
        <f>SUM(D7:D31)</f>
        <v>51.56499999999999</v>
      </c>
      <c r="E32" s="609">
        <f>SUM(E7:E31)</f>
        <v>586081</v>
      </c>
      <c r="F32" s="609">
        <f>SUM(F7:F31)</f>
        <v>8521</v>
      </c>
      <c r="G32" s="609">
        <f>SUM(G7:G31)</f>
        <v>35000</v>
      </c>
      <c r="H32" s="46"/>
      <c r="I32" s="46"/>
    </row>
    <row r="33" spans="1:9" ht="16.5" thickTop="1">
      <c r="A33" s="47"/>
      <c r="B33" s="36"/>
      <c r="C33" s="41"/>
      <c r="D33" s="48"/>
      <c r="E33" s="41"/>
      <c r="F33" s="41"/>
      <c r="G33" s="41"/>
      <c r="H33" s="41"/>
      <c r="I33" s="46"/>
    </row>
    <row r="34" spans="1:9" ht="15.75">
      <c r="A34" s="47"/>
      <c r="B34" s="14" t="s">
        <v>151</v>
      </c>
      <c r="C34" s="39"/>
      <c r="D34" s="39"/>
      <c r="E34" s="40">
        <f>(inputOth!E15)</f>
        <v>586081</v>
      </c>
      <c r="F34" s="39"/>
      <c r="G34" s="29"/>
      <c r="H34" s="29"/>
      <c r="I34" s="37"/>
    </row>
    <row r="35" spans="1:9" ht="15.75">
      <c r="A35" s="47"/>
      <c r="B35" s="14"/>
      <c r="C35" s="39"/>
      <c r="D35" s="39"/>
      <c r="E35" s="41"/>
      <c r="F35" s="39"/>
      <c r="G35" s="29"/>
      <c r="H35" s="29"/>
      <c r="I35" s="37"/>
    </row>
    <row r="36" spans="1:9" ht="15.75">
      <c r="A36" s="47"/>
      <c r="B36" s="14" t="s">
        <v>152</v>
      </c>
      <c r="C36" s="29"/>
      <c r="D36" s="29"/>
      <c r="E36" s="29"/>
      <c r="F36" s="40">
        <f>(inputOth!E16)</f>
        <v>8521</v>
      </c>
      <c r="G36" s="29"/>
      <c r="H36" s="29"/>
      <c r="I36" s="37"/>
    </row>
    <row r="37" spans="1:9" ht="15.75">
      <c r="A37" s="47"/>
      <c r="B37" s="14"/>
      <c r="C37" s="29"/>
      <c r="D37" s="29"/>
      <c r="E37" s="29"/>
      <c r="F37" s="41"/>
      <c r="G37" s="29"/>
      <c r="H37" s="29"/>
      <c r="I37" s="37"/>
    </row>
    <row r="38" spans="1:9" ht="15.75">
      <c r="A38" s="47"/>
      <c r="B38" s="14" t="s">
        <v>243</v>
      </c>
      <c r="C38" s="29"/>
      <c r="D38" s="29"/>
      <c r="E38" s="29"/>
      <c r="F38" s="29"/>
      <c r="G38" s="40">
        <f>inputOth!E17</f>
        <v>35000</v>
      </c>
      <c r="H38" s="41"/>
      <c r="I38" s="37"/>
    </row>
    <row r="39" spans="1:9" ht="15.75">
      <c r="A39" s="47"/>
      <c r="B39" s="13"/>
      <c r="C39" s="29"/>
      <c r="D39" s="29"/>
      <c r="E39" s="29"/>
      <c r="F39" s="29"/>
      <c r="G39" s="29"/>
      <c r="H39" s="29"/>
      <c r="I39" s="37"/>
    </row>
    <row r="40" spans="1:9" ht="15.75">
      <c r="A40" s="47"/>
      <c r="B40" s="13"/>
      <c r="C40" s="29"/>
      <c r="D40" s="29"/>
      <c r="E40" s="29"/>
      <c r="F40" s="29"/>
      <c r="G40" s="29"/>
      <c r="H40" s="29"/>
      <c r="I40" s="37"/>
    </row>
    <row r="41" spans="1:9" ht="15.75">
      <c r="A41" s="47"/>
      <c r="B41" s="14" t="s">
        <v>153</v>
      </c>
      <c r="C41" s="29"/>
      <c r="D41" s="29"/>
      <c r="E41" s="42">
        <f>IF(C32=0,0,E34/C32)</f>
        <v>0.09188342514134923</v>
      </c>
      <c r="F41" s="29"/>
      <c r="G41" s="29"/>
      <c r="H41" s="29"/>
      <c r="I41" s="37"/>
    </row>
    <row r="42" spans="1:9" ht="15.75">
      <c r="A42" s="47"/>
      <c r="B42" s="14"/>
      <c r="C42" s="29"/>
      <c r="D42" s="29"/>
      <c r="E42" s="43"/>
      <c r="F42" s="29"/>
      <c r="G42" s="29"/>
      <c r="H42" s="29"/>
      <c r="I42" s="37"/>
    </row>
    <row r="43" spans="1:9" ht="15.75">
      <c r="A43" s="47"/>
      <c r="B43" s="14" t="s">
        <v>289</v>
      </c>
      <c r="C43" s="29"/>
      <c r="D43" s="29"/>
      <c r="E43" s="29"/>
      <c r="F43" s="42">
        <f>IF(C32=0,0,F36/C32)</f>
        <v>0.001335888154759217</v>
      </c>
      <c r="G43" s="29"/>
      <c r="H43" s="29"/>
      <c r="I43" s="37"/>
    </row>
    <row r="44" spans="1:9" ht="15.75">
      <c r="A44" s="47"/>
      <c r="B44" s="14"/>
      <c r="C44" s="29"/>
      <c r="D44" s="29"/>
      <c r="E44" s="29"/>
      <c r="F44" s="43"/>
      <c r="G44" s="29"/>
      <c r="H44" s="29"/>
      <c r="I44" s="37"/>
    </row>
    <row r="45" spans="1:9" ht="15.75">
      <c r="A45" s="47"/>
      <c r="B45" s="14" t="s">
        <v>288</v>
      </c>
      <c r="C45" s="29"/>
      <c r="D45" s="29"/>
      <c r="E45" s="29"/>
      <c r="F45" s="29"/>
      <c r="G45" s="42">
        <f>IF(C32=0,0,G38/C32)</f>
        <v>0.005487159419853609</v>
      </c>
      <c r="H45" s="43"/>
      <c r="I45" s="37"/>
    </row>
    <row r="46" spans="1:9" ht="15.75">
      <c r="A46" s="47"/>
      <c r="B46" s="27"/>
      <c r="C46" s="37"/>
      <c r="D46" s="37"/>
      <c r="E46" s="37"/>
      <c r="F46" s="37"/>
      <c r="G46" s="37"/>
      <c r="H46" s="37"/>
      <c r="I46" s="37"/>
    </row>
    <row r="47" spans="1:9" ht="15.75">
      <c r="A47" s="47"/>
      <c r="B47" s="27"/>
      <c r="C47" s="37"/>
      <c r="D47" s="37"/>
      <c r="E47" s="37"/>
      <c r="F47" s="37"/>
      <c r="G47" s="37"/>
      <c r="H47" s="37"/>
      <c r="I47" s="37"/>
    </row>
  </sheetData>
  <sheetProtection sheet="1"/>
  <mergeCells count="4">
    <mergeCell ref="C5:C6"/>
    <mergeCell ref="D5:D6"/>
    <mergeCell ref="E5:G5"/>
    <mergeCell ref="B3:G3"/>
  </mergeCells>
  <printOptions/>
  <pageMargins left="1.5" right="0.75" top="0.25" bottom="0.18" header="0" footer="0"/>
  <pageSetup blackAndWhite="1" firstPageNumber="3" useFirstPageNumber="1" fitToHeight="1" fitToWidth="1" horizontalDpi="600" verticalDpi="600" orientation="landscape" scale="78" r:id="rId1"/>
  <headerFooter alignWithMargins="0">
    <oddHeader>&amp;RState of Kansas
County</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H18" sqref="H18"/>
    </sheetView>
  </sheetViews>
  <sheetFormatPr defaultColWidth="8.796875" defaultRowHeight="15"/>
  <cols>
    <col min="1" max="2" width="17.796875" style="118" customWidth="1"/>
    <col min="3" max="6" width="12.796875" style="118" customWidth="1"/>
    <col min="7" max="16384" width="8.8984375" style="118" customWidth="1"/>
  </cols>
  <sheetData>
    <row r="1" spans="1:6" ht="15.75">
      <c r="A1" s="201"/>
      <c r="B1" s="62"/>
      <c r="C1" s="62"/>
      <c r="D1" s="62"/>
      <c r="E1" s="208"/>
      <c r="F1" s="62"/>
    </row>
    <row r="2" spans="1:6" ht="15.75">
      <c r="A2" s="119" t="str">
        <f>inputPrYr!C2</f>
        <v>Marshall County</v>
      </c>
      <c r="B2" s="119"/>
      <c r="C2" s="62"/>
      <c r="D2" s="62"/>
      <c r="E2" s="208"/>
      <c r="F2" s="62">
        <f>inputPrYr!C4</f>
        <v>2015</v>
      </c>
    </row>
    <row r="3" spans="1:6" ht="15.75">
      <c r="A3" s="201"/>
      <c r="B3" s="119"/>
      <c r="C3" s="62"/>
      <c r="D3" s="62"/>
      <c r="E3" s="208"/>
      <c r="F3" s="62"/>
    </row>
    <row r="4" spans="1:6" ht="15.75">
      <c r="A4" s="201"/>
      <c r="B4" s="62"/>
      <c r="C4" s="62"/>
      <c r="D4" s="62"/>
      <c r="E4" s="208"/>
      <c r="F4" s="62"/>
    </row>
    <row r="5" spans="1:6" ht="15" customHeight="1">
      <c r="A5" s="809" t="s">
        <v>277</v>
      </c>
      <c r="B5" s="809"/>
      <c r="C5" s="809"/>
      <c r="D5" s="809"/>
      <c r="E5" s="809"/>
      <c r="F5" s="809"/>
    </row>
    <row r="6" spans="1:6" ht="14.25" customHeight="1">
      <c r="A6" s="202"/>
      <c r="B6" s="209"/>
      <c r="C6" s="209"/>
      <c r="D6" s="209"/>
      <c r="E6" s="209"/>
      <c r="F6" s="209"/>
    </row>
    <row r="7" spans="1:6" ht="15" customHeight="1">
      <c r="A7" s="210" t="s">
        <v>634</v>
      </c>
      <c r="B7" s="210" t="s">
        <v>635</v>
      </c>
      <c r="C7" s="211" t="s">
        <v>193</v>
      </c>
      <c r="D7" s="211" t="s">
        <v>290</v>
      </c>
      <c r="E7" s="211" t="s">
        <v>291</v>
      </c>
      <c r="F7" s="211" t="s">
        <v>321</v>
      </c>
    </row>
    <row r="8" spans="1:6" ht="15" customHeight="1">
      <c r="A8" s="212" t="s">
        <v>636</v>
      </c>
      <c r="B8" s="212" t="s">
        <v>637</v>
      </c>
      <c r="C8" s="213" t="s">
        <v>320</v>
      </c>
      <c r="D8" s="213" t="s">
        <v>320</v>
      </c>
      <c r="E8" s="213" t="s">
        <v>320</v>
      </c>
      <c r="F8" s="213" t="s">
        <v>322</v>
      </c>
    </row>
    <row r="9" spans="1:6" s="199" customFormat="1" ht="15" customHeight="1" thickBot="1">
      <c r="A9" s="214" t="s">
        <v>318</v>
      </c>
      <c r="B9" s="215" t="s">
        <v>319</v>
      </c>
      <c r="C9" s="216">
        <f>F2-2</f>
        <v>2013</v>
      </c>
      <c r="D9" s="216">
        <f>F2-1</f>
        <v>2014</v>
      </c>
      <c r="E9" s="216">
        <f>F2</f>
        <v>2015</v>
      </c>
      <c r="F9" s="215" t="s">
        <v>127</v>
      </c>
    </row>
    <row r="10" spans="1:6" ht="15" customHeight="1" thickTop="1">
      <c r="A10" s="217" t="s">
        <v>1107</v>
      </c>
      <c r="B10" s="217" t="s">
        <v>961</v>
      </c>
      <c r="C10" s="218">
        <v>1000</v>
      </c>
      <c r="D10" s="218"/>
      <c r="E10" s="218"/>
      <c r="F10" s="217" t="s">
        <v>981</v>
      </c>
    </row>
    <row r="11" spans="1:6" ht="15" customHeight="1">
      <c r="A11" s="86" t="s">
        <v>913</v>
      </c>
      <c r="B11" s="86" t="s">
        <v>974</v>
      </c>
      <c r="C11" s="219">
        <v>25000</v>
      </c>
      <c r="D11" s="219"/>
      <c r="E11" s="219"/>
      <c r="F11" s="86" t="s">
        <v>981</v>
      </c>
    </row>
    <row r="12" spans="1:6" ht="15" customHeight="1">
      <c r="A12" s="86" t="s">
        <v>913</v>
      </c>
      <c r="B12" s="86" t="s">
        <v>975</v>
      </c>
      <c r="C12" s="219">
        <v>25000</v>
      </c>
      <c r="D12" s="219"/>
      <c r="E12" s="219"/>
      <c r="F12" s="86" t="s">
        <v>982</v>
      </c>
    </row>
    <row r="13" spans="1:6" ht="15" customHeight="1">
      <c r="A13" s="86" t="s">
        <v>183</v>
      </c>
      <c r="B13" s="86" t="s">
        <v>976</v>
      </c>
      <c r="C13" s="219">
        <v>40000</v>
      </c>
      <c r="D13" s="219"/>
      <c r="E13" s="219"/>
      <c r="F13" s="86" t="s">
        <v>981</v>
      </c>
    </row>
    <row r="14" spans="1:6" ht="15" customHeight="1">
      <c r="A14" s="86" t="s">
        <v>169</v>
      </c>
      <c r="B14" s="86" t="s">
        <v>977</v>
      </c>
      <c r="C14" s="219">
        <v>40000</v>
      </c>
      <c r="D14" s="219"/>
      <c r="E14" s="219"/>
      <c r="F14" s="86" t="s">
        <v>981</v>
      </c>
    </row>
    <row r="15" spans="1:6" ht="15" customHeight="1">
      <c r="A15" s="86" t="s">
        <v>924</v>
      </c>
      <c r="B15" s="86" t="s">
        <v>966</v>
      </c>
      <c r="C15" s="219">
        <v>4000</v>
      </c>
      <c r="D15" s="219"/>
      <c r="E15" s="219"/>
      <c r="F15" s="86" t="s">
        <v>982</v>
      </c>
    </row>
    <row r="16" spans="1:6" ht="15" customHeight="1">
      <c r="A16" s="86" t="s">
        <v>188</v>
      </c>
      <c r="B16" s="86" t="s">
        <v>978</v>
      </c>
      <c r="C16" s="219">
        <v>50000</v>
      </c>
      <c r="D16" s="219"/>
      <c r="E16" s="219"/>
      <c r="F16" s="86" t="s">
        <v>983</v>
      </c>
    </row>
    <row r="17" spans="1:6" ht="15" customHeight="1">
      <c r="A17" s="86" t="s">
        <v>188</v>
      </c>
      <c r="B17" s="86" t="s">
        <v>979</v>
      </c>
      <c r="C17" s="219">
        <v>100000</v>
      </c>
      <c r="D17" s="219"/>
      <c r="E17" s="219"/>
      <c r="F17" s="86" t="s">
        <v>983</v>
      </c>
    </row>
    <row r="18" spans="1:6" ht="15" customHeight="1">
      <c r="A18" s="86" t="s">
        <v>980</v>
      </c>
      <c r="B18" s="86" t="s">
        <v>976</v>
      </c>
      <c r="C18" s="219">
        <v>10000</v>
      </c>
      <c r="D18" s="219"/>
      <c r="E18" s="219"/>
      <c r="F18" s="86" t="s">
        <v>982</v>
      </c>
    </row>
    <row r="19" spans="1:6" ht="15" customHeight="1">
      <c r="A19" s="86"/>
      <c r="B19" s="220"/>
      <c r="C19" s="219"/>
      <c r="D19" s="219"/>
      <c r="E19" s="219"/>
      <c r="F19" s="86"/>
    </row>
    <row r="20" spans="1:6" ht="15" customHeight="1">
      <c r="A20" s="86"/>
      <c r="B20" s="86"/>
      <c r="C20" s="219"/>
      <c r="D20" s="219"/>
      <c r="E20" s="219"/>
      <c r="F20" s="86"/>
    </row>
    <row r="21" spans="1:6" ht="15" customHeight="1">
      <c r="A21" s="86"/>
      <c r="B21" s="86"/>
      <c r="C21" s="219"/>
      <c r="D21" s="219"/>
      <c r="E21" s="219"/>
      <c r="F21" s="86"/>
    </row>
    <row r="22" spans="1:6" ht="15" customHeight="1">
      <c r="A22" s="86"/>
      <c r="B22" s="86"/>
      <c r="C22" s="219"/>
      <c r="D22" s="219"/>
      <c r="E22" s="219"/>
      <c r="F22" s="86"/>
    </row>
    <row r="23" spans="1:6" ht="15" customHeight="1">
      <c r="A23" s="86"/>
      <c r="B23" s="86"/>
      <c r="C23" s="219"/>
      <c r="D23" s="219"/>
      <c r="E23" s="219"/>
      <c r="F23" s="86"/>
    </row>
    <row r="24" spans="1:6" ht="15" customHeight="1">
      <c r="A24" s="86"/>
      <c r="B24" s="86"/>
      <c r="C24" s="219"/>
      <c r="D24" s="219"/>
      <c r="E24" s="219"/>
      <c r="F24" s="86"/>
    </row>
    <row r="25" spans="1:6" ht="15" customHeight="1">
      <c r="A25" s="86"/>
      <c r="B25" s="86"/>
      <c r="C25" s="219"/>
      <c r="D25" s="219"/>
      <c r="E25" s="219"/>
      <c r="F25" s="86"/>
    </row>
    <row r="26" spans="1:6" ht="15" customHeight="1">
      <c r="A26" s="86"/>
      <c r="B26" s="86"/>
      <c r="C26" s="219"/>
      <c r="D26" s="219"/>
      <c r="E26" s="219"/>
      <c r="F26" s="86"/>
    </row>
    <row r="27" spans="1:6" ht="15.75">
      <c r="A27" s="112"/>
      <c r="B27" s="221" t="s">
        <v>129</v>
      </c>
      <c r="C27" s="95">
        <f>SUM(C10:C26)</f>
        <v>295000</v>
      </c>
      <c r="D27" s="95">
        <f>SUM(D10:D26)</f>
        <v>0</v>
      </c>
      <c r="E27" s="95">
        <f>SUM(E10:E26)</f>
        <v>0</v>
      </c>
      <c r="F27" s="112"/>
    </row>
    <row r="28" spans="1:6" ht="15.75">
      <c r="A28" s="112"/>
      <c r="B28" s="222" t="s">
        <v>632</v>
      </c>
      <c r="C28" s="79"/>
      <c r="D28" s="80"/>
      <c r="E28" s="80"/>
      <c r="F28" s="112"/>
    </row>
    <row r="29" spans="1:6" ht="15.75">
      <c r="A29" s="112"/>
      <c r="B29" s="221" t="s">
        <v>323</v>
      </c>
      <c r="C29" s="95">
        <f>C27</f>
        <v>295000</v>
      </c>
      <c r="D29" s="95">
        <f>SUM(D27-D28)</f>
        <v>0</v>
      </c>
      <c r="E29" s="95">
        <f>SUM(E27-E28)</f>
        <v>0</v>
      </c>
      <c r="F29" s="112"/>
    </row>
    <row r="30" spans="1:6" ht="15.75">
      <c r="A30" s="112"/>
      <c r="B30" s="112"/>
      <c r="C30" s="112"/>
      <c r="D30" s="112"/>
      <c r="E30" s="112"/>
      <c r="F30" s="112"/>
    </row>
    <row r="31" spans="1:6" ht="15.75">
      <c r="A31" s="112"/>
      <c r="B31" s="112"/>
      <c r="C31" s="112"/>
      <c r="D31" s="112"/>
      <c r="E31" s="112"/>
      <c r="F31" s="112"/>
    </row>
    <row r="32" spans="1:6" ht="15.75">
      <c r="A32" s="411" t="s">
        <v>633</v>
      </c>
      <c r="B32" s="412" t="str">
        <f>CONCATENATE("Adjustments are required only if the transfer is being made in ",D9," and/or ",E9," from a non-budgeted fund.")</f>
        <v>Adjustments are required only if the transfer is being made in 2014 and/or 2015 from a non-budgeted fund.</v>
      </c>
      <c r="C32" s="112"/>
      <c r="D32" s="112"/>
      <c r="E32" s="112"/>
      <c r="F32" s="112"/>
    </row>
  </sheetData>
  <sheetProtection sheet="1"/>
  <mergeCells count="1">
    <mergeCell ref="A5:F5"/>
  </mergeCells>
  <printOptions/>
  <pageMargins left="0.5" right="0.5" top="0.72" bottom="0.23" header="0.5" footer="0"/>
  <pageSetup blackAndWhite="1" fitToHeight="1" fitToWidth="1" horizontalDpi="600" verticalDpi="600" orientation="portrait" scale="83" r:id="rId1"/>
  <headerFooter alignWithMargins="0">
    <oddHeader>&amp;RState of Kansas
County
</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2014-09-08T16:07:21Z</cp:lastPrinted>
  <dcterms:created xsi:type="dcterms:W3CDTF">1998-08-26T13:26:11Z</dcterms:created>
  <dcterms:modified xsi:type="dcterms:W3CDTF">2015-01-01T17:53:43Z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