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bookViews>
    <workbookView xWindow="-12" yWindow="-12" windowWidth="9636" windowHeight="2712" tabRatio="873" activeTab="3"/>
  </bookViews>
  <sheets>
    <sheet name="inputPrYr" sheetId="2" r:id="rId1"/>
    <sheet name="inputOth" sheetId="43" r:id="rId2"/>
    <sheet name="inputBudSum" sheetId="57" r:id="rId3"/>
    <sheet name="cert" sheetId="3" r:id="rId4"/>
    <sheet name="computation" sheetId="33" r:id="rId5"/>
    <sheet name="mvalloc" sheetId="38" r:id="rId6"/>
    <sheet name="transfers" sheetId="6" r:id="rId7"/>
    <sheet name="debt" sheetId="29" r:id="rId8"/>
    <sheet name="lpform" sheetId="30" r:id="rId9"/>
    <sheet name="general" sheetId="8" r:id="rId10"/>
    <sheet name="gen-detail" sheetId="9" r:id="rId11"/>
    <sheet name="road" sheetId="44" r:id="rId12"/>
    <sheet name="NoxWeed EmpBenefits" sheetId="10" r:id="rId13"/>
    <sheet name="Health Hospital" sheetId="12" r:id="rId14"/>
    <sheet name="SpDrug SpParks" sheetId="22" r:id="rId15"/>
    <sheet name="NoxWeedCO 911Emergency" sheetId="23" r:id="rId16"/>
    <sheet name="911Wireless EdwardsCo911" sheetId="24" r:id="rId17"/>
    <sheet name="BlankPage" sheetId="25" r:id="rId18"/>
    <sheet name="nonbudA" sheetId="45" r:id="rId19"/>
    <sheet name="nonbudB" sheetId="46" r:id="rId20"/>
    <sheet name="nonbudC" sheetId="47" r:id="rId21"/>
    <sheet name="nonbudD" sheetId="48" r:id="rId22"/>
    <sheet name="summ" sheetId="27" r:id="rId23"/>
    <sheet name="Nhood" sheetId="49" r:id="rId24"/>
    <sheet name="Pub. Notice Option 1" sheetId="61" r:id="rId25"/>
    <sheet name="Pub. Notice Option 2" sheetId="60" r:id="rId26"/>
  </sheets>
  <definedNames>
    <definedName name="_xlnm.Print_Area" localSheetId="9">general!$A$1:$E$110</definedName>
    <definedName name="_xlnm.Print_Area" localSheetId="13">'Health Hospital'!$A$1:$E$86</definedName>
    <definedName name="_xlnm.Print_Area" localSheetId="2">inputBudSum!$A$1:$F$23</definedName>
    <definedName name="_xlnm.Print_Area" localSheetId="0">inputPrYr!$A$1:$F$125</definedName>
    <definedName name="_xlnm.Print_Area" localSheetId="12">'NoxWeed EmpBenefits'!$A$1:$E$86</definedName>
    <definedName name="_xlnm.Print_Area" localSheetId="11">road!$B$1:$E$50</definedName>
    <definedName name="_xlnm.Print_Area" localSheetId="22">summ!$A$1:$H$51</definedName>
  </definedNames>
  <calcPr calcId="145621"/>
</workbook>
</file>

<file path=xl/calcChain.xml><?xml version="1.0" encoding="utf-8"?>
<calcChain xmlns="http://schemas.openxmlformats.org/spreadsheetml/2006/main">
  <c r="D37" i="9" l="1"/>
  <c r="N17" i="2"/>
  <c r="L23" i="2"/>
  <c r="A1" i="9" l="1"/>
  <c r="A59" i="9"/>
  <c r="A113" i="9"/>
  <c r="A154" i="9"/>
  <c r="A203" i="9"/>
  <c r="C6" i="60"/>
  <c r="H2" i="60"/>
  <c r="C10" i="60" s="1"/>
  <c r="B6" i="61"/>
  <c r="H2" i="61"/>
  <c r="B7" i="61" s="1"/>
  <c r="J14" i="12"/>
  <c r="J13" i="12"/>
  <c r="J29" i="10"/>
  <c r="J28" i="10"/>
  <c r="J32" i="44"/>
  <c r="J31" i="44"/>
  <c r="J91" i="8"/>
  <c r="J90" i="8"/>
  <c r="E42" i="10"/>
  <c r="D42" i="10"/>
  <c r="C42" i="10"/>
  <c r="D41" i="12"/>
  <c r="D77" i="12"/>
  <c r="D82" i="10"/>
  <c r="D39" i="10"/>
  <c r="D47" i="44"/>
  <c r="H40" i="2"/>
  <c r="H39" i="2"/>
  <c r="H38" i="2"/>
  <c r="H37" i="2"/>
  <c r="H36" i="2"/>
  <c r="H35" i="2"/>
  <c r="H34" i="2"/>
  <c r="H33" i="2"/>
  <c r="H32" i="2"/>
  <c r="H31" i="2"/>
  <c r="H30" i="2"/>
  <c r="H29" i="2"/>
  <c r="H28" i="2"/>
  <c r="H27" i="2"/>
  <c r="H26" i="2"/>
  <c r="H25" i="2"/>
  <c r="H24" i="2"/>
  <c r="H23" i="2"/>
  <c r="H22" i="2"/>
  <c r="D48" i="12" s="1"/>
  <c r="D62" i="12" s="1"/>
  <c r="D61" i="12" s="1"/>
  <c r="H21" i="2"/>
  <c r="D8" i="12" s="1"/>
  <c r="D20" i="12" s="1"/>
  <c r="H20" i="2"/>
  <c r="D46" i="10" s="1"/>
  <c r="D60" i="10" s="1"/>
  <c r="D59" i="10" s="1"/>
  <c r="H19" i="2"/>
  <c r="D8" i="10" s="1"/>
  <c r="D20" i="10" s="1"/>
  <c r="D19" i="10" s="1"/>
  <c r="H18" i="2"/>
  <c r="D8" i="44" s="1"/>
  <c r="D24" i="44" s="1"/>
  <c r="D23" i="44" s="1"/>
  <c r="H17" i="2"/>
  <c r="H16" i="2"/>
  <c r="D8" i="8" s="1"/>
  <c r="D44" i="8" s="1"/>
  <c r="D43" i="8" s="1"/>
  <c r="A49" i="27"/>
  <c r="G20" i="57"/>
  <c r="G22" i="57" s="1"/>
  <c r="D107" i="8"/>
  <c r="C73" i="12"/>
  <c r="D73" i="12"/>
  <c r="C37" i="12"/>
  <c r="D37" i="12"/>
  <c r="C78" i="10"/>
  <c r="D78" i="10"/>
  <c r="D96" i="10" s="1"/>
  <c r="C35" i="10"/>
  <c r="D35" i="10"/>
  <c r="C43" i="44"/>
  <c r="D43" i="44"/>
  <c r="C103" i="8"/>
  <c r="D103" i="8"/>
  <c r="A6" i="27"/>
  <c r="A8" i="27"/>
  <c r="D34" i="49"/>
  <c r="D36" i="49" s="1"/>
  <c r="D11" i="49" s="1"/>
  <c r="A118" i="2"/>
  <c r="A117" i="2"/>
  <c r="D88" i="2"/>
  <c r="A1" i="43"/>
  <c r="A2" i="6"/>
  <c r="B1" i="30"/>
  <c r="B1" i="29"/>
  <c r="A1" i="45"/>
  <c r="A1" i="46"/>
  <c r="A1" i="47"/>
  <c r="A1" i="48"/>
  <c r="A5" i="27"/>
  <c r="C24" i="44"/>
  <c r="C25" i="44" s="1"/>
  <c r="C27" i="44" s="1"/>
  <c r="C20" i="10"/>
  <c r="C33" i="10"/>
  <c r="G38" i="10" s="1"/>
  <c r="D33" i="10"/>
  <c r="D18" i="27" s="1"/>
  <c r="C35" i="12"/>
  <c r="G23" i="12" s="1"/>
  <c r="C20" i="12"/>
  <c r="C21" i="12" s="1"/>
  <c r="D35" i="12"/>
  <c r="D20" i="27" s="1"/>
  <c r="C60" i="10"/>
  <c r="C61" i="10" s="1"/>
  <c r="C76" i="10"/>
  <c r="C75" i="10" s="1"/>
  <c r="D76" i="10"/>
  <c r="D75" i="10" s="1"/>
  <c r="C62" i="12"/>
  <c r="C63" i="12" s="1"/>
  <c r="C71" i="12"/>
  <c r="G63" i="12" s="1"/>
  <c r="D71" i="12"/>
  <c r="D70" i="12" s="1"/>
  <c r="E1" i="8"/>
  <c r="G86" i="8" s="1"/>
  <c r="D44" i="12"/>
  <c r="C44" i="12"/>
  <c r="E1" i="44"/>
  <c r="B43" i="44" s="1"/>
  <c r="C44" i="8"/>
  <c r="C45" i="8" s="1"/>
  <c r="C53" i="8" s="1"/>
  <c r="E48" i="8"/>
  <c r="C52" i="8" s="1"/>
  <c r="E1" i="10"/>
  <c r="H86" i="10" s="1"/>
  <c r="E1" i="12"/>
  <c r="H19" i="12" s="1"/>
  <c r="B1" i="12"/>
  <c r="B1" i="10"/>
  <c r="B1" i="44"/>
  <c r="B1" i="8"/>
  <c r="B48" i="8"/>
  <c r="E1" i="22"/>
  <c r="B62" i="22" s="1"/>
  <c r="E1" i="23"/>
  <c r="B31" i="23" s="1"/>
  <c r="E1" i="24"/>
  <c r="B31" i="24" s="1"/>
  <c r="E1" i="25"/>
  <c r="B31" i="25" s="1"/>
  <c r="B1" i="22"/>
  <c r="B1" i="23"/>
  <c r="B1" i="24"/>
  <c r="B1" i="25"/>
  <c r="C62" i="25"/>
  <c r="D62" i="25"/>
  <c r="C31" i="25"/>
  <c r="D31" i="25"/>
  <c r="C62" i="24"/>
  <c r="D62" i="24"/>
  <c r="C31" i="24"/>
  <c r="D31" i="24"/>
  <c r="C62" i="23"/>
  <c r="D62" i="23"/>
  <c r="C31" i="23"/>
  <c r="D31" i="23"/>
  <c r="D31" i="22"/>
  <c r="C31" i="22"/>
  <c r="D62" i="22"/>
  <c r="C62" i="22"/>
  <c r="C60" i="22"/>
  <c r="C59" i="22" s="1"/>
  <c r="C46" i="22"/>
  <c r="C47" i="22" s="1"/>
  <c r="D60" i="22"/>
  <c r="D23" i="27" s="1"/>
  <c r="D46" i="22"/>
  <c r="D45" i="22" s="1"/>
  <c r="E46" i="22"/>
  <c r="E45" i="22" s="1"/>
  <c r="E60" i="22"/>
  <c r="F23" i="27" s="1"/>
  <c r="C60" i="23"/>
  <c r="C46" i="23"/>
  <c r="C47" i="23" s="1"/>
  <c r="D60" i="23"/>
  <c r="D46" i="23"/>
  <c r="D45" i="23" s="1"/>
  <c r="E46" i="23"/>
  <c r="E45" i="23" s="1"/>
  <c r="E60" i="23"/>
  <c r="E62" i="23" s="1"/>
  <c r="C46" i="24"/>
  <c r="C47" i="24" s="1"/>
  <c r="C60" i="24"/>
  <c r="B27" i="27" s="1"/>
  <c r="D60" i="24"/>
  <c r="D46" i="24"/>
  <c r="E46" i="24"/>
  <c r="E45" i="24" s="1"/>
  <c r="E60" i="24"/>
  <c r="E59" i="24" s="1"/>
  <c r="C60" i="25"/>
  <c r="B29" i="27" s="1"/>
  <c r="C46" i="25"/>
  <c r="C47" i="25" s="1"/>
  <c r="D60" i="25"/>
  <c r="D46" i="25"/>
  <c r="D45" i="25" s="1"/>
  <c r="E46" i="25"/>
  <c r="E45" i="25" s="1"/>
  <c r="E60" i="25"/>
  <c r="F29" i="27" s="1"/>
  <c r="C29" i="22"/>
  <c r="B22" i="27" s="1"/>
  <c r="C15" i="22"/>
  <c r="C16" i="22" s="1"/>
  <c r="D29" i="22"/>
  <c r="D28" i="22" s="1"/>
  <c r="D15" i="22"/>
  <c r="D14" i="22" s="1"/>
  <c r="E15" i="22"/>
  <c r="E14" i="22" s="1"/>
  <c r="E29" i="22"/>
  <c r="D27" i="3" s="1"/>
  <c r="C29" i="23"/>
  <c r="B24" i="27" s="1"/>
  <c r="D29" i="23"/>
  <c r="D24" i="27" s="1"/>
  <c r="E29" i="23"/>
  <c r="F24" i="27" s="1"/>
  <c r="C29" i="24"/>
  <c r="B26" i="27" s="1"/>
  <c r="C15" i="24"/>
  <c r="C14" i="24" s="1"/>
  <c r="D29" i="24"/>
  <c r="D15" i="24"/>
  <c r="D14" i="24" s="1"/>
  <c r="E15" i="24"/>
  <c r="E29" i="24"/>
  <c r="F26" i="27" s="1"/>
  <c r="C29" i="25"/>
  <c r="B28" i="27" s="1"/>
  <c r="D29" i="25"/>
  <c r="D28" i="27" s="1"/>
  <c r="E29" i="25"/>
  <c r="F28" i="27" s="1"/>
  <c r="A1" i="49"/>
  <c r="B1" i="38"/>
  <c r="C1" i="33"/>
  <c r="A6" i="3"/>
  <c r="A4" i="3"/>
  <c r="A88" i="2"/>
  <c r="D59" i="2"/>
  <c r="A59" i="2"/>
  <c r="A41" i="2"/>
  <c r="D14" i="2"/>
  <c r="F1" i="49"/>
  <c r="E5" i="49" s="1"/>
  <c r="J28" i="48"/>
  <c r="J17" i="48"/>
  <c r="J18" i="48" s="1"/>
  <c r="H28" i="48"/>
  <c r="H17" i="48"/>
  <c r="H18" i="48" s="1"/>
  <c r="F17" i="48"/>
  <c r="F18" i="48" s="1"/>
  <c r="F28" i="48"/>
  <c r="K28" i="48" s="1"/>
  <c r="B33" i="27" s="1"/>
  <c r="D17" i="48"/>
  <c r="D28" i="48"/>
  <c r="B17" i="48"/>
  <c r="B18" i="48" s="1"/>
  <c r="B28" i="48"/>
  <c r="J17" i="47"/>
  <c r="J18" i="47" s="1"/>
  <c r="J28" i="47"/>
  <c r="H28" i="47"/>
  <c r="H17" i="47"/>
  <c r="H18" i="47" s="1"/>
  <c r="F17" i="47"/>
  <c r="F18" i="47" s="1"/>
  <c r="F28" i="47"/>
  <c r="D17" i="47"/>
  <c r="D18" i="47" s="1"/>
  <c r="D28" i="47"/>
  <c r="B17" i="47"/>
  <c r="B28" i="47"/>
  <c r="J17" i="46"/>
  <c r="J18" i="46" s="1"/>
  <c r="J28" i="46"/>
  <c r="H17" i="46"/>
  <c r="H18" i="46" s="1"/>
  <c r="H28" i="46"/>
  <c r="F17" i="46"/>
  <c r="F18" i="46" s="1"/>
  <c r="F28" i="46"/>
  <c r="D17" i="46"/>
  <c r="D18" i="46" s="1"/>
  <c r="D28" i="46"/>
  <c r="B17" i="46"/>
  <c r="B18" i="46" s="1"/>
  <c r="B28" i="46"/>
  <c r="K28" i="46" s="1"/>
  <c r="B31" i="27" s="1"/>
  <c r="J17" i="45"/>
  <c r="J18" i="45" s="1"/>
  <c r="J28" i="45"/>
  <c r="H17" i="45"/>
  <c r="H18" i="45" s="1"/>
  <c r="H28" i="45"/>
  <c r="F17" i="45"/>
  <c r="F18" i="45" s="1"/>
  <c r="F28" i="45"/>
  <c r="D17" i="45"/>
  <c r="D18" i="45" s="1"/>
  <c r="D28" i="45"/>
  <c r="B28" i="45"/>
  <c r="B17" i="45"/>
  <c r="F14" i="2"/>
  <c r="E14" i="2"/>
  <c r="H15" i="2" s="1"/>
  <c r="G11" i="33"/>
  <c r="E14" i="33"/>
  <c r="E15" i="33"/>
  <c r="G19" i="33"/>
  <c r="E41" i="2"/>
  <c r="E9" i="60" s="1"/>
  <c r="J6" i="33"/>
  <c r="C31" i="38"/>
  <c r="C7" i="38"/>
  <c r="C8" i="38"/>
  <c r="C9" i="38"/>
  <c r="C10" i="38"/>
  <c r="C11" i="38"/>
  <c r="C12" i="38"/>
  <c r="C13" i="38"/>
  <c r="C14" i="38"/>
  <c r="C15" i="38"/>
  <c r="C16" i="38"/>
  <c r="C17" i="38"/>
  <c r="C18" i="38"/>
  <c r="C19" i="38"/>
  <c r="C20" i="38"/>
  <c r="C21" i="38"/>
  <c r="C22" i="38"/>
  <c r="C23" i="38"/>
  <c r="C24" i="38"/>
  <c r="C25" i="38"/>
  <c r="C26" i="38"/>
  <c r="C27" i="38"/>
  <c r="C28" i="38"/>
  <c r="C29" i="38"/>
  <c r="C30" i="38"/>
  <c r="K1" i="48"/>
  <c r="F2" i="48" s="1"/>
  <c r="K1" i="47"/>
  <c r="F2" i="47" s="1"/>
  <c r="K1" i="46"/>
  <c r="F2" i="46" s="1"/>
  <c r="K1" i="45"/>
  <c r="F2" i="45" s="1"/>
  <c r="E1" i="43"/>
  <c r="A7" i="43" s="1"/>
  <c r="C50" i="3"/>
  <c r="C49" i="3"/>
  <c r="D30" i="49"/>
  <c r="E30" i="49"/>
  <c r="D29" i="49"/>
  <c r="E29" i="49"/>
  <c r="D28" i="49"/>
  <c r="E28" i="49"/>
  <c r="D27" i="49"/>
  <c r="E27" i="49"/>
  <c r="D26" i="49"/>
  <c r="E26" i="49"/>
  <c r="D25" i="49"/>
  <c r="E25" i="49"/>
  <c r="D24" i="49"/>
  <c r="E24" i="49"/>
  <c r="D23" i="49"/>
  <c r="E23" i="49"/>
  <c r="D22" i="49"/>
  <c r="E22" i="49"/>
  <c r="D21" i="49"/>
  <c r="E21" i="49"/>
  <c r="D20" i="49"/>
  <c r="E20" i="49"/>
  <c r="D19" i="49"/>
  <c r="E19" i="49"/>
  <c r="D18" i="49"/>
  <c r="E18" i="49"/>
  <c r="D17" i="49"/>
  <c r="E17" i="49"/>
  <c r="D16" i="49"/>
  <c r="E16" i="49"/>
  <c r="D15" i="49"/>
  <c r="E15" i="49"/>
  <c r="D14" i="49"/>
  <c r="E14" i="49"/>
  <c r="D13" i="49"/>
  <c r="E13" i="49"/>
  <c r="D12" i="49"/>
  <c r="D10" i="49"/>
  <c r="D7" i="49"/>
  <c r="E7" i="49"/>
  <c r="D38" i="49"/>
  <c r="D40" i="49" s="1"/>
  <c r="D84" i="8"/>
  <c r="D25" i="27"/>
  <c r="D27" i="27"/>
  <c r="D29" i="27"/>
  <c r="B13" i="9"/>
  <c r="C55" i="8" s="1"/>
  <c r="C84" i="8"/>
  <c r="B23" i="27"/>
  <c r="B25" i="27"/>
  <c r="E34" i="38"/>
  <c r="F36" i="38"/>
  <c r="G38" i="38"/>
  <c r="E14" i="8"/>
  <c r="E15" i="8"/>
  <c r="E13" i="8"/>
  <c r="E84" i="8"/>
  <c r="J1" i="33"/>
  <c r="C15" i="33" s="1"/>
  <c r="B6" i="49"/>
  <c r="B7" i="49"/>
  <c r="B8" i="49"/>
  <c r="B9" i="49"/>
  <c r="B10" i="49"/>
  <c r="B11" i="49"/>
  <c r="B12" i="49"/>
  <c r="B13" i="49"/>
  <c r="B14" i="49"/>
  <c r="B15" i="49"/>
  <c r="B16" i="49"/>
  <c r="B17" i="49"/>
  <c r="B18" i="49"/>
  <c r="B19" i="49"/>
  <c r="B20" i="49"/>
  <c r="B21" i="49"/>
  <c r="B22" i="49"/>
  <c r="B23" i="49"/>
  <c r="B24" i="49"/>
  <c r="B25" i="49"/>
  <c r="B26" i="49"/>
  <c r="B27" i="49"/>
  <c r="B28" i="49"/>
  <c r="B29" i="49"/>
  <c r="B30" i="49"/>
  <c r="C31" i="49"/>
  <c r="H1" i="27"/>
  <c r="J52" i="27" s="1"/>
  <c r="A16" i="27"/>
  <c r="C16" i="27"/>
  <c r="E16" i="27"/>
  <c r="F38" i="27"/>
  <c r="M35" i="27" s="1"/>
  <c r="A17" i="27"/>
  <c r="C17" i="27"/>
  <c r="E17" i="27"/>
  <c r="G47" i="44" s="1"/>
  <c r="A18" i="27"/>
  <c r="C18" i="27"/>
  <c r="E18" i="27"/>
  <c r="G44" i="10" s="1"/>
  <c r="A19" i="27"/>
  <c r="C19" i="27"/>
  <c r="E19" i="27"/>
  <c r="G84" i="10" s="1"/>
  <c r="A20" i="27"/>
  <c r="C20" i="27"/>
  <c r="E20" i="27"/>
  <c r="G29" i="12" s="1"/>
  <c r="A21" i="27"/>
  <c r="C21" i="27"/>
  <c r="E21" i="27"/>
  <c r="G69" i="12" s="1"/>
  <c r="A22" i="27"/>
  <c r="A23" i="27"/>
  <c r="A24" i="27"/>
  <c r="A25" i="27"/>
  <c r="A26" i="27"/>
  <c r="A27" i="27"/>
  <c r="A28" i="27"/>
  <c r="A29" i="27"/>
  <c r="A30" i="27"/>
  <c r="A31" i="27"/>
  <c r="A32" i="27"/>
  <c r="A33" i="27"/>
  <c r="C27" i="6"/>
  <c r="C29" i="6" s="1"/>
  <c r="B35" i="27" s="1"/>
  <c r="D27" i="6"/>
  <c r="D29" i="6" s="1"/>
  <c r="D35" i="27" s="1"/>
  <c r="E27" i="6"/>
  <c r="E29" i="6" s="1"/>
  <c r="F35" i="27" s="1"/>
  <c r="B37" i="27"/>
  <c r="B38" i="27"/>
  <c r="D38" i="27"/>
  <c r="B42" i="27"/>
  <c r="D42" i="27"/>
  <c r="G19" i="29"/>
  <c r="F42" i="27" s="1"/>
  <c r="B43" i="27"/>
  <c r="D43" i="27"/>
  <c r="G27" i="29"/>
  <c r="F43" i="27" s="1"/>
  <c r="B44" i="27"/>
  <c r="D44" i="27"/>
  <c r="G36" i="29"/>
  <c r="F44" i="27" s="1"/>
  <c r="B45" i="27"/>
  <c r="D45" i="27"/>
  <c r="G37" i="30"/>
  <c r="F45" i="27" s="1"/>
  <c r="A5" i="48"/>
  <c r="C5" i="48"/>
  <c r="E5" i="48"/>
  <c r="G5" i="48"/>
  <c r="I5" i="48"/>
  <c r="K7" i="48"/>
  <c r="A5" i="47"/>
  <c r="C5" i="47"/>
  <c r="E5" i="47"/>
  <c r="G5" i="47"/>
  <c r="I5" i="47"/>
  <c r="K7" i="47"/>
  <c r="A5" i="46"/>
  <c r="C5" i="46"/>
  <c r="E5" i="46"/>
  <c r="G5" i="46"/>
  <c r="I5" i="46"/>
  <c r="K7" i="46"/>
  <c r="A5" i="45"/>
  <c r="C5" i="45"/>
  <c r="E5" i="45"/>
  <c r="G5" i="45"/>
  <c r="I5" i="45"/>
  <c r="K7" i="45"/>
  <c r="C5" i="25"/>
  <c r="C36" i="25" s="1"/>
  <c r="D5" i="25"/>
  <c r="D36" i="25" s="1"/>
  <c r="E5" i="25"/>
  <c r="E36" i="25" s="1"/>
  <c r="B6" i="25"/>
  <c r="C15" i="25"/>
  <c r="C16" i="25" s="1"/>
  <c r="D15" i="25"/>
  <c r="D14" i="25" s="1"/>
  <c r="E15" i="25"/>
  <c r="E14" i="25" s="1"/>
  <c r="B37" i="25"/>
  <c r="D59" i="25"/>
  <c r="C5" i="24"/>
  <c r="C36" i="24" s="1"/>
  <c r="D5" i="24"/>
  <c r="D36" i="24" s="1"/>
  <c r="E5" i="24"/>
  <c r="E36" i="24" s="1"/>
  <c r="B6" i="24"/>
  <c r="E14" i="24"/>
  <c r="C28" i="24"/>
  <c r="B37" i="24"/>
  <c r="D45" i="24"/>
  <c r="C59" i="24"/>
  <c r="D59" i="24"/>
  <c r="C5" i="23"/>
  <c r="C36" i="23" s="1"/>
  <c r="D5" i="23"/>
  <c r="D36" i="23" s="1"/>
  <c r="E5" i="23"/>
  <c r="E36" i="23" s="1"/>
  <c r="B6" i="23"/>
  <c r="C15" i="23"/>
  <c r="C16" i="23" s="1"/>
  <c r="D15" i="23"/>
  <c r="D14" i="23" s="1"/>
  <c r="E15" i="23"/>
  <c r="E14" i="23" s="1"/>
  <c r="B37" i="23"/>
  <c r="C59" i="23"/>
  <c r="D59" i="23"/>
  <c r="C5" i="22"/>
  <c r="C36" i="22" s="1"/>
  <c r="D5" i="22"/>
  <c r="D36" i="22" s="1"/>
  <c r="E5" i="22"/>
  <c r="E36" i="22" s="1"/>
  <c r="B6" i="22"/>
  <c r="B37" i="22"/>
  <c r="E44" i="12"/>
  <c r="B5" i="12"/>
  <c r="B45" i="12"/>
  <c r="B5" i="10"/>
  <c r="C32" i="10"/>
  <c r="B43" i="10"/>
  <c r="B5" i="44"/>
  <c r="D1" i="9"/>
  <c r="D154" i="9" s="1"/>
  <c r="B62" i="9"/>
  <c r="C62" i="9"/>
  <c r="D116" i="9"/>
  <c r="C13" i="9"/>
  <c r="D55" i="8" s="1"/>
  <c r="D13" i="9"/>
  <c r="E55" i="8" s="1"/>
  <c r="B20" i="9"/>
  <c r="C56" i="8" s="1"/>
  <c r="C20" i="9"/>
  <c r="D56" i="8" s="1"/>
  <c r="D20" i="9"/>
  <c r="E56" i="8" s="1"/>
  <c r="B26" i="9"/>
  <c r="C57" i="8" s="1"/>
  <c r="C26" i="9"/>
  <c r="D57" i="8" s="1"/>
  <c r="D26" i="9"/>
  <c r="E57" i="8" s="1"/>
  <c r="B32" i="9"/>
  <c r="C58" i="8" s="1"/>
  <c r="C32" i="9"/>
  <c r="D58" i="8" s="1"/>
  <c r="D32" i="9"/>
  <c r="E58" i="8" s="1"/>
  <c r="B38" i="9"/>
  <c r="C59" i="8" s="1"/>
  <c r="C38" i="9"/>
  <c r="D59" i="8" s="1"/>
  <c r="D38" i="9"/>
  <c r="E59" i="8" s="1"/>
  <c r="B45" i="9"/>
  <c r="C60" i="8" s="1"/>
  <c r="C45" i="9"/>
  <c r="D60" i="8" s="1"/>
  <c r="D45" i="9"/>
  <c r="E60" i="8" s="1"/>
  <c r="B53" i="9"/>
  <c r="C61" i="8" s="1"/>
  <c r="C53" i="9"/>
  <c r="D61" i="8" s="1"/>
  <c r="D53" i="9"/>
  <c r="E61" i="8" s="1"/>
  <c r="D62" i="9"/>
  <c r="B70" i="9"/>
  <c r="C62" i="8" s="1"/>
  <c r="C70" i="9"/>
  <c r="D62" i="8" s="1"/>
  <c r="D70" i="9"/>
  <c r="E62" i="8" s="1"/>
  <c r="B76" i="9"/>
  <c r="C63" i="8" s="1"/>
  <c r="C76" i="9"/>
  <c r="D63" i="8" s="1"/>
  <c r="D76" i="9"/>
  <c r="E63" i="8" s="1"/>
  <c r="B82" i="9"/>
  <c r="C64" i="8" s="1"/>
  <c r="C82" i="9"/>
  <c r="D64" i="8" s="1"/>
  <c r="D82" i="9"/>
  <c r="E64" i="8" s="1"/>
  <c r="B88" i="9"/>
  <c r="C65" i="8" s="1"/>
  <c r="C88" i="9"/>
  <c r="D65" i="8" s="1"/>
  <c r="D88" i="9"/>
  <c r="E65" i="8" s="1"/>
  <c r="B91" i="9"/>
  <c r="C66" i="8" s="1"/>
  <c r="C91" i="9"/>
  <c r="D66" i="8" s="1"/>
  <c r="D91" i="9"/>
  <c r="E66" i="8" s="1"/>
  <c r="B94" i="9"/>
  <c r="C67" i="8" s="1"/>
  <c r="C94" i="9"/>
  <c r="D67" i="8" s="1"/>
  <c r="D94" i="9"/>
  <c r="E67" i="8" s="1"/>
  <c r="B101" i="9"/>
  <c r="C68" i="8" s="1"/>
  <c r="C101" i="9"/>
  <c r="D68" i="8" s="1"/>
  <c r="D101" i="9"/>
  <c r="E68" i="8" s="1"/>
  <c r="B108" i="9"/>
  <c r="C69" i="8" s="1"/>
  <c r="C108" i="9"/>
  <c r="D69" i="8" s="1"/>
  <c r="D108" i="9"/>
  <c r="E69" i="8" s="1"/>
  <c r="B116" i="9"/>
  <c r="B121" i="9"/>
  <c r="C70" i="8" s="1"/>
  <c r="C121" i="9"/>
  <c r="D70" i="8" s="1"/>
  <c r="D121" i="9"/>
  <c r="B124" i="9"/>
  <c r="C71" i="8" s="1"/>
  <c r="C124" i="9"/>
  <c r="D71" i="8" s="1"/>
  <c r="D124" i="9"/>
  <c r="E71" i="8" s="1"/>
  <c r="B127" i="9"/>
  <c r="C72" i="8" s="1"/>
  <c r="C127" i="9"/>
  <c r="D72" i="8" s="1"/>
  <c r="D127" i="9"/>
  <c r="E72" i="8" s="1"/>
  <c r="B130" i="9"/>
  <c r="C73" i="8" s="1"/>
  <c r="C130" i="9"/>
  <c r="D130" i="9"/>
  <c r="E73" i="8" s="1"/>
  <c r="B136" i="9"/>
  <c r="C74" i="8" s="1"/>
  <c r="C136" i="9"/>
  <c r="D74" i="8" s="1"/>
  <c r="D136" i="9"/>
  <c r="E74" i="8" s="1"/>
  <c r="B143" i="9"/>
  <c r="C75" i="8" s="1"/>
  <c r="C143" i="9"/>
  <c r="D75" i="8" s="1"/>
  <c r="D143" i="9"/>
  <c r="E75" i="8" s="1"/>
  <c r="B146" i="9"/>
  <c r="C76" i="8" s="1"/>
  <c r="C146" i="9"/>
  <c r="D76" i="8" s="1"/>
  <c r="D146" i="9"/>
  <c r="E76" i="8" s="1"/>
  <c r="B149" i="9"/>
  <c r="C77" i="8" s="1"/>
  <c r="C149" i="9"/>
  <c r="D77" i="8" s="1"/>
  <c r="D149" i="9"/>
  <c r="E77" i="8" s="1"/>
  <c r="B162" i="9"/>
  <c r="C78" i="8" s="1"/>
  <c r="C162" i="9"/>
  <c r="D78" i="8" s="1"/>
  <c r="D162" i="9"/>
  <c r="E78" i="8" s="1"/>
  <c r="B165" i="9"/>
  <c r="C79" i="8" s="1"/>
  <c r="C165" i="9"/>
  <c r="D79" i="8" s="1"/>
  <c r="D165" i="9"/>
  <c r="E79" i="8" s="1"/>
  <c r="B168" i="9"/>
  <c r="C80" i="8" s="1"/>
  <c r="C168" i="9"/>
  <c r="D80" i="8" s="1"/>
  <c r="D168" i="9"/>
  <c r="E80" i="8" s="1"/>
  <c r="B171" i="9"/>
  <c r="C81" i="8" s="1"/>
  <c r="C171" i="9"/>
  <c r="D81" i="8" s="1"/>
  <c r="D171" i="9"/>
  <c r="E81" i="8" s="1"/>
  <c r="B177" i="9"/>
  <c r="C82" i="8" s="1"/>
  <c r="C177" i="9"/>
  <c r="D82" i="8" s="1"/>
  <c r="D177" i="9"/>
  <c r="E82" i="8" s="1"/>
  <c r="B183" i="9"/>
  <c r="C83" i="8" s="1"/>
  <c r="C183" i="9"/>
  <c r="D83" i="8" s="1"/>
  <c r="D183" i="9"/>
  <c r="E83" i="8" s="1"/>
  <c r="B186" i="9"/>
  <c r="C186" i="9"/>
  <c r="D186" i="9"/>
  <c r="B192" i="9"/>
  <c r="C85" i="8" s="1"/>
  <c r="C192" i="9"/>
  <c r="D85" i="8" s="1"/>
  <c r="D192" i="9"/>
  <c r="E85" i="8" s="1"/>
  <c r="B198" i="9"/>
  <c r="C86" i="8" s="1"/>
  <c r="C198" i="9"/>
  <c r="D86" i="8" s="1"/>
  <c r="D198" i="9"/>
  <c r="E86" i="8" s="1"/>
  <c r="D206" i="9"/>
  <c r="B214" i="9"/>
  <c r="C87" i="8" s="1"/>
  <c r="C214" i="9"/>
  <c r="D87" i="8" s="1"/>
  <c r="D214" i="9"/>
  <c r="E87" i="8" s="1"/>
  <c r="B220" i="9"/>
  <c r="C88" i="8" s="1"/>
  <c r="C220" i="9"/>
  <c r="D88" i="8" s="1"/>
  <c r="D220" i="9"/>
  <c r="E88" i="8" s="1"/>
  <c r="B226" i="9"/>
  <c r="C89" i="8" s="1"/>
  <c r="C226" i="9"/>
  <c r="D89" i="8" s="1"/>
  <c r="D226" i="9"/>
  <c r="B232" i="9"/>
  <c r="C90" i="8" s="1"/>
  <c r="C232" i="9"/>
  <c r="D90" i="8" s="1"/>
  <c r="D232" i="9"/>
  <c r="E90" i="8" s="1"/>
  <c r="B236" i="9"/>
  <c r="C91" i="8" s="1"/>
  <c r="C236" i="9"/>
  <c r="D91" i="8" s="1"/>
  <c r="D236" i="9"/>
  <c r="E91" i="8" s="1"/>
  <c r="B242" i="9"/>
  <c r="C92" i="8" s="1"/>
  <c r="C242" i="9"/>
  <c r="D92" i="8" s="1"/>
  <c r="D242" i="9"/>
  <c r="E92" i="8" s="1"/>
  <c r="B248" i="9"/>
  <c r="C93" i="8" s="1"/>
  <c r="C248" i="9"/>
  <c r="D93" i="8" s="1"/>
  <c r="D248" i="9"/>
  <c r="E93" i="8" s="1"/>
  <c r="B5" i="8"/>
  <c r="C43"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I1" i="30"/>
  <c r="G9" i="30" s="1"/>
  <c r="H37" i="30"/>
  <c r="I37" i="30"/>
  <c r="M1" i="29"/>
  <c r="J6" i="29" s="1"/>
  <c r="J19" i="29"/>
  <c r="K19" i="29"/>
  <c r="K37" i="29" s="1"/>
  <c r="L19" i="29"/>
  <c r="M19" i="29"/>
  <c r="J27" i="29"/>
  <c r="K27" i="29"/>
  <c r="L27" i="29"/>
  <c r="M27" i="29"/>
  <c r="J36" i="29"/>
  <c r="K36" i="29"/>
  <c r="L36" i="29"/>
  <c r="M36" i="29"/>
  <c r="F2" i="6"/>
  <c r="C9" i="6" s="1"/>
  <c r="I1" i="38"/>
  <c r="C5" i="38" s="1"/>
  <c r="B7" i="38"/>
  <c r="D7" i="38"/>
  <c r="B8" i="38"/>
  <c r="D8" i="38"/>
  <c r="B9" i="38"/>
  <c r="D9" i="38"/>
  <c r="B10" i="38"/>
  <c r="D10" i="38"/>
  <c r="B11" i="38"/>
  <c r="D11" i="38"/>
  <c r="B12" i="38"/>
  <c r="D12" i="38"/>
  <c r="B13" i="38"/>
  <c r="D13" i="38"/>
  <c r="B14" i="38"/>
  <c r="D14" i="38"/>
  <c r="B15" i="38"/>
  <c r="D15" i="38"/>
  <c r="B16" i="38"/>
  <c r="D16" i="38"/>
  <c r="B17" i="38"/>
  <c r="D17" i="38"/>
  <c r="B18" i="38"/>
  <c r="D18" i="38"/>
  <c r="B19" i="38"/>
  <c r="D19" i="38"/>
  <c r="B20" i="38"/>
  <c r="D20" i="38"/>
  <c r="B21" i="38"/>
  <c r="D21" i="38"/>
  <c r="B22" i="38"/>
  <c r="D22" i="38"/>
  <c r="B23" i="38"/>
  <c r="D23" i="38"/>
  <c r="B24" i="38"/>
  <c r="D24" i="38"/>
  <c r="B25" i="38"/>
  <c r="D25" i="38"/>
  <c r="B26" i="38"/>
  <c r="D26" i="38"/>
  <c r="B27" i="38"/>
  <c r="D27" i="38"/>
  <c r="B28" i="38"/>
  <c r="D28" i="38"/>
  <c r="B29" i="38"/>
  <c r="D29" i="38"/>
  <c r="B30" i="38"/>
  <c r="D30" i="38"/>
  <c r="B31" i="38"/>
  <c r="D31" i="38"/>
  <c r="E23" i="33"/>
  <c r="F3" i="3"/>
  <c r="D12" i="3" s="1"/>
  <c r="A21" i="3"/>
  <c r="B21" i="3"/>
  <c r="A22" i="3"/>
  <c r="B22" i="3"/>
  <c r="A23" i="3"/>
  <c r="B23" i="3"/>
  <c r="C23" i="3"/>
  <c r="A24" i="3"/>
  <c r="B24" i="3"/>
  <c r="C24" i="3"/>
  <c r="A25" i="3"/>
  <c r="B25" i="3"/>
  <c r="C25" i="3"/>
  <c r="A26" i="3"/>
  <c r="B26" i="3"/>
  <c r="C26" i="3"/>
  <c r="A27" i="3"/>
  <c r="C27" i="3"/>
  <c r="A28" i="3"/>
  <c r="C28" i="3"/>
  <c r="A29" i="3"/>
  <c r="C29" i="3"/>
  <c r="D29" i="3"/>
  <c r="A30" i="3"/>
  <c r="C30" i="3"/>
  <c r="A31" i="3"/>
  <c r="C31" i="3"/>
  <c r="D31" i="3"/>
  <c r="A32" i="3"/>
  <c r="C32" i="3"/>
  <c r="A33" i="3"/>
  <c r="C33" i="3"/>
  <c r="A34" i="3"/>
  <c r="C34" i="3"/>
  <c r="A43" i="3"/>
  <c r="C43" i="3"/>
  <c r="A44" i="3"/>
  <c r="C44" i="3"/>
  <c r="A45" i="3"/>
  <c r="C45" i="3"/>
  <c r="A46" i="3"/>
  <c r="C46" i="3"/>
  <c r="C48" i="3"/>
  <c r="A30" i="43"/>
  <c r="A31" i="43"/>
  <c r="A32" i="43"/>
  <c r="A33" i="43"/>
  <c r="A34" i="43"/>
  <c r="A35" i="43"/>
  <c r="A36" i="43"/>
  <c r="A37" i="43"/>
  <c r="A38" i="43"/>
  <c r="A39" i="43"/>
  <c r="A40" i="43"/>
  <c r="A41" i="43"/>
  <c r="A42" i="43"/>
  <c r="A43" i="43"/>
  <c r="A44" i="43"/>
  <c r="A45" i="43"/>
  <c r="A46" i="43"/>
  <c r="A47" i="43"/>
  <c r="A48" i="43"/>
  <c r="A49" i="43"/>
  <c r="A50" i="43"/>
  <c r="A51" i="43"/>
  <c r="A52" i="43"/>
  <c r="A53" i="43"/>
  <c r="A54" i="43"/>
  <c r="A55" i="43"/>
  <c r="A56" i="43"/>
  <c r="A57" i="43"/>
  <c r="A58" i="43"/>
  <c r="A59" i="43"/>
  <c r="A60" i="43"/>
  <c r="A61" i="43"/>
  <c r="A62" i="43"/>
  <c r="A63" i="43"/>
  <c r="A64" i="43"/>
  <c r="A65" i="43"/>
  <c r="A66" i="43"/>
  <c r="A67" i="43"/>
  <c r="A68" i="43"/>
  <c r="A69" i="43"/>
  <c r="A70" i="43"/>
  <c r="A11" i="2"/>
  <c r="F41" i="2"/>
  <c r="A85" i="2"/>
  <c r="B90" i="2"/>
  <c r="B91" i="2"/>
  <c r="B92" i="2"/>
  <c r="B93" i="2"/>
  <c r="B94" i="2"/>
  <c r="B95" i="2"/>
  <c r="B96" i="2"/>
  <c r="B97" i="2"/>
  <c r="B98" i="2"/>
  <c r="B99" i="2"/>
  <c r="B100" i="2"/>
  <c r="B101" i="2"/>
  <c r="B102" i="2"/>
  <c r="B103" i="2"/>
  <c r="B104" i="2"/>
  <c r="B105" i="2"/>
  <c r="B106" i="2"/>
  <c r="B107" i="2"/>
  <c r="B108" i="2"/>
  <c r="B109" i="2"/>
  <c r="B110" i="2"/>
  <c r="B111" i="2"/>
  <c r="B112" i="2"/>
  <c r="B113" i="2"/>
  <c r="B114" i="2"/>
  <c r="D115" i="2"/>
  <c r="A120" i="2"/>
  <c r="D121" i="2"/>
  <c r="E121" i="2"/>
  <c r="C206" i="9"/>
  <c r="C157" i="9"/>
  <c r="C116" i="9"/>
  <c r="D63" i="23"/>
  <c r="D157" i="9"/>
  <c r="B206" i="9"/>
  <c r="B157" i="9"/>
  <c r="C63" i="24"/>
  <c r="C94" i="10"/>
  <c r="C32" i="24"/>
  <c r="G106" i="8"/>
  <c r="G30" i="38"/>
  <c r="E28" i="38"/>
  <c r="E26" i="38"/>
  <c r="F22" i="38"/>
  <c r="F16" i="38"/>
  <c r="F14" i="38"/>
  <c r="F31" i="38"/>
  <c r="H42" i="44"/>
  <c r="H46" i="44"/>
  <c r="G28" i="38"/>
  <c r="F24" i="38"/>
  <c r="E22" i="38"/>
  <c r="F20" i="38"/>
  <c r="F30" i="38"/>
  <c r="G17" i="38"/>
  <c r="G29" i="38"/>
  <c r="G19" i="38"/>
  <c r="G21" i="38"/>
  <c r="G23" i="38"/>
  <c r="G25" i="38"/>
  <c r="G27" i="38"/>
  <c r="G26" i="38"/>
  <c r="G22" i="38"/>
  <c r="G18" i="38"/>
  <c r="G16" i="38"/>
  <c r="G14" i="38"/>
  <c r="G31" i="38"/>
  <c r="G15" i="38"/>
  <c r="F15" i="38"/>
  <c r="F17" i="38"/>
  <c r="F19" i="38"/>
  <c r="F21" i="38"/>
  <c r="F23" i="38"/>
  <c r="F25" i="38"/>
  <c r="F27" i="38"/>
  <c r="F18" i="38"/>
  <c r="F28" i="38"/>
  <c r="F26" i="38"/>
  <c r="F29" i="38"/>
  <c r="E17" i="38"/>
  <c r="E19" i="38"/>
  <c r="E21" i="38"/>
  <c r="E23" i="38"/>
  <c r="E25" i="38"/>
  <c r="E27" i="38"/>
  <c r="E16" i="38"/>
  <c r="E14" i="38"/>
  <c r="E30" i="38"/>
  <c r="E31" i="38"/>
  <c r="E24" i="38"/>
  <c r="E20" i="38"/>
  <c r="E18" i="38"/>
  <c r="E15" i="38"/>
  <c r="E29" i="38"/>
  <c r="G20" i="38"/>
  <c r="G24" i="38"/>
  <c r="J27" i="10"/>
  <c r="J53" i="12"/>
  <c r="J54" i="12"/>
  <c r="J52" i="12"/>
  <c r="J12" i="12"/>
  <c r="J68" i="10"/>
  <c r="J69" i="10"/>
  <c r="J67" i="10"/>
  <c r="J30" i="44"/>
  <c r="J89" i="8"/>
  <c r="D73" i="8"/>
  <c r="C5" i="49"/>
  <c r="C28" i="25"/>
  <c r="D18" i="48"/>
  <c r="D29" i="48" s="1"/>
  <c r="D30" i="48" s="1"/>
  <c r="C21" i="10"/>
  <c r="C19" i="10"/>
  <c r="E89" i="8"/>
  <c r="G78" i="10"/>
  <c r="B19" i="27"/>
  <c r="D26" i="27"/>
  <c r="D28" i="24"/>
  <c r="D30" i="3"/>
  <c r="D32" i="10"/>
  <c r="F22" i="27"/>
  <c r="D19" i="27"/>
  <c r="C63" i="22"/>
  <c r="K28" i="47"/>
  <c r="B32" i="27" s="1"/>
  <c r="D28" i="25"/>
  <c r="G90" i="8"/>
  <c r="D5" i="49"/>
  <c r="C5" i="10"/>
  <c r="C43" i="10" s="1"/>
  <c r="H43" i="10"/>
  <c r="D34" i="3"/>
  <c r="E62" i="24"/>
  <c r="D32" i="3"/>
  <c r="E31" i="24"/>
  <c r="E31" i="22"/>
  <c r="A10" i="27"/>
  <c r="A43" i="49"/>
  <c r="A34" i="49"/>
  <c r="B3" i="49"/>
  <c r="B62" i="25"/>
  <c r="B37" i="33"/>
  <c r="B5" i="49"/>
  <c r="B41" i="33"/>
  <c r="B19" i="33"/>
  <c r="C5" i="44"/>
  <c r="F13" i="27"/>
  <c r="H45" i="10"/>
  <c r="H98" i="8"/>
  <c r="E5" i="8"/>
  <c r="E6" i="22" s="1"/>
  <c r="E37" i="22" s="1"/>
  <c r="G14" i="27"/>
  <c r="D5" i="8"/>
  <c r="D6" i="24" s="1"/>
  <c r="D37" i="24" s="1"/>
  <c r="G7" i="29"/>
  <c r="H107" i="8"/>
  <c r="J46" i="27"/>
  <c r="E52" i="8"/>
  <c r="H95" i="8"/>
  <c r="B41" i="27"/>
  <c r="C5" i="8"/>
  <c r="C6" i="25" s="1"/>
  <c r="C37" i="25" s="1"/>
  <c r="J55" i="27"/>
  <c r="A14" i="43"/>
  <c r="H101" i="8"/>
  <c r="A3" i="33"/>
  <c r="D41" i="27" l="1"/>
  <c r="H39" i="10"/>
  <c r="C59" i="25"/>
  <c r="H24" i="12"/>
  <c r="H68" i="12"/>
  <c r="F41" i="27"/>
  <c r="J53" i="27"/>
  <c r="H79" i="10"/>
  <c r="F27" i="27"/>
  <c r="D52" i="8"/>
  <c r="G53" i="12"/>
  <c r="H74" i="10"/>
  <c r="J33" i="27"/>
  <c r="H60" i="12"/>
  <c r="H18" i="12"/>
  <c r="A11" i="43"/>
  <c r="J47" i="27"/>
  <c r="J40" i="27"/>
  <c r="A6" i="43"/>
  <c r="J54" i="27"/>
  <c r="H23" i="12"/>
  <c r="J39" i="27"/>
  <c r="J44" i="27"/>
  <c r="J37" i="27"/>
  <c r="H84" i="10"/>
  <c r="E5" i="38"/>
  <c r="H71" i="12"/>
  <c r="A9" i="43"/>
  <c r="C61" i="12"/>
  <c r="D8" i="49"/>
  <c r="J37" i="29"/>
  <c r="C27" i="43"/>
  <c r="D13" i="27"/>
  <c r="A26" i="43"/>
  <c r="D5" i="38"/>
  <c r="B27" i="43"/>
  <c r="D59" i="9"/>
  <c r="E28" i="22"/>
  <c r="E31" i="25"/>
  <c r="C16" i="24"/>
  <c r="C30" i="24" s="1"/>
  <c r="D7" i="24" s="1"/>
  <c r="D16" i="24" s="1"/>
  <c r="D30" i="24" s="1"/>
  <c r="A10" i="43"/>
  <c r="E28" i="25"/>
  <c r="A8" i="43"/>
  <c r="B13" i="27"/>
  <c r="A10" i="3"/>
  <c r="A22" i="43"/>
  <c r="A5" i="43"/>
  <c r="G64" i="10"/>
  <c r="E59" i="22"/>
  <c r="G56" i="12"/>
  <c r="C63" i="25"/>
  <c r="C34" i="10"/>
  <c r="C95" i="10" s="1"/>
  <c r="C34" i="12"/>
  <c r="D6" i="49"/>
  <c r="D9" i="49"/>
  <c r="E9" i="49" s="1"/>
  <c r="F25" i="27"/>
  <c r="E59" i="23"/>
  <c r="C59" i="10"/>
  <c r="E11" i="49"/>
  <c r="E32" i="12" s="1"/>
  <c r="E35" i="12" s="1"/>
  <c r="E34" i="12" s="1"/>
  <c r="E8" i="49"/>
  <c r="E38" i="44" s="1"/>
  <c r="E41" i="44" s="1"/>
  <c r="F17" i="27" s="1"/>
  <c r="E10" i="49"/>
  <c r="E73" i="10" s="1"/>
  <c r="E76" i="10" s="1"/>
  <c r="E12" i="49"/>
  <c r="E68" i="12" s="1"/>
  <c r="E71" i="12" s="1"/>
  <c r="D26" i="3" s="1"/>
  <c r="E6" i="49"/>
  <c r="E98" i="8" s="1"/>
  <c r="D33" i="3"/>
  <c r="E59" i="25"/>
  <c r="E62" i="25"/>
  <c r="D28" i="23"/>
  <c r="L6" i="29"/>
  <c r="G37" i="29"/>
  <c r="B46" i="27"/>
  <c r="G21" i="57"/>
  <c r="G19" i="57" s="1"/>
  <c r="C14" i="23"/>
  <c r="E6" i="24"/>
  <c r="E37" i="24" s="1"/>
  <c r="H29" i="48"/>
  <c r="H30" i="48" s="1"/>
  <c r="J29" i="48"/>
  <c r="J30" i="48" s="1"/>
  <c r="C61" i="22"/>
  <c r="C64" i="22" s="1"/>
  <c r="B62" i="23"/>
  <c r="C30" i="25"/>
  <c r="D7" i="25" s="1"/>
  <c r="D16" i="25" s="1"/>
  <c r="D30" i="25" s="1"/>
  <c r="D63" i="25"/>
  <c r="C32" i="25"/>
  <c r="D21" i="27"/>
  <c r="C6" i="23"/>
  <c r="C37" i="23" s="1"/>
  <c r="H9" i="30"/>
  <c r="C32" i="38"/>
  <c r="F43" i="38" s="1"/>
  <c r="F8" i="38" s="1"/>
  <c r="D32" i="38"/>
  <c r="D32" i="25"/>
  <c r="C61" i="25"/>
  <c r="D38" i="25" s="1"/>
  <c r="D47" i="25" s="1"/>
  <c r="D61" i="25" s="1"/>
  <c r="D64" i="25" s="1"/>
  <c r="D32" i="23"/>
  <c r="C32" i="22"/>
  <c r="C6" i="22"/>
  <c r="C37" i="22" s="1"/>
  <c r="M37" i="29"/>
  <c r="D9" i="6"/>
  <c r="G16" i="33"/>
  <c r="G21" i="33" s="1"/>
  <c r="G25" i="33" s="1"/>
  <c r="F29" i="48"/>
  <c r="F30" i="48" s="1"/>
  <c r="D29" i="47"/>
  <c r="D30" i="47" s="1"/>
  <c r="C45" i="25"/>
  <c r="C61" i="24"/>
  <c r="D32" i="24"/>
  <c r="D63" i="24"/>
  <c r="D55" i="9"/>
  <c r="B23" i="33"/>
  <c r="B35" i="33"/>
  <c r="B33" i="33"/>
  <c r="G23" i="57"/>
  <c r="D37" i="27"/>
  <c r="C55" i="9"/>
  <c r="D6" i="23"/>
  <c r="D37" i="23" s="1"/>
  <c r="J29" i="47"/>
  <c r="J30" i="47" s="1"/>
  <c r="H29" i="47"/>
  <c r="H30" i="47" s="1"/>
  <c r="F29" i="47"/>
  <c r="F30" i="47" s="1"/>
  <c r="J29" i="46"/>
  <c r="J30" i="46" s="1"/>
  <c r="H29" i="46"/>
  <c r="H30" i="46" s="1"/>
  <c r="F29" i="46"/>
  <c r="F30" i="46" s="1"/>
  <c r="D29" i="46"/>
  <c r="D30" i="46" s="1"/>
  <c r="J29" i="45"/>
  <c r="J30" i="45" s="1"/>
  <c r="F29" i="45"/>
  <c r="F30" i="45" s="1"/>
  <c r="K28" i="45"/>
  <c r="B30" i="27" s="1"/>
  <c r="D29" i="45"/>
  <c r="D30" i="45" s="1"/>
  <c r="C61" i="23"/>
  <c r="D38" i="23" s="1"/>
  <c r="D47" i="23" s="1"/>
  <c r="D61" i="23" s="1"/>
  <c r="B55" i="9"/>
  <c r="D91" i="12"/>
  <c r="C77" i="10"/>
  <c r="D44" i="10" s="1"/>
  <c r="D61" i="10" s="1"/>
  <c r="D77" i="10" s="1"/>
  <c r="E44" i="10" s="1"/>
  <c r="D5" i="44"/>
  <c r="H41" i="44"/>
  <c r="H36" i="44"/>
  <c r="G31" i="44"/>
  <c r="G27" i="44"/>
  <c r="C34" i="27"/>
  <c r="D200" i="9"/>
  <c r="D258" i="9" s="1"/>
  <c r="C252" i="9"/>
  <c r="D252" i="9"/>
  <c r="D250" i="9"/>
  <c r="C200" i="9"/>
  <c r="C258" i="9" s="1"/>
  <c r="D151" i="9"/>
  <c r="D256" i="9" s="1"/>
  <c r="E34" i="27"/>
  <c r="G86" i="10" s="1"/>
  <c r="M54" i="27"/>
  <c r="K17" i="48"/>
  <c r="K30" i="48" s="1"/>
  <c r="K17" i="47"/>
  <c r="K30" i="47" s="1"/>
  <c r="K17" i="46"/>
  <c r="K30" i="46" s="1"/>
  <c r="K17" i="45"/>
  <c r="H29" i="45"/>
  <c r="H30" i="45" s="1"/>
  <c r="C45" i="24"/>
  <c r="E28" i="24"/>
  <c r="E31" i="23"/>
  <c r="C45" i="23"/>
  <c r="E28" i="23"/>
  <c r="C28" i="23"/>
  <c r="C30" i="23"/>
  <c r="D7" i="23" s="1"/>
  <c r="D16" i="23" s="1"/>
  <c r="D30" i="23" s="1"/>
  <c r="D28" i="3"/>
  <c r="E62" i="22"/>
  <c r="C45" i="22"/>
  <c r="C28" i="22"/>
  <c r="D22" i="27"/>
  <c r="C30" i="22"/>
  <c r="D7" i="22" s="1"/>
  <c r="D16" i="22" s="1"/>
  <c r="D30" i="22" s="1"/>
  <c r="H61" i="12"/>
  <c r="B73" i="12"/>
  <c r="H58" i="12"/>
  <c r="G16" i="12"/>
  <c r="H69" i="12"/>
  <c r="B37" i="12"/>
  <c r="H59" i="12"/>
  <c r="D34" i="12"/>
  <c r="C72" i="12"/>
  <c r="D46" i="12" s="1"/>
  <c r="D63" i="12" s="1"/>
  <c r="C36" i="12"/>
  <c r="D6" i="12" s="1"/>
  <c r="D21" i="12" s="1"/>
  <c r="D36" i="12" s="1"/>
  <c r="H73" i="10"/>
  <c r="H75" i="10"/>
  <c r="B35" i="10"/>
  <c r="H36" i="10"/>
  <c r="H44" i="10"/>
  <c r="G68" i="10"/>
  <c r="G24" i="10"/>
  <c r="D5" i="10"/>
  <c r="D43" i="10" s="1"/>
  <c r="H83" i="10"/>
  <c r="H85" i="10"/>
  <c r="H34" i="10"/>
  <c r="H33" i="10"/>
  <c r="G71" i="10"/>
  <c r="C96" i="10"/>
  <c r="B80" i="10" s="1"/>
  <c r="E5" i="10"/>
  <c r="E43" i="10" s="1"/>
  <c r="D94" i="10"/>
  <c r="B37" i="10" s="1"/>
  <c r="C23" i="44"/>
  <c r="C5" i="9"/>
  <c r="C207" i="9" s="1"/>
  <c r="D203" i="9"/>
  <c r="B5" i="9"/>
  <c r="E70" i="8"/>
  <c r="E94" i="8" s="1"/>
  <c r="E101" i="8" s="1"/>
  <c r="E105" i="8" s="1"/>
  <c r="B252" i="9"/>
  <c r="B200" i="9"/>
  <c r="B258" i="9" s="1"/>
  <c r="B250" i="9"/>
  <c r="C151" i="9"/>
  <c r="C256" i="9" s="1"/>
  <c r="C250" i="9"/>
  <c r="B110" i="9"/>
  <c r="B254" i="9" s="1"/>
  <c r="B151" i="9"/>
  <c r="B256" i="9" s="1"/>
  <c r="D5" i="9"/>
  <c r="D63" i="9" s="1"/>
  <c r="D110" i="9"/>
  <c r="D254" i="9" s="1"/>
  <c r="D113" i="9"/>
  <c r="C110" i="9"/>
  <c r="C254" i="9" s="1"/>
  <c r="C6" i="24"/>
  <c r="C37" i="24" s="1"/>
  <c r="D6" i="25"/>
  <c r="D37" i="25" s="1"/>
  <c r="E6" i="23"/>
  <c r="E37" i="23" s="1"/>
  <c r="E6" i="25"/>
  <c r="E37" i="25" s="1"/>
  <c r="H100" i="8"/>
  <c r="H105" i="8"/>
  <c r="H106" i="8"/>
  <c r="G93" i="8"/>
  <c r="B103" i="8"/>
  <c r="H108" i="8"/>
  <c r="H96" i="8"/>
  <c r="H97" i="8"/>
  <c r="C108" i="8"/>
  <c r="L37" i="29"/>
  <c r="B6" i="38"/>
  <c r="B5" i="33"/>
  <c r="A9" i="33"/>
  <c r="C14" i="33"/>
  <c r="B13" i="33"/>
  <c r="B11" i="33"/>
  <c r="B6" i="33"/>
  <c r="B61" i="3"/>
  <c r="A15" i="3"/>
  <c r="F51" i="3"/>
  <c r="A9" i="3"/>
  <c r="E13" i="3"/>
  <c r="F11" i="38"/>
  <c r="E49" i="10" s="1"/>
  <c r="D46" i="27"/>
  <c r="B29" i="48"/>
  <c r="K18" i="48"/>
  <c r="B18" i="47"/>
  <c r="B29" i="46"/>
  <c r="K18" i="46"/>
  <c r="B18" i="45"/>
  <c r="E38" i="25"/>
  <c r="E47" i="25" s="1"/>
  <c r="E61" i="25" s="1"/>
  <c r="E63" i="25" s="1"/>
  <c r="C64" i="25"/>
  <c r="C14" i="25"/>
  <c r="E7" i="24"/>
  <c r="E16" i="24" s="1"/>
  <c r="E30" i="24" s="1"/>
  <c r="E32" i="24" s="1"/>
  <c r="D33" i="24"/>
  <c r="D38" i="24"/>
  <c r="D47" i="24" s="1"/>
  <c r="D61" i="24" s="1"/>
  <c r="C64" i="24"/>
  <c r="C33" i="24"/>
  <c r="C32" i="23"/>
  <c r="C63" i="23"/>
  <c r="D59" i="22"/>
  <c r="C14" i="22"/>
  <c r="B31" i="22"/>
  <c r="D63" i="22"/>
  <c r="D32" i="22"/>
  <c r="C89" i="12"/>
  <c r="H70" i="12"/>
  <c r="G49" i="12"/>
  <c r="H31" i="12"/>
  <c r="H64" i="12"/>
  <c r="E5" i="12"/>
  <c r="E45" i="12" s="1"/>
  <c r="H30" i="12"/>
  <c r="C5" i="12"/>
  <c r="C45" i="12" s="1"/>
  <c r="G13" i="12"/>
  <c r="G9" i="12"/>
  <c r="H28" i="12"/>
  <c r="D5" i="12"/>
  <c r="D45" i="12" s="1"/>
  <c r="C42" i="12"/>
  <c r="H63" i="12"/>
  <c r="C78" i="12"/>
  <c r="H20" i="12"/>
  <c r="H29" i="12"/>
  <c r="H21" i="12"/>
  <c r="C91" i="12"/>
  <c r="B20" i="27"/>
  <c r="C70" i="12"/>
  <c r="C19" i="12"/>
  <c r="B21" i="27"/>
  <c r="D89" i="12"/>
  <c r="G28" i="10"/>
  <c r="H76" i="10"/>
  <c r="B78" i="10"/>
  <c r="H35" i="10"/>
  <c r="H38" i="10"/>
  <c r="H78" i="10"/>
  <c r="H46" i="10"/>
  <c r="C83" i="10"/>
  <c r="G31" i="10"/>
  <c r="C40" i="10"/>
  <c r="B18" i="27"/>
  <c r="C41" i="44"/>
  <c r="C59" i="44" s="1"/>
  <c r="D41" i="44"/>
  <c r="D59" i="44" s="1"/>
  <c r="E5" i="44"/>
  <c r="H49" i="44"/>
  <c r="H39" i="44"/>
  <c r="G34" i="44"/>
  <c r="H38" i="44"/>
  <c r="H48" i="44"/>
  <c r="H37" i="44"/>
  <c r="H47" i="44"/>
  <c r="C48" i="44"/>
  <c r="C94" i="8"/>
  <c r="C101" i="8" s="1"/>
  <c r="C120" i="8" s="1"/>
  <c r="D94" i="8"/>
  <c r="D101" i="8" s="1"/>
  <c r="D120" i="8" s="1"/>
  <c r="D6" i="22"/>
  <c r="D37" i="22" s="1"/>
  <c r="I9" i="30"/>
  <c r="F46" i="27"/>
  <c r="E9" i="6"/>
  <c r="B31" i="33"/>
  <c r="F19" i="27"/>
  <c r="D24" i="3"/>
  <c r="J5" i="33"/>
  <c r="J7" i="33" s="1"/>
  <c r="J39" i="33" s="1"/>
  <c r="E80" i="10"/>
  <c r="E75" i="10"/>
  <c r="F76" i="10"/>
  <c r="E78" i="10"/>
  <c r="D19" i="12"/>
  <c r="E37" i="12"/>
  <c r="F20" i="27"/>
  <c r="D25" i="3"/>
  <c r="E70" i="12"/>
  <c r="F76" i="12"/>
  <c r="B62" i="24"/>
  <c r="C9" i="60"/>
  <c r="A45" i="33"/>
  <c r="G18" i="57"/>
  <c r="F12" i="38" l="1"/>
  <c r="E11" i="12" s="1"/>
  <c r="F36" i="12"/>
  <c r="E73" i="12"/>
  <c r="B32" i="6"/>
  <c r="D6" i="10"/>
  <c r="D21" i="10" s="1"/>
  <c r="D34" i="10" s="1"/>
  <c r="D95" i="10" s="1"/>
  <c r="B38" i="10" s="1"/>
  <c r="C33" i="25"/>
  <c r="E41" i="38"/>
  <c r="E12" i="38" s="1"/>
  <c r="E10" i="12" s="1"/>
  <c r="D38" i="22"/>
  <c r="D47" i="22" s="1"/>
  <c r="D61" i="22" s="1"/>
  <c r="D64" i="22" s="1"/>
  <c r="F9" i="38"/>
  <c r="E11" i="44" s="1"/>
  <c r="E39" i="12"/>
  <c r="F10" i="38"/>
  <c r="E11" i="10" s="1"/>
  <c r="F13" i="38"/>
  <c r="E51" i="12" s="1"/>
  <c r="D31" i="49"/>
  <c r="E75" i="12"/>
  <c r="C97" i="10"/>
  <c r="B81" i="10" s="1"/>
  <c r="F21" i="27"/>
  <c r="E30" i="10"/>
  <c r="E33" i="10" s="1"/>
  <c r="E31" i="49"/>
  <c r="G27" i="33"/>
  <c r="C92" i="12"/>
  <c r="G45" i="38"/>
  <c r="G12" i="38" s="1"/>
  <c r="E12" i="12" s="1"/>
  <c r="E38" i="22"/>
  <c r="E47" i="22" s="1"/>
  <c r="E61" i="22" s="1"/>
  <c r="E63" i="22" s="1"/>
  <c r="E45" i="44"/>
  <c r="C64" i="23"/>
  <c r="D97" i="10"/>
  <c r="B39" i="12"/>
  <c r="G31" i="12"/>
  <c r="G73" i="10"/>
  <c r="E100" i="8"/>
  <c r="K30" i="45"/>
  <c r="C33" i="23"/>
  <c r="C33" i="22"/>
  <c r="D72" i="12"/>
  <c r="D92" i="12" s="1"/>
  <c r="C90" i="12"/>
  <c r="B17" i="27"/>
  <c r="C42" i="44"/>
  <c r="C60" i="44" s="1"/>
  <c r="B75" i="12"/>
  <c r="G108" i="8"/>
  <c r="G71" i="12"/>
  <c r="M39" i="27"/>
  <c r="M47" i="27" s="1"/>
  <c r="D22" i="3"/>
  <c r="G46" i="10"/>
  <c r="D260" i="9"/>
  <c r="C100" i="8"/>
  <c r="G100" i="8"/>
  <c r="C102" i="8"/>
  <c r="D6" i="8" s="1"/>
  <c r="D45" i="8" s="1"/>
  <c r="B16" i="27"/>
  <c r="G49" i="44"/>
  <c r="D40" i="44"/>
  <c r="F99" i="44"/>
  <c r="B207" i="9"/>
  <c r="B117" i="9"/>
  <c r="B63" i="9"/>
  <c r="B158" i="9"/>
  <c r="C117" i="9"/>
  <c r="C158" i="9"/>
  <c r="C63" i="9"/>
  <c r="D117" i="9"/>
  <c r="D158" i="9"/>
  <c r="D207" i="9"/>
  <c r="C260" i="9"/>
  <c r="B260" i="9"/>
  <c r="D21" i="3"/>
  <c r="D16" i="27"/>
  <c r="B105" i="8"/>
  <c r="F117" i="8"/>
  <c r="F16" i="27"/>
  <c r="D100" i="8"/>
  <c r="G9" i="38"/>
  <c r="E12" i="44" s="1"/>
  <c r="E103" i="8"/>
  <c r="B45" i="44"/>
  <c r="E13" i="38"/>
  <c r="E50" i="12" s="1"/>
  <c r="E10" i="38"/>
  <c r="E10" i="10" s="1"/>
  <c r="E11" i="38"/>
  <c r="E48" i="10" s="1"/>
  <c r="E8" i="38"/>
  <c r="E9" i="38"/>
  <c r="E10" i="44" s="1"/>
  <c r="B30" i="48"/>
  <c r="K29" i="48"/>
  <c r="B29" i="47"/>
  <c r="K18" i="47"/>
  <c r="B30" i="46"/>
  <c r="K29" i="46"/>
  <c r="B29" i="45"/>
  <c r="K18" i="45"/>
  <c r="E7" i="25"/>
  <c r="E16" i="25" s="1"/>
  <c r="E30" i="25" s="1"/>
  <c r="E32" i="25" s="1"/>
  <c r="D33" i="25"/>
  <c r="E38" i="24"/>
  <c r="E47" i="24" s="1"/>
  <c r="E61" i="24" s="1"/>
  <c r="E63" i="24" s="1"/>
  <c r="D64" i="24"/>
  <c r="E7" i="23"/>
  <c r="E16" i="23" s="1"/>
  <c r="E30" i="23" s="1"/>
  <c r="E32" i="23" s="1"/>
  <c r="D33" i="23"/>
  <c r="D64" i="23"/>
  <c r="E38" i="23"/>
  <c r="E47" i="23" s="1"/>
  <c r="E61" i="23" s="1"/>
  <c r="E63" i="23" s="1"/>
  <c r="E7" i="22"/>
  <c r="E16" i="22" s="1"/>
  <c r="E30" i="22" s="1"/>
  <c r="E32" i="22" s="1"/>
  <c r="D33" i="22"/>
  <c r="G33" i="10"/>
  <c r="G41" i="44"/>
  <c r="C40" i="44"/>
  <c r="D17" i="27"/>
  <c r="E40" i="44"/>
  <c r="E43" i="44"/>
  <c r="J29" i="33"/>
  <c r="J31" i="33" s="1"/>
  <c r="E6" i="12"/>
  <c r="G18" i="12"/>
  <c r="D90" i="12"/>
  <c r="F7" i="38" l="1"/>
  <c r="G13" i="38"/>
  <c r="E52" i="12" s="1"/>
  <c r="G11" i="38"/>
  <c r="E50" i="10" s="1"/>
  <c r="E60" i="10" s="1"/>
  <c r="E6" i="10"/>
  <c r="E62" i="12"/>
  <c r="G59" i="12" s="1"/>
  <c r="D23" i="3"/>
  <c r="E37" i="10"/>
  <c r="E32" i="10"/>
  <c r="F36" i="10"/>
  <c r="F18" i="27"/>
  <c r="E35" i="10"/>
  <c r="F34" i="27"/>
  <c r="F36" i="27" s="1"/>
  <c r="B40" i="12"/>
  <c r="B76" i="12"/>
  <c r="D47" i="3"/>
  <c r="G8" i="38"/>
  <c r="G10" i="38"/>
  <c r="E12" i="10" s="1"/>
  <c r="E20" i="10" s="1"/>
  <c r="E20" i="12"/>
  <c r="G19" i="12" s="1"/>
  <c r="D6" i="44"/>
  <c r="D25" i="44" s="1"/>
  <c r="B34" i="27"/>
  <c r="B36" i="27" s="1"/>
  <c r="G58" i="12"/>
  <c r="E46" i="12"/>
  <c r="E63" i="12" s="1"/>
  <c r="E76" i="12" s="1"/>
  <c r="C121" i="8"/>
  <c r="E24" i="44"/>
  <c r="G37" i="44" s="1"/>
  <c r="D34" i="27"/>
  <c r="D36" i="27" s="1"/>
  <c r="J35" i="33"/>
  <c r="J42" i="33" s="1"/>
  <c r="E11" i="8"/>
  <c r="F32" i="38"/>
  <c r="E7" i="38"/>
  <c r="K29" i="47"/>
  <c r="B30" i="47"/>
  <c r="B30" i="45"/>
  <c r="K29" i="45"/>
  <c r="D53" i="8"/>
  <c r="D102" i="8"/>
  <c r="G7" i="38" l="1"/>
  <c r="E12" i="8" s="1"/>
  <c r="G34" i="10"/>
  <c r="E21" i="10"/>
  <c r="E38" i="10" s="1"/>
  <c r="E39" i="10" s="1"/>
  <c r="E40" i="10" s="1"/>
  <c r="E21" i="12"/>
  <c r="E40" i="12" s="1"/>
  <c r="E41" i="12" s="1"/>
  <c r="E42" i="12" s="1"/>
  <c r="G32" i="38"/>
  <c r="D27" i="44"/>
  <c r="D42" i="44"/>
  <c r="E77" i="12"/>
  <c r="E78" i="12" s="1"/>
  <c r="G74" i="10"/>
  <c r="E61" i="10"/>
  <c r="E81" i="10" s="1"/>
  <c r="E10" i="8"/>
  <c r="E32" i="38"/>
  <c r="G95" i="8"/>
  <c r="E6" i="8"/>
  <c r="D121" i="8"/>
  <c r="B106" i="8" s="1"/>
  <c r="E44" i="8" l="1"/>
  <c r="G96" i="8" s="1"/>
  <c r="E6" i="44"/>
  <c r="E25" i="44" s="1"/>
  <c r="D60" i="44"/>
  <c r="B46" i="44" s="1"/>
  <c r="G36" i="44"/>
  <c r="E19" i="10"/>
  <c r="E23" i="3"/>
  <c r="G18" i="27"/>
  <c r="H18" i="27" s="1"/>
  <c r="G43" i="10" s="1"/>
  <c r="G35" i="10"/>
  <c r="E26" i="3"/>
  <c r="E61" i="12"/>
  <c r="G21" i="27"/>
  <c r="H21" i="27" s="1"/>
  <c r="G68" i="12" s="1"/>
  <c r="G60" i="12"/>
  <c r="G61" i="12" s="1"/>
  <c r="G64" i="12" s="1"/>
  <c r="E25" i="3"/>
  <c r="G20" i="27"/>
  <c r="H20" i="27" s="1"/>
  <c r="G28" i="12" s="1"/>
  <c r="E19" i="12"/>
  <c r="G20" i="12"/>
  <c r="G21" i="12" s="1"/>
  <c r="G24" i="12" s="1"/>
  <c r="E82" i="10"/>
  <c r="E83" i="10" s="1"/>
  <c r="E45" i="8" l="1"/>
  <c r="E106" i="8" s="1"/>
  <c r="F25" i="3"/>
  <c r="L21" i="2"/>
  <c r="N21" i="2" s="1"/>
  <c r="F26" i="3"/>
  <c r="L22" i="2"/>
  <c r="N22" i="2" s="1"/>
  <c r="F23" i="3"/>
  <c r="L19" i="2"/>
  <c r="N19" i="2" s="1"/>
  <c r="E27" i="44"/>
  <c r="E46" i="44"/>
  <c r="E47" i="44" s="1"/>
  <c r="E48" i="44" s="1"/>
  <c r="K35" i="10"/>
  <c r="G36" i="10"/>
  <c r="G39" i="10" s="1"/>
  <c r="E107" i="8"/>
  <c r="E108" i="8" s="1"/>
  <c r="K75" i="12"/>
  <c r="K35" i="12"/>
  <c r="E24" i="3"/>
  <c r="G19" i="27"/>
  <c r="H19" i="27" s="1"/>
  <c r="G83" i="10" s="1"/>
  <c r="E59" i="10"/>
  <c r="G75" i="10"/>
  <c r="G76" i="10" s="1"/>
  <c r="G79" i="10" s="1"/>
  <c r="E53" i="8"/>
  <c r="K75" i="10"/>
  <c r="F24" i="3" l="1"/>
  <c r="L20" i="2"/>
  <c r="N20" i="2" s="1"/>
  <c r="E23" i="44"/>
  <c r="E22" i="3"/>
  <c r="G17" i="27"/>
  <c r="H17" i="27" s="1"/>
  <c r="G46" i="44" s="1"/>
  <c r="G38" i="44"/>
  <c r="G39" i="44" s="1"/>
  <c r="G42" i="44" s="1"/>
  <c r="G97" i="8"/>
  <c r="K117" i="8" s="1"/>
  <c r="E21" i="3"/>
  <c r="G16" i="27"/>
  <c r="E43" i="8"/>
  <c r="G34" i="27" l="1"/>
  <c r="M55" i="27" s="1"/>
  <c r="F21" i="3"/>
  <c r="L16" i="2"/>
  <c r="F22" i="3"/>
  <c r="F47" i="3" s="1"/>
  <c r="L18" i="2"/>
  <c r="N18" i="2" s="1"/>
  <c r="H16" i="27"/>
  <c r="G105" i="8" s="1"/>
  <c r="M46" i="27"/>
  <c r="M48" i="27" s="1"/>
  <c r="M42" i="27" s="1"/>
  <c r="J42" i="27" s="1"/>
  <c r="G98" i="8"/>
  <c r="G101" i="8" s="1"/>
  <c r="E47" i="3"/>
  <c r="K99" i="44"/>
  <c r="N16" i="2" l="1"/>
  <c r="N41" i="2" s="1"/>
  <c r="L41" i="2"/>
  <c r="E50" i="3"/>
  <c r="I110" i="8" s="1"/>
  <c r="L42" i="33"/>
  <c r="M41" i="27"/>
  <c r="J41" i="27" s="1"/>
  <c r="H34" i="27"/>
  <c r="G70" i="12" s="1"/>
  <c r="E10" i="60"/>
  <c r="I33" i="12" l="1"/>
  <c r="I48" i="10"/>
  <c r="I51" i="44"/>
  <c r="I73" i="12"/>
  <c r="I88" i="10"/>
  <c r="G85" i="10"/>
  <c r="M52" i="27"/>
  <c r="G107" i="8"/>
  <c r="G30" i="12"/>
  <c r="G48" i="44"/>
  <c r="G45" i="10"/>
</calcChain>
</file>

<file path=xl/sharedStrings.xml><?xml version="1.0" encoding="utf-8"?>
<sst xmlns="http://schemas.openxmlformats.org/spreadsheetml/2006/main" count="1399" uniqueCount="453">
  <si>
    <t>Outstanding Indebtness, January 1:</t>
  </si>
  <si>
    <t xml:space="preserve">  G.O. Bonds</t>
  </si>
  <si>
    <t xml:space="preserve">  Revenue Bonds</t>
  </si>
  <si>
    <t xml:space="preserve">  Other</t>
  </si>
  <si>
    <t xml:space="preserve">  Lease Purchase Principal</t>
  </si>
  <si>
    <t>We, the undersigned, officers of</t>
  </si>
  <si>
    <t>Attest: ______________________</t>
  </si>
  <si>
    <t>County Equalization</t>
  </si>
  <si>
    <t>NON-BUDGETED FUNDS (A)</t>
  </si>
  <si>
    <t>Non-Budgeted Funds-A</t>
  </si>
  <si>
    <t>(1) Fund Name:</t>
  </si>
  <si>
    <t>(2) Fund Name:</t>
  </si>
  <si>
    <t>(3) Fund Name:</t>
  </si>
  <si>
    <t>(4) Fund Name:</t>
  </si>
  <si>
    <t>(5) Fund Name:</t>
  </si>
  <si>
    <t xml:space="preserve">Unencumbered </t>
  </si>
  <si>
    <t>Cash Balance Dec 31</t>
  </si>
  <si>
    <t>NON-BUDGETED FUNDS (B)</t>
  </si>
  <si>
    <t>Non-Budgeted Funds-B</t>
  </si>
  <si>
    <t>NON-BUDGETED FUNDS (C)</t>
  </si>
  <si>
    <t>Non-Budgeted Funds-C</t>
  </si>
  <si>
    <t>NON-BUDGETED FUNDS (D)</t>
  </si>
  <si>
    <t>Non-Budgeted Funds-D</t>
  </si>
  <si>
    <t>Other non-tax levy fund names:</t>
  </si>
  <si>
    <t xml:space="preserve">  Subtotal</t>
  </si>
  <si>
    <r>
      <t>Total  Detail Expenditures</t>
    </r>
    <r>
      <rPr>
        <sz val="12"/>
        <color indexed="10"/>
        <rFont val="Times New Roman"/>
        <family val="1"/>
      </rPr>
      <t>**</t>
    </r>
  </si>
  <si>
    <r>
      <t>**</t>
    </r>
    <r>
      <rPr>
        <sz val="12"/>
        <rFont val="Times New Roman"/>
        <family val="1"/>
      </rPr>
      <t xml:space="preserve"> Note: The Total Detail Expenditures amount should agree to the General Subtotal amounts.</t>
    </r>
  </si>
  <si>
    <t>Budget Summary</t>
  </si>
  <si>
    <t>xxxxx</t>
  </si>
  <si>
    <t>Note:  All amounts are to be entered in as whole numbers only.</t>
  </si>
  <si>
    <t>**</t>
  </si>
  <si>
    <t>**Note: These two block figures should agree.</t>
  </si>
  <si>
    <t>xxxxxxxxxxxxxxxxxxxx</t>
  </si>
  <si>
    <t>Funds</t>
  </si>
  <si>
    <t xml:space="preserve">expenditure amounts should reflect the amended </t>
  </si>
  <si>
    <t>expenditure amounts.</t>
  </si>
  <si>
    <t xml:space="preserve">Tax Levy Rate </t>
  </si>
  <si>
    <t>Miscellaneous</t>
  </si>
  <si>
    <t>Neighborhood Revitalization Rebate</t>
  </si>
  <si>
    <t>Cash Balance Jan 1</t>
  </si>
  <si>
    <t>Budget Summary2</t>
  </si>
  <si>
    <t>***If you are merely leasing/renting with no intent to purchase, do not list--such transactions are not lease-purchases.</t>
  </si>
  <si>
    <t xml:space="preserve">Ad Valorem Tax </t>
  </si>
  <si>
    <t>Budget Summary Page</t>
  </si>
  <si>
    <t>Statute</t>
  </si>
  <si>
    <t>General</t>
  </si>
  <si>
    <t>Total</t>
  </si>
  <si>
    <t>Motor Vehicle Tax Estimate</t>
  </si>
  <si>
    <t>Recreational Vehicle Tax Estimate</t>
  </si>
  <si>
    <t>certify that: (1) the hearing mentioned in the attached publication was held;</t>
  </si>
  <si>
    <t>(2) after the Budget Hearing this budget was duly approved and adopted as the</t>
  </si>
  <si>
    <t>Page</t>
  </si>
  <si>
    <t>County Clerk's</t>
  </si>
  <si>
    <t>Table of Contents:</t>
  </si>
  <si>
    <t>No.</t>
  </si>
  <si>
    <t>Expenditures</t>
  </si>
  <si>
    <t>Use Only</t>
  </si>
  <si>
    <t>Statement of Indebtedness</t>
  </si>
  <si>
    <t>Statement of Lease-Purchases</t>
  </si>
  <si>
    <t>Fund</t>
  </si>
  <si>
    <t>K.S.A.</t>
  </si>
  <si>
    <t>x</t>
  </si>
  <si>
    <t>Assisted by:</t>
  </si>
  <si>
    <t>Governing Body</t>
  </si>
  <si>
    <t>County Clerk</t>
  </si>
  <si>
    <t>Amount</t>
  </si>
  <si>
    <t>Mental Health</t>
  </si>
  <si>
    <t>TOTAL</t>
  </si>
  <si>
    <t>County Treas Motor Vehicle Estimate</t>
  </si>
  <si>
    <t>County Treasurers Recreational Vehicle Estimate</t>
  </si>
  <si>
    <t>Motor Vehicle Factor</t>
  </si>
  <si>
    <t>MVT</t>
  </si>
  <si>
    <t>Totals</t>
  </si>
  <si>
    <t>District Court</t>
  </si>
  <si>
    <t>Adopted Budget</t>
  </si>
  <si>
    <t>Ad Valorem Tax</t>
  </si>
  <si>
    <t>Delinquent Tax</t>
  </si>
  <si>
    <t>Motor Vehicle Tax</t>
  </si>
  <si>
    <t>Recreational Vehicle Tax</t>
  </si>
  <si>
    <t>In Lieu of Taxes (IRB)</t>
  </si>
  <si>
    <t>Interest on Idle Funds</t>
  </si>
  <si>
    <t>Total Receipts</t>
  </si>
  <si>
    <t>Resources Available:</t>
  </si>
  <si>
    <t xml:space="preserve">Page No. </t>
  </si>
  <si>
    <t xml:space="preserve">General </t>
  </si>
  <si>
    <t>Expenditures:</t>
  </si>
  <si>
    <t>Total Expenditures</t>
  </si>
  <si>
    <t>Tax Required</t>
  </si>
  <si>
    <t>%</t>
  </si>
  <si>
    <t>General Fund - Detail Expend</t>
  </si>
  <si>
    <t xml:space="preserve">  Salaries</t>
  </si>
  <si>
    <t xml:space="preserve">  Contractual</t>
  </si>
  <si>
    <t xml:space="preserve">  Commodities</t>
  </si>
  <si>
    <t xml:space="preserve">  Capital Outlay</t>
  </si>
  <si>
    <t>Ambulance</t>
  </si>
  <si>
    <t>Appraisal</t>
  </si>
  <si>
    <t>County Treasurer</t>
  </si>
  <si>
    <t>Economic Development</t>
  </si>
  <si>
    <t>Election</t>
  </si>
  <si>
    <t>Employee Benefits</t>
  </si>
  <si>
    <t xml:space="preserve">  Social Security</t>
  </si>
  <si>
    <t>Extension Council</t>
  </si>
  <si>
    <t>Mental Retardation</t>
  </si>
  <si>
    <t>Register of Deeds</t>
  </si>
  <si>
    <t>Road &amp; Bridge</t>
  </si>
  <si>
    <t>Soil Conservation</t>
  </si>
  <si>
    <t xml:space="preserve">  Judgments</t>
  </si>
  <si>
    <t>Other</t>
  </si>
  <si>
    <t>Page No.</t>
  </si>
  <si>
    <t>Actual</t>
  </si>
  <si>
    <t>Est.</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</si>
  <si>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</si>
  <si>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</si>
  <si>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</si>
  <si>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</si>
  <si>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</si>
  <si>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</si>
  <si>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</si>
  <si>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</si>
  <si>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</si>
  <si>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</si>
  <si>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</si>
  <si>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</si>
  <si>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Clerk</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</si>
  <si>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</si>
  <si>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</si>
  <si>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</si>
  <si>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</si>
  <si>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</si>
  <si>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</si>
  <si>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</si>
  <si>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</si>
  <si>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</si>
  <si>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</si>
  <si>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</si>
  <si>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</si>
  <si>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</si>
  <si>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</si>
  <si>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</si>
  <si>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Principal</t>
  </si>
  <si>
    <t>Payments</t>
  </si>
  <si>
    <t xml:space="preserve">  Contract</t>
  </si>
  <si>
    <t>Contract</t>
  </si>
  <si>
    <t>Financed</t>
  </si>
  <si>
    <t>Due</t>
  </si>
  <si>
    <t>(Months)</t>
  </si>
  <si>
    <t>16/20 M Vehicle Tax</t>
  </si>
  <si>
    <t>CERTIFICATE</t>
  </si>
  <si>
    <t>STATEMENT OF CONDITIONAL LEASE-PURCHASE AND CERTIFICATE OF PARTICIPATION*</t>
  </si>
  <si>
    <t>NOTICE OF BUDGET HEARING</t>
  </si>
  <si>
    <t>BUDGET SUMMARY</t>
  </si>
  <si>
    <t>FUND PAGE - GENERAL</t>
  </si>
  <si>
    <t>FUND PAGE - GENERAL DETAIL</t>
  </si>
  <si>
    <t>FUND PAGE FOR FUNDS WITH A TAX LEVY</t>
  </si>
  <si>
    <t>FUND PAGE FOR FUNDS WITH NO TAX LEVY</t>
  </si>
  <si>
    <t>STATEMENT OF INDEBTEDNESS</t>
  </si>
  <si>
    <t>RVT</t>
  </si>
  <si>
    <t>County Treasurers 16/20M Vehicle Estimate</t>
  </si>
  <si>
    <t>16/20M Vehicle Tax Estimate</t>
  </si>
  <si>
    <t>Amount of Levy</t>
  </si>
  <si>
    <t xml:space="preserve"> 1.</t>
  </si>
  <si>
    <t>+</t>
  </si>
  <si>
    <t>$</t>
  </si>
  <si>
    <t xml:space="preserve"> 2.</t>
  </si>
  <si>
    <t>-</t>
  </si>
  <si>
    <t xml:space="preserve"> 3.</t>
  </si>
  <si>
    <t xml:space="preserve"> 4.</t>
  </si>
  <si>
    <t xml:space="preserve"> 5.</t>
  </si>
  <si>
    <t>5a.</t>
  </si>
  <si>
    <t>5b.</t>
  </si>
  <si>
    <t>5c.</t>
  </si>
  <si>
    <t>6.</t>
  </si>
  <si>
    <t>9.</t>
  </si>
  <si>
    <t>10.</t>
  </si>
  <si>
    <t>11.</t>
  </si>
  <si>
    <t>12.</t>
  </si>
  <si>
    <t>(Use Only if &gt; 0)</t>
  </si>
  <si>
    <t>16/20M Vehicle Tax</t>
  </si>
  <si>
    <t xml:space="preserve">The governing body of </t>
  </si>
  <si>
    <t>Gross Earnings (Intangible) Tax</t>
  </si>
  <si>
    <t>7.</t>
  </si>
  <si>
    <t>8.</t>
  </si>
  <si>
    <t>Balance On</t>
  </si>
  <si>
    <t>16/20M Veh</t>
  </si>
  <si>
    <t>13.</t>
  </si>
  <si>
    <t>14.</t>
  </si>
  <si>
    <t>Unencumbered Cash Balance Jan 1</t>
  </si>
  <si>
    <t>Unencumbered Cash Balance Dec 31</t>
  </si>
  <si>
    <t>Receipts:</t>
  </si>
  <si>
    <t>79-1946</t>
  </si>
  <si>
    <t>Schedule of Transfers</t>
  </si>
  <si>
    <t>Outstanding</t>
  </si>
  <si>
    <t>(Beginning Principal)</t>
  </si>
  <si>
    <t>Estimated Tax Rate is subject to change depending on the final assessed valuation.</t>
  </si>
  <si>
    <t>Lease Pur. Princ.</t>
  </si>
  <si>
    <t>Page No. 7</t>
  </si>
  <si>
    <t>Page No. 7a</t>
  </si>
  <si>
    <t>Page 7b</t>
  </si>
  <si>
    <t>Page 7c</t>
  </si>
  <si>
    <t>Page 7d</t>
  </si>
  <si>
    <t>Page 7e</t>
  </si>
  <si>
    <t xml:space="preserve">                                                                          16/20M Vehicle Factor</t>
  </si>
  <si>
    <t xml:space="preserve">                                         Recreational Vehicle Factor</t>
  </si>
  <si>
    <t>Current</t>
  </si>
  <si>
    <t>Proposed</t>
  </si>
  <si>
    <t>Total - Page 7b</t>
  </si>
  <si>
    <t>Total - Page7c</t>
  </si>
  <si>
    <t>Total - Page7d</t>
  </si>
  <si>
    <t>Total - Page7e</t>
  </si>
  <si>
    <t>Total  - Page 7f</t>
  </si>
  <si>
    <t>Total - Page7b</t>
  </si>
  <si>
    <t>Total - Page 7c</t>
  </si>
  <si>
    <t>Page 7f</t>
  </si>
  <si>
    <t>County Clerk's Use Only</t>
  </si>
  <si>
    <t>Address:</t>
  </si>
  <si>
    <t>Input sheet for County1 budget form</t>
  </si>
  <si>
    <t>Enter County Name followed by 'County'</t>
  </si>
  <si>
    <t>Enter year being budgeted (YYYY)</t>
  </si>
  <si>
    <t>Information comes from the Certificate, Page No. 1</t>
  </si>
  <si>
    <t>Fund Names for all funds with a tax levy:</t>
  </si>
  <si>
    <t>Neighborhood Revitalization</t>
  </si>
  <si>
    <t>LAVTR</t>
  </si>
  <si>
    <t>City and County Revenue Sharing</t>
  </si>
  <si>
    <t>Computation of Delinquency</t>
  </si>
  <si>
    <r>
      <t>**</t>
    </r>
    <r>
      <rPr>
        <u/>
        <sz val="12"/>
        <rFont val="Times New Roman"/>
        <family val="1"/>
      </rPr>
      <t>Note</t>
    </r>
    <r>
      <rPr>
        <sz val="12"/>
        <rFont val="Times New Roman"/>
        <family val="1"/>
      </rPr>
      <t>: The delinquency rate can be up to 5% more than the actual delinquency rate from the preivous year.</t>
    </r>
  </si>
  <si>
    <t>From:</t>
  </si>
  <si>
    <t xml:space="preserve">  To:</t>
  </si>
  <si>
    <t>Amount for</t>
  </si>
  <si>
    <t>Transfers</t>
  </si>
  <si>
    <t>Authorized by</t>
  </si>
  <si>
    <t>Adjusted Totals</t>
  </si>
  <si>
    <t>Beginning Amount</t>
  </si>
  <si>
    <t xml:space="preserve">of </t>
  </si>
  <si>
    <t>Retirement</t>
  </si>
  <si>
    <t xml:space="preserve">Total Other </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</si>
  <si>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</si>
  <si>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</si>
  <si>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Valuation Factor:</t>
  </si>
  <si>
    <t>Neighborhood Revitalization Subj to Rebate:</t>
  </si>
  <si>
    <t>Neighborhood Revitalization factor:</t>
  </si>
  <si>
    <t>This tab will put the date and time and location of the budget hearing on the Budget Summary page.  Also, provide the location where as the budget can be reveiwed.  Please input information in the green areas.</t>
  </si>
  <si>
    <t>Date:</t>
  </si>
  <si>
    <t>Time:</t>
  </si>
  <si>
    <t>Location:</t>
  </si>
  <si>
    <t>Shawnee County Clerk's Office</t>
  </si>
  <si>
    <t>Available at:</t>
  </si>
  <si>
    <t>Examples</t>
  </si>
  <si>
    <t>August 12, 2010</t>
  </si>
  <si>
    <t>7:00 PM or 7:00 AM</t>
  </si>
  <si>
    <t>answering objections of taxpayers relating to the proposed use of all funds and the amount of ad valorem tax.</t>
  </si>
  <si>
    <t>the Neighborhood Revitalization Rebate table.</t>
  </si>
  <si>
    <r>
      <t>Adjustments</t>
    </r>
    <r>
      <rPr>
        <sz val="12"/>
        <color indexed="10"/>
        <rFont val="Times New Roman"/>
        <family val="1"/>
      </rPr>
      <t>*</t>
    </r>
  </si>
  <si>
    <t>*Note:</t>
  </si>
  <si>
    <t>Expenditure</t>
  </si>
  <si>
    <t>Receipt</t>
  </si>
  <si>
    <t xml:space="preserve">Fund Transferred </t>
  </si>
  <si>
    <t>Fund Transferred</t>
  </si>
  <si>
    <t>in the appropriate locations.  If any of the numbers are wrong, change them on this input sheet.</t>
  </si>
  <si>
    <t xml:space="preserve">Enter the following information from the sources shown.  This information will be  entered on the budget forms </t>
  </si>
  <si>
    <t>Budget Authority</t>
  </si>
  <si>
    <t>for Expenditures</t>
  </si>
  <si>
    <t>Does miscellaneous exceed 10% of Total Exp</t>
  </si>
  <si>
    <t>Does miscellaneous exceed 10% of Total Rec</t>
  </si>
  <si>
    <t>General Fund - Detail Expenditures</t>
  </si>
  <si>
    <t>Non-Appropriated Balance</t>
  </si>
  <si>
    <t>Total Expenditure/Non-Appr Balance</t>
  </si>
  <si>
    <t>Delinquent Comp Rate:</t>
  </si>
  <si>
    <t>Desired Carryover Amount:</t>
  </si>
  <si>
    <t>Estimated Mill Rate Impact:</t>
  </si>
  <si>
    <t>The estimated value of one mill would be:</t>
  </si>
  <si>
    <t>Change in Ad Valorem Tax Revenue:</t>
  </si>
  <si>
    <t>What Mill Rate Would Be Desired?</t>
  </si>
  <si>
    <t>Type</t>
  </si>
  <si>
    <t xml:space="preserve"> Debt</t>
  </si>
  <si>
    <t xml:space="preserve"> Purchased</t>
  </si>
  <si>
    <t>Items</t>
  </si>
  <si>
    <t>Clerk Name:</t>
  </si>
  <si>
    <t>January</t>
  </si>
  <si>
    <t>February</t>
  </si>
  <si>
    <t>March</t>
  </si>
  <si>
    <t>April</t>
  </si>
  <si>
    <t>May</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</si>
  <si>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</si>
  <si>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</si>
  <si>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</si>
  <si>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</si>
  <si>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</si>
  <si>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</si>
  <si>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</si>
  <si>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</si>
  <si>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</si>
  <si>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</si>
  <si>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 16/20M Vehicle Taxes </t>
  </si>
  <si>
    <t>Budgeted Funds</t>
  </si>
  <si>
    <t>Expenditures Must Be Changed by:</t>
  </si>
  <si>
    <t>Mill Rate Comparison</t>
  </si>
  <si>
    <t xml:space="preserve">Prior Year </t>
  </si>
  <si>
    <t xml:space="preserve">Current Year </t>
  </si>
  <si>
    <t xml:space="preserve">Proposed Budget </t>
  </si>
  <si>
    <t>Allocation of Vehicle Taxes</t>
  </si>
  <si>
    <t>Email:</t>
  </si>
  <si>
    <t>____________________________________  __________________________________</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</si>
  <si>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</si>
  <si>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</si>
  <si>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</si>
  <si>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</si>
  <si>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</si>
  <si>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</si>
  <si>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</si>
  <si>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and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</si>
  <si>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</si>
  <si>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</si>
  <si>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</si>
  <si>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</si>
  <si>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</si>
  <si>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</si>
  <si>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</si>
  <si>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</si>
  <si>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</si>
  <si>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</si>
  <si>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Consumer Price Index adjustment (3 times 15)</t>
  </si>
  <si>
    <t>(14 plus 16)</t>
  </si>
  <si>
    <t>Edwards County</t>
  </si>
  <si>
    <t>Noxious Weed</t>
  </si>
  <si>
    <t>2-1318</t>
  </si>
  <si>
    <t>12-16,102</t>
  </si>
  <si>
    <t>County Health</t>
  </si>
  <si>
    <t>65-204</t>
  </si>
  <si>
    <t>Hospital Maintenance</t>
  </si>
  <si>
    <t>19-4606</t>
  </si>
  <si>
    <t>Special Drug and Alcohol</t>
  </si>
  <si>
    <t>Special Parks and Recreation</t>
  </si>
  <si>
    <t>Noxious Weed Capital Outlay</t>
  </si>
  <si>
    <t>911 Emergency Telephone Tax</t>
  </si>
  <si>
    <t>911 Wireless Phone Tax</t>
  </si>
  <si>
    <t>Edwards Co 911</t>
  </si>
  <si>
    <t>MV Special</t>
  </si>
  <si>
    <t>Special Drug Enforcement</t>
  </si>
  <si>
    <t xml:space="preserve">Micro-Loan </t>
  </si>
  <si>
    <t>Start Up Loan</t>
  </si>
  <si>
    <t>Special Highwary Improvement</t>
  </si>
  <si>
    <t xml:space="preserve">Special Machinery </t>
  </si>
  <si>
    <t>Capital Improvements</t>
  </si>
  <si>
    <t>Equipment Reserve</t>
  </si>
  <si>
    <t>Retainage Contracts</t>
  </si>
  <si>
    <t>Deeds Technology</t>
  </si>
  <si>
    <t>Concealed Carry Handgun</t>
  </si>
  <si>
    <t>Bioterroism Grants</t>
  </si>
  <si>
    <t>Emergency Preparedness</t>
  </si>
  <si>
    <t>Offender Registration</t>
  </si>
  <si>
    <t>Prosecuting Attorney</t>
  </si>
  <si>
    <t>Gina Schuette</t>
  </si>
  <si>
    <t>10:00 a.m.</t>
  </si>
  <si>
    <t>Edwards County Courthouse</t>
  </si>
  <si>
    <t>Edwards County Clerk's Office</t>
  </si>
  <si>
    <t>Interest on Delinquent Tax</t>
  </si>
  <si>
    <t>Shared Revenue:</t>
  </si>
  <si>
    <t xml:space="preserve">  Grants</t>
  </si>
  <si>
    <t xml:space="preserve">  Local Sales Tax</t>
  </si>
  <si>
    <t xml:space="preserve">  Mineral Production Tax</t>
  </si>
  <si>
    <t xml:space="preserve">  Local Alcohol Tax</t>
  </si>
  <si>
    <t>Licneses, Permits and Fees:</t>
  </si>
  <si>
    <t xml:space="preserve">  Mortgage Registration Fees</t>
  </si>
  <si>
    <t xml:space="preserve">  County Officer Fees</t>
  </si>
  <si>
    <t xml:space="preserve">  Other Fees</t>
  </si>
  <si>
    <t>Charges for Services:</t>
  </si>
  <si>
    <t xml:space="preserve">  Prisoner Care</t>
  </si>
  <si>
    <t xml:space="preserve">  Sheriff Contract with City</t>
  </si>
  <si>
    <t xml:space="preserve">  Diversion Fees</t>
  </si>
  <si>
    <t>Transfer from Special Motor Vehicle</t>
  </si>
  <si>
    <t>County Commissioners</t>
  </si>
  <si>
    <t xml:space="preserve">  Reimbursed Expenditures</t>
  </si>
  <si>
    <t>County Attorney</t>
  </si>
  <si>
    <t>Courthouse General</t>
  </si>
  <si>
    <t xml:space="preserve">  Subsidies</t>
  </si>
  <si>
    <t>Extension Office</t>
  </si>
  <si>
    <t>Zoning</t>
  </si>
  <si>
    <t>Insurance Cost</t>
  </si>
  <si>
    <t>Contractual</t>
  </si>
  <si>
    <t xml:space="preserve">  Appropriation</t>
  </si>
  <si>
    <t>Sheriff</t>
  </si>
  <si>
    <t>Public Works</t>
  </si>
  <si>
    <t xml:space="preserve">  Prairie Dog</t>
  </si>
  <si>
    <t xml:space="preserve">  Subsidy</t>
  </si>
  <si>
    <t>County Fair</t>
  </si>
  <si>
    <t>Transfer Station</t>
  </si>
  <si>
    <t>Transfer to Equipment Reserve</t>
  </si>
  <si>
    <t xml:space="preserve">  Operating Transfer</t>
  </si>
  <si>
    <t>Transfer to Multi-Year Capital Improvement</t>
  </si>
  <si>
    <t>Transfer to Economic Development</t>
  </si>
  <si>
    <t>Historical Society</t>
  </si>
  <si>
    <t>In Lieu of Tax</t>
  </si>
  <si>
    <t>Other Tax</t>
  </si>
  <si>
    <t>Special City and County Highway</t>
  </si>
  <si>
    <t>Licenses, Permits and Fees</t>
  </si>
  <si>
    <t>Charges for Services</t>
  </si>
  <si>
    <t>Highways, Streets and Bridges:</t>
  </si>
  <si>
    <t>Transfer to Special Highway Improvement</t>
  </si>
  <si>
    <t>Transfer to Special Machinery</t>
  </si>
  <si>
    <t xml:space="preserve">Page No. 8 </t>
  </si>
  <si>
    <t>Highways, Streets, and Bridges:</t>
  </si>
  <si>
    <t xml:space="preserve">  Reimbursements</t>
  </si>
  <si>
    <t>Transfer to Noxious Weed Capital Outlay</t>
  </si>
  <si>
    <t>General Government:</t>
  </si>
  <si>
    <t xml:space="preserve">  KPERS</t>
  </si>
  <si>
    <t xml:space="preserve">  Vision and Life Insurance</t>
  </si>
  <si>
    <t xml:space="preserve">  Health Insurance Premiums</t>
  </si>
  <si>
    <t xml:space="preserve">  Kansas Unemployment Tax</t>
  </si>
  <si>
    <t xml:space="preserve">  Workers' Compensation Insurance</t>
  </si>
  <si>
    <t xml:space="preserve">  Short-Term Disability</t>
  </si>
  <si>
    <t>Health and Welfare</t>
  </si>
  <si>
    <t>Federal and State Aid</t>
  </si>
  <si>
    <t>Transfer to Capital Improvement</t>
  </si>
  <si>
    <t>Local Alcohol and Liquor Tax</t>
  </si>
  <si>
    <t>Culture and Recreation:</t>
  </si>
  <si>
    <t>Transfer from Noxious Weed</t>
  </si>
  <si>
    <t>Sale of equipment</t>
  </si>
  <si>
    <t>Public Safety:</t>
  </si>
  <si>
    <t xml:space="preserve">  Contractual Services</t>
  </si>
  <si>
    <t>Personal Services</t>
  </si>
  <si>
    <t>Commodities</t>
  </si>
  <si>
    <t>Capital Outlay</t>
  </si>
  <si>
    <t>Grants</t>
  </si>
  <si>
    <t>Licenses, Permits,</t>
  </si>
  <si>
    <t xml:space="preserve">  and Fees</t>
  </si>
  <si>
    <t>Transfer from:</t>
  </si>
  <si>
    <t xml:space="preserve">  General</t>
  </si>
  <si>
    <t>Salaries</t>
  </si>
  <si>
    <t>Transfer to:</t>
  </si>
  <si>
    <t>Reimbursement</t>
  </si>
  <si>
    <t xml:space="preserve">  Fines</t>
  </si>
  <si>
    <t xml:space="preserve">  Prairie dog reimbursement</t>
  </si>
  <si>
    <t>Residual Equity transfer from Bioterrorism</t>
  </si>
  <si>
    <t>Connecting Links</t>
  </si>
  <si>
    <t xml:space="preserve">  Road &amp; Bridge</t>
  </si>
  <si>
    <t>Transfers in</t>
  </si>
  <si>
    <t xml:space="preserve">  Health fund</t>
  </si>
  <si>
    <t>None</t>
  </si>
  <si>
    <t>2007 Cat Dozer</t>
  </si>
  <si>
    <t>Kennedy McKee &amp; Company LLP</t>
  </si>
  <si>
    <t>1100 W Frontview</t>
  </si>
  <si>
    <t>Dodge City, KS 67801</t>
  </si>
  <si>
    <t>Capital Improvement</t>
  </si>
  <si>
    <t>19-120</t>
  </si>
  <si>
    <t>Special Motor Vehicle</t>
  </si>
  <si>
    <t>8-145</t>
  </si>
  <si>
    <t>19-119</t>
  </si>
  <si>
    <t>Road and Bridge</t>
  </si>
  <si>
    <t>Special Highway Improvement</t>
  </si>
  <si>
    <t>68-590</t>
  </si>
  <si>
    <t>Special Machinery</t>
  </si>
  <si>
    <t>68-141g</t>
  </si>
  <si>
    <t>September 8,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</si>
</sst>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1" formatCode="_(* #,##0_);_(* \(#,##0\);_(* &quot;-&quot;_);_(@_)"/>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0.000_);\(#,##0.000\)"/>
    <numFmt numFmtId="171" formatCode="0.000"/>
    <numFmt numFmtId="172" formatCode="#,##0.000"/>
    <numFmt numFmtId="173" formatCode="[$-409]mmmm\ d\,\ yyyy;@"/>
    <numFmt numFmtId="174" formatCode="[$-409]h:mm\ AM/PM;@"/>
    <numFmt numFmtId="175" formatCode="&quot;$&quot;#,##0"/>
    <numFmt numFmtId="176" formatCode="#,###"/>
    <numFmt numFmtId="177" formatCode="0.0%"/>
    <numFmt numFmtId="178" formatCode="_(* #,##0_);_(* \(#,##0\);_(* &quot;-&quot;??_);_(@_)"/>
  </numFmts>
  <fonts count="46" x14ac:knownFonts="1">
    <font>
      <sz val="12"/>
      <name val="Courier"/>
    </font>
    <font>
      <b/>
      <sz val="12"/>
      <name val="Courier"/>
    </font>
    <font>
      <sz val="12"/>
      <name val="Courier"/>
      <family val="3"/>
    </font>
    <font>
      <sz val="12"/>
      <name val="Times New Roman"/>
      <family val="1"/>
    </font>
    <font>
      <b/>
      <sz val="12"/>
      <name val="Times New Roman"/>
      <family val="1"/>
    </font>
    <font>
      <u/>
      <sz val="12"/>
      <name val="Times New Roman"/>
      <family val="1"/>
    </font>
    <font>
      <sz val="14"/>
      <name val="Times New Roman"/>
      <family val="1"/>
    </font>
    <font>
      <sz val="11"/>
      <name val="Times New Roman"/>
      <family val="1"/>
    </font>
    <font>
      <sz val="8"/>
      <name val="Courier"/>
      <family val="3"/>
    </font>
    <font>
      <u/>
      <sz val="12"/>
      <color indexed="12"/>
      <name val="Courier New"/>
      <family val="3"/>
    </font>
    <font>
      <sz val="12"/>
      <name val="Courier New"/>
      <family val="3"/>
    </font>
    <font>
      <sz val="10"/>
      <name val="Times New Roman"/>
      <family val="1"/>
    </font>
    <font>
      <b/>
      <sz val="10"/>
      <name val="Times New Roman"/>
      <family val="1"/>
    </font>
    <font>
      <sz val="10"/>
      <name val="Courier"/>
      <family val="3"/>
    </font>
    <font>
      <sz val="8"/>
      <name val="Times New Roman"/>
      <family val="1"/>
    </font>
    <font>
      <b/>
      <u/>
      <sz val="12"/>
      <name val="Times New Roman"/>
      <family val="1"/>
    </font>
    <font>
      <sz val="12"/>
      <color indexed="10"/>
      <name val="Times New Roman"/>
      <family val="1"/>
    </font>
    <font>
      <b/>
      <u/>
      <sz val="12"/>
      <color indexed="10"/>
      <name val="Times New Roman"/>
      <family val="1"/>
    </font>
    <font>
      <b/>
      <u/>
      <sz val="12"/>
      <name val="Courier"/>
      <family val="3"/>
    </font>
    <font>
      <b/>
      <sz val="8"/>
      <name val="Times New Roman"/>
      <family val="1"/>
    </font>
    <font>
      <b/>
      <u/>
      <sz val="10"/>
      <name val="Times New Roman"/>
      <family val="1"/>
    </font>
    <font>
      <b/>
      <sz val="12"/>
      <color indexed="10"/>
      <name val="Times New Roman"/>
      <family val="1"/>
    </font>
    <font>
      <sz val="12"/>
      <color indexed="10"/>
      <name val="Courier"/>
      <family val="3"/>
    </font>
    <font>
      <i/>
      <sz val="12"/>
      <name val="Times New Roman"/>
      <family val="1"/>
    </font>
    <font>
      <sz val="12"/>
      <name val="Courier"/>
      <family val="3"/>
    </font>
    <font>
      <b/>
      <u/>
      <sz val="8"/>
      <color indexed="10"/>
      <name val="Times New Roman"/>
      <family val="1"/>
    </font>
    <font>
      <u/>
      <sz val="12"/>
      <color indexed="12"/>
      <name val="Courier"/>
      <family val="3"/>
    </font>
    <font>
      <sz val="12"/>
      <name val="Courier New"/>
      <family val="3"/>
    </font>
    <font>
      <b/>
      <sz val="12"/>
      <name val="Courier"/>
      <family val="3"/>
    </font>
    <font>
      <sz val="12"/>
      <name val="Courier"/>
      <family val="3"/>
    </font>
    <font>
      <b/>
      <u/>
      <sz val="10"/>
      <name val="Courier"/>
      <family val="3"/>
    </font>
    <font>
      <sz val="10"/>
      <color indexed="10"/>
      <name val="Times New Roman"/>
      <family val="1"/>
    </font>
    <font>
      <b/>
      <sz val="11"/>
      <name val="Calibri"/>
      <family val="2"/>
    </font>
    <font>
      <sz val="11"/>
      <color theme="1"/>
      <name val="Calibri"/>
      <family val="2"/>
      <scheme val="minor"/>
    </font>
    <font>
      <b/>
      <sz val="11"/>
      <color theme="1"/>
      <name val="Calibri"/>
      <family val="2"/>
      <scheme val="minor"/>
    </font>
    <font>
      <u/>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
      <b/>
      <sz val="14"/>
      <color theme="1"/>
      <name val="Calibri"/>
      <family val="2"/>
      <scheme val="minor"/>
    </font>
    <font>
      <sz val="9"/>
      <name val="Times New Roman"/>
      <family val="1"/>
    </font>
    <font>
      <u/>
      <sz val="12"/>
      <color theme="10"/>
      <name val="Courier"/>
      <family val="3"/>
    </font>
  </fonts>
  <fills count="16">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1"/>
      </patternFill>
    </fill>
    <fill>
      <patternFill patternType="solid">
        <fgColor indexed="35"/>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rgb="FFFFFFC0"/>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s>
  <borders count="3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85">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7" fillId="0" borderId="0"/>
    <xf numFmtId="0" fontId="10" fillId="0" borderId="0"/>
    <xf numFmtId="0" fontId="10" fillId="0" borderId="0"/>
    <xf numFmtId="0" fontId="2" fillId="0" borderId="0"/>
    <xf numFmtId="0" fontId="10" fillId="0" borderId="0"/>
    <xf numFmtId="0" fontId="10" fillId="0" borderId="0"/>
    <xf numFmtId="0" fontId="10" fillId="0" borderId="0"/>
    <xf numFmtId="0" fontId="2" fillId="0" borderId="0"/>
    <xf numFmtId="0" fontId="2" fillId="0" borderId="0"/>
    <xf numFmtId="0" fontId="2" fillId="0" borderId="0"/>
    <xf numFmtId="0" fontId="27" fillId="0" borderId="0"/>
    <xf numFmtId="0" fontId="10" fillId="0" borderId="0"/>
    <xf numFmtId="0" fontId="10" fillId="0" borderId="0"/>
    <xf numFmtId="0" fontId="10" fillId="0" borderId="0"/>
    <xf numFmtId="0" fontId="10" fillId="0" borderId="0"/>
    <xf numFmtId="0" fontId="2" fillId="0" borderId="0"/>
    <xf numFmtId="0" fontId="10"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0" fillId="0" borderId="0"/>
    <xf numFmtId="0" fontId="10" fillId="0" borderId="0"/>
    <xf numFmtId="0" fontId="10" fillId="0" borderId="0"/>
    <xf numFmtId="0" fontId="2" fillId="0" borderId="0"/>
    <xf numFmtId="0" fontId="2" fillId="0" borderId="0"/>
    <xf numFmtId="0" fontId="2" fillId="0" borderId="0"/>
    <xf numFmtId="0" fontId="27" fillId="0" borderId="0"/>
    <xf numFmtId="0" fontId="10" fillId="0" borderId="0"/>
    <xf numFmtId="0" fontId="10" fillId="0" borderId="0"/>
    <xf numFmtId="0" fontId="10" fillId="0" borderId="0"/>
    <xf numFmtId="0" fontId="10" fillId="0" borderId="0"/>
    <xf numFmtId="0" fontId="27" fillId="0" borderId="0"/>
    <xf numFmtId="0" fontId="10" fillId="0" borderId="0"/>
    <xf numFmtId="0" fontId="10" fillId="0" borderId="0"/>
    <xf numFmtId="0" fontId="10" fillId="0" borderId="0"/>
    <xf numFmtId="0" fontId="10" fillId="0" borderId="0"/>
    <xf numFmtId="0" fontId="27"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33" fillId="0" borderId="0"/>
    <xf numFmtId="0" fontId="33" fillId="0" borderId="0"/>
    <xf numFmtId="0" fontId="2" fillId="0" borderId="0"/>
    <xf numFmtId="0" fontId="2" fillId="0" borderId="0"/>
    <xf numFmtId="0" fontId="3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24"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10" fillId="0" borderId="0"/>
    <xf numFmtId="0" fontId="2" fillId="0" borderId="0"/>
    <xf numFmtId="0" fontId="2" fillId="0" borderId="0"/>
    <xf numFmtId="0" fontId="10" fillId="0" borderId="0"/>
    <xf numFmtId="0" fontId="10" fillId="0" borderId="0"/>
    <xf numFmtId="0" fontId="2" fillId="0" borderId="0"/>
    <xf numFmtId="0" fontId="10" fillId="0" borderId="0"/>
    <xf numFmtId="0" fontId="2" fillId="0" borderId="0"/>
    <xf numFmtId="0" fontId="10" fillId="0" borderId="0"/>
    <xf numFmtId="0" fontId="10" fillId="0" borderId="0"/>
    <xf numFmtId="0" fontId="10" fillId="0" borderId="0"/>
    <xf numFmtId="0" fontId="2"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10" fillId="0" borderId="0"/>
    <xf numFmtId="0" fontId="24"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10" fillId="0" borderId="0"/>
    <xf numFmtId="0" fontId="10" fillId="0" borderId="0"/>
    <xf numFmtId="0" fontId="2" fillId="0" borderId="0"/>
    <xf numFmtId="0" fontId="10" fillId="0" borderId="0"/>
    <xf numFmtId="0" fontId="10" fillId="0" borderId="0"/>
    <xf numFmtId="0" fontId="2" fillId="0" borderId="0"/>
    <xf numFmtId="0" fontId="10" fillId="0" borderId="0"/>
    <xf numFmtId="0" fontId="2" fillId="0" borderId="0"/>
    <xf numFmtId="0" fontId="2"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24" fillId="0" borderId="0"/>
    <xf numFmtId="0" fontId="2" fillId="0" borderId="0"/>
    <xf numFmtId="0" fontId="2" fillId="0" borderId="0"/>
    <xf numFmtId="0" fontId="2" fillId="0" borderId="0"/>
    <xf numFmtId="0" fontId="10" fillId="0" borderId="0"/>
    <xf numFmtId="0" fontId="2"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2" fillId="0" borderId="0"/>
    <xf numFmtId="0" fontId="2" fillId="0" borderId="0"/>
    <xf numFmtId="0" fontId="27" fillId="0" borderId="0"/>
    <xf numFmtId="0" fontId="10" fillId="0" borderId="0"/>
    <xf numFmtId="0" fontId="10" fillId="0" borderId="0"/>
    <xf numFmtId="0" fontId="10" fillId="0" borderId="0"/>
    <xf numFmtId="0" fontId="2" fillId="0" borderId="0"/>
    <xf numFmtId="0" fontId="2" fillId="0" borderId="0"/>
    <xf numFmtId="0" fontId="10" fillId="0" borderId="0"/>
    <xf numFmtId="0" fontId="10" fillId="0" borderId="0"/>
    <xf numFmtId="0" fontId="10" fillId="0" borderId="0"/>
    <xf numFmtId="0" fontId="2" fillId="0" borderId="0"/>
    <xf numFmtId="0" fontId="27" fillId="0" borderId="0"/>
    <xf numFmtId="0" fontId="10"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7" fillId="0" borderId="0"/>
    <xf numFmtId="0" fontId="10"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2" fillId="0" borderId="0"/>
    <xf numFmtId="0" fontId="2" fillId="0" borderId="0"/>
    <xf numFmtId="0" fontId="45" fillId="0" borderId="0" applyNumberFormat="0" applyFill="0" applyBorder="0" applyAlignment="0" applyProtection="0">
      <alignment vertical="top"/>
      <protection locked="0"/>
    </xf>
  </cellStyleXfs>
  <cellXfs count="751">
    <xf numFmtId="0" fontId="0" fillId="0" borderId="0" xfId="0"/>
    <xf numFmtId="0" fontId="3" fillId="0" borderId="0" xfId="0" applyFont="1" applyProtection="1">
      <protection locked="0"/>
    </xf>
    <xf numFmtId="0" fontId="3" fillId="0" borderId="0" xfId="0" applyFont="1"/>
    <xf numFmtId="37" fontId="3" fillId="3" borderId="3" xfId="0" applyNumberFormat="1" applyFont="1" applyFill="1" applyBorder="1" applyAlignment="1" applyProtection="1">
      <alignment horizontal="center"/>
    </xf>
    <xf numFmtId="37" fontId="3" fillId="3" borderId="0" xfId="0" applyNumberFormat="1" applyFont="1" applyFill="1" applyAlignment="1" applyProtection="1">
      <alignment horizontal="right"/>
    </xf>
    <xf numFmtId="0" fontId="3" fillId="3" borderId="0" xfId="0" applyFont="1" applyFill="1" applyProtection="1"/>
    <xf numFmtId="37" fontId="3" fillId="3" borderId="0" xfId="0" applyNumberFormat="1" applyFont="1" applyFill="1" applyAlignment="1" applyProtection="1">
      <alignment horizontal="left"/>
    </xf>
    <xf numFmtId="37" fontId="3" fillId="3" borderId="0" xfId="0" applyNumberFormat="1" applyFont="1" applyFill="1" applyAlignment="1" applyProtection="1">
      <alignment horizontal="centerContinuous"/>
    </xf>
    <xf numFmtId="0" fontId="3" fillId="3" borderId="0" xfId="0" applyFont="1" applyFill="1" applyAlignment="1" applyProtection="1">
      <alignment horizontal="centerContinuous"/>
    </xf>
    <xf numFmtId="37" fontId="3" fillId="3" borderId="2" xfId="0" applyNumberFormat="1" applyFont="1" applyFill="1" applyBorder="1" applyProtection="1"/>
    <xf numFmtId="37" fontId="3" fillId="3" borderId="0" xfId="0" applyNumberFormat="1" applyFont="1" applyFill="1" applyProtection="1"/>
    <xf numFmtId="0" fontId="3" fillId="3" borderId="0" xfId="0" applyFont="1" applyFill="1"/>
    <xf numFmtId="0" fontId="3" fillId="3" borderId="0" xfId="0" applyFont="1" applyFill="1" applyAlignment="1" applyProtection="1">
      <alignment horizontal="center"/>
    </xf>
    <xf numFmtId="37" fontId="3" fillId="3" borderId="0" xfId="0" applyNumberFormat="1" applyFont="1" applyFill="1" applyBorder="1" applyAlignment="1" applyProtection="1">
      <alignment horizontal="left"/>
    </xf>
    <xf numFmtId="0" fontId="3" fillId="3" borderId="0" xfId="0" applyFont="1" applyFill="1" applyAlignment="1">
      <alignment horizontal="center"/>
    </xf>
    <xf numFmtId="166" fontId="3" fillId="3" borderId="0" xfId="0" applyNumberFormat="1" applyFont="1" applyFill="1" applyAlignment="1" applyProtection="1">
      <alignment horizontal="center"/>
    </xf>
    <xf numFmtId="37" fontId="3" fillId="3" borderId="1" xfId="0" applyNumberFormat="1" applyFont="1" applyFill="1" applyBorder="1" applyAlignment="1" applyProtection="1">
      <alignment horizontal="center"/>
    </xf>
    <xf numFmtId="37" fontId="3" fillId="3" borderId="0" xfId="0" applyNumberFormat="1" applyFont="1" applyFill="1" applyBorder="1" applyAlignment="1" applyProtection="1">
      <alignment horizontal="center"/>
    </xf>
    <xf numFmtId="165" fontId="3" fillId="4" borderId="1" xfId="0" applyNumberFormat="1" applyFont="1" applyFill="1" applyBorder="1" applyAlignment="1" applyProtection="1">
      <alignment horizontal="center"/>
    </xf>
    <xf numFmtId="165" fontId="3" fillId="3" borderId="0" xfId="0" applyNumberFormat="1" applyFont="1" applyFill="1" applyBorder="1" applyAlignment="1" applyProtection="1">
      <alignment horizontal="center"/>
    </xf>
    <xf numFmtId="0" fontId="3" fillId="3" borderId="0" xfId="0" applyFont="1" applyFill="1" applyAlignment="1">
      <alignment horizontal="left"/>
    </xf>
    <xf numFmtId="37" fontId="4" fillId="3" borderId="0" xfId="0" applyNumberFormat="1" applyFont="1" applyFill="1" applyAlignment="1" applyProtection="1">
      <alignment horizontal="center"/>
    </xf>
    <xf numFmtId="0" fontId="0" fillId="3" borderId="0" xfId="0" applyFill="1"/>
    <xf numFmtId="0" fontId="0" fillId="3" borderId="0" xfId="0" applyFill="1" applyAlignment="1"/>
    <xf numFmtId="170" fontId="3" fillId="3" borderId="0" xfId="0" applyNumberFormat="1" applyFont="1" applyFill="1" applyBorder="1" applyAlignment="1" applyProtection="1">
      <alignment horizontal="center"/>
    </xf>
    <xf numFmtId="0" fontId="3" fillId="0" borderId="0" xfId="0" applyFont="1" applyAlignment="1">
      <alignment vertical="center"/>
    </xf>
    <xf numFmtId="0" fontId="3" fillId="6" borderId="0" xfId="0" applyFont="1" applyFill="1" applyAlignment="1">
      <alignment vertical="center"/>
    </xf>
    <xf numFmtId="37" fontId="3" fillId="3" borderId="0" xfId="0" applyNumberFormat="1" applyFont="1" applyFill="1" applyAlignment="1" applyProtection="1">
      <alignment horizontal="left" vertical="center"/>
    </xf>
    <xf numFmtId="0" fontId="3" fillId="3" borderId="0" xfId="0" applyFont="1" applyFill="1" applyAlignment="1" applyProtection="1">
      <alignment vertical="center"/>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horizontal="left" vertical="center"/>
      <protection locked="0"/>
    </xf>
    <xf numFmtId="0" fontId="4" fillId="2" borderId="2"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5" borderId="0" xfId="0" applyNumberFormat="1" applyFont="1" applyFill="1" applyAlignment="1" applyProtection="1">
      <alignment horizontal="left" vertical="center"/>
    </xf>
    <xf numFmtId="0" fontId="3" fillId="3" borderId="0" xfId="0" applyFont="1" applyFill="1" applyAlignment="1" applyProtection="1">
      <alignment horizontal="center" vertical="center"/>
    </xf>
    <xf numFmtId="0" fontId="3" fillId="5" borderId="7" xfId="0" applyFont="1" applyFill="1" applyBorder="1" applyAlignment="1" applyProtection="1">
      <alignment horizontal="center" vertical="center"/>
    </xf>
    <xf numFmtId="37" fontId="3" fillId="5" borderId="7" xfId="0" applyNumberFormat="1" applyFont="1" applyFill="1" applyBorder="1" applyAlignment="1" applyProtection="1">
      <alignment horizontal="center" vertical="center"/>
    </xf>
    <xf numFmtId="0" fontId="3" fillId="5"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center" vertical="center"/>
    </xf>
    <xf numFmtId="37" fontId="3" fillId="5" borderId="8"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3" fontId="3" fillId="7" borderId="2" xfId="0" applyNumberFormat="1" applyFont="1" applyFill="1" applyBorder="1" applyAlignment="1" applyProtection="1">
      <alignment vertical="center" wrapText="1"/>
      <protection locked="0"/>
    </xf>
    <xf numFmtId="164" fontId="3" fillId="7" borderId="2" xfId="0" applyNumberFormat="1" applyFont="1" applyFill="1" applyBorder="1" applyAlignment="1" applyProtection="1">
      <alignment vertical="center"/>
      <protection locked="0"/>
    </xf>
    <xf numFmtId="0" fontId="3" fillId="3" borderId="2" xfId="0" applyFont="1" applyFill="1" applyBorder="1" applyAlignment="1" applyProtection="1">
      <alignment vertical="center"/>
    </xf>
    <xf numFmtId="164" fontId="3" fillId="2" borderId="2" xfId="0" applyNumberFormat="1" applyFont="1" applyFill="1" applyBorder="1" applyAlignment="1" applyProtection="1">
      <alignmen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vertical="center"/>
      <protection locked="0"/>
    </xf>
    <xf numFmtId="3" fontId="3" fillId="7" borderId="2" xfId="0" applyNumberFormat="1" applyFont="1" applyFill="1" applyBorder="1" applyAlignment="1" applyProtection="1">
      <alignment vertical="center"/>
      <protection locked="0"/>
    </xf>
    <xf numFmtId="37" fontId="3" fillId="3" borderId="1" xfId="0" applyNumberFormat="1" applyFont="1" applyFill="1" applyBorder="1" applyAlignment="1" applyProtection="1">
      <alignment horizontal="left" vertical="center"/>
    </xf>
    <xf numFmtId="0" fontId="3" fillId="3" borderId="1" xfId="0" applyFont="1" applyFill="1" applyBorder="1" applyAlignment="1" applyProtection="1">
      <alignment vertical="center"/>
    </xf>
    <xf numFmtId="0" fontId="3" fillId="3" borderId="6" xfId="0" applyFont="1" applyFill="1" applyBorder="1" applyAlignment="1" applyProtection="1">
      <alignment vertical="center"/>
    </xf>
    <xf numFmtId="3" fontId="3" fillId="4" borderId="6" xfId="0" applyNumberFormat="1" applyFont="1" applyFill="1" applyBorder="1" applyAlignment="1" applyProtection="1">
      <alignment vertical="center"/>
    </xf>
    <xf numFmtId="164" fontId="3" fillId="4" borderId="2" xfId="0" applyNumberFormat="1" applyFont="1" applyFill="1" applyBorder="1" applyAlignment="1" applyProtection="1">
      <alignment vertical="center"/>
    </xf>
    <xf numFmtId="164" fontId="3" fillId="3" borderId="1" xfId="0" applyNumberFormat="1" applyFont="1" applyFill="1" applyBorder="1" applyAlignment="1" applyProtection="1">
      <alignment vertical="center"/>
      <protection locked="0"/>
    </xf>
    <xf numFmtId="0" fontId="3" fillId="3" borderId="9" xfId="0" applyFont="1" applyFill="1" applyBorder="1" applyAlignment="1" applyProtection="1">
      <alignment vertical="center"/>
    </xf>
    <xf numFmtId="3" fontId="3" fillId="4" borderId="2" xfId="0" applyNumberFormat="1" applyFont="1" applyFill="1" applyBorder="1" applyAlignment="1" applyProtection="1">
      <alignment vertical="center"/>
    </xf>
    <xf numFmtId="37" fontId="3" fillId="3" borderId="0" xfId="0" applyNumberFormat="1" applyFont="1" applyFill="1" applyBorder="1" applyAlignment="1" applyProtection="1">
      <alignment horizontal="left" vertical="center"/>
    </xf>
    <xf numFmtId="164" fontId="3" fillId="3" borderId="0" xfId="0" applyNumberFormat="1" applyFont="1" applyFill="1" applyBorder="1" applyAlignment="1" applyProtection="1">
      <alignment vertical="center"/>
      <protection locked="0"/>
    </xf>
    <xf numFmtId="3" fontId="3" fillId="3" borderId="0" xfId="0" applyNumberFormat="1" applyFont="1" applyFill="1" applyBorder="1" applyAlignment="1" applyProtection="1">
      <alignment vertical="center"/>
    </xf>
    <xf numFmtId="37" fontId="4" fillId="8" borderId="0" xfId="0" applyNumberFormat="1" applyFont="1" applyFill="1" applyAlignment="1" applyProtection="1">
      <alignment horizontal="left" vertical="center"/>
    </xf>
    <xf numFmtId="0" fontId="3" fillId="3" borderId="0" xfId="0" applyFont="1" applyFill="1" applyAlignment="1">
      <alignment vertical="center"/>
    </xf>
    <xf numFmtId="0" fontId="3" fillId="8" borderId="0" xfId="0" applyFont="1" applyFill="1" applyAlignment="1" applyProtection="1">
      <alignment vertical="center"/>
    </xf>
    <xf numFmtId="37" fontId="3" fillId="3" borderId="2" xfId="0" applyNumberFormat="1" applyFont="1" applyFill="1" applyBorder="1" applyAlignment="1" applyProtection="1">
      <alignment vertical="center"/>
    </xf>
    <xf numFmtId="37" fontId="3" fillId="5" borderId="1" xfId="0" applyNumberFormat="1" applyFont="1" applyFill="1" applyBorder="1" applyAlignment="1" applyProtection="1">
      <alignment horizontal="left" vertical="center"/>
    </xf>
    <xf numFmtId="0" fontId="3" fillId="5" borderId="1" xfId="0" applyFont="1" applyFill="1" applyBorder="1" applyAlignment="1" applyProtection="1">
      <alignment vertical="center"/>
    </xf>
    <xf numFmtId="37" fontId="3" fillId="5" borderId="5" xfId="0" applyNumberFormat="1" applyFont="1" applyFill="1" applyBorder="1" applyAlignment="1" applyProtection="1">
      <alignment horizontal="left" vertical="center"/>
    </xf>
    <xf numFmtId="0" fontId="3" fillId="5" borderId="5" xfId="0" applyFont="1" applyFill="1" applyBorder="1" applyAlignment="1" applyProtection="1">
      <alignment vertical="center"/>
    </xf>
    <xf numFmtId="0" fontId="3" fillId="3" borderId="5" xfId="0" applyFont="1" applyFill="1" applyBorder="1" applyAlignment="1" applyProtection="1">
      <alignment vertical="center"/>
    </xf>
    <xf numFmtId="3" fontId="3" fillId="3" borderId="0" xfId="0" applyNumberFormat="1" applyFont="1" applyFill="1" applyBorder="1" applyAlignment="1" applyProtection="1">
      <alignment vertical="center"/>
      <protection locked="0"/>
    </xf>
    <xf numFmtId="37" fontId="15" fillId="8" borderId="0" xfId="0" applyNumberFormat="1" applyFont="1" applyFill="1" applyAlignment="1" applyProtection="1">
      <alignment horizontal="left" vertical="center"/>
    </xf>
    <xf numFmtId="0" fontId="5" fillId="5" borderId="0" xfId="0" applyFont="1" applyFill="1" applyAlignment="1">
      <alignment vertical="center"/>
    </xf>
    <xf numFmtId="0" fontId="3" fillId="8" borderId="0" xfId="0" applyFont="1" applyFill="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8" borderId="1" xfId="0" applyFont="1" applyFill="1" applyBorder="1" applyAlignment="1" applyProtection="1">
      <alignment vertical="center"/>
      <protection locked="0"/>
    </xf>
    <xf numFmtId="0" fontId="3" fillId="3" borderId="0" xfId="0" applyFont="1" applyFill="1" applyBorder="1" applyAlignment="1" applyProtection="1">
      <alignment vertical="center"/>
      <protection locked="0"/>
    </xf>
    <xf numFmtId="0" fontId="3" fillId="8" borderId="5" xfId="0" applyFont="1" applyFill="1" applyBorder="1" applyAlignment="1" applyProtection="1">
      <alignment vertical="center"/>
      <protection locked="0"/>
    </xf>
    <xf numFmtId="0" fontId="3" fillId="0" borderId="0" xfId="0" applyFont="1" applyAlignment="1" applyProtection="1">
      <alignment vertical="center"/>
      <protection locked="0"/>
    </xf>
    <xf numFmtId="37" fontId="3" fillId="3" borderId="0" xfId="0" applyNumberFormat="1" applyFont="1" applyFill="1" applyAlignment="1">
      <alignment vertical="center"/>
    </xf>
    <xf numFmtId="3" fontId="3" fillId="3" borderId="0" xfId="0" applyNumberFormat="1" applyFont="1" applyFill="1" applyAlignment="1" applyProtection="1">
      <alignment vertical="center"/>
    </xf>
    <xf numFmtId="37" fontId="3" fillId="3" borderId="5" xfId="0" applyNumberFormat="1" applyFont="1" applyFill="1" applyBorder="1" applyAlignment="1" applyProtection="1">
      <alignment horizontal="left" vertical="center"/>
    </xf>
    <xf numFmtId="37" fontId="3" fillId="2" borderId="2"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horizontal="left" vertical="center"/>
    </xf>
    <xf numFmtId="3" fontId="3" fillId="3" borderId="9" xfId="0" applyNumberFormat="1" applyFont="1" applyFill="1" applyBorder="1" applyAlignment="1" applyProtection="1">
      <alignment vertical="center"/>
    </xf>
    <xf numFmtId="3" fontId="3" fillId="3" borderId="6" xfId="0" applyNumberFormat="1" applyFont="1" applyFill="1" applyBorder="1" applyAlignment="1" applyProtection="1">
      <alignment vertical="center"/>
    </xf>
    <xf numFmtId="3" fontId="3" fillId="3" borderId="5" xfId="0" applyNumberFormat="1" applyFont="1" applyFill="1" applyBorder="1" applyAlignment="1" applyProtection="1">
      <alignment vertical="center"/>
    </xf>
    <xf numFmtId="0" fontId="4" fillId="3" borderId="0" xfId="0" applyFont="1" applyFill="1" applyAlignment="1" applyProtection="1">
      <alignment vertical="center"/>
    </xf>
    <xf numFmtId="0" fontId="0" fillId="3" borderId="0" xfId="0" applyFill="1" applyAlignment="1">
      <alignment vertical="center"/>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16" fillId="3" borderId="0" xfId="0" applyFont="1" applyFill="1" applyAlignment="1">
      <alignment vertical="center"/>
    </xf>
    <xf numFmtId="0" fontId="22" fillId="3" borderId="0" xfId="0" applyFont="1" applyFill="1" applyAlignment="1">
      <alignment vertical="center"/>
    </xf>
    <xf numFmtId="0" fontId="3" fillId="5" borderId="8" xfId="0" applyFont="1" applyFill="1" applyBorder="1" applyAlignment="1">
      <alignment horizontal="center" vertical="center"/>
    </xf>
    <xf numFmtId="37" fontId="3" fillId="3" borderId="8" xfId="0" applyNumberFormat="1" applyFont="1" applyFill="1" applyBorder="1" applyAlignment="1">
      <alignment vertical="center"/>
    </xf>
    <xf numFmtId="0" fontId="11" fillId="3" borderId="0" xfId="0" applyFont="1" applyFill="1" applyAlignment="1">
      <alignment vertical="center"/>
    </xf>
    <xf numFmtId="0" fontId="11" fillId="0" borderId="0" xfId="0" applyFont="1" applyAlignment="1">
      <alignment vertical="center"/>
    </xf>
    <xf numFmtId="0" fontId="11" fillId="3" borderId="0" xfId="0" applyFont="1" applyFill="1" applyAlignment="1" applyProtection="1">
      <alignment vertical="center"/>
    </xf>
    <xf numFmtId="0" fontId="0" fillId="0" borderId="0" xfId="0" applyAlignment="1">
      <alignment vertical="center"/>
    </xf>
    <xf numFmtId="37" fontId="11" fillId="3" borderId="0" xfId="0" applyNumberFormat="1" applyFont="1" applyFill="1" applyAlignment="1" applyProtection="1">
      <alignment horizontal="centerContinuous" vertical="center"/>
    </xf>
    <xf numFmtId="0" fontId="11" fillId="3" borderId="0" xfId="0" applyFont="1" applyFill="1" applyAlignment="1" applyProtection="1">
      <alignment horizontal="centerContinuous" vertical="center"/>
    </xf>
    <xf numFmtId="37" fontId="11" fillId="3" borderId="0" xfId="0" applyNumberFormat="1" applyFont="1" applyFill="1" applyAlignment="1" applyProtection="1">
      <alignment horizontal="left" vertical="center"/>
    </xf>
    <xf numFmtId="37" fontId="11" fillId="3" borderId="0" xfId="0" applyNumberFormat="1" applyFont="1" applyFill="1" applyAlignment="1" applyProtection="1">
      <alignment horizontal="fill" vertical="center"/>
    </xf>
    <xf numFmtId="37" fontId="11" fillId="3" borderId="4" xfId="0" applyNumberFormat="1" applyFont="1" applyFill="1" applyBorder="1" applyAlignment="1" applyProtection="1">
      <alignment horizontal="centerContinuous" vertical="center"/>
    </xf>
    <xf numFmtId="0" fontId="11" fillId="3" borderId="5" xfId="0" applyFont="1" applyFill="1" applyBorder="1" applyAlignment="1" applyProtection="1">
      <alignment horizontal="centerContinuous" vertical="center"/>
    </xf>
    <xf numFmtId="0" fontId="11" fillId="3" borderId="6" xfId="0" applyFont="1" applyFill="1" applyBorder="1" applyAlignment="1" applyProtection="1">
      <alignment horizontal="centerContinuous" vertical="center"/>
    </xf>
    <xf numFmtId="37" fontId="11" fillId="3" borderId="7" xfId="0" applyNumberFormat="1" applyFont="1" applyFill="1" applyBorder="1" applyAlignment="1" applyProtection="1">
      <alignment horizontal="center" vertical="center"/>
    </xf>
    <xf numFmtId="37" fontId="12" fillId="3" borderId="1" xfId="0" applyNumberFormat="1" applyFont="1" applyFill="1" applyBorder="1" applyAlignment="1" applyProtection="1">
      <alignment horizontal="left" vertical="center"/>
    </xf>
    <xf numFmtId="0" fontId="11" fillId="3" borderId="1" xfId="0" applyFont="1" applyFill="1" applyBorder="1" applyAlignment="1" applyProtection="1">
      <alignment vertical="center"/>
    </xf>
    <xf numFmtId="37" fontId="11" fillId="3" borderId="8" xfId="0" applyNumberFormat="1" applyFont="1" applyFill="1" applyBorder="1" applyAlignment="1" applyProtection="1">
      <alignment horizontal="center" vertical="center"/>
    </xf>
    <xf numFmtId="37" fontId="11" fillId="3" borderId="2" xfId="0" applyNumberFormat="1" applyFont="1" applyFill="1" applyBorder="1" applyAlignment="1" applyProtection="1">
      <alignment horizontal="left" vertical="center"/>
    </xf>
    <xf numFmtId="37" fontId="11" fillId="3" borderId="3" xfId="0" applyNumberFormat="1" applyFont="1" applyFill="1" applyBorder="1" applyAlignment="1" applyProtection="1">
      <alignment horizontal="center" vertical="center"/>
    </xf>
    <xf numFmtId="0" fontId="11" fillId="3" borderId="0" xfId="0" applyFont="1" applyFill="1" applyBorder="1" applyAlignment="1" applyProtection="1">
      <alignment vertical="center"/>
    </xf>
    <xf numFmtId="37" fontId="11" fillId="3" borderId="4" xfId="0" applyNumberFormat="1" applyFont="1" applyFill="1" applyBorder="1" applyAlignment="1" applyProtection="1">
      <alignment horizontal="left" vertical="center"/>
    </xf>
    <xf numFmtId="0" fontId="11" fillId="3" borderId="6" xfId="0" applyFont="1" applyFill="1" applyBorder="1" applyAlignment="1" applyProtection="1">
      <alignment vertical="center"/>
    </xf>
    <xf numFmtId="37" fontId="11" fillId="3" borderId="9" xfId="0" applyNumberFormat="1" applyFont="1" applyFill="1" applyBorder="1" applyAlignment="1" applyProtection="1">
      <alignment horizontal="center" vertical="center"/>
    </xf>
    <xf numFmtId="37" fontId="11" fillId="3" borderId="2" xfId="0" applyNumberFormat="1" applyFont="1" applyFill="1" applyBorder="1" applyAlignment="1" applyProtection="1">
      <alignment horizontal="center" vertical="center"/>
    </xf>
    <xf numFmtId="0" fontId="11" fillId="3" borderId="3" xfId="0" applyFont="1" applyFill="1" applyBorder="1" applyAlignment="1" applyProtection="1">
      <alignment vertical="center"/>
    </xf>
    <xf numFmtId="37" fontId="11" fillId="3" borderId="6" xfId="0" applyNumberFormat="1" applyFont="1" applyFill="1" applyBorder="1" applyAlignment="1" applyProtection="1">
      <alignment horizontal="center" vertical="center"/>
    </xf>
    <xf numFmtId="37" fontId="20" fillId="3" borderId="8" xfId="0" applyNumberFormat="1" applyFont="1" applyFill="1" applyBorder="1" applyAlignment="1" applyProtection="1">
      <alignment horizontal="left" vertical="center"/>
    </xf>
    <xf numFmtId="37" fontId="20" fillId="3" borderId="8" xfId="0" applyNumberFormat="1" applyFont="1" applyFill="1" applyBorder="1" applyAlignment="1" applyProtection="1">
      <alignment horizontal="center" vertical="center"/>
    </xf>
    <xf numFmtId="0" fontId="11" fillId="3" borderId="2" xfId="0" applyFont="1" applyFill="1" applyBorder="1" applyAlignment="1" applyProtection="1">
      <alignment vertical="center"/>
    </xf>
    <xf numFmtId="0" fontId="11" fillId="3" borderId="8" xfId="0" applyFont="1" applyFill="1" applyBorder="1" applyAlignment="1" applyProtection="1">
      <alignment vertical="center"/>
    </xf>
    <xf numFmtId="37" fontId="11" fillId="3" borderId="4" xfId="0" applyNumberFormat="1" applyFont="1" applyFill="1" applyBorder="1" applyAlignment="1" applyProtection="1">
      <alignment horizontal="center" vertical="center"/>
    </xf>
    <xf numFmtId="37" fontId="11"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11" fillId="3" borderId="7" xfId="0" applyFont="1" applyFill="1" applyBorder="1" applyAlignment="1" applyProtection="1">
      <alignment vertical="center"/>
    </xf>
    <xf numFmtId="37" fontId="12" fillId="3" borderId="7" xfId="0" applyNumberFormat="1" applyFont="1" applyFill="1" applyBorder="1" applyAlignment="1" applyProtection="1">
      <alignment horizontal="left" vertical="center"/>
    </xf>
    <xf numFmtId="37" fontId="11" fillId="3" borderId="10" xfId="0" applyNumberFormat="1" applyFont="1" applyFill="1" applyBorder="1" applyAlignment="1" applyProtection="1">
      <alignment horizontal="left" vertical="center"/>
    </xf>
    <xf numFmtId="0" fontId="11" fillId="3" borderId="11" xfId="0" applyFont="1" applyFill="1" applyBorder="1" applyAlignment="1" applyProtection="1">
      <alignment vertical="center"/>
    </xf>
    <xf numFmtId="37" fontId="11" fillId="3" borderId="0" xfId="0" applyNumberFormat="1" applyFont="1" applyFill="1" applyBorder="1" applyAlignment="1" applyProtection="1">
      <alignment vertical="center"/>
    </xf>
    <xf numFmtId="0" fontId="11" fillId="3" borderId="0" xfId="0" applyFont="1" applyFill="1" applyAlignment="1" applyProtection="1">
      <alignment horizontal="center" vertical="center"/>
    </xf>
    <xf numFmtId="0" fontId="16" fillId="9" borderId="6" xfId="0" applyFont="1" applyFill="1" applyBorder="1" applyAlignment="1" applyProtection="1">
      <alignment horizontal="center" vertical="center"/>
    </xf>
    <xf numFmtId="3" fontId="11" fillId="2" borderId="2" xfId="0" applyNumberFormat="1" applyFont="1" applyFill="1" applyBorder="1" applyAlignment="1" applyProtection="1">
      <alignment vertical="center"/>
      <protection locked="0"/>
    </xf>
    <xf numFmtId="37" fontId="11" fillId="3" borderId="0" xfId="0" applyNumberFormat="1" applyFont="1" applyFill="1" applyAlignment="1" applyProtection="1">
      <alignment horizontal="right" vertical="center"/>
    </xf>
    <xf numFmtId="0" fontId="11" fillId="2" borderId="1"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3" borderId="0" xfId="0" applyFont="1" applyFill="1" applyAlignment="1" applyProtection="1">
      <alignment horizontal="right" vertical="center"/>
    </xf>
    <xf numFmtId="0" fontId="11" fillId="3" borderId="0" xfId="0" applyFont="1" applyFill="1" applyAlignment="1" applyProtection="1">
      <alignment horizontal="left" vertical="center"/>
    </xf>
    <xf numFmtId="0" fontId="11" fillId="0" borderId="0" xfId="0" applyFont="1" applyAlignment="1" applyProtection="1">
      <alignment vertical="center"/>
      <protection locked="0"/>
    </xf>
    <xf numFmtId="37" fontId="3" fillId="3" borderId="0" xfId="0" applyNumberFormat="1" applyFont="1" applyFill="1" applyAlignment="1" applyProtection="1">
      <alignment horizontal="centerContinuous" vertical="center"/>
    </xf>
    <xf numFmtId="37" fontId="3" fillId="3" borderId="4" xfId="0" applyNumberFormat="1" applyFont="1" applyFill="1" applyBorder="1" applyAlignment="1" applyProtection="1">
      <alignment horizontal="centerContinuous" vertical="center"/>
    </xf>
    <xf numFmtId="0" fontId="3" fillId="3" borderId="5"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37" fontId="3" fillId="3" borderId="7" xfId="0" applyNumberFormat="1" applyFont="1" applyFill="1" applyBorder="1" applyAlignment="1" applyProtection="1">
      <alignment horizontal="center" vertical="center"/>
    </xf>
    <xf numFmtId="37" fontId="3" fillId="3" borderId="8"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fill" vertical="center"/>
    </xf>
    <xf numFmtId="0" fontId="3" fillId="0" borderId="0" xfId="0" applyFont="1" applyAlignment="1" applyProtection="1">
      <alignment horizontal="center" vertical="center"/>
      <protection locked="0"/>
    </xf>
    <xf numFmtId="37" fontId="3" fillId="3" borderId="0" xfId="0" applyNumberFormat="1" applyFont="1" applyFill="1" applyAlignment="1" applyProtection="1">
      <alignment vertical="center"/>
    </xf>
    <xf numFmtId="0" fontId="4" fillId="3" borderId="0" xfId="0" applyFont="1" applyFill="1" applyAlignment="1" applyProtection="1">
      <alignment horizontal="center"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7" fontId="3" fillId="3" borderId="0" xfId="0" applyNumberFormat="1" applyFont="1" applyFill="1" applyAlignment="1" applyProtection="1">
      <alignment horizontal="right" vertical="center"/>
    </xf>
    <xf numFmtId="0" fontId="4" fillId="3" borderId="1"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15"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5" fillId="2" borderId="2" xfId="0" applyFont="1" applyFill="1" applyBorder="1" applyAlignment="1" applyProtection="1">
      <alignment vertical="center"/>
      <protection locked="0"/>
    </xf>
    <xf numFmtId="0" fontId="3" fillId="3" borderId="2" xfId="0" applyFont="1" applyFill="1" applyBorder="1" applyAlignment="1" applyProtection="1">
      <alignment horizontal="center" vertical="center"/>
    </xf>
    <xf numFmtId="0" fontId="3" fillId="3" borderId="2" xfId="0" applyFont="1" applyFill="1" applyBorder="1" applyAlignment="1" applyProtection="1">
      <alignment horizontal="center" vertical="center"/>
      <protection locked="0"/>
    </xf>
    <xf numFmtId="1" fontId="3" fillId="3" borderId="0" xfId="0" applyNumberFormat="1" applyFont="1" applyFill="1" applyBorder="1" applyAlignment="1" applyProtection="1">
      <alignment horizontal="right" vertical="center"/>
    </xf>
    <xf numFmtId="0" fontId="4" fillId="3" borderId="0" xfId="483" applyFont="1" applyFill="1" applyAlignment="1" applyProtection="1">
      <alignment horizontal="centerContinuous" vertical="center"/>
    </xf>
    <xf numFmtId="0" fontId="3" fillId="3" borderId="1" xfId="0" applyFont="1" applyFill="1" applyBorder="1" applyAlignment="1" applyProtection="1">
      <alignment horizontal="fill" vertical="center"/>
    </xf>
    <xf numFmtId="0" fontId="3" fillId="3" borderId="7" xfId="0" applyFont="1" applyFill="1" applyBorder="1" applyAlignment="1" applyProtection="1">
      <alignment horizontal="center" vertical="center"/>
    </xf>
    <xf numFmtId="0" fontId="3" fillId="3" borderId="10" xfId="0" applyFont="1" applyFill="1" applyBorder="1" applyAlignment="1" applyProtection="1">
      <alignment horizontal="centerContinuous" vertical="center"/>
    </xf>
    <xf numFmtId="0" fontId="3" fillId="3" borderId="11" xfId="0" applyFont="1" applyFill="1" applyBorder="1" applyAlignment="1" applyProtection="1">
      <alignment horizontal="centerContinuous" vertical="center"/>
    </xf>
    <xf numFmtId="0" fontId="3" fillId="3" borderId="3" xfId="0" applyFont="1" applyFill="1" applyBorder="1" applyAlignment="1" applyProtection="1">
      <alignment horizontal="center" vertical="center"/>
    </xf>
    <xf numFmtId="1" fontId="3" fillId="3" borderId="16" xfId="0" applyNumberFormat="1" applyFont="1" applyFill="1" applyBorder="1" applyAlignment="1" applyProtection="1">
      <alignment horizontal="center" vertical="center"/>
    </xf>
    <xf numFmtId="0" fontId="3" fillId="3" borderId="2" xfId="0" applyFont="1" applyFill="1" applyBorder="1" applyAlignment="1" applyProtection="1">
      <alignment horizontal="left" vertical="center"/>
    </xf>
    <xf numFmtId="0" fontId="3" fillId="3" borderId="8" xfId="0" applyFont="1" applyFill="1" applyBorder="1" applyAlignment="1" applyProtection="1">
      <alignment horizontal="center" vertical="center"/>
    </xf>
    <xf numFmtId="2" fontId="3" fillId="3" borderId="2" xfId="0" applyNumberFormat="1" applyFont="1" applyFill="1" applyBorder="1" applyAlignment="1" applyProtection="1">
      <alignment vertical="center"/>
    </xf>
    <xf numFmtId="3" fontId="3" fillId="3" borderId="2" xfId="0" applyNumberFormat="1" applyFont="1" applyFill="1" applyBorder="1" applyAlignment="1" applyProtection="1">
      <alignment vertical="center"/>
    </xf>
    <xf numFmtId="0" fontId="3" fillId="7" borderId="2" xfId="0" applyFont="1" applyFill="1" applyBorder="1" applyAlignment="1" applyProtection="1">
      <alignment horizontal="center" vertical="center"/>
      <protection locked="0"/>
    </xf>
    <xf numFmtId="2" fontId="3" fillId="7" borderId="2" xfId="0" applyNumberFormat="1" applyFont="1" applyFill="1" applyBorder="1" applyAlignment="1" applyProtection="1">
      <alignment horizontal="center" vertical="center"/>
      <protection locked="0"/>
    </xf>
    <xf numFmtId="3" fontId="3" fillId="7" borderId="2" xfId="0" applyNumberFormat="1" applyFont="1" applyFill="1" applyBorder="1" applyAlignment="1" applyProtection="1">
      <alignment horizontal="center" vertical="center"/>
      <protection locked="0"/>
    </xf>
    <xf numFmtId="37" fontId="3" fillId="7" borderId="2" xfId="0" applyNumberFormat="1" applyFont="1" applyFill="1" applyBorder="1" applyAlignment="1" applyProtection="1">
      <alignment horizontal="center" vertical="center"/>
      <protection locked="0"/>
    </xf>
    <xf numFmtId="169" fontId="3" fillId="7" borderId="2" xfId="0" applyNumberFormat="1"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xf>
    <xf numFmtId="168" fontId="4" fillId="3" borderId="2" xfId="0" applyNumberFormat="1" applyFont="1" applyFill="1" applyBorder="1" applyAlignment="1" applyProtection="1">
      <alignment horizontal="center" vertical="center"/>
    </xf>
    <xf numFmtId="2" fontId="4" fillId="3" borderId="2" xfId="0" applyNumberFormat="1" applyFont="1" applyFill="1" applyBorder="1" applyAlignment="1" applyProtection="1">
      <alignment horizontal="center" vertical="center"/>
    </xf>
    <xf numFmtId="3" fontId="4" fillId="3" borderId="2" xfId="0" applyNumberFormat="1" applyFont="1" applyFill="1" applyBorder="1" applyAlignment="1" applyProtection="1">
      <alignment horizontal="center" vertical="center"/>
    </xf>
    <xf numFmtId="37" fontId="4" fillId="4" borderId="2" xfId="0" applyNumberFormat="1" applyFont="1" applyFill="1" applyBorder="1" applyAlignment="1" applyProtection="1">
      <alignment horizontal="center" vertical="center"/>
    </xf>
    <xf numFmtId="169" fontId="4" fillId="3" borderId="2" xfId="0" applyNumberFormat="1" applyFont="1" applyFill="1" applyBorder="1" applyAlignment="1" applyProtection="1">
      <alignment horizontal="center" vertical="center"/>
    </xf>
    <xf numFmtId="168" fontId="3" fillId="3" borderId="2" xfId="0" applyNumberFormat="1" applyFont="1" applyFill="1" applyBorder="1" applyAlignment="1" applyProtection="1">
      <alignment horizontal="center" vertical="center"/>
    </xf>
    <xf numFmtId="2" fontId="3" fillId="3" borderId="2" xfId="0" applyNumberFormat="1" applyFont="1" applyFill="1" applyBorder="1" applyAlignment="1" applyProtection="1">
      <alignment horizontal="center" vertical="center"/>
    </xf>
    <xf numFmtId="3" fontId="3" fillId="3" borderId="2" xfId="0" applyNumberFormat="1" applyFont="1" applyFill="1" applyBorder="1" applyAlignment="1" applyProtection="1">
      <alignment horizontal="center" vertical="center"/>
    </xf>
    <xf numFmtId="169" fontId="3" fillId="3" borderId="2" xfId="0" applyNumberFormat="1" applyFont="1" applyFill="1" applyBorder="1" applyAlignment="1" applyProtection="1">
      <alignment horizontal="center" vertical="center"/>
    </xf>
    <xf numFmtId="1" fontId="4" fillId="3" borderId="2" xfId="0" applyNumberFormat="1" applyFont="1" applyFill="1" applyBorder="1" applyAlignment="1" applyProtection="1">
      <alignment horizontal="center" vertical="center"/>
    </xf>
    <xf numFmtId="3" fontId="4" fillId="4" borderId="2" xfId="0" applyNumberFormat="1" applyFont="1" applyFill="1" applyBorder="1" applyAlignment="1" applyProtection="1">
      <alignment horizontal="center" vertical="center"/>
    </xf>
    <xf numFmtId="1" fontId="3" fillId="3" borderId="2" xfId="0" applyNumberFormat="1" applyFont="1" applyFill="1" applyBorder="1" applyAlignment="1" applyProtection="1">
      <alignment horizontal="center" vertical="center"/>
    </xf>
    <xf numFmtId="37"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3" fillId="3" borderId="0" xfId="0" applyNumberFormat="1" applyFont="1" applyFill="1" applyAlignment="1" applyProtection="1">
      <alignment horizontal="right" vertical="center"/>
    </xf>
    <xf numFmtId="0" fontId="3" fillId="3" borderId="0" xfId="0" applyFont="1" applyFill="1" applyAlignment="1" applyProtection="1">
      <alignment horizontal="right" vertical="center"/>
    </xf>
    <xf numFmtId="0" fontId="3" fillId="3" borderId="17" xfId="0" applyFont="1" applyFill="1" applyBorder="1" applyAlignment="1" applyProtection="1">
      <alignment vertical="center"/>
    </xf>
    <xf numFmtId="0" fontId="3" fillId="3" borderId="7" xfId="0" applyFont="1" applyFill="1" applyBorder="1" applyAlignment="1" applyProtection="1">
      <alignment vertical="center"/>
    </xf>
    <xf numFmtId="0" fontId="3" fillId="3" borderId="16" xfId="0" applyFont="1" applyFill="1" applyBorder="1" applyAlignment="1" applyProtection="1">
      <alignment horizontal="left" vertical="center"/>
    </xf>
    <xf numFmtId="0" fontId="7" fillId="3" borderId="8" xfId="0" applyFont="1" applyFill="1" applyBorder="1" applyAlignment="1" applyProtection="1">
      <alignment horizontal="center" vertical="center"/>
    </xf>
    <xf numFmtId="14" fontId="3" fillId="3" borderId="8" xfId="0" quotePrefix="1" applyNumberFormat="1" applyFont="1" applyFill="1" applyBorder="1" applyAlignment="1" applyProtection="1">
      <alignment horizontal="center" vertical="center"/>
    </xf>
    <xf numFmtId="0" fontId="3" fillId="7" borderId="2" xfId="0" applyFont="1" applyFill="1" applyBorder="1" applyAlignment="1" applyProtection="1">
      <alignment vertical="center"/>
      <protection locked="0"/>
    </xf>
    <xf numFmtId="1" fontId="3" fillId="7" borderId="2" xfId="0" applyNumberFormat="1" applyFont="1" applyFill="1" applyBorder="1" applyAlignment="1" applyProtection="1">
      <alignment vertical="center"/>
      <protection locked="0"/>
    </xf>
    <xf numFmtId="2" fontId="3" fillId="7" borderId="2" xfId="0" applyNumberFormat="1" applyFont="1" applyFill="1" applyBorder="1" applyAlignment="1" applyProtection="1">
      <alignment vertical="center"/>
      <protection locked="0"/>
    </xf>
    <xf numFmtId="3" fontId="4" fillId="4" borderId="12" xfId="0" applyNumberFormat="1" applyFont="1" applyFill="1" applyBorder="1" applyAlignment="1" applyProtection="1">
      <alignment vertical="center"/>
    </xf>
    <xf numFmtId="0" fontId="3" fillId="0" borderId="0" xfId="0" applyFont="1" applyBorder="1" applyAlignment="1">
      <alignment vertical="center"/>
    </xf>
    <xf numFmtId="0" fontId="3" fillId="6" borderId="0" xfId="482" applyFont="1" applyFill="1" applyAlignment="1" applyProtection="1">
      <alignment vertical="center"/>
    </xf>
    <xf numFmtId="0" fontId="3" fillId="6" borderId="0" xfId="0" applyFont="1" applyFill="1" applyAlignment="1" applyProtection="1">
      <alignment vertical="center"/>
    </xf>
    <xf numFmtId="0" fontId="3" fillId="3" borderId="0" xfId="0" quotePrefix="1" applyFont="1" applyFill="1" applyAlignment="1" applyProtection="1">
      <alignment horizontal="right" vertical="center"/>
    </xf>
    <xf numFmtId="0" fontId="3" fillId="3" borderId="0" xfId="0" applyFont="1" applyFill="1" applyAlignment="1" applyProtection="1">
      <alignment horizontal="left" vertical="center"/>
    </xf>
    <xf numFmtId="1" fontId="3" fillId="3" borderId="8" xfId="0" applyNumberFormat="1" applyFont="1" applyFill="1" applyBorder="1" applyAlignment="1" applyProtection="1">
      <alignment horizontal="center" vertical="center"/>
    </xf>
    <xf numFmtId="0" fontId="3" fillId="3" borderId="4" xfId="0" applyFont="1" applyFill="1" applyBorder="1" applyAlignment="1" applyProtection="1">
      <alignment horizontal="left" vertical="center"/>
    </xf>
    <xf numFmtId="3" fontId="3" fillId="7" borderId="6" xfId="0" applyNumberFormat="1" applyFont="1" applyFill="1" applyBorder="1" applyAlignment="1" applyProtection="1">
      <alignment vertical="center"/>
      <protection locked="0"/>
    </xf>
    <xf numFmtId="37" fontId="3" fillId="3" borderId="4" xfId="0" applyNumberFormat="1" applyFont="1" applyFill="1" applyBorder="1" applyAlignment="1" applyProtection="1">
      <alignment vertical="center"/>
    </xf>
    <xf numFmtId="37" fontId="3" fillId="7" borderId="2" xfId="0" applyNumberFormat="1" applyFont="1" applyFill="1" applyBorder="1" applyAlignment="1" applyProtection="1">
      <alignment vertical="center"/>
      <protection locked="0"/>
    </xf>
    <xf numFmtId="37"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horizontal="left" vertical="center"/>
      <protection locked="0"/>
    </xf>
    <xf numFmtId="0" fontId="3" fillId="3" borderId="4" xfId="0" applyFont="1" applyFill="1" applyBorder="1" applyAlignment="1" applyProtection="1">
      <alignment vertical="center"/>
    </xf>
    <xf numFmtId="3" fontId="16" fillId="10" borderId="11"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left" vertical="center"/>
    </xf>
    <xf numFmtId="37" fontId="4" fillId="4" borderId="2" xfId="0" applyNumberFormat="1" applyFont="1" applyFill="1" applyBorder="1" applyAlignment="1" applyProtection="1">
      <alignment vertical="center"/>
    </xf>
    <xf numFmtId="0" fontId="4" fillId="3" borderId="0" xfId="0" applyFont="1" applyFill="1" applyAlignment="1" applyProtection="1">
      <alignment horizontal="left" vertical="center"/>
    </xf>
    <xf numFmtId="0" fontId="3" fillId="3" borderId="0" xfId="0" applyFont="1" applyFill="1" applyAlignment="1" applyProtection="1">
      <alignment horizontal="fill" vertical="center"/>
    </xf>
    <xf numFmtId="0" fontId="3" fillId="3" borderId="8"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vertical="center"/>
    </xf>
    <xf numFmtId="0" fontId="3" fillId="7" borderId="4" xfId="0" applyFont="1" applyFill="1" applyBorder="1" applyAlignment="1" applyProtection="1">
      <alignment vertical="center"/>
      <protection locked="0"/>
    </xf>
    <xf numFmtId="37" fontId="3" fillId="4" borderId="2" xfId="0" applyNumberFormat="1" applyFont="1" applyFill="1" applyBorder="1" applyAlignment="1" applyProtection="1">
      <alignment vertical="center"/>
    </xf>
    <xf numFmtId="0" fontId="16" fillId="0" borderId="0" xfId="0" applyFont="1" applyAlignment="1">
      <alignment vertical="center"/>
    </xf>
    <xf numFmtId="0" fontId="17" fillId="3" borderId="0" xfId="0" applyFont="1" applyFill="1" applyAlignment="1" applyProtection="1">
      <alignment horizontal="center" vertical="center"/>
    </xf>
    <xf numFmtId="0" fontId="3" fillId="3" borderId="0" xfId="0" applyFont="1" applyFill="1" applyAlignment="1">
      <alignment horizontal="right" vertical="center"/>
    </xf>
    <xf numFmtId="1" fontId="3" fillId="3" borderId="7" xfId="0" applyNumberFormat="1" applyFont="1" applyFill="1" applyBorder="1" applyAlignment="1" applyProtection="1">
      <alignment horizontal="center" vertical="center"/>
    </xf>
    <xf numFmtId="0" fontId="3" fillId="2" borderId="2" xfId="0" applyFont="1" applyFill="1" applyBorder="1" applyAlignment="1" applyProtection="1">
      <alignment horizontal="left" vertical="center"/>
      <protection locked="0"/>
    </xf>
    <xf numFmtId="37" fontId="3" fillId="4" borderId="7" xfId="0" applyNumberFormat="1" applyFont="1" applyFill="1" applyBorder="1" applyAlignment="1" applyProtection="1">
      <alignment vertical="center"/>
    </xf>
    <xf numFmtId="0" fontId="3" fillId="3" borderId="0" xfId="0" applyNumberFormat="1" applyFont="1" applyFill="1" applyAlignment="1" applyProtection="1">
      <alignment vertical="center"/>
    </xf>
    <xf numFmtId="37" fontId="3" fillId="3" borderId="0" xfId="0" applyNumberFormat="1" applyFont="1" applyFill="1" applyAlignment="1" applyProtection="1">
      <alignment horizontal="fill" vertical="center"/>
    </xf>
    <xf numFmtId="37" fontId="4" fillId="9" borderId="12" xfId="0" applyNumberFormat="1" applyFont="1" applyFill="1" applyBorder="1" applyAlignment="1" applyProtection="1">
      <alignment vertical="center"/>
    </xf>
    <xf numFmtId="0" fontId="16" fillId="6" borderId="0" xfId="0" applyFont="1" applyFill="1" applyAlignment="1">
      <alignment vertical="center"/>
    </xf>
    <xf numFmtId="37" fontId="3" fillId="6" borderId="0" xfId="0" applyNumberFormat="1" applyFont="1" applyFill="1" applyAlignment="1">
      <alignment vertical="center"/>
    </xf>
    <xf numFmtId="37" fontId="3" fillId="0" borderId="0" xfId="0" applyNumberFormat="1" applyFont="1" applyAlignment="1">
      <alignment vertical="center"/>
    </xf>
    <xf numFmtId="166" fontId="3" fillId="3" borderId="0" xfId="0" applyNumberFormat="1" applyFont="1" applyFill="1" applyAlignment="1" applyProtection="1">
      <alignment vertical="center"/>
    </xf>
    <xf numFmtId="37" fontId="3" fillId="3" borderId="0" xfId="0" quotePrefix="1" applyNumberFormat="1" applyFont="1" applyFill="1" applyAlignment="1" applyProtection="1">
      <alignment horizontal="right" vertical="center"/>
    </xf>
    <xf numFmtId="37" fontId="3" fillId="3" borderId="16" xfId="0" applyNumberFormat="1" applyFont="1" applyFill="1" applyBorder="1" applyAlignment="1" applyProtection="1">
      <alignment horizontal="left" vertical="center"/>
    </xf>
    <xf numFmtId="3" fontId="3" fillId="3" borderId="2" xfId="0" applyNumberFormat="1" applyFont="1" applyFill="1" applyBorder="1" applyAlignment="1" applyProtection="1">
      <alignment horizontal="fill" vertical="center"/>
    </xf>
    <xf numFmtId="3" fontId="3" fillId="3" borderId="2" xfId="0" applyNumberFormat="1" applyFont="1" applyFill="1" applyBorder="1" applyAlignment="1" applyProtection="1">
      <alignment horizontal="right" vertical="center"/>
    </xf>
    <xf numFmtId="3" fontId="16" fillId="10" borderId="2" xfId="0" applyNumberFormat="1" applyFont="1" applyFill="1" applyBorder="1" applyAlignment="1" applyProtection="1">
      <alignment horizontal="center" vertical="center"/>
    </xf>
    <xf numFmtId="3" fontId="3" fillId="9" borderId="2" xfId="0" applyNumberFormat="1" applyFont="1" applyFill="1" applyBorder="1" applyAlignment="1" applyProtection="1">
      <alignment vertical="center"/>
    </xf>
    <xf numFmtId="0" fontId="3" fillId="2" borderId="0" xfId="0" applyFont="1" applyFill="1" applyAlignment="1" applyProtection="1">
      <alignment horizontal="left" vertical="center"/>
      <protection locked="0"/>
    </xf>
    <xf numFmtId="3" fontId="4" fillId="4" borderId="2" xfId="0" applyNumberFormat="1" applyFont="1" applyFill="1" applyBorder="1" applyAlignment="1" applyProtection="1">
      <alignment vertical="center"/>
    </xf>
    <xf numFmtId="0" fontId="3" fillId="3" borderId="0" xfId="0" applyFont="1" applyFill="1" applyAlignment="1" applyProtection="1">
      <alignment horizontal="center" vertical="center"/>
      <protection locked="0"/>
    </xf>
    <xf numFmtId="37" fontId="3" fillId="2" borderId="4" xfId="0" applyNumberFormat="1" applyFont="1" applyFill="1" applyBorder="1" applyAlignment="1" applyProtection="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3"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vertical="center"/>
    </xf>
    <xf numFmtId="0" fontId="14" fillId="3" borderId="7" xfId="0" applyFont="1" applyFill="1" applyBorder="1" applyAlignment="1">
      <alignment vertical="center"/>
    </xf>
    <xf numFmtId="0" fontId="14" fillId="3" borderId="6" xfId="0" applyFont="1" applyFill="1" applyBorder="1" applyAlignment="1">
      <alignment horizontal="center" vertical="center"/>
    </xf>
    <xf numFmtId="0" fontId="14" fillId="3" borderId="11" xfId="0" applyFont="1" applyFill="1" applyBorder="1" applyAlignment="1">
      <alignment vertical="center"/>
    </xf>
    <xf numFmtId="0" fontId="14" fillId="3" borderId="2" xfId="0" applyFont="1" applyFill="1" applyBorder="1" applyAlignment="1">
      <alignment horizontal="center" vertical="center"/>
    </xf>
    <xf numFmtId="0" fontId="3" fillId="3" borderId="6" xfId="0" applyFont="1" applyFill="1" applyBorder="1" applyAlignment="1">
      <alignment vertical="center"/>
    </xf>
    <xf numFmtId="0" fontId="3" fillId="3" borderId="2" xfId="0" applyFont="1" applyFill="1" applyBorder="1" applyAlignment="1">
      <alignment horizontal="center" vertical="center"/>
    </xf>
    <xf numFmtId="0" fontId="14" fillId="3" borderId="16" xfId="0" applyFont="1" applyFill="1" applyBorder="1" applyAlignment="1">
      <alignment vertical="center"/>
    </xf>
    <xf numFmtId="3" fontId="14" fillId="2" borderId="2" xfId="0" applyNumberFormat="1" applyFont="1" applyFill="1" applyBorder="1" applyAlignment="1" applyProtection="1">
      <alignment horizontal="center" vertical="center"/>
      <protection locked="0"/>
    </xf>
    <xf numFmtId="0" fontId="14" fillId="3" borderId="1" xfId="0" applyFont="1" applyFill="1" applyBorder="1" applyAlignment="1">
      <alignment vertical="center"/>
    </xf>
    <xf numFmtId="3" fontId="14" fillId="4" borderId="2" xfId="0" applyNumberFormat="1" applyFont="1" applyFill="1" applyBorder="1" applyAlignment="1">
      <alignment horizontal="center" vertical="center"/>
    </xf>
    <xf numFmtId="0" fontId="14" fillId="3" borderId="0" xfId="0" applyFont="1" applyFill="1" applyAlignment="1">
      <alignment vertical="center"/>
    </xf>
    <xf numFmtId="3"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14" fillId="2" borderId="2" xfId="0" applyFont="1" applyFill="1" applyBorder="1" applyAlignment="1" applyProtection="1">
      <alignment vertical="center"/>
      <protection locked="0"/>
    </xf>
    <xf numFmtId="0" fontId="14" fillId="2" borderId="11" xfId="0" applyFont="1" applyFill="1" applyBorder="1" applyAlignment="1" applyProtection="1">
      <alignment vertical="center"/>
      <protection locked="0"/>
    </xf>
    <xf numFmtId="0" fontId="14" fillId="2" borderId="0" xfId="0" applyFont="1" applyFill="1" applyAlignment="1" applyProtection="1">
      <alignment vertical="center"/>
      <protection locked="0"/>
    </xf>
    <xf numFmtId="0" fontId="14" fillId="2" borderId="6" xfId="0" applyFont="1" applyFill="1" applyBorder="1" applyAlignment="1" applyProtection="1">
      <alignment vertical="center"/>
      <protection locked="0"/>
    </xf>
    <xf numFmtId="0" fontId="14" fillId="2" borderId="13" xfId="0" applyFont="1" applyFill="1" applyBorder="1" applyAlignment="1" applyProtection="1">
      <alignment vertical="center"/>
      <protection locked="0"/>
    </xf>
    <xf numFmtId="3" fontId="14" fillId="3" borderId="2" xfId="0" applyNumberFormat="1" applyFont="1" applyFill="1" applyBorder="1" applyAlignment="1">
      <alignment horizontal="center" vertical="center"/>
    </xf>
    <xf numFmtId="3" fontId="19" fillId="9" borderId="2" xfId="0" applyNumberFormat="1" applyFont="1" applyFill="1" applyBorder="1" applyAlignment="1">
      <alignment horizontal="center" vertical="center"/>
    </xf>
    <xf numFmtId="3" fontId="3" fillId="3" borderId="0" xfId="0" applyNumberFormat="1" applyFont="1" applyFill="1" applyAlignment="1">
      <alignment vertical="center"/>
    </xf>
    <xf numFmtId="3" fontId="3" fillId="0" borderId="0" xfId="0" applyNumberFormat="1" applyFont="1" applyAlignment="1">
      <alignment vertical="center"/>
    </xf>
    <xf numFmtId="3" fontId="19" fillId="4" borderId="2" xfId="0" applyNumberFormat="1" applyFont="1" applyFill="1" applyBorder="1" applyAlignment="1">
      <alignment horizontal="center" vertical="center"/>
    </xf>
    <xf numFmtId="0" fontId="3" fillId="0" borderId="0" xfId="0" applyFont="1" applyAlignment="1">
      <alignment horizontal="centerContinuous" vertical="center"/>
    </xf>
    <xf numFmtId="0" fontId="3" fillId="3" borderId="7" xfId="0" applyFont="1" applyFill="1" applyBorder="1" applyAlignment="1" applyProtection="1">
      <alignment horizontal="centerContinuous" vertical="center"/>
    </xf>
    <xf numFmtId="1" fontId="3" fillId="3" borderId="4" xfId="0" applyNumberFormat="1" applyFont="1" applyFill="1" applyBorder="1" applyAlignment="1" applyProtection="1">
      <alignment horizontal="centerContinuous" vertical="center"/>
    </xf>
    <xf numFmtId="164" fontId="3" fillId="3" borderId="2" xfId="0" applyNumberFormat="1" applyFont="1" applyFill="1" applyBorder="1" applyAlignment="1" applyProtection="1">
      <alignment vertical="center"/>
    </xf>
    <xf numFmtId="37" fontId="3" fillId="3" borderId="2" xfId="0" applyNumberFormat="1" applyFont="1" applyFill="1" applyBorder="1" applyAlignment="1" applyProtection="1">
      <alignment vertical="center"/>
      <protection locked="0"/>
    </xf>
    <xf numFmtId="1" fontId="3" fillId="3" borderId="0" xfId="0" applyNumberFormat="1" applyFont="1" applyFill="1" applyAlignment="1" applyProtection="1">
      <alignment vertical="center"/>
    </xf>
    <xf numFmtId="1" fontId="5" fillId="3" borderId="0" xfId="0" applyNumberFormat="1" applyFont="1" applyFill="1" applyAlignment="1" applyProtection="1">
      <alignment horizontal="center" vertical="center"/>
    </xf>
    <xf numFmtId="37" fontId="3" fillId="3" borderId="12" xfId="0" applyNumberFormat="1" applyFont="1" applyFill="1" applyBorder="1" applyAlignment="1" applyProtection="1">
      <alignment vertical="center"/>
    </xf>
    <xf numFmtId="0" fontId="3" fillId="2" borderId="0" xfId="0" applyFont="1" applyFill="1" applyAlignment="1" applyProtection="1">
      <alignment vertical="center"/>
      <protection locked="0"/>
    </xf>
    <xf numFmtId="0" fontId="3" fillId="3" borderId="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3" fontId="3" fillId="2" borderId="2" xfId="0" applyNumberFormat="1" applyFont="1" applyFill="1" applyBorder="1" applyAlignment="1" applyProtection="1">
      <alignment horizontal="center" vertical="center"/>
      <protection locked="0"/>
    </xf>
    <xf numFmtId="172" fontId="3" fillId="3" borderId="2" xfId="0" applyNumberFormat="1" applyFont="1" applyFill="1" applyBorder="1" applyAlignment="1" applyProtection="1">
      <alignment horizontal="center" vertical="center"/>
    </xf>
    <xf numFmtId="3" fontId="3" fillId="2" borderId="7" xfId="0" applyNumberFormat="1" applyFont="1" applyFill="1" applyBorder="1" applyAlignment="1" applyProtection="1">
      <alignment horizontal="center" vertical="center"/>
      <protection locked="0"/>
    </xf>
    <xf numFmtId="3" fontId="3" fillId="3" borderId="12" xfId="0" applyNumberFormat="1" applyFont="1" applyFill="1" applyBorder="1" applyAlignment="1" applyProtection="1">
      <alignment horizontal="center" vertical="center"/>
    </xf>
    <xf numFmtId="172" fontId="3" fillId="3" borderId="12"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2" fontId="3" fillId="3" borderId="1" xfId="0" applyNumberFormat="1" applyFont="1" applyFill="1" applyBorder="1" applyAlignment="1" applyProtection="1">
      <alignment horizontal="center" vertical="center"/>
    </xf>
    <xf numFmtId="172"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172" fontId="3" fillId="3" borderId="1" xfId="0" applyNumberFormat="1" applyFont="1" applyFill="1" applyBorder="1" applyAlignment="1">
      <alignment horizontal="center" vertical="center"/>
    </xf>
    <xf numFmtId="171" fontId="3" fillId="3" borderId="0" xfId="0" applyNumberFormat="1" applyFont="1" applyFill="1" applyBorder="1" applyAlignment="1" applyProtection="1">
      <alignment vertical="center"/>
    </xf>
    <xf numFmtId="3" fontId="25" fillId="9" borderId="0" xfId="0" applyNumberFormat="1" applyFont="1" applyFill="1" applyAlignment="1">
      <alignment horizontal="center" vertical="center"/>
    </xf>
    <xf numFmtId="37" fontId="11" fillId="3" borderId="0" xfId="0" applyNumberFormat="1" applyFont="1" applyFill="1" applyBorder="1" applyAlignment="1" applyProtection="1">
      <alignment horizontal="left" vertical="center"/>
    </xf>
    <xf numFmtId="37" fontId="11" fillId="3" borderId="0" xfId="0" applyNumberFormat="1" applyFont="1" applyFill="1" applyBorder="1" applyAlignment="1" applyProtection="1">
      <alignment horizontal="fill" vertical="center"/>
    </xf>
    <xf numFmtId="0" fontId="27" fillId="0" borderId="0" xfId="453" applyFont="1"/>
    <xf numFmtId="0" fontId="3" fillId="0" borderId="0" xfId="453" applyFont="1" applyAlignment="1">
      <alignment horizontal="left" vertical="center"/>
    </xf>
    <xf numFmtId="173" fontId="14" fillId="0" borderId="0" xfId="453" applyNumberFormat="1" applyFont="1" applyAlignment="1">
      <alignment horizontal="left" vertical="center"/>
    </xf>
    <xf numFmtId="49" fontId="3" fillId="0" borderId="0" xfId="453" applyNumberFormat="1" applyFont="1" applyAlignment="1">
      <alignment horizontal="left" vertical="center"/>
    </xf>
    <xf numFmtId="0" fontId="14" fillId="0" borderId="0" xfId="453" applyFont="1" applyAlignment="1">
      <alignment horizontal="left" vertical="center"/>
    </xf>
    <xf numFmtId="174" fontId="14" fillId="0" borderId="0" xfId="453" applyNumberFormat="1" applyFont="1" applyAlignment="1">
      <alignment horizontal="left" vertical="center"/>
    </xf>
    <xf numFmtId="0" fontId="35"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3" fontId="14" fillId="4" borderId="8" xfId="0" applyNumberFormat="1" applyFont="1" applyFill="1" applyBorder="1" applyAlignment="1">
      <alignment horizontal="center" vertical="center"/>
    </xf>
    <xf numFmtId="14" fontId="3" fillId="7" borderId="2" xfId="0" applyNumberFormat="1" applyFont="1" applyFill="1" applyBorder="1" applyAlignment="1" applyProtection="1">
      <alignment vertical="center"/>
      <protection locked="0"/>
    </xf>
    <xf numFmtId="14" fontId="3" fillId="7" borderId="2" xfId="0" applyNumberFormat="1" applyFont="1" applyFill="1" applyBorder="1" applyAlignment="1" applyProtection="1">
      <alignment horizontal="center" vertical="center"/>
      <protection locked="0"/>
    </xf>
    <xf numFmtId="37" fontId="3" fillId="11" borderId="2"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protection locked="0"/>
    </xf>
    <xf numFmtId="3" fontId="16" fillId="10" borderId="4" xfId="0" applyNumberFormat="1" applyFont="1" applyFill="1" applyBorder="1" applyAlignment="1" applyProtection="1">
      <alignment horizontal="center" vertical="center"/>
    </xf>
    <xf numFmtId="3" fontId="4" fillId="4" borderId="4" xfId="0" applyNumberFormat="1" applyFont="1" applyFill="1" applyBorder="1" applyAlignment="1" applyProtection="1">
      <alignment vertical="center"/>
    </xf>
    <xf numFmtId="0" fontId="3" fillId="3" borderId="16" xfId="0" applyNumberFormat="1" applyFont="1" applyFill="1" applyBorder="1" applyAlignment="1" applyProtection="1">
      <alignment horizontal="center" vertical="center"/>
    </xf>
    <xf numFmtId="3" fontId="3" fillId="3" borderId="4" xfId="0" applyNumberFormat="1" applyFont="1" applyFill="1" applyBorder="1" applyAlignment="1" applyProtection="1">
      <alignment vertical="center"/>
    </xf>
    <xf numFmtId="3" fontId="3" fillId="4" borderId="4" xfId="0" applyNumberFormat="1" applyFont="1" applyFill="1" applyBorder="1" applyAlignment="1" applyProtection="1">
      <alignment vertical="center"/>
    </xf>
    <xf numFmtId="49" fontId="3" fillId="2" borderId="2" xfId="0" applyNumberFormat="1" applyFont="1" applyFill="1" applyBorder="1" applyAlignment="1" applyProtection="1">
      <alignment horizontal="center" vertical="center"/>
      <protection locked="0"/>
    </xf>
    <xf numFmtId="37" fontId="11" fillId="3" borderId="0" xfId="0" applyNumberFormat="1" applyFont="1" applyFill="1" applyAlignment="1" applyProtection="1">
      <alignment horizontal="center" vertical="center"/>
      <protection locked="0"/>
    </xf>
    <xf numFmtId="37" fontId="11" fillId="3" borderId="0" xfId="0" applyNumberFormat="1" applyFont="1" applyFill="1" applyAlignment="1" applyProtection="1">
      <alignment horizontal="left" vertical="center"/>
      <protection locked="0"/>
    </xf>
    <xf numFmtId="0" fontId="11" fillId="5" borderId="2" xfId="0" applyFont="1" applyFill="1" applyBorder="1" applyAlignment="1" applyProtection="1">
      <alignment horizontal="center" vertical="center"/>
    </xf>
    <xf numFmtId="37" fontId="11" fillId="3" borderId="18" xfId="0" applyNumberFormat="1" applyFont="1" applyFill="1" applyBorder="1" applyAlignment="1" applyProtection="1">
      <alignment horizontal="center" vertical="center"/>
    </xf>
    <xf numFmtId="0" fontId="3" fillId="9" borderId="9" xfId="33" applyFont="1" applyFill="1" applyBorder="1" applyAlignment="1" applyProtection="1">
      <alignment vertical="center"/>
    </xf>
    <xf numFmtId="0" fontId="11" fillId="9" borderId="9" xfId="33" applyFont="1" applyFill="1" applyBorder="1" applyAlignment="1" applyProtection="1">
      <alignment vertical="center"/>
    </xf>
    <xf numFmtId="37" fontId="11" fillId="3" borderId="8" xfId="44" applyNumberFormat="1" applyFont="1" applyFill="1" applyBorder="1" applyAlignment="1" applyProtection="1">
      <alignment horizontal="center" vertical="center"/>
    </xf>
    <xf numFmtId="37" fontId="11" fillId="3" borderId="3" xfId="44" applyNumberFormat="1" applyFont="1" applyFill="1" applyBorder="1" applyAlignment="1" applyProtection="1">
      <alignment horizontal="center" vertical="center"/>
    </xf>
    <xf numFmtId="3" fontId="16" fillId="10" borderId="7" xfId="0" applyNumberFormat="1" applyFont="1" applyFill="1" applyBorder="1" applyAlignment="1" applyProtection="1">
      <alignment horizontal="center" vertical="center"/>
    </xf>
    <xf numFmtId="0" fontId="4" fillId="3" borderId="9" xfId="0" applyFont="1" applyFill="1" applyBorder="1" applyAlignment="1" applyProtection="1">
      <alignment vertical="center"/>
    </xf>
    <xf numFmtId="37" fontId="4" fillId="3" borderId="1" xfId="0" applyNumberFormat="1" applyFont="1" applyFill="1" applyBorder="1" applyAlignment="1" applyProtection="1">
      <alignment vertical="center"/>
    </xf>
    <xf numFmtId="37" fontId="4" fillId="3" borderId="0" xfId="0" applyNumberFormat="1" applyFont="1" applyFill="1" applyBorder="1" applyAlignment="1" applyProtection="1">
      <alignment vertical="center"/>
    </xf>
    <xf numFmtId="3" fontId="3" fillId="9" borderId="4" xfId="0" applyNumberFormat="1" applyFont="1" applyFill="1" applyBorder="1" applyAlignment="1" applyProtection="1">
      <alignment vertical="center"/>
    </xf>
    <xf numFmtId="0" fontId="12" fillId="9" borderId="1" xfId="33" applyFont="1" applyFill="1" applyBorder="1" applyAlignment="1" applyProtection="1">
      <alignment vertical="center"/>
    </xf>
    <xf numFmtId="175" fontId="12" fillId="9" borderId="16" xfId="33" applyNumberFormat="1" applyFont="1" applyFill="1" applyBorder="1" applyAlignment="1" applyProtection="1">
      <alignment horizontal="center" vertical="center"/>
    </xf>
    <xf numFmtId="175" fontId="11" fillId="3" borderId="17" xfId="33" applyNumberFormat="1" applyFont="1" applyFill="1" applyBorder="1" applyAlignment="1" applyProtection="1">
      <alignment vertical="center"/>
    </xf>
    <xf numFmtId="175" fontId="11" fillId="3" borderId="16" xfId="33" applyNumberFormat="1" applyFont="1" applyFill="1" applyBorder="1" applyAlignment="1" applyProtection="1">
      <alignment horizontal="center" vertical="center"/>
    </xf>
    <xf numFmtId="0" fontId="11" fillId="3" borderId="0" xfId="33" applyFont="1" applyFill="1" applyBorder="1" applyAlignment="1" applyProtection="1">
      <alignment vertical="center"/>
    </xf>
    <xf numFmtId="0" fontId="11" fillId="3" borderId="13" xfId="33" applyFont="1" applyFill="1" applyBorder="1" applyAlignment="1" applyProtection="1">
      <alignment vertical="center"/>
    </xf>
    <xf numFmtId="0" fontId="11" fillId="3" borderId="0" xfId="33" applyFont="1" applyFill="1" applyBorder="1" applyAlignment="1" applyProtection="1">
      <alignment horizontal="left" vertical="center"/>
    </xf>
    <xf numFmtId="0" fontId="31" fillId="0" borderId="0" xfId="0" applyFont="1" applyAlignment="1">
      <alignment vertical="center"/>
    </xf>
    <xf numFmtId="175" fontId="11" fillId="3" borderId="17" xfId="33" applyNumberFormat="1" applyFont="1" applyFill="1" applyBorder="1" applyAlignment="1" applyProtection="1">
      <alignment horizontal="center" vertical="center"/>
    </xf>
    <xf numFmtId="0" fontId="3" fillId="3" borderId="0" xfId="48" applyFont="1" applyFill="1" applyAlignment="1" applyProtection="1">
      <alignment horizontal="right" vertical="center"/>
    </xf>
    <xf numFmtId="0" fontId="36" fillId="3" borderId="0" xfId="0" applyFont="1" applyFill="1" applyBorder="1" applyAlignment="1" applyProtection="1">
      <alignment horizontal="center" vertical="center"/>
    </xf>
    <xf numFmtId="0" fontId="36" fillId="3" borderId="0" xfId="0" applyFont="1" applyFill="1" applyAlignment="1" applyProtection="1">
      <alignment horizontal="center" vertical="center"/>
    </xf>
    <xf numFmtId="0" fontId="3" fillId="3" borderId="19" xfId="0" applyFont="1" applyFill="1" applyBorder="1" applyAlignment="1" applyProtection="1">
      <alignment vertical="center"/>
      <protection locked="0"/>
    </xf>
    <xf numFmtId="0" fontId="3" fillId="3" borderId="19" xfId="0" applyFont="1" applyFill="1" applyBorder="1" applyAlignment="1" applyProtection="1">
      <alignment vertical="center"/>
    </xf>
    <xf numFmtId="37" fontId="3" fillId="3" borderId="19" xfId="0" applyNumberFormat="1" applyFont="1" applyFill="1" applyBorder="1" applyAlignment="1" applyProtection="1">
      <alignment vertical="center"/>
    </xf>
    <xf numFmtId="164" fontId="3" fillId="3" borderId="8" xfId="0" applyNumberFormat="1" applyFont="1" applyFill="1" applyBorder="1" applyAlignment="1" applyProtection="1">
      <alignment vertical="center"/>
    </xf>
    <xf numFmtId="37" fontId="3" fillId="3" borderId="8" xfId="0" applyNumberFormat="1" applyFont="1" applyFill="1" applyBorder="1" applyAlignment="1" applyProtection="1">
      <alignment horizontal="fill" vertical="center"/>
    </xf>
    <xf numFmtId="37" fontId="3" fillId="3" borderId="8" xfId="0" applyNumberFormat="1" applyFont="1" applyFill="1" applyBorder="1" applyAlignment="1" applyProtection="1">
      <alignment vertical="center"/>
    </xf>
    <xf numFmtId="0" fontId="2" fillId="0" borderId="0" xfId="33"/>
    <xf numFmtId="37" fontId="3" fillId="3" borderId="7" xfId="33" applyNumberFormat="1" applyFont="1" applyFill="1" applyBorder="1" applyAlignment="1" applyProtection="1">
      <alignment horizontal="center"/>
    </xf>
    <xf numFmtId="37" fontId="3" fillId="3" borderId="8" xfId="33" applyNumberFormat="1" applyFont="1" applyFill="1" applyBorder="1" applyAlignment="1" applyProtection="1">
      <alignment horizontal="center"/>
    </xf>
    <xf numFmtId="0" fontId="3" fillId="3" borderId="0" xfId="33" applyFont="1" applyFill="1" applyBorder="1" applyAlignment="1" applyProtection="1">
      <alignment vertical="center"/>
    </xf>
    <xf numFmtId="0" fontId="3" fillId="3" borderId="17" xfId="33" applyFont="1" applyFill="1" applyBorder="1" applyAlignment="1" applyProtection="1">
      <alignment vertical="center"/>
    </xf>
    <xf numFmtId="0" fontId="3" fillId="3" borderId="13" xfId="33" applyFont="1" applyFill="1" applyBorder="1" applyAlignment="1" applyProtection="1">
      <alignment vertical="center"/>
    </xf>
    <xf numFmtId="0" fontId="3" fillId="0" borderId="0" xfId="33" applyFont="1" applyFill="1" applyBorder="1" applyAlignment="1" applyProtection="1">
      <alignment vertical="center"/>
    </xf>
    <xf numFmtId="0" fontId="11" fillId="12" borderId="17" xfId="44" applyFont="1" applyFill="1" applyBorder="1" applyProtection="1"/>
    <xf numFmtId="0" fontId="3" fillId="12" borderId="0" xfId="44" applyFont="1" applyFill="1" applyBorder="1" applyProtection="1"/>
    <xf numFmtId="175" fontId="3" fillId="12" borderId="13" xfId="44" applyNumberFormat="1" applyFont="1" applyFill="1" applyBorder="1" applyAlignment="1" applyProtection="1">
      <alignment horizontal="center"/>
    </xf>
    <xf numFmtId="0" fontId="3" fillId="12" borderId="16" xfId="44" applyFont="1" applyFill="1" applyBorder="1" applyProtection="1"/>
    <xf numFmtId="0" fontId="3" fillId="12" borderId="1" xfId="44" applyFont="1" applyFill="1" applyBorder="1" applyProtection="1"/>
    <xf numFmtId="175" fontId="3" fillId="13" borderId="9" xfId="44" applyNumberFormat="1" applyFont="1" applyFill="1" applyBorder="1" applyAlignment="1" applyProtection="1">
      <alignment horizontal="center"/>
    </xf>
    <xf numFmtId="0" fontId="3" fillId="0" borderId="0" xfId="44" applyFont="1" applyFill="1" applyBorder="1" applyProtection="1"/>
    <xf numFmtId="0" fontId="3" fillId="12" borderId="17" xfId="44" applyFont="1" applyFill="1" applyBorder="1" applyProtection="1"/>
    <xf numFmtId="0" fontId="3" fillId="12" borderId="13" xfId="44" applyFont="1" applyFill="1" applyBorder="1" applyProtection="1"/>
    <xf numFmtId="171" fontId="3" fillId="12" borderId="13" xfId="44" applyNumberFormat="1" applyFont="1" applyFill="1" applyBorder="1" applyAlignment="1" applyProtection="1">
      <alignment horizontal="center"/>
    </xf>
    <xf numFmtId="0" fontId="3" fillId="13" borderId="17" xfId="44" applyFont="1" applyFill="1" applyBorder="1" applyProtection="1"/>
    <xf numFmtId="0" fontId="3" fillId="13" borderId="0" xfId="44" applyFont="1" applyFill="1" applyBorder="1" applyProtection="1"/>
    <xf numFmtId="0" fontId="3" fillId="13" borderId="16" xfId="44" applyFont="1" applyFill="1" applyBorder="1" applyProtection="1"/>
    <xf numFmtId="0" fontId="3" fillId="13" borderId="1" xfId="44" applyFont="1" applyFill="1" applyBorder="1" applyProtection="1"/>
    <xf numFmtId="0" fontId="3" fillId="0" borderId="0" xfId="44" applyFont="1" applyProtection="1"/>
    <xf numFmtId="175" fontId="3" fillId="12" borderId="9" xfId="44" applyNumberFormat="1" applyFont="1" applyFill="1" applyBorder="1" applyAlignment="1" applyProtection="1">
      <alignment horizontal="center"/>
    </xf>
    <xf numFmtId="172" fontId="3" fillId="11" borderId="13" xfId="44" applyNumberFormat="1" applyFont="1" applyFill="1" applyBorder="1" applyAlignment="1" applyProtection="1">
      <alignment horizontal="center"/>
      <protection locked="0"/>
    </xf>
    <xf numFmtId="37" fontId="3" fillId="14" borderId="12" xfId="0" applyNumberFormat="1" applyFont="1" applyFill="1" applyBorder="1" applyAlignment="1" applyProtection="1">
      <alignment vertical="center"/>
    </xf>
    <xf numFmtId="175" fontId="3" fillId="13" borderId="13" xfId="44" applyNumberFormat="1" applyFont="1" applyFill="1" applyBorder="1" applyAlignment="1" applyProtection="1">
      <alignment horizontal="center"/>
    </xf>
    <xf numFmtId="0" fontId="3" fillId="13" borderId="16" xfId="0" applyFont="1" applyFill="1" applyBorder="1" applyAlignment="1">
      <alignment vertical="center"/>
    </xf>
    <xf numFmtId="0" fontId="3" fillId="13" borderId="1" xfId="0" applyFont="1" applyFill="1" applyBorder="1" applyAlignment="1">
      <alignment vertical="center"/>
    </xf>
    <xf numFmtId="175" fontId="3" fillId="13" borderId="9" xfId="0" applyNumberFormat="1" applyFont="1" applyFill="1" applyBorder="1" applyAlignment="1">
      <alignment horizontal="center" vertical="center"/>
    </xf>
    <xf numFmtId="0" fontId="3" fillId="3" borderId="16"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0" xfId="0" applyFont="1" applyFill="1" applyBorder="1" applyAlignment="1" applyProtection="1">
      <alignment horizontal="left" vertical="center"/>
    </xf>
    <xf numFmtId="0" fontId="3" fillId="0" borderId="0" xfId="455" applyFont="1" applyAlignment="1">
      <alignment horizontal="left" vertical="center"/>
    </xf>
    <xf numFmtId="0" fontId="37" fillId="0" borderId="0" xfId="0" applyFont="1"/>
    <xf numFmtId="0" fontId="38" fillId="0" borderId="0" xfId="455" applyFont="1"/>
    <xf numFmtId="173" fontId="39" fillId="0" borderId="0" xfId="455" applyNumberFormat="1" applyFont="1" applyAlignment="1">
      <alignment horizontal="left" vertical="center"/>
    </xf>
    <xf numFmtId="0" fontId="39" fillId="0" borderId="0" xfId="455" applyNumberFormat="1" applyFont="1" applyAlignment="1">
      <alignment horizontal="left" vertical="center"/>
    </xf>
    <xf numFmtId="1" fontId="39" fillId="0" borderId="0" xfId="455" applyNumberFormat="1" applyFont="1" applyAlignment="1">
      <alignment horizontal="left" vertical="center"/>
    </xf>
    <xf numFmtId="0" fontId="40" fillId="0" borderId="0" xfId="455" applyFont="1" applyAlignment="1">
      <alignment horizontal="left" vertical="center"/>
    </xf>
    <xf numFmtId="0" fontId="3" fillId="12" borderId="0" xfId="0" applyFont="1" applyFill="1" applyAlignment="1" applyProtection="1">
      <alignment vertical="center"/>
      <protection locked="0"/>
    </xf>
    <xf numFmtId="10" fontId="3" fillId="7" borderId="2" xfId="0" applyNumberFormat="1" applyFont="1" applyFill="1" applyBorder="1" applyAlignment="1" applyProtection="1">
      <alignment vertical="center"/>
      <protection locked="0"/>
    </xf>
    <xf numFmtId="0" fontId="3" fillId="3" borderId="7" xfId="0" applyFont="1" applyFill="1" applyBorder="1" applyAlignment="1">
      <alignment horizontal="center" vertical="center"/>
    </xf>
    <xf numFmtId="37" fontId="3" fillId="4" borderId="12" xfId="0" applyNumberFormat="1" applyFont="1" applyFill="1" applyBorder="1" applyAlignment="1" applyProtection="1">
      <alignment horizontal="center" vertical="center"/>
    </xf>
    <xf numFmtId="170" fontId="3" fillId="4" borderId="12" xfId="0" applyNumberFormat="1" applyFont="1" applyFill="1" applyBorder="1" applyAlignment="1" applyProtection="1">
      <alignment horizontal="center" vertical="center"/>
    </xf>
    <xf numFmtId="170" fontId="3" fillId="3" borderId="2" xfId="0" applyNumberFormat="1" applyFont="1" applyFill="1" applyBorder="1" applyAlignment="1" applyProtection="1">
      <alignment horizontal="center" vertical="center"/>
    </xf>
    <xf numFmtId="177" fontId="3" fillId="3" borderId="0" xfId="0" applyNumberFormat="1" applyFont="1" applyFill="1" applyAlignment="1">
      <alignment horizontal="center" vertical="center"/>
    </xf>
    <xf numFmtId="0" fontId="11" fillId="12" borderId="17" xfId="0" applyFont="1" applyFill="1" applyBorder="1" applyAlignment="1" applyProtection="1">
      <alignment vertical="center"/>
    </xf>
    <xf numFmtId="0" fontId="3" fillId="12" borderId="0" xfId="0" applyFont="1" applyFill="1" applyBorder="1" applyAlignment="1" applyProtection="1">
      <alignment vertical="center"/>
    </xf>
    <xf numFmtId="0" fontId="11" fillId="12" borderId="0" xfId="0" applyFont="1" applyFill="1" applyBorder="1" applyAlignment="1" applyProtection="1">
      <alignment vertical="center"/>
    </xf>
    <xf numFmtId="175" fontId="11" fillId="12" borderId="13" xfId="0" applyNumberFormat="1" applyFont="1" applyFill="1" applyBorder="1" applyAlignment="1" applyProtection="1">
      <alignment horizontal="center" vertical="center"/>
    </xf>
    <xf numFmtId="0" fontId="11" fillId="12" borderId="17" xfId="0" applyFont="1" applyFill="1" applyBorder="1" applyAlignment="1" applyProtection="1">
      <alignment horizontal="left" vertical="center"/>
    </xf>
    <xf numFmtId="175" fontId="11" fillId="11" borderId="2" xfId="0" applyNumberFormat="1" applyFont="1" applyFill="1" applyBorder="1" applyAlignment="1" applyProtection="1">
      <alignment horizontal="center" vertical="center"/>
      <protection locked="0"/>
    </xf>
    <xf numFmtId="172" fontId="12" fillId="12" borderId="6" xfId="0" applyNumberFormat="1" applyFont="1" applyFill="1" applyBorder="1" applyAlignment="1" applyProtection="1">
      <alignment horizontal="center" vertical="center"/>
    </xf>
    <xf numFmtId="0" fontId="12" fillId="13" borderId="17" xfId="0" applyFont="1" applyFill="1" applyBorder="1" applyAlignment="1" applyProtection="1">
      <alignment vertical="center"/>
    </xf>
    <xf numFmtId="0" fontId="3" fillId="13" borderId="0" xfId="0" applyFont="1" applyFill="1" applyBorder="1" applyAlignment="1" applyProtection="1">
      <alignment vertical="center"/>
    </xf>
    <xf numFmtId="0" fontId="11" fillId="13" borderId="0" xfId="0" applyFont="1" applyFill="1" applyBorder="1" applyAlignment="1" applyProtection="1">
      <alignment vertical="center"/>
    </xf>
    <xf numFmtId="175" fontId="12" fillId="13" borderId="6" xfId="0" applyNumberFormat="1" applyFont="1" applyFill="1" applyBorder="1" applyAlignment="1" applyProtection="1">
      <alignment horizontal="center" vertical="center"/>
    </xf>
    <xf numFmtId="37" fontId="11" fillId="3" borderId="16" xfId="0" applyNumberFormat="1" applyFont="1" applyFill="1" applyBorder="1" applyAlignment="1" applyProtection="1">
      <alignment horizontal="left" vertical="center"/>
    </xf>
    <xf numFmtId="0" fontId="13" fillId="12" borderId="1" xfId="0" applyFont="1" applyFill="1" applyBorder="1" applyAlignment="1">
      <alignment horizontal="left" vertical="center"/>
    </xf>
    <xf numFmtId="175" fontId="12" fillId="13" borderId="9" xfId="0" applyNumberFormat="1" applyFont="1" applyFill="1" applyBorder="1" applyAlignment="1" applyProtection="1">
      <alignment horizontal="center" vertical="center"/>
      <protection locked="0"/>
    </xf>
    <xf numFmtId="0" fontId="41" fillId="0" borderId="0" xfId="0" applyFont="1" applyProtection="1">
      <protection locked="0"/>
    </xf>
    <xf numFmtId="172" fontId="11" fillId="12" borderId="17" xfId="0" applyNumberFormat="1" applyFont="1" applyFill="1" applyBorder="1" applyAlignment="1" applyProtection="1">
      <alignment horizontal="center" vertical="center"/>
    </xf>
    <xf numFmtId="0" fontId="11" fillId="12" borderId="0" xfId="0" applyFont="1" applyFill="1" applyBorder="1" applyAlignment="1" applyProtection="1">
      <alignment horizontal="left" vertical="center"/>
    </xf>
    <xf numFmtId="0" fontId="20" fillId="12" borderId="0" xfId="0" applyFont="1" applyFill="1" applyBorder="1" applyAlignment="1" applyProtection="1">
      <alignment horizontal="center" vertical="center"/>
    </xf>
    <xf numFmtId="0" fontId="0" fillId="12" borderId="13" xfId="0" applyFill="1" applyBorder="1" applyAlignment="1" applyProtection="1">
      <alignment vertical="center"/>
    </xf>
    <xf numFmtId="172" fontId="11" fillId="13" borderId="16" xfId="0" applyNumberFormat="1" applyFont="1" applyFill="1" applyBorder="1" applyAlignment="1" applyProtection="1">
      <alignment horizontal="center" vertical="center"/>
    </xf>
    <xf numFmtId="172" fontId="11" fillId="12" borderId="4" xfId="0" applyNumberFormat="1" applyFont="1" applyFill="1" applyBorder="1" applyAlignment="1" applyProtection="1">
      <alignment horizontal="center" vertical="center"/>
    </xf>
    <xf numFmtId="172" fontId="11" fillId="13" borderId="4" xfId="0" applyNumberFormat="1" applyFont="1" applyFill="1" applyBorder="1" applyAlignment="1" applyProtection="1">
      <alignment horizontal="center" vertical="center"/>
    </xf>
    <xf numFmtId="0" fontId="11" fillId="12" borderId="1" xfId="0" applyFont="1" applyFill="1" applyBorder="1" applyAlignment="1" applyProtection="1">
      <alignment horizontal="left" vertical="center"/>
    </xf>
    <xf numFmtId="0" fontId="20" fillId="12" borderId="1" xfId="0" applyFont="1" applyFill="1" applyBorder="1" applyAlignment="1" applyProtection="1">
      <alignment horizontal="center" vertical="center"/>
    </xf>
    <xf numFmtId="0" fontId="0" fillId="12" borderId="9" xfId="0" applyFill="1" applyBorder="1" applyAlignment="1" applyProtection="1">
      <alignment vertical="center"/>
    </xf>
    <xf numFmtId="37" fontId="3" fillId="3" borderId="13" xfId="0" applyNumberFormat="1" applyFont="1" applyFill="1" applyBorder="1" applyAlignment="1" applyProtection="1">
      <alignment horizontal="right" vertical="center"/>
    </xf>
    <xf numFmtId="175" fontId="11" fillId="12" borderId="17" xfId="0" applyNumberFormat="1" applyFont="1" applyFill="1" applyBorder="1" applyAlignment="1" applyProtection="1">
      <alignment horizontal="center" vertical="center"/>
    </xf>
    <xf numFmtId="0" fontId="11" fillId="12" borderId="13" xfId="0" applyFont="1" applyFill="1" applyBorder="1" applyAlignment="1" applyProtection="1">
      <alignment vertical="center"/>
    </xf>
    <xf numFmtId="175" fontId="11" fillId="12" borderId="16" xfId="0" applyNumberFormat="1" applyFont="1" applyFill="1" applyBorder="1" applyAlignment="1" applyProtection="1">
      <alignment horizontal="center" vertical="center"/>
    </xf>
    <xf numFmtId="175" fontId="11" fillId="12" borderId="17" xfId="0" applyNumberFormat="1" applyFont="1" applyFill="1" applyBorder="1" applyAlignment="1" applyProtection="1">
      <alignment vertical="center"/>
    </xf>
    <xf numFmtId="0" fontId="3" fillId="12" borderId="13" xfId="0" applyFont="1" applyFill="1" applyBorder="1" applyProtection="1">
      <protection locked="0"/>
    </xf>
    <xf numFmtId="175" fontId="11" fillId="13" borderId="16" xfId="0" applyNumberFormat="1" applyFont="1" applyFill="1" applyBorder="1" applyAlignment="1" applyProtection="1">
      <alignment horizontal="center" vertical="center"/>
    </xf>
    <xf numFmtId="0" fontId="11" fillId="13" borderId="1" xfId="0" applyFont="1" applyFill="1" applyBorder="1" applyAlignment="1" applyProtection="1">
      <alignment vertical="center"/>
    </xf>
    <xf numFmtId="0" fontId="11" fillId="13" borderId="9" xfId="0" applyFont="1" applyFill="1" applyBorder="1" applyAlignment="1" applyProtection="1">
      <alignment vertical="center"/>
    </xf>
    <xf numFmtId="37" fontId="3" fillId="13" borderId="9" xfId="0" applyNumberFormat="1" applyFont="1" applyFill="1" applyBorder="1" applyAlignment="1" applyProtection="1">
      <alignment horizontal="right" vertical="center"/>
    </xf>
    <xf numFmtId="0" fontId="3" fillId="12" borderId="17" xfId="0" applyFont="1" applyFill="1" applyBorder="1" applyAlignment="1" applyProtection="1">
      <alignment vertical="center"/>
    </xf>
    <xf numFmtId="175" fontId="14" fillId="12" borderId="17" xfId="0" applyNumberFormat="1" applyFont="1" applyFill="1" applyBorder="1" applyAlignment="1" applyProtection="1">
      <alignment horizontal="center" vertical="center"/>
    </xf>
    <xf numFmtId="0" fontId="3" fillId="12" borderId="13" xfId="0" applyFont="1" applyFill="1" applyBorder="1" applyAlignment="1" applyProtection="1">
      <alignment vertical="center"/>
    </xf>
    <xf numFmtId="175" fontId="14" fillId="12" borderId="17" xfId="0" applyNumberFormat="1" applyFont="1" applyFill="1" applyBorder="1" applyAlignment="1" applyProtection="1">
      <alignment vertical="center"/>
    </xf>
    <xf numFmtId="0" fontId="14" fillId="12" borderId="0" xfId="0" applyFont="1" applyFill="1" applyBorder="1" applyAlignment="1" applyProtection="1">
      <alignment vertical="center"/>
    </xf>
    <xf numFmtId="175" fontId="14" fillId="12" borderId="16" xfId="0" applyNumberFormat="1" applyFont="1" applyFill="1" applyBorder="1" applyAlignment="1" applyProtection="1">
      <alignment horizontal="center" vertical="center"/>
    </xf>
    <xf numFmtId="175" fontId="14" fillId="13" borderId="16" xfId="0" applyNumberFormat="1" applyFont="1" applyFill="1" applyBorder="1" applyAlignment="1" applyProtection="1">
      <alignment horizontal="center" vertical="center"/>
    </xf>
    <xf numFmtId="0" fontId="3" fillId="13" borderId="9" xfId="0" applyFont="1" applyFill="1" applyBorder="1" applyAlignment="1" applyProtection="1">
      <alignment vertical="center"/>
    </xf>
    <xf numFmtId="0" fontId="3" fillId="13" borderId="9" xfId="0" applyFont="1" applyFill="1" applyBorder="1" applyProtection="1">
      <protection locked="0"/>
    </xf>
    <xf numFmtId="177" fontId="3" fillId="2" borderId="2" xfId="0" applyNumberFormat="1" applyFont="1" applyFill="1" applyBorder="1" applyAlignment="1" applyProtection="1">
      <alignment vertical="center"/>
      <protection locked="0"/>
    </xf>
    <xf numFmtId="37" fontId="3" fillId="3" borderId="1" xfId="33" applyNumberFormat="1" applyFont="1" applyFill="1" applyBorder="1" applyAlignment="1" applyProtection="1">
      <alignment horizontal="left" vertical="center"/>
    </xf>
    <xf numFmtId="177" fontId="3" fillId="7" borderId="2" xfId="0" applyNumberFormat="1" applyFont="1" applyFill="1" applyBorder="1" applyAlignment="1" applyProtection="1">
      <alignment vertical="center"/>
      <protection locked="0"/>
    </xf>
    <xf numFmtId="37" fontId="3" fillId="3" borderId="5" xfId="29" applyNumberFormat="1" applyFont="1" applyFill="1" applyBorder="1" applyAlignment="1" applyProtection="1">
      <alignment horizontal="left" vertical="center"/>
    </xf>
    <xf numFmtId="1" fontId="3" fillId="3" borderId="10" xfId="0" applyNumberFormat="1" applyFont="1" applyFill="1" applyBorder="1" applyAlignment="1" applyProtection="1">
      <alignment horizontal="center" vertical="center"/>
    </xf>
    <xf numFmtId="37" fontId="3" fillId="3" borderId="10" xfId="0" applyNumberFormat="1" applyFont="1" applyFill="1" applyBorder="1" applyAlignment="1" applyProtection="1">
      <alignment horizontal="center" vertical="center"/>
    </xf>
    <xf numFmtId="0" fontId="11" fillId="3" borderId="9" xfId="0" applyFont="1" applyFill="1" applyBorder="1" applyAlignment="1" applyProtection="1">
      <alignment vertical="center"/>
    </xf>
    <xf numFmtId="0" fontId="11" fillId="0" borderId="0" xfId="33" applyFont="1" applyFill="1" applyBorder="1" applyAlignment="1" applyProtection="1">
      <alignment vertical="center"/>
    </xf>
    <xf numFmtId="175" fontId="12" fillId="0" borderId="0" xfId="33" applyNumberFormat="1" applyFont="1" applyFill="1" applyBorder="1" applyAlignment="1" applyProtection="1">
      <alignment horizontal="center" vertical="center"/>
    </xf>
    <xf numFmtId="0" fontId="12" fillId="0" borderId="0" xfId="33" applyFont="1" applyFill="1" applyBorder="1" applyAlignment="1" applyProtection="1">
      <alignment vertical="center"/>
    </xf>
    <xf numFmtId="37" fontId="11" fillId="3" borderId="2" xfId="0" applyNumberFormat="1" applyFont="1" applyFill="1" applyBorder="1" applyAlignment="1" applyProtection="1">
      <alignment horizontal="right" vertical="center"/>
    </xf>
    <xf numFmtId="176" fontId="11" fillId="3" borderId="2" xfId="0" applyNumberFormat="1" applyFont="1" applyFill="1" applyBorder="1" applyAlignment="1" applyProtection="1">
      <alignment horizontal="right" vertical="center"/>
    </xf>
    <xf numFmtId="171" fontId="3" fillId="3" borderId="2" xfId="0" applyNumberFormat="1" applyFont="1" applyFill="1" applyBorder="1" applyAlignment="1" applyProtection="1">
      <alignment horizontal="right" vertical="center"/>
    </xf>
    <xf numFmtId="0" fontId="11" fillId="3" borderId="2" xfId="0" applyFont="1" applyFill="1" applyBorder="1" applyAlignment="1" applyProtection="1">
      <alignment horizontal="right" vertical="center"/>
    </xf>
    <xf numFmtId="0" fontId="11" fillId="3" borderId="7" xfId="0" applyFont="1" applyFill="1" applyBorder="1" applyAlignment="1" applyProtection="1">
      <alignment horizontal="right" vertical="center"/>
    </xf>
    <xf numFmtId="37" fontId="11" fillId="3" borderId="12" xfId="0" applyNumberFormat="1" applyFont="1" applyFill="1" applyBorder="1" applyAlignment="1" applyProtection="1">
      <alignment horizontal="right" vertical="center"/>
    </xf>
    <xf numFmtId="171" fontId="11" fillId="3" borderId="12" xfId="0" applyNumberFormat="1" applyFont="1" applyFill="1" applyBorder="1" applyAlignment="1" applyProtection="1">
      <alignment horizontal="right" vertical="center"/>
    </xf>
    <xf numFmtId="37" fontId="11" fillId="3" borderId="0" xfId="0" applyNumberFormat="1" applyFont="1" applyFill="1" applyBorder="1" applyAlignment="1" applyProtection="1">
      <alignment horizontal="fill" vertical="center"/>
      <protection locked="0"/>
    </xf>
    <xf numFmtId="0" fontId="11" fillId="3" borderId="0" xfId="0" applyFont="1" applyFill="1" applyBorder="1" applyAlignment="1" applyProtection="1">
      <alignment vertical="center"/>
      <protection locked="0"/>
    </xf>
    <xf numFmtId="0" fontId="11" fillId="3" borderId="0" xfId="0" applyFont="1" applyFill="1" applyBorder="1" applyAlignment="1" applyProtection="1">
      <alignment horizontal="centerContinuous" vertical="center"/>
      <protection locked="0"/>
    </xf>
    <xf numFmtId="37" fontId="11" fillId="3" borderId="0" xfId="0" applyNumberFormat="1" applyFont="1" applyFill="1" applyBorder="1" applyAlignment="1" applyProtection="1">
      <alignment horizontal="centerContinuous" vertical="center"/>
    </xf>
    <xf numFmtId="0" fontId="42" fillId="12" borderId="6" xfId="0" applyFont="1" applyFill="1" applyBorder="1" applyAlignment="1" applyProtection="1">
      <alignment horizontal="center" vertical="center"/>
      <protection locked="0"/>
    </xf>
    <xf numFmtId="0" fontId="4" fillId="12" borderId="5" xfId="0" applyFont="1" applyFill="1" applyBorder="1" applyAlignment="1" applyProtection="1">
      <alignment horizontal="centerContinuous" vertical="center"/>
      <protection locked="0"/>
    </xf>
    <xf numFmtId="0" fontId="42" fillId="12" borderId="6" xfId="0" applyFont="1" applyFill="1" applyBorder="1" applyAlignment="1">
      <alignment horizontal="center" vertical="center"/>
    </xf>
    <xf numFmtId="0" fontId="4" fillId="12" borderId="5" xfId="0" applyFont="1" applyFill="1" applyBorder="1" applyAlignment="1">
      <alignment horizontal="centerContinuous" vertical="center"/>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vertical="center"/>
    </xf>
    <xf numFmtId="37" fontId="3" fillId="2" borderId="6" xfId="0" applyNumberFormat="1" applyFont="1" applyFill="1" applyBorder="1" applyAlignment="1" applyProtection="1">
      <alignment horizontal="left" vertical="center"/>
      <protection locked="0"/>
    </xf>
    <xf numFmtId="3" fontId="3" fillId="3" borderId="7" xfId="0" applyNumberFormat="1" applyFont="1" applyFill="1" applyBorder="1" applyAlignment="1" applyProtection="1">
      <alignment vertical="center"/>
    </xf>
    <xf numFmtId="3" fontId="17" fillId="3" borderId="18" xfId="0" applyNumberFormat="1" applyFont="1" applyFill="1" applyBorder="1" applyAlignment="1" applyProtection="1">
      <alignment horizontal="center" vertical="center"/>
    </xf>
    <xf numFmtId="0" fontId="17" fillId="3" borderId="18" xfId="0" applyFont="1" applyFill="1" applyBorder="1" applyAlignment="1" applyProtection="1">
      <alignment horizontal="center" vertical="center"/>
    </xf>
    <xf numFmtId="0" fontId="3" fillId="2" borderId="5" xfId="453" applyFont="1" applyFill="1" applyBorder="1" applyAlignment="1" applyProtection="1">
      <alignment horizontal="left" vertical="center"/>
      <protection locked="0"/>
    </xf>
    <xf numFmtId="0" fontId="27" fillId="2" borderId="6" xfId="453" applyFont="1" applyFill="1" applyBorder="1" applyAlignment="1" applyProtection="1">
      <alignment horizontal="left" vertical="center"/>
      <protection locked="0"/>
    </xf>
    <xf numFmtId="0" fontId="6" fillId="3" borderId="0" xfId="29" applyFont="1" applyFill="1" applyAlignment="1" applyProtection="1">
      <alignment horizontal="center" vertical="center"/>
    </xf>
    <xf numFmtId="3" fontId="3" fillId="3" borderId="18" xfId="0" applyNumberFormat="1" applyFont="1" applyFill="1" applyBorder="1" applyAlignment="1" applyProtection="1">
      <alignment vertical="center"/>
    </xf>
    <xf numFmtId="167" fontId="3" fillId="3" borderId="1" xfId="0" applyNumberFormat="1" applyFont="1" applyFill="1" applyBorder="1" applyAlignment="1" applyProtection="1">
      <alignment vertical="center"/>
    </xf>
    <xf numFmtId="3" fontId="3" fillId="3" borderId="28" xfId="0" applyNumberFormat="1" applyFont="1" applyFill="1" applyBorder="1" applyAlignment="1" applyProtection="1">
      <alignment vertical="center"/>
    </xf>
    <xf numFmtId="0" fontId="3" fillId="3" borderId="18" xfId="0" applyFont="1" applyFill="1" applyBorder="1" applyAlignment="1" applyProtection="1">
      <alignment vertical="center"/>
    </xf>
    <xf numFmtId="3" fontId="3" fillId="3" borderId="0" xfId="29" applyNumberFormat="1" applyFont="1" applyFill="1" applyAlignment="1" applyProtection="1">
      <alignment vertical="center"/>
    </xf>
    <xf numFmtId="3" fontId="3" fillId="3" borderId="1" xfId="29" applyNumberFormat="1" applyFont="1" applyFill="1" applyBorder="1" applyAlignment="1" applyProtection="1">
      <alignment vertical="center"/>
    </xf>
    <xf numFmtId="3" fontId="3" fillId="3" borderId="0" xfId="29" applyNumberFormat="1" applyFont="1" applyFill="1" applyBorder="1" applyAlignment="1" applyProtection="1">
      <alignment vertical="center"/>
    </xf>
    <xf numFmtId="0" fontId="3" fillId="3" borderId="0" xfId="29" applyFont="1" applyFill="1" applyAlignment="1" applyProtection="1">
      <alignment horizontal="left" vertical="center"/>
    </xf>
    <xf numFmtId="0" fontId="3" fillId="12" borderId="0" xfId="29" applyFont="1" applyFill="1" applyAlignment="1" applyProtection="1">
      <alignment vertical="center"/>
    </xf>
    <xf numFmtId="0" fontId="3" fillId="3" borderId="0" xfId="29" quotePrefix="1" applyFont="1" applyFill="1" applyAlignment="1" applyProtection="1">
      <alignment vertical="center"/>
    </xf>
    <xf numFmtId="3" fontId="3" fillId="3" borderId="28" xfId="29" applyNumberFormat="1" applyFont="1" applyFill="1" applyBorder="1" applyAlignment="1" applyProtection="1">
      <alignment vertical="center"/>
    </xf>
    <xf numFmtId="0" fontId="3" fillId="3" borderId="0" xfId="29" quotePrefix="1" applyFont="1" applyFill="1" applyAlignment="1" applyProtection="1">
      <alignment horizontal="left" vertical="center"/>
    </xf>
    <xf numFmtId="10" fontId="3" fillId="3" borderId="1" xfId="29" applyNumberFormat="1" applyFont="1" applyFill="1" applyBorder="1" applyAlignment="1" applyProtection="1">
      <alignment vertical="center"/>
    </xf>
    <xf numFmtId="10" fontId="3" fillId="3" borderId="0" xfId="29" applyNumberFormat="1" applyFont="1" applyFill="1" applyBorder="1" applyAlignment="1" applyProtection="1">
      <alignment vertical="center"/>
    </xf>
    <xf numFmtId="0" fontId="6" fillId="3" borderId="0" xfId="29" applyFont="1" applyFill="1" applyAlignment="1" applyProtection="1">
      <alignment horizontal="left" vertical="center"/>
    </xf>
    <xf numFmtId="0" fontId="3" fillId="9" borderId="2" xfId="29" applyFont="1" applyFill="1" applyBorder="1" applyAlignment="1">
      <alignment horizontal="left" vertical="center" shrinkToFit="1"/>
    </xf>
    <xf numFmtId="0" fontId="12" fillId="12" borderId="2" xfId="161" applyFont="1" applyFill="1" applyBorder="1" applyAlignment="1">
      <alignment horizontal="left" vertical="center"/>
    </xf>
    <xf numFmtId="0" fontId="12" fillId="12" borderId="2" xfId="161" applyFont="1" applyFill="1" applyBorder="1" applyAlignment="1">
      <alignment horizontal="left" vertical="center"/>
    </xf>
    <xf numFmtId="0" fontId="12" fillId="12" borderId="2" xfId="161" applyFont="1" applyFill="1" applyBorder="1" applyAlignment="1">
      <alignment horizontal="left" vertical="center"/>
    </xf>
    <xf numFmtId="0" fontId="12" fillId="12" borderId="2" xfId="161" applyFont="1" applyFill="1" applyBorder="1" applyAlignment="1">
      <alignment horizontal="left" vertical="center"/>
    </xf>
    <xf numFmtId="0" fontId="12" fillId="12" borderId="2" xfId="161" applyFont="1" applyFill="1" applyBorder="1" applyAlignment="1">
      <alignment horizontal="left" vertical="center"/>
    </xf>
    <xf numFmtId="0" fontId="12" fillId="12" borderId="2" xfId="161" applyFont="1" applyFill="1" applyBorder="1" applyAlignment="1">
      <alignment horizontal="left" vertical="center"/>
    </xf>
    <xf numFmtId="0" fontId="2" fillId="0" borderId="0" xfId="29"/>
    <xf numFmtId="0" fontId="33" fillId="15" borderId="0" xfId="362" applyFill="1" applyBorder="1"/>
    <xf numFmtId="0" fontId="33" fillId="15" borderId="0" xfId="362" applyFill="1" applyBorder="1" applyAlignment="1">
      <alignment horizontal="left" vertical="center"/>
    </xf>
    <xf numFmtId="0" fontId="33" fillId="15" borderId="0" xfId="362" applyFill="1" applyBorder="1" applyAlignment="1">
      <alignment horizontal="center" vertical="center"/>
    </xf>
    <xf numFmtId="0" fontId="32" fillId="0" borderId="0" xfId="29" applyFont="1"/>
    <xf numFmtId="0" fontId="33" fillId="15" borderId="0" xfId="362" applyFill="1"/>
    <xf numFmtId="0" fontId="34" fillId="15" borderId="0" xfId="362" applyFont="1" applyFill="1" applyBorder="1"/>
    <xf numFmtId="0" fontId="34" fillId="15" borderId="22" xfId="362" applyFont="1" applyFill="1" applyBorder="1"/>
    <xf numFmtId="0" fontId="34" fillId="15" borderId="21" xfId="362" applyFont="1" applyFill="1" applyBorder="1"/>
    <xf numFmtId="0" fontId="34" fillId="15" borderId="0" xfId="362" applyFont="1" applyFill="1" applyBorder="1" applyAlignment="1">
      <alignment horizontal="center"/>
    </xf>
    <xf numFmtId="0" fontId="34" fillId="15" borderId="0" xfId="362" applyFont="1" applyFill="1" applyBorder="1" applyAlignment="1">
      <alignment horizontal="right"/>
    </xf>
    <xf numFmtId="3" fontId="34" fillId="15" borderId="1" xfId="362" applyNumberFormat="1" applyFont="1" applyFill="1" applyBorder="1"/>
    <xf numFmtId="3" fontId="34" fillId="15" borderId="5" xfId="362" applyNumberFormat="1" applyFont="1" applyFill="1" applyBorder="1"/>
    <xf numFmtId="0" fontId="34" fillId="15" borderId="1" xfId="362" applyFont="1" applyFill="1" applyBorder="1" applyAlignment="1" applyProtection="1">
      <alignment horizontal="center"/>
      <protection locked="0"/>
    </xf>
    <xf numFmtId="0" fontId="34" fillId="15" borderId="29" xfId="362" applyFont="1" applyFill="1" applyBorder="1" applyAlignment="1" applyProtection="1">
      <alignment horizontal="center"/>
      <protection locked="0"/>
    </xf>
    <xf numFmtId="0" fontId="34" fillId="15" borderId="25" xfId="362" applyFont="1" applyFill="1" applyBorder="1"/>
    <xf numFmtId="0" fontId="34" fillId="15" borderId="26" xfId="362" applyFont="1" applyFill="1" applyBorder="1"/>
    <xf numFmtId="0" fontId="34" fillId="15" borderId="27" xfId="362" applyFont="1" applyFill="1" applyBorder="1"/>
    <xf numFmtId="37" fontId="11" fillId="3" borderId="18" xfId="0" applyNumberFormat="1" applyFont="1" applyFill="1" applyBorder="1" applyAlignment="1" applyProtection="1">
      <alignment horizontal="left" vertical="center"/>
    </xf>
    <xf numFmtId="37" fontId="11" fillId="3" borderId="18" xfId="0" applyNumberFormat="1" applyFont="1" applyFill="1" applyBorder="1" applyAlignment="1" applyProtection="1">
      <alignment horizontal="fill" vertical="center"/>
    </xf>
    <xf numFmtId="37" fontId="3" fillId="3" borderId="18" xfId="0" applyNumberFormat="1" applyFont="1" applyFill="1" applyBorder="1" applyAlignment="1" applyProtection="1">
      <alignment horizontal="center" vertical="center"/>
    </xf>
    <xf numFmtId="41" fontId="3" fillId="2" borderId="2" xfId="1" applyNumberFormat="1" applyFont="1" applyFill="1" applyBorder="1" applyAlignment="1" applyProtection="1">
      <alignment vertical="center"/>
      <protection locked="0"/>
    </xf>
    <xf numFmtId="41" fontId="3" fillId="4" borderId="2" xfId="0" applyNumberFormat="1" applyFont="1" applyFill="1" applyBorder="1" applyAlignment="1" applyProtection="1">
      <alignment vertical="center"/>
    </xf>
    <xf numFmtId="41" fontId="3" fillId="3" borderId="2" xfId="0" applyNumberFormat="1" applyFont="1" applyFill="1" applyBorder="1" applyAlignment="1" applyProtection="1">
      <alignment vertical="center"/>
      <protection locked="0"/>
    </xf>
    <xf numFmtId="41" fontId="3" fillId="2" borderId="2" xfId="0" applyNumberFormat="1" applyFont="1" applyFill="1" applyBorder="1" applyAlignment="1" applyProtection="1">
      <alignment vertical="center"/>
      <protection locked="0"/>
    </xf>
    <xf numFmtId="0" fontId="3" fillId="7" borderId="2" xfId="0" applyFont="1" applyFill="1" applyBorder="1" applyAlignment="1" applyProtection="1">
      <alignment horizontal="left" vertical="center"/>
      <protection locked="0"/>
    </xf>
    <xf numFmtId="49" fontId="3" fillId="2" borderId="2" xfId="0" applyNumberFormat="1" applyFont="1" applyFill="1" applyBorder="1" applyAlignment="1" applyProtection="1">
      <alignment horizontal="center" vertical="center"/>
      <protection locked="0"/>
    </xf>
    <xf numFmtId="164" fontId="3" fillId="7" borderId="2" xfId="0" applyNumberFormat="1"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3" fontId="3" fillId="2" borderId="2" xfId="0" applyNumberFormat="1" applyFont="1" applyFill="1" applyBorder="1" applyAlignment="1" applyProtection="1">
      <alignment vertical="center"/>
      <protection locked="0"/>
    </xf>
    <xf numFmtId="0" fontId="10" fillId="0" borderId="0" xfId="453" applyFont="1"/>
    <xf numFmtId="0" fontId="3" fillId="0" borderId="0" xfId="453" applyFont="1" applyAlignment="1">
      <alignment horizontal="left" vertical="center"/>
    </xf>
    <xf numFmtId="49" fontId="3" fillId="2" borderId="0" xfId="453" applyNumberFormat="1" applyFont="1" applyFill="1" applyAlignment="1" applyProtection="1">
      <alignment horizontal="left" vertical="center"/>
      <protection locked="0"/>
    </xf>
    <xf numFmtId="49" fontId="3" fillId="0" borderId="0" xfId="453" applyNumberFormat="1" applyFont="1" applyAlignment="1">
      <alignment horizontal="left" vertical="center"/>
    </xf>
    <xf numFmtId="0" fontId="3" fillId="2" borderId="0" xfId="453" applyFont="1" applyFill="1" applyAlignment="1" applyProtection="1">
      <alignment horizontal="left" vertical="center"/>
      <protection locked="0"/>
    </xf>
    <xf numFmtId="0" fontId="3" fillId="11" borderId="0" xfId="0" applyFont="1" applyFill="1" applyProtection="1">
      <protection locked="0"/>
    </xf>
    <xf numFmtId="37"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horizontal="left" vertical="center"/>
      <protection locked="0"/>
    </xf>
    <xf numFmtId="0" fontId="3" fillId="0" borderId="0" xfId="0" applyFont="1" applyAlignment="1">
      <alignment vertical="center"/>
    </xf>
    <xf numFmtId="0" fontId="3" fillId="7" borderId="2" xfId="0" applyFont="1" applyFill="1" applyBorder="1" applyAlignment="1" applyProtection="1">
      <alignment horizontal="left" vertical="center"/>
      <protection locked="0"/>
    </xf>
    <xf numFmtId="0" fontId="3" fillId="7" borderId="2" xfId="0" applyFont="1" applyFill="1" applyBorder="1" applyAlignment="1" applyProtection="1">
      <alignment vertical="center"/>
      <protection locked="0"/>
    </xf>
    <xf numFmtId="0" fontId="3" fillId="3" borderId="0" xfId="0" applyFont="1" applyFill="1" applyAlignment="1" applyProtection="1">
      <alignment horizontal="left" vertical="center"/>
    </xf>
    <xf numFmtId="37" fontId="3" fillId="7" borderId="2" xfId="0" applyNumberFormat="1" applyFont="1" applyFill="1" applyBorder="1" applyAlignment="1" applyProtection="1">
      <alignment vertical="center"/>
      <protection locked="0"/>
    </xf>
    <xf numFmtId="0" fontId="3" fillId="2" borderId="2" xfId="0" applyFont="1" applyFill="1" applyBorder="1" applyAlignment="1" applyProtection="1">
      <alignment horizontal="left" vertical="center"/>
      <protection locked="0"/>
    </xf>
    <xf numFmtId="0" fontId="3" fillId="0" borderId="0" xfId="0" applyFont="1" applyAlignment="1">
      <alignment vertical="center"/>
    </xf>
    <xf numFmtId="37" fontId="3" fillId="7" borderId="2" xfId="0" applyNumberFormat="1" applyFont="1" applyFill="1" applyBorder="1" applyAlignment="1" applyProtection="1">
      <alignmen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3" borderId="0" xfId="0" applyFont="1" applyFill="1" applyAlignment="1" applyProtection="1">
      <alignment horizontal="left" vertical="center"/>
    </xf>
    <xf numFmtId="0" fontId="3" fillId="2" borderId="2" xfId="0" applyFont="1" applyFill="1" applyBorder="1" applyAlignment="1" applyProtection="1">
      <alignment horizontal="left" vertical="center"/>
      <protection locked="0"/>
    </xf>
    <xf numFmtId="0" fontId="3" fillId="4" borderId="0" xfId="0" applyFont="1" applyFill="1" applyAlignment="1" applyProtection="1">
      <alignment horizontal="left" vertical="center"/>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0" borderId="0" xfId="0" applyFont="1" applyAlignment="1">
      <alignment vertical="center"/>
    </xf>
    <xf numFmtId="37" fontId="3" fillId="7" borderId="2" xfId="0" applyNumberFormat="1" applyFont="1" applyFill="1" applyBorder="1" applyAlignment="1" applyProtection="1">
      <alignment vertical="center"/>
      <protection locked="0"/>
    </xf>
    <xf numFmtId="0" fontId="3" fillId="2" borderId="2" xfId="0" applyFont="1" applyFill="1" applyBorder="1" applyAlignment="1" applyProtection="1">
      <alignment horizontal="left" vertical="center"/>
      <protection locked="0"/>
    </xf>
    <xf numFmtId="0" fontId="3" fillId="0" borderId="0" xfId="0" applyFont="1" applyAlignment="1">
      <alignment vertical="center"/>
    </xf>
    <xf numFmtId="0" fontId="3" fillId="7" borderId="2" xfId="0" applyFont="1" applyFill="1" applyBorder="1" applyAlignment="1" applyProtection="1">
      <alignment horizontal="left" vertical="center"/>
      <protection locked="0"/>
    </xf>
    <xf numFmtId="37" fontId="3" fillId="7" borderId="2" xfId="0" applyNumberFormat="1" applyFont="1" applyFill="1" applyBorder="1" applyAlignment="1" applyProtection="1">
      <alignmen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0" borderId="0" xfId="0" applyFont="1" applyAlignment="1">
      <alignment vertical="center"/>
    </xf>
    <xf numFmtId="0" fontId="3" fillId="7" borderId="2" xfId="0" applyFont="1" applyFill="1" applyBorder="1" applyAlignment="1" applyProtection="1">
      <alignment horizontal="left" vertical="center"/>
      <protection locked="0"/>
    </xf>
    <xf numFmtId="37" fontId="3" fillId="7" borderId="2" xfId="0" applyNumberFormat="1" applyFont="1" applyFill="1" applyBorder="1" applyAlignment="1" applyProtection="1">
      <alignmen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7" borderId="2"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37" fontId="3" fillId="7" borderId="4" xfId="0" applyNumberFormat="1" applyFont="1" applyFill="1" applyBorder="1" applyAlignment="1" applyProtection="1">
      <alignment vertical="center"/>
      <protection locked="0"/>
    </xf>
    <xf numFmtId="0" fontId="3" fillId="2" borderId="4" xfId="0" applyFont="1" applyFill="1" applyBorder="1" applyAlignment="1" applyProtection="1">
      <alignment horizontal="left" vertical="center"/>
    </xf>
    <xf numFmtId="0" fontId="3" fillId="2" borderId="4" xfId="0" applyFont="1" applyFill="1" applyBorder="1" applyAlignment="1">
      <alignment vertical="center"/>
    </xf>
    <xf numFmtId="37" fontId="3" fillId="2" borderId="4" xfId="0" applyNumberFormat="1" applyFont="1" applyFill="1" applyBorder="1" applyAlignment="1" applyProtection="1">
      <alignment vertical="center"/>
    </xf>
    <xf numFmtId="0" fontId="3" fillId="3" borderId="0" xfId="0" applyFont="1" applyFill="1" applyAlignment="1" applyProtection="1">
      <alignment horizontal="center" vertical="center"/>
    </xf>
    <xf numFmtId="0" fontId="3" fillId="7" borderId="4" xfId="0" applyFont="1" applyFill="1" applyBorder="1" applyAlignment="1" applyProtection="1">
      <alignment horizontal="lef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3" fontId="3" fillId="7" borderId="2" xfId="0" applyNumberFormat="1" applyFont="1" applyFill="1" applyBorder="1" applyAlignment="1" applyProtection="1">
      <alignment vertical="center"/>
      <protection locked="0"/>
    </xf>
    <xf numFmtId="0" fontId="3" fillId="7" borderId="4" xfId="0" applyFont="1" applyFill="1" applyBorder="1" applyAlignment="1" applyProtection="1">
      <alignment horizontal="left" vertical="center"/>
      <protection locked="0"/>
    </xf>
    <xf numFmtId="3"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3" fontId="3" fillId="7" borderId="2" xfId="0" applyNumberFormat="1"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3" fontId="3" fillId="7" borderId="4" xfId="0" applyNumberFormat="1"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7" borderId="4" xfId="0" applyFont="1" applyFill="1" applyBorder="1" applyAlignment="1" applyProtection="1">
      <alignment vertical="center"/>
      <protection locked="0"/>
    </xf>
    <xf numFmtId="0" fontId="3" fillId="0" borderId="0" xfId="0" applyFont="1" applyAlignment="1">
      <alignment vertical="center"/>
    </xf>
    <xf numFmtId="0" fontId="3" fillId="7" borderId="2" xfId="0" applyFont="1" applyFill="1" applyBorder="1" applyAlignment="1" applyProtection="1">
      <alignment horizontal="left" vertical="center"/>
      <protection locked="0"/>
    </xf>
    <xf numFmtId="0" fontId="11" fillId="2" borderId="1"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3" fillId="7" borderId="2" xfId="0" applyFont="1" applyFill="1" applyBorder="1" applyAlignment="1" applyProtection="1">
      <alignment horizontal="center" vertical="center"/>
      <protection locked="0"/>
    </xf>
    <xf numFmtId="0" fontId="3" fillId="3" borderId="0" xfId="0" applyFont="1" applyFill="1" applyAlignment="1" applyProtection="1">
      <alignment horizontal="left" vertical="center"/>
    </xf>
    <xf numFmtId="37" fontId="3" fillId="7" borderId="2" xfId="0" applyNumberFormat="1" applyFont="1" applyFill="1" applyBorder="1" applyAlignment="1" applyProtection="1">
      <alignment vertical="center"/>
      <protection locked="0"/>
    </xf>
    <xf numFmtId="37" fontId="3" fillId="7" borderId="4" xfId="0" applyNumberFormat="1" applyFont="1" applyFill="1" applyBorder="1" applyAlignment="1" applyProtection="1">
      <alignment vertical="center"/>
      <protection locked="0"/>
    </xf>
    <xf numFmtId="37" fontId="4" fillId="4" borderId="2" xfId="0" applyNumberFormat="1" applyFont="1" applyFill="1" applyBorder="1" applyAlignment="1" applyProtection="1">
      <alignment vertical="center"/>
    </xf>
    <xf numFmtId="0" fontId="3" fillId="7" borderId="4" xfId="0" applyFont="1" applyFill="1" applyBorder="1" applyAlignment="1" applyProtection="1">
      <alignment vertical="center"/>
      <protection locked="0"/>
    </xf>
    <xf numFmtId="0" fontId="3" fillId="2" borderId="2" xfId="0" applyFont="1" applyFill="1" applyBorder="1" applyAlignment="1" applyProtection="1">
      <alignment horizontal="left" vertical="center"/>
      <protection locked="0"/>
    </xf>
    <xf numFmtId="0" fontId="14" fillId="3" borderId="0" xfId="0" applyFont="1" applyFill="1" applyAlignment="1">
      <alignment vertical="center"/>
    </xf>
    <xf numFmtId="0" fontId="14" fillId="2" borderId="2" xfId="0" applyFont="1" applyFill="1" applyBorder="1" applyAlignment="1" applyProtection="1">
      <alignment vertical="center"/>
      <protection locked="0"/>
    </xf>
    <xf numFmtId="0" fontId="14" fillId="2" borderId="8" xfId="0" applyFont="1" applyFill="1" applyBorder="1" applyAlignment="1" applyProtection="1">
      <alignment vertical="center"/>
      <protection locked="0"/>
    </xf>
    <xf numFmtId="3" fontId="3" fillId="7" borderId="4" xfId="0" applyNumberFormat="1" applyFont="1" applyFill="1" applyBorder="1" applyAlignment="1" applyProtection="1">
      <alignment vertical="center"/>
      <protection locked="0"/>
    </xf>
    <xf numFmtId="3" fontId="3" fillId="7" borderId="2" xfId="29" applyNumberFormat="1" applyFont="1" applyFill="1" applyBorder="1" applyAlignment="1" applyProtection="1">
      <alignment vertical="center"/>
      <protection locked="0"/>
    </xf>
    <xf numFmtId="0" fontId="3" fillId="7" borderId="2" xfId="29" applyFont="1" applyFill="1" applyBorder="1" applyAlignment="1" applyProtection="1">
      <alignment vertical="center"/>
      <protection locked="0"/>
    </xf>
    <xf numFmtId="1" fontId="3" fillId="7" borderId="2" xfId="29" applyNumberFormat="1" applyFont="1" applyFill="1" applyBorder="1" applyAlignment="1" applyProtection="1">
      <alignment vertical="center"/>
      <protection locked="0"/>
    </xf>
    <xf numFmtId="2" fontId="3" fillId="7" borderId="2" xfId="29" applyNumberFormat="1" applyFont="1" applyFill="1" applyBorder="1" applyAlignment="1" applyProtection="1">
      <alignment vertical="center"/>
      <protection locked="0"/>
    </xf>
    <xf numFmtId="14" fontId="3" fillId="7" borderId="2" xfId="29" applyNumberFormat="1" applyFont="1" applyFill="1" applyBorder="1" applyAlignment="1" applyProtection="1">
      <alignment vertical="center"/>
      <protection locked="0"/>
    </xf>
    <xf numFmtId="0" fontId="3" fillId="2" borderId="2" xfId="29" applyFont="1" applyFill="1" applyBorder="1" applyAlignment="1" applyProtection="1">
      <alignment vertical="center"/>
      <protection locked="0"/>
    </xf>
    <xf numFmtId="0" fontId="3" fillId="2" borderId="8" xfId="29" applyFont="1" applyFill="1" applyBorder="1" applyAlignment="1" applyProtection="1">
      <alignment vertical="center"/>
      <protection locked="0"/>
    </xf>
    <xf numFmtId="39" fontId="3" fillId="0" borderId="0" xfId="0" applyNumberFormat="1" applyFont="1" applyAlignment="1">
      <alignment vertical="center"/>
    </xf>
    <xf numFmtId="178" fontId="3" fillId="0" borderId="0" xfId="1" applyNumberFormat="1" applyFont="1" applyAlignment="1">
      <alignment vertical="center"/>
    </xf>
    <xf numFmtId="41" fontId="3" fillId="2" borderId="8" xfId="1" applyNumberFormat="1" applyFont="1" applyFill="1" applyBorder="1" applyAlignment="1" applyProtection="1">
      <alignment vertical="center"/>
      <protection locked="0"/>
    </xf>
    <xf numFmtId="41" fontId="3" fillId="7" borderId="4" xfId="0" applyNumberFormat="1" applyFont="1" applyFill="1" applyBorder="1" applyAlignment="1" applyProtection="1">
      <alignment vertical="center"/>
      <protection locked="0"/>
    </xf>
    <xf numFmtId="41" fontId="3" fillId="7" borderId="2" xfId="0" applyNumberFormat="1" applyFont="1" applyFill="1" applyBorder="1" applyAlignment="1" applyProtection="1">
      <alignment vertical="center"/>
      <protection locked="0"/>
    </xf>
    <xf numFmtId="178" fontId="3" fillId="0" borderId="0" xfId="0" applyNumberFormat="1" applyFont="1" applyAlignment="1">
      <alignment vertical="center"/>
    </xf>
    <xf numFmtId="37" fontId="3" fillId="5" borderId="0" xfId="0" applyNumberFormat="1" applyFont="1" applyFill="1" applyAlignment="1" applyProtection="1">
      <alignment horizontal="center" vertical="center" wrapText="1"/>
    </xf>
    <xf numFmtId="0" fontId="0" fillId="5" borderId="1" xfId="0" applyFill="1" applyBorder="1" applyAlignment="1">
      <alignment horizontal="center" vertical="center" wrapText="1"/>
    </xf>
    <xf numFmtId="37" fontId="17" fillId="3" borderId="0" xfId="0" applyNumberFormat="1" applyFont="1" applyFill="1" applyAlignment="1" applyProtection="1">
      <alignment horizontal="center" vertical="center"/>
    </xf>
    <xf numFmtId="0" fontId="18"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1" fillId="0" borderId="0" xfId="0" applyFont="1" applyAlignment="1">
      <alignment horizontal="center" vertical="center"/>
    </xf>
    <xf numFmtId="0" fontId="3" fillId="3" borderId="0" xfId="0" applyFont="1" applyFill="1" applyBorder="1" applyAlignment="1" applyProtection="1">
      <alignment vertical="center" wrapText="1"/>
    </xf>
    <xf numFmtId="0" fontId="4" fillId="5" borderId="0" xfId="0" applyFont="1" applyFill="1" applyBorder="1" applyAlignment="1">
      <alignment horizontal="center" vertical="center"/>
    </xf>
    <xf numFmtId="0" fontId="1" fillId="5" borderId="0" xfId="0" applyFont="1" applyFill="1" applyBorder="1" applyAlignment="1">
      <alignment horizontal="center" vertical="center"/>
    </xf>
    <xf numFmtId="0" fontId="3" fillId="5" borderId="7"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6" fillId="3" borderId="0" xfId="0" applyFont="1" applyFill="1" applyBorder="1" applyAlignment="1">
      <alignment vertical="center"/>
    </xf>
    <xf numFmtId="0" fontId="22" fillId="0" borderId="0" xfId="0" applyFont="1" applyAlignment="1">
      <alignment vertical="center"/>
    </xf>
    <xf numFmtId="0" fontId="3" fillId="0" borderId="0" xfId="453" applyFont="1" applyAlignment="1">
      <alignment horizontal="left" vertical="center" wrapText="1"/>
    </xf>
    <xf numFmtId="0" fontId="27" fillId="0" borderId="0" xfId="453" applyFont="1" applyAlignment="1">
      <alignment horizontal="left" vertical="center" wrapText="1"/>
    </xf>
    <xf numFmtId="0" fontId="15" fillId="0" borderId="0" xfId="453" applyFont="1" applyAlignment="1">
      <alignment horizontal="left" vertical="center"/>
    </xf>
    <xf numFmtId="37" fontId="11" fillId="0" borderId="0" xfId="0" applyNumberFormat="1" applyFont="1" applyAlignment="1" applyProtection="1">
      <alignment horizontal="center" vertical="center"/>
      <protection locked="0"/>
    </xf>
    <xf numFmtId="37" fontId="12" fillId="3" borderId="0" xfId="0" applyNumberFormat="1" applyFont="1" applyFill="1" applyAlignment="1" applyProtection="1">
      <alignment horizontal="center" vertical="center"/>
    </xf>
    <xf numFmtId="37" fontId="11" fillId="3" borderId="7" xfId="0" applyNumberFormat="1" applyFont="1" applyFill="1" applyBorder="1" applyAlignment="1" applyProtection="1">
      <alignment horizontal="center" vertical="center" wrapText="1"/>
    </xf>
    <xf numFmtId="0" fontId="13" fillId="0" borderId="8" xfId="0" applyFont="1" applyBorder="1" applyAlignment="1">
      <alignment horizontal="center" vertical="center" wrapText="1"/>
    </xf>
    <xf numFmtId="37" fontId="20" fillId="3" borderId="0" xfId="0" applyNumberFormat="1" applyFont="1" applyFill="1" applyAlignment="1" applyProtection="1">
      <alignment horizontal="center" vertical="center"/>
    </xf>
    <xf numFmtId="0" fontId="28" fillId="0" borderId="0" xfId="0" applyFont="1" applyAlignment="1">
      <alignment horizontal="center" vertical="center"/>
    </xf>
    <xf numFmtId="37" fontId="11" fillId="3" borderId="0" xfId="0" applyNumberFormat="1" applyFont="1" applyFill="1" applyAlignment="1" applyProtection="1">
      <alignment horizontal="center" vertical="center"/>
    </xf>
    <xf numFmtId="0" fontId="0" fillId="0" borderId="0" xfId="0" applyAlignment="1">
      <alignment horizontal="center" vertical="center"/>
    </xf>
    <xf numFmtId="0" fontId="0" fillId="0" borderId="0" xfId="0" applyAlignment="1">
      <alignment vertical="center"/>
    </xf>
    <xf numFmtId="37" fontId="11" fillId="3" borderId="10" xfId="0" applyNumberFormat="1" applyFont="1" applyFill="1" applyBorder="1" applyAlignment="1" applyProtection="1">
      <alignment horizontal="fill" vertical="center"/>
    </xf>
    <xf numFmtId="0" fontId="0" fillId="0" borderId="11" xfId="0" applyBorder="1" applyAlignment="1">
      <alignment vertical="center"/>
    </xf>
    <xf numFmtId="0" fontId="11" fillId="3" borderId="0" xfId="0" applyFont="1" applyFill="1" applyAlignment="1" applyProtection="1">
      <alignment horizontal="center" vertical="center"/>
    </xf>
    <xf numFmtId="0" fontId="11" fillId="5" borderId="7" xfId="0" applyFont="1" applyFill="1" applyBorder="1" applyAlignment="1" applyProtection="1">
      <alignment horizontal="center" vertical="center" wrapText="1"/>
    </xf>
    <xf numFmtId="0" fontId="0" fillId="0" borderId="8" xfId="0" applyBorder="1" applyAlignment="1">
      <alignment vertical="center" wrapText="1"/>
    </xf>
    <xf numFmtId="0" fontId="4" fillId="3" borderId="0" xfId="0" applyFont="1" applyFill="1" applyAlignment="1" applyProtection="1">
      <alignment horizontal="center" vertical="center"/>
    </xf>
    <xf numFmtId="0" fontId="3" fillId="3" borderId="0" xfId="29" applyFont="1" applyFill="1" applyAlignment="1">
      <alignment horizontal="center" vertical="center"/>
    </xf>
    <xf numFmtId="0" fontId="6" fillId="3" borderId="0" xfId="29" applyFont="1" applyFill="1" applyAlignment="1" applyProtection="1">
      <alignment horizontal="center" vertical="center"/>
    </xf>
    <xf numFmtId="37" fontId="3" fillId="3" borderId="7" xfId="0" applyNumberFormat="1" applyFont="1" applyFill="1" applyBorder="1" applyAlignment="1" applyProtection="1">
      <alignment horizontal="center" vertical="center" wrapText="1"/>
    </xf>
    <xf numFmtId="37" fontId="3" fillId="3" borderId="7" xfId="0" applyNumberFormat="1" applyFont="1" applyFill="1" applyBorder="1" applyAlignment="1" applyProtection="1">
      <alignment horizontal="center" wrapText="1"/>
    </xf>
    <xf numFmtId="0" fontId="0" fillId="0" borderId="8" xfId="0" applyBorder="1" applyAlignment="1">
      <alignment horizontal="center" wrapText="1"/>
    </xf>
    <xf numFmtId="37" fontId="3" fillId="3" borderId="4" xfId="0" applyNumberFormat="1" applyFont="1" applyFill="1" applyBorder="1" applyAlignment="1" applyProtection="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37" fontId="4" fillId="3" borderId="0" xfId="0" applyNumberFormat="1" applyFont="1" applyFill="1" applyAlignment="1" applyProtection="1">
      <alignment horizontal="center"/>
    </xf>
    <xf numFmtId="0" fontId="3" fillId="3" borderId="16" xfId="0" applyFont="1" applyFill="1" applyBorder="1" applyAlignment="1" applyProtection="1">
      <alignment horizontal="center" vertical="center"/>
    </xf>
    <xf numFmtId="0" fontId="0" fillId="0" borderId="9" xfId="0" applyBorder="1" applyAlignment="1" applyProtection="1">
      <alignment vertical="center"/>
    </xf>
    <xf numFmtId="1" fontId="3" fillId="3" borderId="16" xfId="0" applyNumberFormat="1" applyFont="1" applyFill="1" applyBorder="1" applyAlignment="1" applyProtection="1">
      <alignment horizontal="center" vertical="center"/>
    </xf>
    <xf numFmtId="0" fontId="0" fillId="0" borderId="9" xfId="0" applyBorder="1" applyAlignment="1" applyProtection="1">
      <alignment horizontal="center" vertical="center"/>
    </xf>
    <xf numFmtId="0" fontId="3" fillId="3" borderId="0" xfId="0" applyFont="1" applyFill="1" applyAlignment="1" applyProtection="1">
      <alignment horizontal="center" vertical="center"/>
    </xf>
    <xf numFmtId="0" fontId="3"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20" fillId="12" borderId="10" xfId="0" applyFont="1" applyFill="1" applyBorder="1" applyAlignment="1" applyProtection="1">
      <alignment horizontal="center" vertical="center"/>
    </xf>
    <xf numFmtId="0" fontId="0" fillId="0" borderId="18" xfId="0" applyBorder="1" applyAlignment="1">
      <alignment vertical="center"/>
    </xf>
    <xf numFmtId="172" fontId="20" fillId="12" borderId="10" xfId="0" applyNumberFormat="1" applyFont="1" applyFill="1" applyBorder="1" applyAlignment="1" applyProtection="1">
      <alignment horizontal="center"/>
    </xf>
    <xf numFmtId="0" fontId="18" fillId="0" borderId="18" xfId="0" applyFont="1" applyBorder="1" applyAlignment="1"/>
    <xf numFmtId="0" fontId="18" fillId="0" borderId="11" xfId="0" applyFont="1" applyBorder="1" applyAlignment="1"/>
    <xf numFmtId="3" fontId="3" fillId="3" borderId="18" xfId="48" applyNumberFormat="1" applyFont="1" applyFill="1" applyBorder="1" applyAlignment="1" applyProtection="1">
      <alignment horizontal="right" vertical="center"/>
    </xf>
    <xf numFmtId="0" fontId="2" fillId="0" borderId="11" xfId="48" applyBorder="1" applyAlignment="1">
      <alignment horizontal="right" vertical="center"/>
    </xf>
    <xf numFmtId="0" fontId="3" fillId="3" borderId="0" xfId="48" applyFont="1" applyFill="1" applyAlignment="1" applyProtection="1">
      <alignment horizontal="right" vertical="center"/>
    </xf>
    <xf numFmtId="0" fontId="3" fillId="0" borderId="13" xfId="48" applyFont="1" applyBorder="1" applyAlignment="1">
      <alignment horizontal="right" vertical="center"/>
    </xf>
    <xf numFmtId="0" fontId="20" fillId="3" borderId="10" xfId="33" applyFont="1" applyFill="1" applyBorder="1" applyAlignment="1" applyProtection="1">
      <alignment horizontal="center" vertical="center"/>
    </xf>
    <xf numFmtId="0" fontId="30" fillId="0" borderId="18" xfId="33" applyFont="1" applyBorder="1" applyAlignment="1" applyProtection="1">
      <alignment horizontal="center" vertical="center"/>
    </xf>
    <xf numFmtId="0" fontId="2" fillId="0" borderId="11" xfId="33" applyBorder="1" applyAlignment="1" applyProtection="1">
      <alignment vertical="center"/>
    </xf>
    <xf numFmtId="37" fontId="3" fillId="3" borderId="0" xfId="0" applyNumberFormat="1" applyFont="1" applyFill="1" applyAlignment="1" applyProtection="1">
      <alignment horizontal="center" vertical="center"/>
    </xf>
    <xf numFmtId="0" fontId="0" fillId="0" borderId="18" xfId="0" applyBorder="1" applyAlignment="1">
      <alignment horizontal="center" vertical="center"/>
    </xf>
    <xf numFmtId="0" fontId="0" fillId="0" borderId="11" xfId="0" applyBorder="1" applyAlignment="1"/>
    <xf numFmtId="0" fontId="13" fillId="0" borderId="18" xfId="0" applyFont="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44" fillId="3" borderId="4" xfId="0" applyFont="1" applyFill="1" applyBorder="1" applyAlignment="1">
      <alignment horizontal="center" vertical="center"/>
    </xf>
    <xf numFmtId="0" fontId="44" fillId="3" borderId="6" xfId="0" applyFont="1" applyFill="1" applyBorder="1" applyAlignment="1">
      <alignment horizontal="center" vertical="center"/>
    </xf>
    <xf numFmtId="37" fontId="3" fillId="12" borderId="0" xfId="0" applyNumberFormat="1" applyFont="1" applyFill="1" applyAlignment="1" applyProtection="1">
      <alignment horizontal="center" vertical="center"/>
    </xf>
    <xf numFmtId="0" fontId="15" fillId="12" borderId="10" xfId="44" applyFont="1" applyFill="1" applyBorder="1" applyAlignment="1" applyProtection="1">
      <alignment horizontal="center"/>
    </xf>
    <xf numFmtId="0" fontId="15" fillId="12" borderId="18" xfId="44" applyFont="1" applyFill="1" applyBorder="1" applyAlignment="1" applyProtection="1">
      <alignment horizontal="center"/>
    </xf>
    <xf numFmtId="0" fontId="15" fillId="12" borderId="11" xfId="44" applyFont="1" applyFill="1" applyBorder="1" applyAlignment="1" applyProtection="1">
      <alignment horizontal="center"/>
    </xf>
    <xf numFmtId="0" fontId="2" fillId="0" borderId="18" xfId="44" applyBorder="1" applyAlignment="1" applyProtection="1">
      <alignment horizontal="center"/>
    </xf>
    <xf numFmtId="0" fontId="2" fillId="0" borderId="11" xfId="44" applyBorder="1" applyAlignment="1" applyProtection="1">
      <alignment horizontal="center"/>
    </xf>
    <xf numFmtId="37" fontId="15" fillId="3" borderId="0" xfId="0" applyNumberFormat="1" applyFont="1" applyFill="1" applyAlignment="1" applyProtection="1">
      <alignment horizontal="center" vertical="center"/>
    </xf>
    <xf numFmtId="37" fontId="3" fillId="3" borderId="1" xfId="0" applyNumberFormat="1" applyFont="1" applyFill="1" applyBorder="1" applyAlignment="1" applyProtection="1">
      <alignment horizontal="center" vertical="center"/>
      <protection locked="0"/>
    </xf>
    <xf numFmtId="0" fontId="0" fillId="0" borderId="18" xfId="0" applyBorder="1" applyAlignment="1">
      <alignment horizontal="center"/>
    </xf>
    <xf numFmtId="0" fontId="0" fillId="0" borderId="11" xfId="0" applyBorder="1" applyAlignment="1">
      <alignment horizontal="center"/>
    </xf>
    <xf numFmtId="0" fontId="3" fillId="3" borderId="0" xfId="0" applyFont="1" applyFill="1"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34" fillId="15" borderId="25" xfId="362" applyFont="1" applyFill="1" applyBorder="1" applyAlignment="1">
      <alignment horizontal="left" vertical="top" wrapText="1"/>
    </xf>
    <xf numFmtId="0" fontId="34" fillId="15" borderId="26" xfId="362" applyFont="1" applyFill="1" applyBorder="1" applyAlignment="1">
      <alignment horizontal="left" vertical="top" wrapText="1"/>
    </xf>
    <xf numFmtId="0" fontId="34" fillId="15" borderId="27" xfId="362" applyFont="1" applyFill="1" applyBorder="1" applyAlignment="1">
      <alignment horizontal="left" vertical="top" wrapText="1"/>
    </xf>
    <xf numFmtId="0" fontId="43" fillId="15" borderId="30" xfId="362" applyFont="1" applyFill="1" applyBorder="1" applyAlignment="1">
      <alignment horizontal="center"/>
    </xf>
    <xf numFmtId="0" fontId="33" fillId="15" borderId="31" xfId="362" applyFill="1" applyBorder="1" applyAlignment="1">
      <alignment horizontal="center"/>
    </xf>
    <xf numFmtId="0" fontId="33" fillId="15" borderId="32" xfId="362" applyFill="1" applyBorder="1" applyAlignment="1">
      <alignment horizontal="center"/>
    </xf>
    <xf numFmtId="0" fontId="34" fillId="15" borderId="20" xfId="362" applyFont="1" applyFill="1" applyBorder="1" applyAlignment="1">
      <alignment horizontal="center"/>
    </xf>
    <xf numFmtId="0" fontId="34" fillId="15" borderId="23" xfId="362" applyFont="1" applyFill="1" applyBorder="1" applyAlignment="1">
      <alignment horizontal="center"/>
    </xf>
    <xf numFmtId="0" fontId="34" fillId="15" borderId="24" xfId="362" applyFont="1" applyFill="1" applyBorder="1" applyAlignment="1">
      <alignment horizontal="center"/>
    </xf>
    <xf numFmtId="0" fontId="43" fillId="0" borderId="30" xfId="362" applyFont="1" applyBorder="1" applyAlignment="1">
      <alignment horizontal="center"/>
    </xf>
    <xf numFmtId="0" fontId="43" fillId="0" borderId="31" xfId="362" applyFont="1" applyBorder="1" applyAlignment="1">
      <alignment horizontal="center"/>
    </xf>
    <xf numFmtId="0" fontId="43" fillId="0" borderId="32" xfId="362" applyFont="1" applyBorder="1" applyAlignment="1">
      <alignment horizontal="center"/>
    </xf>
    <xf numFmtId="0" fontId="34" fillId="15" borderId="21" xfId="362" applyFont="1" applyFill="1" applyBorder="1" applyAlignment="1">
      <alignment horizontal="center"/>
    </xf>
    <xf numFmtId="0" fontId="34" fillId="15" borderId="0" xfId="362" applyFont="1" applyFill="1" applyBorder="1" applyAlignment="1">
      <alignment horizontal="center"/>
    </xf>
    <xf numFmtId="0" fontId="34" fillId="15" borderId="22" xfId="362" applyFont="1" applyFill="1" applyBorder="1" applyAlignment="1">
      <alignment horizontal="center"/>
    </xf>
  </cellXfs>
  <cellStyles count="485">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xfId="11"/>
    <cellStyle name="Comma 7 2" xfId="12"/>
    <cellStyle name="Comma 7 3" xfId="13"/>
    <cellStyle name="Hyperlink 2" xfId="484"/>
    <cellStyle name="Hyperlink 2 2" xfId="14"/>
    <cellStyle name="Hyperlink 2 3" xfId="15"/>
    <cellStyle name="Hyperlink 3" xfId="16"/>
    <cellStyle name="Hyperlink 3 2" xfId="17"/>
    <cellStyle name="Hyperlink 3 3" xfId="18"/>
    <cellStyle name="Hyperlink 3 4" xfId="19"/>
    <cellStyle name="Hyperlink 4 2" xfId="20"/>
    <cellStyle name="Hyperlink 7" xfId="21"/>
    <cellStyle name="Hyperlink 7 2" xfId="22"/>
    <cellStyle name="Hyperlink 7 3" xfId="23"/>
    <cellStyle name="Hyperlink 8" xfId="24"/>
    <cellStyle name="Hyperlink 8 2" xfId="25"/>
    <cellStyle name="Normal" xfId="0" builtinId="0"/>
    <cellStyle name="Normal 10" xfId="26"/>
    <cellStyle name="Normal 10 2" xfId="27"/>
    <cellStyle name="Normal 10 2 2" xfId="28"/>
    <cellStyle name="Normal 10 2 2 2" xfId="29"/>
    <cellStyle name="Normal 10 2 2 3" xfId="30"/>
    <cellStyle name="Normal 10 3" xfId="31"/>
    <cellStyle name="Normal 10 4" xfId="32"/>
    <cellStyle name="Normal 10 5" xfId="33"/>
    <cellStyle name="Normal 10 6" xfId="34"/>
    <cellStyle name="Normal 10 7" xfId="35"/>
    <cellStyle name="Normal 11" xfId="36"/>
    <cellStyle name="Normal 11 2" xfId="37"/>
    <cellStyle name="Normal 11 2 2" xfId="38"/>
    <cellStyle name="Normal 11 3" xfId="39"/>
    <cellStyle name="Normal 11 4" xfId="40"/>
    <cellStyle name="Normal 11 5" xfId="41"/>
    <cellStyle name="Normal 11 6" xfId="42"/>
    <cellStyle name="Normal 12" xfId="43"/>
    <cellStyle name="Normal 12 10" xfId="44"/>
    <cellStyle name="Normal 12 11" xfId="45"/>
    <cellStyle name="Normal 12 12" xfId="46"/>
    <cellStyle name="Normal 12 13" xfId="47"/>
    <cellStyle name="Normal 12 2" xfId="48"/>
    <cellStyle name="Normal 12 2 2" xfId="49"/>
    <cellStyle name="Normal 12 3" xfId="50"/>
    <cellStyle name="Normal 12 4" xfId="51"/>
    <cellStyle name="Normal 12 5" xfId="52"/>
    <cellStyle name="Normal 12 6" xfId="53"/>
    <cellStyle name="Normal 12 7" xfId="54"/>
    <cellStyle name="Normal 12 8" xfId="55"/>
    <cellStyle name="Normal 12 9" xfId="56"/>
    <cellStyle name="Normal 13" xfId="57"/>
    <cellStyle name="Normal 13 10" xfId="58"/>
    <cellStyle name="Normal 13 11" xfId="59"/>
    <cellStyle name="Normal 13 12" xfId="60"/>
    <cellStyle name="Normal 13 13" xfId="61"/>
    <cellStyle name="Normal 13 2" xfId="62"/>
    <cellStyle name="Normal 13 2 2" xfId="63"/>
    <cellStyle name="Normal 13 3" xfId="64"/>
    <cellStyle name="Normal 13 4" xfId="65"/>
    <cellStyle name="Normal 13 5" xfId="66"/>
    <cellStyle name="Normal 13 6" xfId="67"/>
    <cellStyle name="Normal 13 7" xfId="68"/>
    <cellStyle name="Normal 13 8" xfId="69"/>
    <cellStyle name="Normal 13 9" xfId="70"/>
    <cellStyle name="Normal 14" xfId="71"/>
    <cellStyle name="Normal 14 2" xfId="72"/>
    <cellStyle name="Normal 14 3" xfId="73"/>
    <cellStyle name="Normal 14 4" xfId="74"/>
    <cellStyle name="Normal 14 5" xfId="75"/>
    <cellStyle name="Normal 14 6" xfId="76"/>
    <cellStyle name="Normal 14 7" xfId="77"/>
    <cellStyle name="Normal 15" xfId="78"/>
    <cellStyle name="Normal 15 2" xfId="79"/>
    <cellStyle name="Normal 15 3" xfId="80"/>
    <cellStyle name="Normal 15 4" xfId="81"/>
    <cellStyle name="Normal 15 5" xfId="82"/>
    <cellStyle name="Normal 16" xfId="83"/>
    <cellStyle name="Normal 16 2" xfId="84"/>
    <cellStyle name="Normal 16 3" xfId="85"/>
    <cellStyle name="Normal 16 4" xfId="86"/>
    <cellStyle name="Normal 16 5" xfId="87"/>
    <cellStyle name="Normal 17" xfId="88"/>
    <cellStyle name="Normal 17 2" xfId="89"/>
    <cellStyle name="Normal 17 3" xfId="90"/>
    <cellStyle name="Normal 17 4" xfId="91"/>
    <cellStyle name="Normal 17 5" xfId="92"/>
    <cellStyle name="Normal 18" xfId="93"/>
    <cellStyle name="Normal 18 2" xfId="94"/>
    <cellStyle name="Normal 18 2 2" xfId="95"/>
    <cellStyle name="Normal 18 2 3" xfId="96"/>
    <cellStyle name="Normal 18 3" xfId="97"/>
    <cellStyle name="Normal 18 4" xfId="98"/>
    <cellStyle name="Normal 18 5" xfId="99"/>
    <cellStyle name="Normal 18 6" xfId="100"/>
    <cellStyle name="Normal 18 7" xfId="101"/>
    <cellStyle name="Normal 18 8" xfId="102"/>
    <cellStyle name="Normal 18 9" xfId="103"/>
    <cellStyle name="Normal 19" xfId="104"/>
    <cellStyle name="Normal 19 2" xfId="105"/>
    <cellStyle name="Normal 19 2 2" xfId="106"/>
    <cellStyle name="Normal 19 2 3" xfId="107"/>
    <cellStyle name="Normal 19 3" xfId="108"/>
    <cellStyle name="Normal 19 4" xfId="109"/>
    <cellStyle name="Normal 19 5" xfId="110"/>
    <cellStyle name="Normal 19 6" xfId="111"/>
    <cellStyle name="Normal 19 7" xfId="112"/>
    <cellStyle name="Normal 19 8" xfId="113"/>
    <cellStyle name="Normal 2 10" xfId="114"/>
    <cellStyle name="Normal 2 10 10" xfId="115"/>
    <cellStyle name="Normal 2 10 11" xfId="116"/>
    <cellStyle name="Normal 2 10 11 2" xfId="117"/>
    <cellStyle name="Normal 2 10 11 2 2" xfId="118"/>
    <cellStyle name="Normal 2 10 11 3" xfId="119"/>
    <cellStyle name="Normal 2 10 11 4" xfId="120"/>
    <cellStyle name="Normal 2 10 11 5" xfId="121"/>
    <cellStyle name="Normal 2 10 12" xfId="122"/>
    <cellStyle name="Normal 2 10 2" xfId="123"/>
    <cellStyle name="Normal 2 10 2 2" xfId="124"/>
    <cellStyle name="Normal 2 10 3" xfId="125"/>
    <cellStyle name="Normal 2 10 3 2" xfId="126"/>
    <cellStyle name="Normal 2 10 4" xfId="127"/>
    <cellStyle name="Normal 2 10 4 2" xfId="128"/>
    <cellStyle name="Normal 2 10 5" xfId="129"/>
    <cellStyle name="Normal 2 10 5 2" xfId="130"/>
    <cellStyle name="Normal 2 10 6" xfId="131"/>
    <cellStyle name="Normal 2 10 6 2" xfId="132"/>
    <cellStyle name="Normal 2 10 7" xfId="133"/>
    <cellStyle name="Normal 2 10 7 2" xfId="134"/>
    <cellStyle name="Normal 2 10 8" xfId="135"/>
    <cellStyle name="Normal 2 10 8 2" xfId="136"/>
    <cellStyle name="Normal 2 10 9" xfId="137"/>
    <cellStyle name="Normal 2 11" xfId="138"/>
    <cellStyle name="Normal 2 11 10" xfId="139"/>
    <cellStyle name="Normal 2 11 11" xfId="140"/>
    <cellStyle name="Normal 2 11 2" xfId="141"/>
    <cellStyle name="Normal 2 11 2 2" xfId="142"/>
    <cellStyle name="Normal 2 11 3" xfId="143"/>
    <cellStyle name="Normal 2 11 3 2" xfId="144"/>
    <cellStyle name="Normal 2 11 4" xfId="145"/>
    <cellStyle name="Normal 2 11 4 2" xfId="146"/>
    <cellStyle name="Normal 2 11 5" xfId="147"/>
    <cellStyle name="Normal 2 11 5 2" xfId="148"/>
    <cellStyle name="Normal 2 11 6" xfId="149"/>
    <cellStyle name="Normal 2 11 6 2" xfId="150"/>
    <cellStyle name="Normal 2 11 7" xfId="151"/>
    <cellStyle name="Normal 2 11 7 2" xfId="152"/>
    <cellStyle name="Normal 2 11 8" xfId="153"/>
    <cellStyle name="Normal 2 11 8 2" xfId="154"/>
    <cellStyle name="Normal 2 11 9" xfId="155"/>
    <cellStyle name="Normal 2 12" xfId="156"/>
    <cellStyle name="Normal 2 13" xfId="157"/>
    <cellStyle name="Normal 2 14" xfId="158"/>
    <cellStyle name="Normal 2 15" xfId="159"/>
    <cellStyle name="Normal 2 16" xfId="160"/>
    <cellStyle name="Normal 2 17" xfId="161"/>
    <cellStyle name="Normal 2 17 2" xfId="162"/>
    <cellStyle name="Normal 2 2" xfId="163"/>
    <cellStyle name="Normal 2 2 10" xfId="164"/>
    <cellStyle name="Normal 2 2 10 2" xfId="165"/>
    <cellStyle name="Normal 2 2 11" xfId="166"/>
    <cellStyle name="Normal 2 2 11 2" xfId="167"/>
    <cellStyle name="Normal 2 2 12" xfId="168"/>
    <cellStyle name="Normal 2 2 12 2" xfId="169"/>
    <cellStyle name="Normal 2 2 12 2 2" xfId="170"/>
    <cellStyle name="Normal 2 2 12 2 3" xfId="171"/>
    <cellStyle name="Normal 2 2 12 3" xfId="172"/>
    <cellStyle name="Normal 2 2 12 4" xfId="173"/>
    <cellStyle name="Normal 2 2 13" xfId="174"/>
    <cellStyle name="Normal 2 2 13 2" xfId="175"/>
    <cellStyle name="Normal 2 2 13 2 2" xfId="176"/>
    <cellStyle name="Normal 2 2 13 2 3" xfId="177"/>
    <cellStyle name="Normal 2 2 13 3" xfId="178"/>
    <cellStyle name="Normal 2 2 13 4" xfId="179"/>
    <cellStyle name="Normal 2 2 14" xfId="180"/>
    <cellStyle name="Normal 2 2 14 2" xfId="181"/>
    <cellStyle name="Normal 2 2 15" xfId="182"/>
    <cellStyle name="Normal 2 2 15 2" xfId="183"/>
    <cellStyle name="Normal 2 2 16" xfId="184"/>
    <cellStyle name="Normal 2 2 16 2" xfId="185"/>
    <cellStyle name="Normal 2 2 16 3" xfId="186"/>
    <cellStyle name="Normal 2 2 17" xfId="187"/>
    <cellStyle name="Normal 2 2 18" xfId="188"/>
    <cellStyle name="Normal 2 2 19" xfId="189"/>
    <cellStyle name="Normal 2 2 2" xfId="190"/>
    <cellStyle name="Normal 2 2 2 2" xfId="191"/>
    <cellStyle name="Normal 2 2 2 2 2" xfId="192"/>
    <cellStyle name="Normal 2 2 2 2 3" xfId="193"/>
    <cellStyle name="Normal 2 2 2 2 3 2" xfId="194"/>
    <cellStyle name="Normal 2 2 2 2 3 3" xfId="195"/>
    <cellStyle name="Normal 2 2 2 3" xfId="196"/>
    <cellStyle name="Normal 2 2 2 3 2" xfId="197"/>
    <cellStyle name="Normal 2 2 2 4" xfId="198"/>
    <cellStyle name="Normal 2 2 2 4 2" xfId="199"/>
    <cellStyle name="Normal 2 2 2 5" xfId="200"/>
    <cellStyle name="Normal 2 2 2 5 2" xfId="201"/>
    <cellStyle name="Normal 2 2 2 6" xfId="202"/>
    <cellStyle name="Normal 2 2 2 6 2" xfId="203"/>
    <cellStyle name="Normal 2 2 2 7" xfId="204"/>
    <cellStyle name="Normal 2 2 2 7 2" xfId="205"/>
    <cellStyle name="Normal 2 2 2 7 3" xfId="206"/>
    <cellStyle name="Normal 2 2 2 8" xfId="207"/>
    <cellStyle name="Normal 2 2 20" xfId="208"/>
    <cellStyle name="Normal 2 2 21" xfId="209"/>
    <cellStyle name="Normal 2 2 22" xfId="210"/>
    <cellStyle name="Normal 2 2 3" xfId="211"/>
    <cellStyle name="Normal 2 2 3 2" xfId="212"/>
    <cellStyle name="Normal 2 2 4" xfId="213"/>
    <cellStyle name="Normal 2 2 4 2" xfId="214"/>
    <cellStyle name="Normal 2 2 5" xfId="215"/>
    <cellStyle name="Normal 2 2 5 2" xfId="216"/>
    <cellStyle name="Normal 2 2 6" xfId="217"/>
    <cellStyle name="Normal 2 2 6 2" xfId="218"/>
    <cellStyle name="Normal 2 2 7" xfId="219"/>
    <cellStyle name="Normal 2 2 7 2" xfId="220"/>
    <cellStyle name="Normal 2 2 8" xfId="221"/>
    <cellStyle name="Normal 2 2 8 2" xfId="222"/>
    <cellStyle name="Normal 2 2 9" xfId="223"/>
    <cellStyle name="Normal 2 2 9 2" xfId="224"/>
    <cellStyle name="Normal 2 3" xfId="225"/>
    <cellStyle name="Normal 2 3 10" xfId="226"/>
    <cellStyle name="Normal 2 3 11" xfId="227"/>
    <cellStyle name="Normal 2 3 12" xfId="228"/>
    <cellStyle name="Normal 2 3 13" xfId="229"/>
    <cellStyle name="Normal 2 3 14" xfId="230"/>
    <cellStyle name="Normal 2 3 15" xfId="231"/>
    <cellStyle name="Normal 2 3 2" xfId="232"/>
    <cellStyle name="Normal 2 3 2 2" xfId="233"/>
    <cellStyle name="Normal 2 3 2 2 2" xfId="234"/>
    <cellStyle name="Normal 2 3 2 2 3" xfId="235"/>
    <cellStyle name="Normal 2 3 2 3" xfId="236"/>
    <cellStyle name="Normal 2 3 2 4" xfId="237"/>
    <cellStyle name="Normal 2 3 2 5"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2 2" xfId="252"/>
    <cellStyle name="Normal 2 4 12 3" xfId="253"/>
    <cellStyle name="Normal 2 4 13" xfId="254"/>
    <cellStyle name="Normal 2 4 13 2" xfId="255"/>
    <cellStyle name="Normal 2 4 13 3" xfId="256"/>
    <cellStyle name="Normal 2 4 2" xfId="257"/>
    <cellStyle name="Normal 2 4 2 2" xfId="258"/>
    <cellStyle name="Normal 2 4 2 2 2" xfId="259"/>
    <cellStyle name="Normal 2 4 2 2 3" xfId="260"/>
    <cellStyle name="Normal 2 4 2 3" xfId="261"/>
    <cellStyle name="Normal 2 4 2 4" xfId="262"/>
    <cellStyle name="Normal 2 4 2 5" xfId="263"/>
    <cellStyle name="Normal 2 4 3" xfId="264"/>
    <cellStyle name="Normal 2 4 3 2" xfId="265"/>
    <cellStyle name="Normal 2 4 3 3" xfId="266"/>
    <cellStyle name="Normal 2 4 4" xfId="267"/>
    <cellStyle name="Normal 2 4 5" xfId="268"/>
    <cellStyle name="Normal 2 4 6" xfId="269"/>
    <cellStyle name="Normal 2 4 7" xfId="270"/>
    <cellStyle name="Normal 2 4 8" xfId="271"/>
    <cellStyle name="Normal 2 4 9" xfId="272"/>
    <cellStyle name="Normal 2 5" xfId="273"/>
    <cellStyle name="Normal 2 5 10" xfId="274"/>
    <cellStyle name="Normal 2 5 11" xfId="275"/>
    <cellStyle name="Normal 2 5 12" xfId="276"/>
    <cellStyle name="Normal 2 5 12 2" xfId="277"/>
    <cellStyle name="Normal 2 5 12 3" xfId="278"/>
    <cellStyle name="Normal 2 5 2" xfId="279"/>
    <cellStyle name="Normal 2 5 2 2" xfId="280"/>
    <cellStyle name="Normal 2 5 3" xfId="281"/>
    <cellStyle name="Normal 2 5 3 2" xfId="282"/>
    <cellStyle name="Normal 2 5 4" xfId="283"/>
    <cellStyle name="Normal 2 5 5" xfId="284"/>
    <cellStyle name="Normal 2 5 6" xfId="285"/>
    <cellStyle name="Normal 2 5 7" xfId="286"/>
    <cellStyle name="Normal 2 5 8" xfId="287"/>
    <cellStyle name="Normal 2 5 9" xfId="288"/>
    <cellStyle name="Normal 2 6" xfId="289"/>
    <cellStyle name="Normal 2 6 10" xfId="290"/>
    <cellStyle name="Normal 2 6 11" xfId="291"/>
    <cellStyle name="Normal 2 6 12"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11" xfId="305"/>
    <cellStyle name="Normal 2 7 2" xfId="306"/>
    <cellStyle name="Normal 2 7 2 2" xfId="307"/>
    <cellStyle name="Normal 2 7 2 3" xfId="308"/>
    <cellStyle name="Normal 2 7 3" xfId="309"/>
    <cellStyle name="Normal 2 7 3 2" xfId="310"/>
    <cellStyle name="Normal 2 7 4" xfId="311"/>
    <cellStyle name="Normal 2 7 4 2" xfId="312"/>
    <cellStyle name="Normal 2 7 5" xfId="313"/>
    <cellStyle name="Normal 2 7 5 2" xfId="314"/>
    <cellStyle name="Normal 2 7 6" xfId="315"/>
    <cellStyle name="Normal 2 7 6 2" xfId="316"/>
    <cellStyle name="Normal 2 7 7" xfId="317"/>
    <cellStyle name="Normal 2 7 7 2" xfId="318"/>
    <cellStyle name="Normal 2 7 8" xfId="319"/>
    <cellStyle name="Normal 2 7 8 2" xfId="320"/>
    <cellStyle name="Normal 2 7 9" xfId="321"/>
    <cellStyle name="Normal 2 8" xfId="322"/>
    <cellStyle name="Normal 2 8 10" xfId="323"/>
    <cellStyle name="Normal 2 8 11" xfId="324"/>
    <cellStyle name="Normal 2 8 2" xfId="325"/>
    <cellStyle name="Normal 2 8 2 2" xfId="326"/>
    <cellStyle name="Normal 2 8 3" xfId="327"/>
    <cellStyle name="Normal 2 8 3 2" xfId="328"/>
    <cellStyle name="Normal 2 8 4" xfId="329"/>
    <cellStyle name="Normal 2 8 4 2" xfId="330"/>
    <cellStyle name="Normal 2 8 5" xfId="331"/>
    <cellStyle name="Normal 2 8 5 2" xfId="332"/>
    <cellStyle name="Normal 2 8 6" xfId="333"/>
    <cellStyle name="Normal 2 8 6 2" xfId="334"/>
    <cellStyle name="Normal 2 8 7" xfId="335"/>
    <cellStyle name="Normal 2 8 7 2" xfId="336"/>
    <cellStyle name="Normal 2 8 8" xfId="337"/>
    <cellStyle name="Normal 2 8 8 2" xfId="338"/>
    <cellStyle name="Normal 2 8 9" xfId="339"/>
    <cellStyle name="Normal 2 9" xfId="340"/>
    <cellStyle name="Normal 2 9 10" xfId="341"/>
    <cellStyle name="Normal 2 9 11" xfId="342"/>
    <cellStyle name="Normal 2 9 2" xfId="343"/>
    <cellStyle name="Normal 2 9 2 2" xfId="344"/>
    <cellStyle name="Normal 2 9 3" xfId="345"/>
    <cellStyle name="Normal 2 9 3 2" xfId="346"/>
    <cellStyle name="Normal 2 9 4" xfId="347"/>
    <cellStyle name="Normal 2 9 4 2" xfId="348"/>
    <cellStyle name="Normal 2 9 5" xfId="349"/>
    <cellStyle name="Normal 2 9 5 2" xfId="350"/>
    <cellStyle name="Normal 2 9 6" xfId="351"/>
    <cellStyle name="Normal 2 9 6 2" xfId="352"/>
    <cellStyle name="Normal 2 9 7" xfId="353"/>
    <cellStyle name="Normal 2 9 7 2" xfId="354"/>
    <cellStyle name="Normal 2 9 8" xfId="355"/>
    <cellStyle name="Normal 2 9 8 2" xfId="356"/>
    <cellStyle name="Normal 2 9 9" xfId="357"/>
    <cellStyle name="Normal 20" xfId="358"/>
    <cellStyle name="Normal 20 2" xfId="359"/>
    <cellStyle name="Normal 20 3" xfId="360"/>
    <cellStyle name="Normal 21" xfId="361"/>
    <cellStyle name="Normal 21 2" xfId="362"/>
    <cellStyle name="Normal 21 2 2" xfId="363"/>
    <cellStyle name="Normal 21 2 3" xfId="364"/>
    <cellStyle name="Normal 21 3" xfId="365"/>
    <cellStyle name="Normal 21 4" xfId="366"/>
    <cellStyle name="Normal 21 5" xfId="367"/>
    <cellStyle name="Normal 22" xfId="368"/>
    <cellStyle name="Normal 22 2" xfId="369"/>
    <cellStyle name="Normal 22 3" xfId="370"/>
    <cellStyle name="Normal 23" xfId="371"/>
    <cellStyle name="Normal 23 2" xfId="372"/>
    <cellStyle name="Normal 23 3" xfId="373"/>
    <cellStyle name="Normal 24" xfId="374"/>
    <cellStyle name="Normal 24 2" xfId="375"/>
    <cellStyle name="Normal 24 3" xfId="376"/>
    <cellStyle name="Normal 25" xfId="377"/>
    <cellStyle name="Normal 25 2" xfId="378"/>
    <cellStyle name="Normal 25 3" xfId="379"/>
    <cellStyle name="Normal 26" xfId="380"/>
    <cellStyle name="Normal 3" xfId="381"/>
    <cellStyle name="Normal 3 10" xfId="382"/>
    <cellStyle name="Normal 3 10 2" xfId="383"/>
    <cellStyle name="Normal 3 11" xfId="384"/>
    <cellStyle name="Normal 3 12" xfId="385"/>
    <cellStyle name="Normal 3 13" xfId="386"/>
    <cellStyle name="Normal 3 14" xfId="387"/>
    <cellStyle name="Normal 3 15" xfId="388"/>
    <cellStyle name="Normal 3 2" xfId="389"/>
    <cellStyle name="Normal 3 2 2" xfId="390"/>
    <cellStyle name="Normal 3 2 2 2" xfId="391"/>
    <cellStyle name="Normal 3 2 2 3" xfId="392"/>
    <cellStyle name="Normal 3 2 3" xfId="393"/>
    <cellStyle name="Normal 3 2 4" xfId="394"/>
    <cellStyle name="Normal 3 2 5" xfId="395"/>
    <cellStyle name="Normal 3 3" xfId="396"/>
    <cellStyle name="Normal 3 3 2" xfId="397"/>
    <cellStyle name="Normal 3 3 2 2" xfId="398"/>
    <cellStyle name="Normal 3 3 2 3" xfId="399"/>
    <cellStyle name="Normal 3 3 3" xfId="400"/>
    <cellStyle name="Normal 3 3 4" xfId="401"/>
    <cellStyle name="Normal 3 4" xfId="402"/>
    <cellStyle name="Normal 3 5" xfId="403"/>
    <cellStyle name="Normal 3 6" xfId="404"/>
    <cellStyle name="Normal 3 7" xfId="405"/>
    <cellStyle name="Normal 3 7 2" xfId="406"/>
    <cellStyle name="Normal 3 7 3" xfId="407"/>
    <cellStyle name="Normal 3 8" xfId="408"/>
    <cellStyle name="Normal 3 8 2" xfId="409"/>
    <cellStyle name="Normal 3 8 3" xfId="410"/>
    <cellStyle name="Normal 3 9" xfId="411"/>
    <cellStyle name="Normal 3 9 2" xfId="412"/>
    <cellStyle name="Normal 3 9 3" xfId="413"/>
    <cellStyle name="Normal 4" xfId="414"/>
    <cellStyle name="Normal 4 10" xfId="415"/>
    <cellStyle name="Normal 4 11" xfId="416"/>
    <cellStyle name="Normal 4 12" xfId="417"/>
    <cellStyle name="Normal 4 13" xfId="418"/>
    <cellStyle name="Normal 4 2" xfId="419"/>
    <cellStyle name="Normal 4 2 2" xfId="420"/>
    <cellStyle name="Normal 4 2 2 2" xfId="421"/>
    <cellStyle name="Normal 4 2 2 3" xfId="422"/>
    <cellStyle name="Normal 4 2 3" xfId="423"/>
    <cellStyle name="Normal 4 2 4" xfId="424"/>
    <cellStyle name="Normal 4 2 5" xfId="425"/>
    <cellStyle name="Normal 4 3" xfId="426"/>
    <cellStyle name="Normal 4 3 2" xfId="427"/>
    <cellStyle name="Normal 4 3 3" xfId="428"/>
    <cellStyle name="Normal 4 4" xfId="429"/>
    <cellStyle name="Normal 4 5" xfId="430"/>
    <cellStyle name="Normal 4 5 2" xfId="431"/>
    <cellStyle name="Normal 4 5 3" xfId="432"/>
    <cellStyle name="Normal 4 6" xfId="433"/>
    <cellStyle name="Normal 4 6 2" xfId="434"/>
    <cellStyle name="Normal 4 6 3" xfId="435"/>
    <cellStyle name="Normal 4 7" xfId="436"/>
    <cellStyle name="Normal 4 8" xfId="437"/>
    <cellStyle name="Normal 4 9" xfId="438"/>
    <cellStyle name="Normal 5" xfId="439"/>
    <cellStyle name="Normal 5 2" xfId="440"/>
    <cellStyle name="Normal 5 3" xfId="441"/>
    <cellStyle name="Normal 5 3 2" xfId="442"/>
    <cellStyle name="Normal 5 3 3" xfId="443"/>
    <cellStyle name="Normal 5 4" xfId="444"/>
    <cellStyle name="Normal 5 5" xfId="445"/>
    <cellStyle name="Normal 5 5 2" xfId="446"/>
    <cellStyle name="Normal 5 5 3" xfId="447"/>
    <cellStyle name="Normal 5 6" xfId="448"/>
    <cellStyle name="Normal 6 2" xfId="449"/>
    <cellStyle name="Normal 6 3" xfId="450"/>
    <cellStyle name="Normal 6 4" xfId="451"/>
    <cellStyle name="Normal 6 5" xfId="452"/>
    <cellStyle name="Normal 7" xfId="453"/>
    <cellStyle name="Normal 7 2" xfId="454"/>
    <cellStyle name="Normal 7 2 2" xfId="455"/>
    <cellStyle name="Normal 7 2 2 2" xfId="456"/>
    <cellStyle name="Normal 7 2 3" xfId="457"/>
    <cellStyle name="Normal 7 2 4" xfId="458"/>
    <cellStyle name="Normal 7 2 5" xfId="459"/>
    <cellStyle name="Normal 7 3" xfId="460"/>
    <cellStyle name="Normal 7 4" xfId="461"/>
    <cellStyle name="Normal 7 4 2" xfId="462"/>
    <cellStyle name="Normal 7 4 3" xfId="463"/>
    <cellStyle name="Normal 7 5" xfId="464"/>
    <cellStyle name="Normal 7 5 2" xfId="465"/>
    <cellStyle name="Normal 7 5 3" xfId="466"/>
    <cellStyle name="Normal 7 5 4" xfId="467"/>
    <cellStyle name="Normal 7 6" xfId="468"/>
    <cellStyle name="Normal 7 7" xfId="469"/>
    <cellStyle name="Normal 8" xfId="470"/>
    <cellStyle name="Normal 8 2" xfId="471"/>
    <cellStyle name="Normal 8 3" xfId="472"/>
    <cellStyle name="Normal 9" xfId="473"/>
    <cellStyle name="Normal 9 2" xfId="474"/>
    <cellStyle name="Normal 9 2 2" xfId="475"/>
    <cellStyle name="Normal 9 3" xfId="476"/>
    <cellStyle name="Normal 9 4" xfId="477"/>
    <cellStyle name="Normal 9 5" xfId="478"/>
    <cellStyle name="Normal 9 6" xfId="479"/>
    <cellStyle name="Normal 9 6 2" xfId="480"/>
    <cellStyle name="Normal 9 6 3" xfId="481"/>
    <cellStyle name="Normal_debt" xfId="482"/>
    <cellStyle name="Normal_lpform" xfId="483"/>
  </cellStyles>
  <dxfs count="142">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126"/>
  <sheetViews>
    <sheetView zoomScaleNormal="100" workbookViewId="0">
      <selection sqref="A1:F1"/>
    </sheetView>
  </sheetViews>
  <sheetFormatPr defaultColWidth="8.9140625" defaultRowHeight="15.6" x14ac:dyDescent="0.25"/>
  <cols>
    <col min="1" max="1" width="15.75" style="25" customWidth="1"/>
    <col min="2" max="2" width="20.75" style="25" customWidth="1"/>
    <col min="3" max="3" width="8.75" style="25" customWidth="1"/>
    <col min="4" max="5" width="13.33203125" style="25" customWidth="1"/>
    <col min="6" max="6" width="10.75" style="25" customWidth="1"/>
    <col min="7" max="7" width="1.75" style="25" customWidth="1"/>
    <col min="8" max="8" width="18.6640625" style="25" customWidth="1"/>
    <col min="9" max="11" width="8.9140625" style="25"/>
    <col min="12" max="12" width="11.25" style="25" bestFit="1" customWidth="1"/>
    <col min="13" max="16384" width="8.9140625" style="25"/>
  </cols>
  <sheetData>
    <row r="1" spans="1:14" x14ac:dyDescent="0.25">
      <c r="A1" s="659" t="s">
        <v>215</v>
      </c>
      <c r="B1" s="660"/>
      <c r="C1" s="660"/>
      <c r="D1" s="660"/>
      <c r="E1" s="660"/>
      <c r="F1" s="660"/>
      <c r="G1" s="28"/>
      <c r="H1" s="28"/>
      <c r="I1" s="28"/>
    </row>
    <row r="2" spans="1:14" x14ac:dyDescent="0.25">
      <c r="A2" s="27" t="s">
        <v>216</v>
      </c>
      <c r="B2" s="28"/>
      <c r="C2" s="482" t="s">
        <v>322</v>
      </c>
      <c r="D2" s="483"/>
      <c r="E2" s="484"/>
      <c r="F2" s="29"/>
      <c r="G2" s="28"/>
      <c r="H2" s="28"/>
      <c r="I2" s="28"/>
    </row>
    <row r="3" spans="1:14" x14ac:dyDescent="0.25">
      <c r="A3" s="27"/>
      <c r="B3" s="28"/>
      <c r="C3" s="28"/>
      <c r="D3" s="28"/>
      <c r="E3" s="30"/>
      <c r="F3" s="29"/>
      <c r="G3" s="28"/>
      <c r="H3" s="28"/>
      <c r="I3" s="28"/>
    </row>
    <row r="4" spans="1:14" x14ac:dyDescent="0.25">
      <c r="A4" s="27" t="s">
        <v>217</v>
      </c>
      <c r="B4" s="28"/>
      <c r="C4" s="31">
        <v>2015</v>
      </c>
      <c r="D4" s="32"/>
      <c r="E4" s="30"/>
      <c r="F4" s="29"/>
      <c r="G4" s="28"/>
      <c r="H4" s="28"/>
      <c r="I4" s="28"/>
    </row>
    <row r="5" spans="1:14" x14ac:dyDescent="0.25">
      <c r="A5" s="28"/>
      <c r="B5" s="28"/>
      <c r="C5" s="28"/>
      <c r="D5" s="28"/>
      <c r="E5" s="28"/>
      <c r="F5" s="28"/>
      <c r="G5" s="28"/>
      <c r="H5" s="28"/>
      <c r="I5" s="28"/>
    </row>
    <row r="6" spans="1:14" ht="18.75" customHeight="1" x14ac:dyDescent="0.25">
      <c r="A6" s="33" t="s">
        <v>258</v>
      </c>
      <c r="B6" s="34"/>
      <c r="C6" s="34"/>
      <c r="D6" s="34"/>
      <c r="E6" s="34"/>
      <c r="F6" s="34"/>
      <c r="G6" s="28"/>
      <c r="H6" s="661" t="s">
        <v>289</v>
      </c>
      <c r="I6" s="661"/>
    </row>
    <row r="7" spans="1:14" x14ac:dyDescent="0.25">
      <c r="A7" s="33" t="s">
        <v>257</v>
      </c>
      <c r="B7" s="34"/>
      <c r="C7" s="34"/>
      <c r="D7" s="34"/>
      <c r="E7" s="34"/>
      <c r="F7" s="34"/>
      <c r="G7" s="28"/>
      <c r="H7" s="661"/>
      <c r="I7" s="661"/>
    </row>
    <row r="8" spans="1:14" x14ac:dyDescent="0.25">
      <c r="A8" s="33"/>
      <c r="B8" s="34"/>
      <c r="C8" s="34"/>
      <c r="D8" s="34"/>
      <c r="E8" s="34"/>
      <c r="F8" s="34"/>
      <c r="G8" s="28"/>
      <c r="H8" s="661"/>
      <c r="I8" s="661"/>
    </row>
    <row r="9" spans="1:14" x14ac:dyDescent="0.25">
      <c r="A9" s="657" t="s">
        <v>29</v>
      </c>
      <c r="B9" s="658"/>
      <c r="C9" s="658"/>
      <c r="D9" s="658"/>
      <c r="E9" s="658"/>
      <c r="F9" s="658"/>
      <c r="G9" s="28"/>
      <c r="H9" s="661"/>
      <c r="I9" s="661"/>
    </row>
    <row r="10" spans="1:14" x14ac:dyDescent="0.25">
      <c r="A10" s="28"/>
      <c r="B10" s="28"/>
      <c r="C10" s="28"/>
      <c r="D10" s="28"/>
      <c r="E10" s="28"/>
      <c r="F10" s="28"/>
      <c r="G10" s="28"/>
      <c r="H10" s="661"/>
      <c r="I10" s="661"/>
    </row>
    <row r="11" spans="1:14" x14ac:dyDescent="0.25">
      <c r="A11" s="35" t="str">
        <f>CONCATENATE("The input for the following comes directly from the ",C4-1," Budget:")</f>
        <v>The input for the following comes directly from the 2014 Budget:</v>
      </c>
      <c r="B11" s="36"/>
      <c r="C11" s="36"/>
      <c r="D11" s="36"/>
      <c r="E11" s="28"/>
      <c r="F11" s="28"/>
      <c r="G11" s="28"/>
      <c r="H11" s="661"/>
      <c r="I11" s="661"/>
    </row>
    <row r="12" spans="1:14" x14ac:dyDescent="0.25">
      <c r="A12" s="37" t="s">
        <v>218</v>
      </c>
      <c r="B12" s="36"/>
      <c r="C12" s="36"/>
      <c r="D12" s="36"/>
      <c r="E12" s="28"/>
      <c r="F12" s="28"/>
      <c r="G12" s="28"/>
      <c r="H12" s="29"/>
      <c r="I12" s="406"/>
    </row>
    <row r="13" spans="1:14" x14ac:dyDescent="0.25">
      <c r="A13" s="37" t="s">
        <v>236</v>
      </c>
      <c r="B13" s="36"/>
      <c r="C13" s="36"/>
      <c r="D13" s="36"/>
      <c r="E13" s="28"/>
      <c r="F13" s="28"/>
      <c r="G13" s="28"/>
      <c r="H13" s="28"/>
      <c r="I13" s="28"/>
    </row>
    <row r="14" spans="1:14" x14ac:dyDescent="0.25">
      <c r="A14" s="28"/>
      <c r="B14" s="28"/>
      <c r="C14" s="38"/>
      <c r="D14" s="39">
        <f>C4-1</f>
        <v>2014</v>
      </c>
      <c r="E14" s="40" t="str">
        <f>CONCATENATE("",C4-2,"")</f>
        <v>2013</v>
      </c>
      <c r="F14" s="41">
        <f>C4-2</f>
        <v>2013</v>
      </c>
      <c r="H14" s="177" t="s">
        <v>290</v>
      </c>
      <c r="I14" s="172" t="s">
        <v>88</v>
      </c>
    </row>
    <row r="15" spans="1:14" x14ac:dyDescent="0.25">
      <c r="A15" s="27" t="s">
        <v>219</v>
      </c>
      <c r="B15" s="28"/>
      <c r="C15" s="42" t="s">
        <v>44</v>
      </c>
      <c r="D15" s="43" t="s">
        <v>235</v>
      </c>
      <c r="E15" s="43" t="s">
        <v>42</v>
      </c>
      <c r="F15" s="43" t="s">
        <v>36</v>
      </c>
      <c r="H15" s="183" t="str">
        <f>CONCATENATE("",E14," Ad Valorem Tax")</f>
        <v>2013 Ad Valorem Tax</v>
      </c>
      <c r="I15" s="407">
        <v>0.01</v>
      </c>
    </row>
    <row r="16" spans="1:14" x14ac:dyDescent="0.25">
      <c r="A16" s="28"/>
      <c r="B16" s="44" t="s">
        <v>45</v>
      </c>
      <c r="C16" s="173" t="s">
        <v>189</v>
      </c>
      <c r="D16" s="46">
        <v>2162798</v>
      </c>
      <c r="E16" s="47">
        <v>1523875</v>
      </c>
      <c r="F16" s="48">
        <v>33.615000000000002</v>
      </c>
      <c r="H16" s="185">
        <f>IF($I$15&gt;0,ROUND(E16-(E16*$I$15),0),0)</f>
        <v>1508636</v>
      </c>
      <c r="L16" s="650">
        <f>+cert!E21</f>
        <v>1546563.51</v>
      </c>
      <c r="N16" s="288">
        <f>+E16-L16</f>
        <v>-22688.510000000009</v>
      </c>
    </row>
    <row r="17" spans="1:14" x14ac:dyDescent="0.25">
      <c r="A17" s="28"/>
      <c r="B17" s="44"/>
      <c r="C17" s="173"/>
      <c r="D17" s="46"/>
      <c r="E17" s="47"/>
      <c r="F17" s="48"/>
      <c r="H17" s="185">
        <f t="shared" ref="H17:H40" si="0">IF($I$15&gt;0,ROUND(E17-(E17*$I$15),0),0)</f>
        <v>0</v>
      </c>
      <c r="N17" s="288">
        <f t="shared" ref="N17:N22" si="1">+E17-L17</f>
        <v>0</v>
      </c>
    </row>
    <row r="18" spans="1:14" x14ac:dyDescent="0.25">
      <c r="A18" s="27"/>
      <c r="B18" s="49" t="s">
        <v>104</v>
      </c>
      <c r="C18" s="172" t="s">
        <v>189</v>
      </c>
      <c r="D18" s="46">
        <v>1154640</v>
      </c>
      <c r="E18" s="46">
        <v>802183</v>
      </c>
      <c r="F18" s="50">
        <v>17.695</v>
      </c>
      <c r="H18" s="185">
        <f t="shared" si="0"/>
        <v>794161</v>
      </c>
      <c r="L18" s="650">
        <f>+cert!E22</f>
        <v>812895.47</v>
      </c>
      <c r="N18" s="288">
        <f t="shared" si="1"/>
        <v>-10712.469999999972</v>
      </c>
    </row>
    <row r="19" spans="1:14" x14ac:dyDescent="0.25">
      <c r="A19" s="28"/>
      <c r="B19" s="538" t="s">
        <v>323</v>
      </c>
      <c r="C19" s="539" t="s">
        <v>324</v>
      </c>
      <c r="D19" s="46">
        <v>88566</v>
      </c>
      <c r="E19" s="53">
        <v>67992</v>
      </c>
      <c r="F19" s="48">
        <v>1.5</v>
      </c>
      <c r="H19" s="185">
        <f t="shared" si="0"/>
        <v>67312</v>
      </c>
      <c r="L19" s="650">
        <f>+cert!E23</f>
        <v>71225</v>
      </c>
      <c r="N19" s="288">
        <f t="shared" si="1"/>
        <v>-3233</v>
      </c>
    </row>
    <row r="20" spans="1:14" x14ac:dyDescent="0.25">
      <c r="A20" s="28"/>
      <c r="B20" s="538" t="s">
        <v>99</v>
      </c>
      <c r="C20" s="539" t="s">
        <v>325</v>
      </c>
      <c r="D20" s="46">
        <v>943557</v>
      </c>
      <c r="E20" s="53">
        <v>828687</v>
      </c>
      <c r="F20" s="48">
        <v>18.28</v>
      </c>
      <c r="H20" s="185">
        <f t="shared" si="0"/>
        <v>820400</v>
      </c>
      <c r="L20" s="650">
        <f>+cert!E24</f>
        <v>902109</v>
      </c>
      <c r="N20" s="288">
        <f t="shared" si="1"/>
        <v>-73422</v>
      </c>
    </row>
    <row r="21" spans="1:14" x14ac:dyDescent="0.25">
      <c r="A21" s="28"/>
      <c r="B21" s="538" t="s">
        <v>326</v>
      </c>
      <c r="C21" s="539" t="s">
        <v>327</v>
      </c>
      <c r="D21" s="46">
        <v>184816</v>
      </c>
      <c r="E21" s="53">
        <v>130570</v>
      </c>
      <c r="F21" s="48">
        <v>2.88</v>
      </c>
      <c r="H21" s="185">
        <f t="shared" si="0"/>
        <v>129264</v>
      </c>
      <c r="L21" s="650">
        <f>+cert!E25</f>
        <v>131643</v>
      </c>
      <c r="N21" s="288">
        <f t="shared" si="1"/>
        <v>-1073</v>
      </c>
    </row>
    <row r="22" spans="1:14" x14ac:dyDescent="0.25">
      <c r="A22" s="28"/>
      <c r="B22" s="538" t="s">
        <v>328</v>
      </c>
      <c r="C22" s="539" t="s">
        <v>329</v>
      </c>
      <c r="D22" s="46">
        <v>232210</v>
      </c>
      <c r="E22" s="53">
        <v>209591</v>
      </c>
      <c r="F22" s="48">
        <v>4.6230000000000002</v>
      </c>
      <c r="H22" s="185">
        <f t="shared" si="0"/>
        <v>207495</v>
      </c>
      <c r="L22" s="650">
        <f>+cert!E26</f>
        <v>280471</v>
      </c>
      <c r="N22" s="288">
        <f t="shared" si="1"/>
        <v>-70880</v>
      </c>
    </row>
    <row r="23" spans="1:14" x14ac:dyDescent="0.25">
      <c r="A23" s="28"/>
      <c r="B23" s="51"/>
      <c r="C23" s="335"/>
      <c r="D23" s="46"/>
      <c r="E23" s="53"/>
      <c r="F23" s="48"/>
      <c r="H23" s="185">
        <f t="shared" si="0"/>
        <v>0</v>
      </c>
      <c r="L23" s="650">
        <f>+cert!E27</f>
        <v>0</v>
      </c>
    </row>
    <row r="24" spans="1:14" x14ac:dyDescent="0.25">
      <c r="A24" s="28"/>
      <c r="B24" s="51"/>
      <c r="C24" s="335"/>
      <c r="D24" s="46"/>
      <c r="E24" s="53"/>
      <c r="F24" s="48"/>
      <c r="H24" s="185">
        <f t="shared" si="0"/>
        <v>0</v>
      </c>
      <c r="N24" s="288"/>
    </row>
    <row r="25" spans="1:14" x14ac:dyDescent="0.25">
      <c r="A25" s="28"/>
      <c r="B25" s="51"/>
      <c r="C25" s="335"/>
      <c r="D25" s="46"/>
      <c r="E25" s="53"/>
      <c r="F25" s="48"/>
      <c r="H25" s="185">
        <f t="shared" si="0"/>
        <v>0</v>
      </c>
    </row>
    <row r="26" spans="1:14" x14ac:dyDescent="0.25">
      <c r="A26" s="28"/>
      <c r="B26" s="51"/>
      <c r="C26" s="335"/>
      <c r="D26" s="46"/>
      <c r="E26" s="53"/>
      <c r="F26" s="48"/>
      <c r="H26" s="185">
        <f t="shared" si="0"/>
        <v>0</v>
      </c>
    </row>
    <row r="27" spans="1:14" x14ac:dyDescent="0.25">
      <c r="A27" s="28"/>
      <c r="B27" s="51"/>
      <c r="C27" s="335"/>
      <c r="D27" s="46"/>
      <c r="E27" s="53"/>
      <c r="F27" s="48"/>
      <c r="H27" s="185">
        <f t="shared" si="0"/>
        <v>0</v>
      </c>
    </row>
    <row r="28" spans="1:14" x14ac:dyDescent="0.25">
      <c r="A28" s="28"/>
      <c r="B28" s="51"/>
      <c r="C28" s="335"/>
      <c r="D28" s="46"/>
      <c r="E28" s="53"/>
      <c r="F28" s="48"/>
      <c r="H28" s="185">
        <f t="shared" si="0"/>
        <v>0</v>
      </c>
    </row>
    <row r="29" spans="1:14" x14ac:dyDescent="0.25">
      <c r="A29" s="28"/>
      <c r="B29" s="51"/>
      <c r="C29" s="335"/>
      <c r="D29" s="46"/>
      <c r="E29" s="53"/>
      <c r="F29" s="48"/>
      <c r="H29" s="185">
        <f t="shared" si="0"/>
        <v>0</v>
      </c>
    </row>
    <row r="30" spans="1:14" x14ac:dyDescent="0.25">
      <c r="A30" s="28"/>
      <c r="B30" s="51"/>
      <c r="C30" s="335"/>
      <c r="D30" s="46"/>
      <c r="E30" s="53"/>
      <c r="F30" s="48"/>
      <c r="H30" s="185">
        <f t="shared" si="0"/>
        <v>0</v>
      </c>
    </row>
    <row r="31" spans="1:14" x14ac:dyDescent="0.25">
      <c r="A31" s="28"/>
      <c r="B31" s="51"/>
      <c r="C31" s="335"/>
      <c r="D31" s="46"/>
      <c r="E31" s="53"/>
      <c r="F31" s="48"/>
      <c r="H31" s="185">
        <f t="shared" si="0"/>
        <v>0</v>
      </c>
    </row>
    <row r="32" spans="1:14" x14ac:dyDescent="0.25">
      <c r="A32" s="28"/>
      <c r="B32" s="51"/>
      <c r="C32" s="335"/>
      <c r="D32" s="46"/>
      <c r="E32" s="53"/>
      <c r="F32" s="48"/>
      <c r="H32" s="185">
        <f t="shared" si="0"/>
        <v>0</v>
      </c>
    </row>
    <row r="33" spans="1:14" x14ac:dyDescent="0.25">
      <c r="A33" s="28"/>
      <c r="B33" s="51"/>
      <c r="C33" s="335"/>
      <c r="D33" s="46"/>
      <c r="E33" s="53"/>
      <c r="F33" s="48"/>
      <c r="H33" s="185">
        <f t="shared" si="0"/>
        <v>0</v>
      </c>
    </row>
    <row r="34" spans="1:14" x14ac:dyDescent="0.25">
      <c r="A34" s="28"/>
      <c r="B34" s="51"/>
      <c r="C34" s="335"/>
      <c r="D34" s="46"/>
      <c r="E34" s="53"/>
      <c r="F34" s="48"/>
      <c r="H34" s="185">
        <f t="shared" si="0"/>
        <v>0</v>
      </c>
    </row>
    <row r="35" spans="1:14" x14ac:dyDescent="0.25">
      <c r="A35" s="28"/>
      <c r="B35" s="51"/>
      <c r="C35" s="335"/>
      <c r="D35" s="46"/>
      <c r="E35" s="53"/>
      <c r="F35" s="48"/>
      <c r="H35" s="185">
        <f t="shared" si="0"/>
        <v>0</v>
      </c>
    </row>
    <row r="36" spans="1:14" x14ac:dyDescent="0.25">
      <c r="A36" s="28"/>
      <c r="B36" s="51"/>
      <c r="C36" s="335"/>
      <c r="D36" s="46"/>
      <c r="E36" s="53"/>
      <c r="F36" s="48"/>
      <c r="H36" s="185">
        <f t="shared" si="0"/>
        <v>0</v>
      </c>
    </row>
    <row r="37" spans="1:14" x14ac:dyDescent="0.25">
      <c r="A37" s="28"/>
      <c r="B37" s="51"/>
      <c r="C37" s="335"/>
      <c r="D37" s="46"/>
      <c r="E37" s="53"/>
      <c r="F37" s="48"/>
      <c r="H37" s="185">
        <f t="shared" si="0"/>
        <v>0</v>
      </c>
    </row>
    <row r="38" spans="1:14" x14ac:dyDescent="0.25">
      <c r="A38" s="28"/>
      <c r="B38" s="51"/>
      <c r="C38" s="335"/>
      <c r="D38" s="46"/>
      <c r="E38" s="53"/>
      <c r="F38" s="48"/>
      <c r="H38" s="185">
        <f t="shared" si="0"/>
        <v>0</v>
      </c>
    </row>
    <row r="39" spans="1:14" x14ac:dyDescent="0.25">
      <c r="A39" s="28"/>
      <c r="B39" s="51"/>
      <c r="C39" s="335"/>
      <c r="D39" s="46"/>
      <c r="E39" s="53"/>
      <c r="F39" s="48"/>
      <c r="H39" s="185">
        <f t="shared" si="0"/>
        <v>0</v>
      </c>
    </row>
    <row r="40" spans="1:14" x14ac:dyDescent="0.25">
      <c r="A40" s="28"/>
      <c r="B40" s="51"/>
      <c r="C40" s="335"/>
      <c r="D40" s="46"/>
      <c r="E40" s="53"/>
      <c r="F40" s="48"/>
      <c r="H40" s="185">
        <f t="shared" si="0"/>
        <v>0</v>
      </c>
    </row>
    <row r="41" spans="1:14" x14ac:dyDescent="0.25">
      <c r="A41" s="54" t="str">
        <f>CONCATENATE("Total Tax Levy Funds Levy Amounts and Levy Rates for ",C4-1," Budget")</f>
        <v>Total Tax Levy Funds Levy Amounts and Levy Rates for 2014 Budget</v>
      </c>
      <c r="B41" s="55"/>
      <c r="C41" s="55"/>
      <c r="D41" s="56"/>
      <c r="E41" s="57">
        <f>SUM(E16:E40)</f>
        <v>3562898</v>
      </c>
      <c r="F41" s="58">
        <f>SUM(F16:F40)</f>
        <v>78.593000000000004</v>
      </c>
      <c r="L41" s="654">
        <f>SUM(L16:L40)</f>
        <v>3744906.98</v>
      </c>
      <c r="N41" s="654">
        <f>SUM(N16:N40)</f>
        <v>-182008.97999999998</v>
      </c>
    </row>
    <row r="42" spans="1:14" x14ac:dyDescent="0.25">
      <c r="A42" s="27" t="s">
        <v>23</v>
      </c>
      <c r="B42" s="28"/>
      <c r="C42" s="28"/>
      <c r="D42" s="28"/>
      <c r="E42" s="28"/>
      <c r="F42" s="28"/>
    </row>
    <row r="43" spans="1:14" x14ac:dyDescent="0.25">
      <c r="A43" s="28"/>
      <c r="B43" s="540" t="s">
        <v>330</v>
      </c>
      <c r="C43" s="28"/>
      <c r="D43" s="46">
        <v>12000</v>
      </c>
      <c r="E43" s="28"/>
      <c r="F43" s="28"/>
    </row>
    <row r="44" spans="1:14" x14ac:dyDescent="0.25">
      <c r="A44" s="28"/>
      <c r="B44" s="540" t="s">
        <v>331</v>
      </c>
      <c r="C44" s="28"/>
      <c r="D44" s="46"/>
      <c r="E44" s="28"/>
      <c r="F44" s="28"/>
    </row>
    <row r="45" spans="1:14" x14ac:dyDescent="0.25">
      <c r="A45" s="28"/>
      <c r="B45" s="540" t="s">
        <v>332</v>
      </c>
      <c r="C45" s="28"/>
      <c r="D45" s="46">
        <v>16664</v>
      </c>
      <c r="E45" s="28"/>
      <c r="F45" s="28"/>
    </row>
    <row r="46" spans="1:14" x14ac:dyDescent="0.25">
      <c r="A46" s="28"/>
      <c r="B46" s="540" t="s">
        <v>333</v>
      </c>
      <c r="C46" s="28"/>
      <c r="D46" s="46"/>
      <c r="E46" s="28"/>
      <c r="F46" s="28"/>
    </row>
    <row r="47" spans="1:14" x14ac:dyDescent="0.25">
      <c r="A47" s="28"/>
      <c r="B47" s="540" t="s">
        <v>334</v>
      </c>
      <c r="C47" s="28"/>
      <c r="D47" s="46"/>
      <c r="E47" s="28"/>
      <c r="F47" s="28"/>
    </row>
    <row r="48" spans="1:14" x14ac:dyDescent="0.25">
      <c r="A48" s="28"/>
      <c r="B48" s="540" t="s">
        <v>335</v>
      </c>
      <c r="C48" s="28"/>
      <c r="D48" s="46">
        <v>70000</v>
      </c>
      <c r="E48" s="28"/>
      <c r="F48" s="28"/>
    </row>
    <row r="49" spans="1:6" x14ac:dyDescent="0.25">
      <c r="A49" s="28"/>
      <c r="B49" s="48"/>
      <c r="C49" s="28"/>
      <c r="D49" s="46"/>
      <c r="E49" s="28"/>
      <c r="F49" s="28"/>
    </row>
    <row r="50" spans="1:6" x14ac:dyDescent="0.25">
      <c r="A50" s="28"/>
      <c r="B50" s="48"/>
      <c r="C50" s="28"/>
      <c r="D50" s="46"/>
      <c r="E50" s="28"/>
      <c r="F50" s="28"/>
    </row>
    <row r="51" spans="1:6" x14ac:dyDescent="0.25">
      <c r="A51" s="28"/>
      <c r="B51" s="48"/>
      <c r="C51" s="28"/>
      <c r="D51" s="46"/>
      <c r="E51" s="28"/>
      <c r="F51" s="28"/>
    </row>
    <row r="52" spans="1:6" x14ac:dyDescent="0.25">
      <c r="A52" s="28"/>
      <c r="B52" s="48"/>
      <c r="C52" s="28"/>
      <c r="D52" s="46"/>
      <c r="E52" s="28"/>
      <c r="F52" s="28"/>
    </row>
    <row r="53" spans="1:6" x14ac:dyDescent="0.25">
      <c r="A53" s="28"/>
      <c r="B53" s="48"/>
      <c r="C53" s="28"/>
      <c r="D53" s="46"/>
      <c r="E53" s="28"/>
      <c r="F53" s="28"/>
    </row>
    <row r="54" spans="1:6" x14ac:dyDescent="0.25">
      <c r="A54" s="28"/>
      <c r="B54" s="48"/>
      <c r="C54" s="28"/>
      <c r="D54" s="46"/>
      <c r="E54" s="28"/>
      <c r="F54" s="28"/>
    </row>
    <row r="55" spans="1:6" x14ac:dyDescent="0.25">
      <c r="A55" s="28"/>
      <c r="B55" s="48"/>
      <c r="C55" s="28"/>
      <c r="D55" s="46"/>
      <c r="E55" s="28"/>
      <c r="F55" s="28"/>
    </row>
    <row r="56" spans="1:6" x14ac:dyDescent="0.25">
      <c r="A56" s="28"/>
      <c r="B56" s="48"/>
      <c r="C56" s="28"/>
      <c r="D56" s="46"/>
      <c r="E56" s="28"/>
      <c r="F56" s="28"/>
    </row>
    <row r="57" spans="1:6" x14ac:dyDescent="0.25">
      <c r="A57" s="28"/>
      <c r="B57" s="48"/>
      <c r="C57" s="28"/>
      <c r="D57" s="46"/>
      <c r="E57" s="28"/>
      <c r="F57" s="28"/>
    </row>
    <row r="58" spans="1:6" x14ac:dyDescent="0.25">
      <c r="A58" s="28"/>
      <c r="B58" s="48"/>
      <c r="C58" s="28"/>
      <c r="D58" s="46"/>
      <c r="E58" s="28"/>
      <c r="F58" s="28"/>
    </row>
    <row r="59" spans="1:6" x14ac:dyDescent="0.25">
      <c r="A59" s="54" t="str">
        <f>CONCATENATE("Total Expenditures for ",C4-1," Budgeted Year")</f>
        <v>Total Expenditures for 2014 Budgeted Year</v>
      </c>
      <c r="B59" s="59"/>
      <c r="C59" s="60"/>
      <c r="D59" s="61">
        <f>SUM(D16:D40,D43:D58)</f>
        <v>4865251</v>
      </c>
      <c r="E59" s="28"/>
      <c r="F59" s="28"/>
    </row>
    <row r="60" spans="1:6" x14ac:dyDescent="0.25">
      <c r="A60" s="62"/>
      <c r="B60" s="63"/>
      <c r="C60" s="28"/>
      <c r="D60" s="64"/>
      <c r="E60" s="28"/>
      <c r="F60" s="28"/>
    </row>
    <row r="61" spans="1:6" x14ac:dyDescent="0.25">
      <c r="A61" s="28" t="s">
        <v>9</v>
      </c>
      <c r="B61" s="63"/>
      <c r="C61" s="28"/>
      <c r="D61" s="28"/>
      <c r="E61" s="28"/>
      <c r="F61" s="28"/>
    </row>
    <row r="62" spans="1:6" x14ac:dyDescent="0.25">
      <c r="A62" s="28">
        <v>1</v>
      </c>
      <c r="B62" s="540" t="s">
        <v>336</v>
      </c>
      <c r="C62" s="28"/>
      <c r="D62" s="28"/>
      <c r="E62" s="28"/>
      <c r="F62" s="28"/>
    </row>
    <row r="63" spans="1:6" x14ac:dyDescent="0.25">
      <c r="A63" s="28">
        <v>2</v>
      </c>
      <c r="B63" s="540" t="s">
        <v>97</v>
      </c>
      <c r="C63" s="28"/>
      <c r="D63" s="28"/>
      <c r="E63" s="28"/>
      <c r="F63" s="28"/>
    </row>
    <row r="64" spans="1:6" x14ac:dyDescent="0.25">
      <c r="A64" s="28">
        <v>3</v>
      </c>
      <c r="B64" s="540" t="s">
        <v>337</v>
      </c>
      <c r="C64" s="28"/>
      <c r="D64" s="28"/>
      <c r="E64" s="28"/>
      <c r="F64" s="28"/>
    </row>
    <row r="65" spans="1:6" x14ac:dyDescent="0.25">
      <c r="A65" s="28">
        <v>4</v>
      </c>
      <c r="B65" s="540" t="s">
        <v>338</v>
      </c>
      <c r="C65" s="28"/>
      <c r="D65" s="28"/>
      <c r="E65" s="28"/>
      <c r="F65" s="28"/>
    </row>
    <row r="66" spans="1:6" x14ac:dyDescent="0.25">
      <c r="A66" s="28">
        <v>5</v>
      </c>
      <c r="B66" s="540" t="s">
        <v>339</v>
      </c>
      <c r="C66" s="28"/>
      <c r="D66" s="28"/>
      <c r="E66" s="28"/>
      <c r="F66" s="28"/>
    </row>
    <row r="67" spans="1:6" x14ac:dyDescent="0.25">
      <c r="A67" s="28" t="s">
        <v>18</v>
      </c>
      <c r="B67" s="63"/>
      <c r="C67" s="28"/>
      <c r="D67" s="28"/>
      <c r="E67" s="28"/>
      <c r="F67" s="28"/>
    </row>
    <row r="68" spans="1:6" x14ac:dyDescent="0.25">
      <c r="A68" s="28">
        <v>1</v>
      </c>
      <c r="B68" s="540" t="s">
        <v>340</v>
      </c>
      <c r="C68" s="28"/>
      <c r="D68" s="28"/>
      <c r="E68" s="28"/>
      <c r="F68" s="28"/>
    </row>
    <row r="69" spans="1:6" x14ac:dyDescent="0.25">
      <c r="A69" s="28">
        <v>2</v>
      </c>
      <c r="B69" s="540" t="s">
        <v>341</v>
      </c>
      <c r="C69" s="28"/>
      <c r="D69" s="28"/>
      <c r="E69" s="28"/>
      <c r="F69" s="28"/>
    </row>
    <row r="70" spans="1:6" x14ac:dyDescent="0.25">
      <c r="A70" s="28">
        <v>3</v>
      </c>
      <c r="B70" s="540" t="s">
        <v>342</v>
      </c>
      <c r="C70" s="28"/>
      <c r="D70" s="28"/>
      <c r="E70" s="28"/>
      <c r="F70" s="28"/>
    </row>
    <row r="71" spans="1:6" x14ac:dyDescent="0.25">
      <c r="A71" s="28">
        <v>4</v>
      </c>
      <c r="B71" s="540" t="s">
        <v>343</v>
      </c>
      <c r="C71" s="28"/>
      <c r="D71" s="28"/>
      <c r="E71" s="28"/>
      <c r="F71" s="28"/>
    </row>
    <row r="72" spans="1:6" x14ac:dyDescent="0.25">
      <c r="A72" s="28">
        <v>5</v>
      </c>
      <c r="B72" s="540" t="s">
        <v>344</v>
      </c>
      <c r="C72" s="28"/>
      <c r="D72" s="28"/>
      <c r="E72" s="28"/>
      <c r="F72" s="28"/>
    </row>
    <row r="73" spans="1:6" x14ac:dyDescent="0.25">
      <c r="A73" s="28" t="s">
        <v>20</v>
      </c>
      <c r="B73" s="63"/>
      <c r="C73" s="28"/>
      <c r="D73" s="28"/>
      <c r="E73" s="28"/>
      <c r="F73" s="28"/>
    </row>
    <row r="74" spans="1:6" x14ac:dyDescent="0.25">
      <c r="A74" s="28">
        <v>1</v>
      </c>
      <c r="B74" s="540" t="s">
        <v>345</v>
      </c>
      <c r="C74" s="28"/>
      <c r="D74" s="28"/>
      <c r="E74" s="28"/>
      <c r="F74" s="28"/>
    </row>
    <row r="75" spans="1:6" x14ac:dyDescent="0.25">
      <c r="A75" s="28">
        <v>2</v>
      </c>
      <c r="B75" s="540" t="s">
        <v>346</v>
      </c>
      <c r="C75" s="28"/>
      <c r="D75" s="28"/>
      <c r="E75" s="28"/>
      <c r="F75" s="28"/>
    </row>
    <row r="76" spans="1:6" x14ac:dyDescent="0.25">
      <c r="A76" s="28">
        <v>3</v>
      </c>
      <c r="B76" s="540" t="s">
        <v>347</v>
      </c>
      <c r="C76" s="28"/>
      <c r="D76" s="28"/>
      <c r="E76" s="28"/>
      <c r="F76" s="28"/>
    </row>
    <row r="77" spans="1:6" x14ac:dyDescent="0.25">
      <c r="A77" s="28">
        <v>4</v>
      </c>
      <c r="B77" s="540" t="s">
        <v>348</v>
      </c>
      <c r="C77" s="28"/>
      <c r="D77" s="28"/>
      <c r="E77" s="28"/>
      <c r="F77" s="28"/>
    </row>
    <row r="78" spans="1:6" x14ac:dyDescent="0.25">
      <c r="A78" s="28">
        <v>5</v>
      </c>
      <c r="B78" s="540" t="s">
        <v>349</v>
      </c>
      <c r="C78" s="28"/>
      <c r="D78" s="28"/>
      <c r="E78" s="28"/>
      <c r="F78" s="28"/>
    </row>
    <row r="79" spans="1:6" x14ac:dyDescent="0.25">
      <c r="A79" s="28" t="s">
        <v>22</v>
      </c>
      <c r="B79" s="63"/>
      <c r="C79" s="28"/>
      <c r="D79" s="28"/>
      <c r="E79" s="28"/>
      <c r="F79" s="28"/>
    </row>
    <row r="80" spans="1:6" x14ac:dyDescent="0.25">
      <c r="A80" s="28">
        <v>1</v>
      </c>
      <c r="B80" s="540" t="s">
        <v>350</v>
      </c>
      <c r="C80" s="28"/>
      <c r="D80" s="28"/>
      <c r="E80" s="28"/>
      <c r="F80" s="28"/>
    </row>
    <row r="81" spans="1:6" x14ac:dyDescent="0.25">
      <c r="A81" s="28">
        <v>2</v>
      </c>
      <c r="B81" s="48"/>
      <c r="C81" s="28"/>
      <c r="D81" s="28"/>
      <c r="E81" s="28"/>
      <c r="F81" s="28"/>
    </row>
    <row r="82" spans="1:6" x14ac:dyDescent="0.25">
      <c r="A82" s="28">
        <v>3</v>
      </c>
      <c r="B82" s="48"/>
      <c r="C82" s="28"/>
      <c r="D82" s="28"/>
      <c r="E82" s="28"/>
      <c r="F82" s="28"/>
    </row>
    <row r="83" spans="1:6" x14ac:dyDescent="0.25">
      <c r="A83" s="28">
        <v>4</v>
      </c>
      <c r="B83" s="48"/>
      <c r="C83" s="28"/>
      <c r="D83" s="28"/>
      <c r="E83" s="28"/>
      <c r="F83" s="28"/>
    </row>
    <row r="84" spans="1:6" x14ac:dyDescent="0.25">
      <c r="A84" s="28">
        <v>5</v>
      </c>
      <c r="B84" s="48"/>
      <c r="C84" s="28"/>
      <c r="D84" s="28"/>
      <c r="E84" s="28"/>
      <c r="F84" s="28"/>
    </row>
    <row r="85" spans="1:6" x14ac:dyDescent="0.25">
      <c r="A85" s="54" t="str">
        <f>CONCATENATE("County's Final Assessed Valuation for ",C4-1," (November 1,",C4-2," Abstract):")</f>
        <v>County's Final Assessed Valuation for 2014 (November 1,2013 Abstract):</v>
      </c>
      <c r="B85" s="55"/>
      <c r="C85" s="55"/>
      <c r="D85" s="55"/>
      <c r="E85" s="60"/>
      <c r="F85" s="53">
        <v>45333828</v>
      </c>
    </row>
    <row r="86" spans="1:6" x14ac:dyDescent="0.25">
      <c r="A86" s="27"/>
      <c r="B86" s="28"/>
      <c r="C86" s="28"/>
      <c r="D86" s="28"/>
      <c r="E86" s="28"/>
      <c r="F86" s="28"/>
    </row>
    <row r="87" spans="1:6" x14ac:dyDescent="0.25">
      <c r="A87" s="28"/>
      <c r="B87" s="28"/>
      <c r="C87" s="28"/>
      <c r="D87" s="28"/>
      <c r="E87" s="28"/>
      <c r="F87" s="28"/>
    </row>
    <row r="88" spans="1:6" x14ac:dyDescent="0.25">
      <c r="A88" s="65" t="str">
        <f>CONCATENATE("From the ",C4-1," Budget:")</f>
        <v>From the 2014 Budget:</v>
      </c>
      <c r="B88" s="36"/>
      <c r="C88" s="28"/>
      <c r="D88" s="655" t="str">
        <f>CONCATENATE("",C4-3," Tax Rate (",C4-2," Column)")</f>
        <v>2012 Tax Rate (2013 Column)</v>
      </c>
      <c r="E88" s="66"/>
      <c r="F88" s="28"/>
    </row>
    <row r="89" spans="1:6" x14ac:dyDescent="0.25">
      <c r="A89" s="65" t="s">
        <v>43</v>
      </c>
      <c r="B89" s="67"/>
      <c r="C89" s="28"/>
      <c r="D89" s="656"/>
      <c r="E89" s="66"/>
      <c r="F89" s="28"/>
    </row>
    <row r="90" spans="1:6" x14ac:dyDescent="0.25">
      <c r="A90" s="28"/>
      <c r="B90" s="68" t="str">
        <f>B16</f>
        <v>General</v>
      </c>
      <c r="C90" s="28"/>
      <c r="D90" s="48">
        <v>31.303000000000001</v>
      </c>
      <c r="E90" s="66"/>
      <c r="F90" s="28"/>
    </row>
    <row r="91" spans="1:6" x14ac:dyDescent="0.25">
      <c r="A91" s="28"/>
      <c r="B91" s="68">
        <f>B17</f>
        <v>0</v>
      </c>
      <c r="C91" s="28"/>
      <c r="D91" s="48"/>
      <c r="E91" s="66"/>
      <c r="F91" s="28"/>
    </row>
    <row r="92" spans="1:6" x14ac:dyDescent="0.25">
      <c r="A92" s="28"/>
      <c r="B92" s="68" t="str">
        <f>B18</f>
        <v>Road &amp; Bridge</v>
      </c>
      <c r="C92" s="28"/>
      <c r="D92" s="48">
        <v>18.443000000000001</v>
      </c>
      <c r="E92" s="66"/>
      <c r="F92" s="28"/>
    </row>
    <row r="93" spans="1:6" x14ac:dyDescent="0.25">
      <c r="A93" s="28"/>
      <c r="B93" s="68" t="str">
        <f t="shared" ref="B93:B114" si="2">B19</f>
        <v>Noxious Weed</v>
      </c>
      <c r="C93" s="28"/>
      <c r="D93" s="48">
        <v>1.5069999999999999</v>
      </c>
      <c r="E93" s="66"/>
      <c r="F93" s="28"/>
    </row>
    <row r="94" spans="1:6" x14ac:dyDescent="0.25">
      <c r="A94" s="28"/>
      <c r="B94" s="68" t="str">
        <f t="shared" si="2"/>
        <v>Employee Benefits</v>
      </c>
      <c r="C94" s="28"/>
      <c r="D94" s="48">
        <v>18.484999999999999</v>
      </c>
      <c r="E94" s="66"/>
      <c r="F94" s="28"/>
    </row>
    <row r="95" spans="1:6" x14ac:dyDescent="0.25">
      <c r="A95" s="28"/>
      <c r="B95" s="68" t="str">
        <f t="shared" si="2"/>
        <v>County Health</v>
      </c>
      <c r="C95" s="28"/>
      <c r="D95" s="48">
        <v>3.0150000000000001</v>
      </c>
      <c r="E95" s="66"/>
      <c r="F95" s="28"/>
    </row>
    <row r="96" spans="1:6" x14ac:dyDescent="0.25">
      <c r="A96" s="28"/>
      <c r="B96" s="68" t="str">
        <f t="shared" si="2"/>
        <v>Hospital Maintenance</v>
      </c>
      <c r="C96" s="28"/>
      <c r="D96" s="540">
        <v>4.8380000000000001</v>
      </c>
      <c r="E96" s="66"/>
      <c r="F96" s="28"/>
    </row>
    <row r="97" spans="1:6" x14ac:dyDescent="0.25">
      <c r="A97" s="28"/>
      <c r="B97" s="68">
        <f t="shared" si="2"/>
        <v>0</v>
      </c>
      <c r="C97" s="28"/>
      <c r="D97" s="48"/>
      <c r="E97" s="66"/>
      <c r="F97" s="28"/>
    </row>
    <row r="98" spans="1:6" x14ac:dyDescent="0.25">
      <c r="A98" s="28"/>
      <c r="B98" s="68">
        <f t="shared" si="2"/>
        <v>0</v>
      </c>
      <c r="C98" s="28"/>
      <c r="D98" s="48"/>
      <c r="E98" s="66"/>
      <c r="F98" s="28"/>
    </row>
    <row r="99" spans="1:6" x14ac:dyDescent="0.25">
      <c r="A99" s="28"/>
      <c r="B99" s="68">
        <f t="shared" si="2"/>
        <v>0</v>
      </c>
      <c r="C99" s="28"/>
      <c r="D99" s="48"/>
      <c r="E99" s="66"/>
      <c r="F99" s="28"/>
    </row>
    <row r="100" spans="1:6" x14ac:dyDescent="0.25">
      <c r="A100" s="28"/>
      <c r="B100" s="68">
        <f t="shared" si="2"/>
        <v>0</v>
      </c>
      <c r="C100" s="28"/>
      <c r="D100" s="48"/>
      <c r="E100" s="66"/>
      <c r="F100" s="28"/>
    </row>
    <row r="101" spans="1:6" x14ac:dyDescent="0.25">
      <c r="A101" s="28"/>
      <c r="B101" s="68">
        <f t="shared" si="2"/>
        <v>0</v>
      </c>
      <c r="C101" s="28"/>
      <c r="D101" s="48"/>
      <c r="E101" s="66"/>
      <c r="F101" s="28"/>
    </row>
    <row r="102" spans="1:6" x14ac:dyDescent="0.25">
      <c r="A102" s="28"/>
      <c r="B102" s="68">
        <f t="shared" si="2"/>
        <v>0</v>
      </c>
      <c r="C102" s="28"/>
      <c r="D102" s="48"/>
      <c r="E102" s="66"/>
      <c r="F102" s="28"/>
    </row>
    <row r="103" spans="1:6" x14ac:dyDescent="0.25">
      <c r="A103" s="28"/>
      <c r="B103" s="68">
        <f t="shared" si="2"/>
        <v>0</v>
      </c>
      <c r="C103" s="28"/>
      <c r="D103" s="48"/>
      <c r="E103" s="66"/>
      <c r="F103" s="28"/>
    </row>
    <row r="104" spans="1:6" x14ac:dyDescent="0.25">
      <c r="A104" s="28"/>
      <c r="B104" s="68">
        <f t="shared" si="2"/>
        <v>0</v>
      </c>
      <c r="C104" s="28"/>
      <c r="D104" s="48"/>
      <c r="E104" s="66"/>
      <c r="F104" s="28"/>
    </row>
    <row r="105" spans="1:6" x14ac:dyDescent="0.25">
      <c r="A105" s="28"/>
      <c r="B105" s="68">
        <f t="shared" si="2"/>
        <v>0</v>
      </c>
      <c r="C105" s="28"/>
      <c r="D105" s="48"/>
      <c r="E105" s="66"/>
      <c r="F105" s="28"/>
    </row>
    <row r="106" spans="1:6" x14ac:dyDescent="0.25">
      <c r="A106" s="28"/>
      <c r="B106" s="68">
        <f t="shared" si="2"/>
        <v>0</v>
      </c>
      <c r="C106" s="28"/>
      <c r="D106" s="48"/>
      <c r="E106" s="66"/>
      <c r="F106" s="28"/>
    </row>
    <row r="107" spans="1:6" x14ac:dyDescent="0.25">
      <c r="A107" s="28"/>
      <c r="B107" s="68">
        <f t="shared" si="2"/>
        <v>0</v>
      </c>
      <c r="C107" s="28"/>
      <c r="D107" s="48"/>
      <c r="E107" s="66"/>
      <c r="F107" s="28"/>
    </row>
    <row r="108" spans="1:6" x14ac:dyDescent="0.25">
      <c r="A108" s="28"/>
      <c r="B108" s="68">
        <f t="shared" si="2"/>
        <v>0</v>
      </c>
      <c r="C108" s="28"/>
      <c r="D108" s="48"/>
      <c r="E108" s="66"/>
      <c r="F108" s="28"/>
    </row>
    <row r="109" spans="1:6" x14ac:dyDescent="0.25">
      <c r="A109" s="28"/>
      <c r="B109" s="68">
        <f t="shared" si="2"/>
        <v>0</v>
      </c>
      <c r="C109" s="28"/>
      <c r="D109" s="48"/>
      <c r="E109" s="66"/>
      <c r="F109" s="28"/>
    </row>
    <row r="110" spans="1:6" x14ac:dyDescent="0.25">
      <c r="A110" s="28"/>
      <c r="B110" s="68">
        <f t="shared" si="2"/>
        <v>0</v>
      </c>
      <c r="C110" s="28"/>
      <c r="D110" s="48"/>
      <c r="E110" s="66"/>
      <c r="F110" s="28"/>
    </row>
    <row r="111" spans="1:6" x14ac:dyDescent="0.25">
      <c r="A111" s="28"/>
      <c r="B111" s="68">
        <f t="shared" si="2"/>
        <v>0</v>
      </c>
      <c r="C111" s="28"/>
      <c r="D111" s="48"/>
      <c r="E111" s="66"/>
      <c r="F111" s="28"/>
    </row>
    <row r="112" spans="1:6" x14ac:dyDescent="0.25">
      <c r="A112" s="28"/>
      <c r="B112" s="68">
        <f t="shared" si="2"/>
        <v>0</v>
      </c>
      <c r="C112" s="28"/>
      <c r="D112" s="48"/>
      <c r="E112" s="66"/>
      <c r="F112" s="28"/>
    </row>
    <row r="113" spans="1:6" x14ac:dyDescent="0.25">
      <c r="A113" s="28"/>
      <c r="B113" s="68">
        <f t="shared" si="2"/>
        <v>0</v>
      </c>
      <c r="C113" s="28"/>
      <c r="D113" s="48"/>
      <c r="E113" s="66"/>
      <c r="F113" s="28"/>
    </row>
    <row r="114" spans="1:6" x14ac:dyDescent="0.25">
      <c r="A114" s="28"/>
      <c r="B114" s="68">
        <f t="shared" si="2"/>
        <v>0</v>
      </c>
      <c r="C114" s="28"/>
      <c r="D114" s="48"/>
      <c r="E114" s="66"/>
      <c r="F114" s="28"/>
    </row>
    <row r="115" spans="1:6" x14ac:dyDescent="0.25">
      <c r="A115" s="55" t="s">
        <v>46</v>
      </c>
      <c r="B115" s="55"/>
      <c r="C115" s="60"/>
      <c r="D115" s="58">
        <f>SUM(D90:D114)</f>
        <v>77.590999999999994</v>
      </c>
      <c r="E115" s="66"/>
      <c r="F115" s="28"/>
    </row>
    <row r="116" spans="1:6" x14ac:dyDescent="0.25">
      <c r="A116" s="28"/>
      <c r="B116" s="28"/>
      <c r="C116" s="28"/>
      <c r="D116" s="28"/>
      <c r="E116" s="28"/>
      <c r="F116" s="28"/>
    </row>
    <row r="117" spans="1:6" x14ac:dyDescent="0.25">
      <c r="A117" s="69" t="str">
        <f>CONCATENATE("Total Tax Levied (",C4-2," budget column)")</f>
        <v>Total Tax Levied (2013 budget column)</v>
      </c>
      <c r="B117" s="70"/>
      <c r="C117" s="55"/>
      <c r="D117" s="55"/>
      <c r="E117" s="60"/>
      <c r="F117" s="53">
        <v>3360698</v>
      </c>
    </row>
    <row r="118" spans="1:6" x14ac:dyDescent="0.25">
      <c r="A118" s="71" t="str">
        <f>CONCATENATE("Assessed Valuation  (",C4-2," budget column)")</f>
        <v>Assessed Valuation  (2013 budget column)</v>
      </c>
      <c r="B118" s="72"/>
      <c r="C118" s="73"/>
      <c r="D118" s="73"/>
      <c r="E118" s="56"/>
      <c r="F118" s="53">
        <v>43313105</v>
      </c>
    </row>
    <row r="119" spans="1:6" x14ac:dyDescent="0.25">
      <c r="A119" s="62"/>
      <c r="B119" s="29"/>
      <c r="C119" s="29"/>
      <c r="D119" s="29"/>
      <c r="E119" s="29"/>
      <c r="F119" s="74"/>
    </row>
    <row r="120" spans="1:6" x14ac:dyDescent="0.25">
      <c r="A120" s="75" t="str">
        <f>CONCATENATE("From the ",C4-1," Budget, Budget Summary Page:")</f>
        <v>From the 2014 Budget, Budget Summary Page:</v>
      </c>
      <c r="B120" s="76"/>
      <c r="C120" s="66"/>
      <c r="D120" s="66"/>
      <c r="E120" s="66"/>
      <c r="F120" s="66"/>
    </row>
    <row r="121" spans="1:6" x14ac:dyDescent="0.25">
      <c r="A121" s="77" t="s">
        <v>0</v>
      </c>
      <c r="B121" s="77"/>
      <c r="C121" s="78"/>
      <c r="D121" s="79">
        <f>C4-3</f>
        <v>2012</v>
      </c>
      <c r="E121" s="80">
        <f>C4-2</f>
        <v>2013</v>
      </c>
      <c r="F121" s="66"/>
    </row>
    <row r="122" spans="1:6" x14ac:dyDescent="0.25">
      <c r="A122" s="81" t="s">
        <v>1</v>
      </c>
      <c r="B122" s="81"/>
      <c r="C122" s="82"/>
      <c r="D122" s="46"/>
      <c r="E122" s="46"/>
      <c r="F122" s="66"/>
    </row>
    <row r="123" spans="1:6" s="84" customFormat="1" x14ac:dyDescent="0.25">
      <c r="A123" s="83" t="s">
        <v>2</v>
      </c>
      <c r="B123" s="83"/>
      <c r="C123" s="82"/>
      <c r="D123" s="46"/>
      <c r="E123" s="46"/>
      <c r="F123" s="78"/>
    </row>
    <row r="124" spans="1:6" s="84" customFormat="1" x14ac:dyDescent="0.25">
      <c r="A124" s="83" t="s">
        <v>3</v>
      </c>
      <c r="B124" s="83"/>
      <c r="C124" s="82"/>
      <c r="D124" s="46"/>
      <c r="E124" s="46"/>
      <c r="F124" s="78"/>
    </row>
    <row r="125" spans="1:6" s="84" customFormat="1" x14ac:dyDescent="0.25">
      <c r="A125" s="83" t="s">
        <v>4</v>
      </c>
      <c r="B125" s="83"/>
      <c r="C125" s="82"/>
      <c r="D125" s="46">
        <v>107584</v>
      </c>
      <c r="E125" s="46">
        <v>238090</v>
      </c>
      <c r="F125" s="78"/>
    </row>
    <row r="126" spans="1:6" s="84" customFormat="1" x14ac:dyDescent="0.25"/>
  </sheetData>
  <mergeCells count="4">
    <mergeCell ref="D88:D89"/>
    <mergeCell ref="A9:F9"/>
    <mergeCell ref="A1:F1"/>
    <mergeCell ref="H6:I11"/>
  </mergeCells>
  <phoneticPr fontId="0" type="noConversion"/>
  <pageMargins left="0.5" right="0.5" top="1" bottom="0.5" header="0.5" footer="0.25"/>
  <pageSetup scale="96" fitToHeight="3"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K134"/>
  <sheetViews>
    <sheetView topLeftCell="A52" zoomScaleNormal="100" workbookViewId="0">
      <selection activeCell="E10" sqref="E10"/>
    </sheetView>
  </sheetViews>
  <sheetFormatPr defaultColWidth="8.9140625" defaultRowHeight="15.6" x14ac:dyDescent="0.25"/>
  <cols>
    <col min="1" max="1" width="2.4140625" style="25" customWidth="1"/>
    <col min="2" max="2" width="31.08203125" style="25" customWidth="1"/>
    <col min="3" max="4" width="15.75" style="25" customWidth="1"/>
    <col min="5" max="5" width="16.25" style="25" customWidth="1"/>
    <col min="6" max="6" width="7.4140625" style="25" customWidth="1"/>
    <col min="7" max="7" width="10.25" style="25" customWidth="1"/>
    <col min="8" max="8" width="8.9140625" style="25"/>
    <col min="9" max="9" width="5" style="25" customWidth="1"/>
    <col min="10" max="10" width="10" style="25" customWidth="1"/>
    <col min="11" max="16384" width="8.9140625" style="25"/>
  </cols>
  <sheetData>
    <row r="1" spans="2:5" x14ac:dyDescent="0.25">
      <c r="B1" s="155" t="str">
        <f>inputPrYr!C2</f>
        <v>Edwards County</v>
      </c>
      <c r="C1" s="28"/>
      <c r="D1" s="28"/>
      <c r="E1" s="206">
        <f>inputPrYr!C4</f>
        <v>2015</v>
      </c>
    </row>
    <row r="2" spans="2:5" x14ac:dyDescent="0.25">
      <c r="B2" s="28"/>
      <c r="C2" s="28"/>
      <c r="D2" s="28"/>
      <c r="E2" s="162"/>
    </row>
    <row r="3" spans="2:5" x14ac:dyDescent="0.25">
      <c r="B3" s="93" t="s">
        <v>153</v>
      </c>
      <c r="C3" s="28"/>
      <c r="D3" s="28"/>
      <c r="E3" s="220"/>
    </row>
    <row r="4" spans="2:5" x14ac:dyDescent="0.25">
      <c r="B4" s="221" t="s">
        <v>74</v>
      </c>
      <c r="C4" s="461" t="s">
        <v>296</v>
      </c>
      <c r="D4" s="462" t="s">
        <v>297</v>
      </c>
      <c r="E4" s="151" t="s">
        <v>298</v>
      </c>
    </row>
    <row r="5" spans="2:5" x14ac:dyDescent="0.25">
      <c r="B5" s="347" t="str">
        <f>inputPrYr!B16</f>
        <v>General</v>
      </c>
      <c r="C5" s="332" t="str">
        <f>CONCATENATE("Actual for ",E1-2,"")</f>
        <v>Actual for 2013</v>
      </c>
      <c r="D5" s="332" t="str">
        <f>CONCATENATE("Estimate for ",E1-1,"")</f>
        <v>Estimate for 2014</v>
      </c>
      <c r="E5" s="222" t="str">
        <f>CONCATENATE("Year for ",E1,"")</f>
        <v>Year for 2015</v>
      </c>
    </row>
    <row r="6" spans="2:5" x14ac:dyDescent="0.25">
      <c r="B6" s="223" t="s">
        <v>186</v>
      </c>
      <c r="C6" s="329">
        <v>60754</v>
      </c>
      <c r="D6" s="333">
        <f>C102</f>
        <v>106284</v>
      </c>
      <c r="E6" s="185">
        <f>D102</f>
        <v>102871</v>
      </c>
    </row>
    <row r="7" spans="2:5" x14ac:dyDescent="0.25">
      <c r="B7" s="210" t="s">
        <v>188</v>
      </c>
      <c r="C7" s="225"/>
      <c r="D7" s="225"/>
      <c r="E7" s="68"/>
    </row>
    <row r="8" spans="2:5" x14ac:dyDescent="0.25">
      <c r="B8" s="223" t="s">
        <v>75</v>
      </c>
      <c r="C8" s="329">
        <v>1338479</v>
      </c>
      <c r="D8" s="333">
        <f>IF(inputPrYr!H16&gt;0,inputPrYr!H16,inputPrYr!E16)</f>
        <v>1508636</v>
      </c>
      <c r="E8" s="153" t="s">
        <v>61</v>
      </c>
    </row>
    <row r="9" spans="2:5" x14ac:dyDescent="0.25">
      <c r="B9" s="223" t="s">
        <v>76</v>
      </c>
      <c r="C9" s="329">
        <v>17702</v>
      </c>
      <c r="D9" s="329">
        <v>12000</v>
      </c>
      <c r="E9" s="226">
        <v>15000</v>
      </c>
    </row>
    <row r="10" spans="2:5" x14ac:dyDescent="0.25">
      <c r="B10" s="223" t="s">
        <v>77</v>
      </c>
      <c r="C10" s="329">
        <v>115943</v>
      </c>
      <c r="D10" s="329">
        <v>119015</v>
      </c>
      <c r="E10" s="185">
        <f>mvalloc!E7</f>
        <v>129903</v>
      </c>
    </row>
    <row r="11" spans="2:5" x14ac:dyDescent="0.25">
      <c r="B11" s="223" t="s">
        <v>78</v>
      </c>
      <c r="C11" s="329">
        <v>1736</v>
      </c>
      <c r="D11" s="329">
        <v>2054</v>
      </c>
      <c r="E11" s="185">
        <f>mvalloc!F7</f>
        <v>1909</v>
      </c>
    </row>
    <row r="12" spans="2:5" x14ac:dyDescent="0.25">
      <c r="B12" s="225" t="s">
        <v>177</v>
      </c>
      <c r="C12" s="329">
        <v>14730</v>
      </c>
      <c r="D12" s="329">
        <v>16719</v>
      </c>
      <c r="E12" s="185">
        <f>mvalloc!G7</f>
        <v>18918</v>
      </c>
    </row>
    <row r="13" spans="2:5" x14ac:dyDescent="0.25">
      <c r="B13" s="223" t="s">
        <v>179</v>
      </c>
      <c r="C13" s="329"/>
      <c r="D13" s="329"/>
      <c r="E13" s="185">
        <f>inputOth!E11</f>
        <v>0</v>
      </c>
    </row>
    <row r="14" spans="2:5" x14ac:dyDescent="0.25">
      <c r="B14" s="223" t="s">
        <v>221</v>
      </c>
      <c r="C14" s="329"/>
      <c r="D14" s="329"/>
      <c r="E14" s="185">
        <f>inputOth!E18</f>
        <v>0</v>
      </c>
    </row>
    <row r="15" spans="2:5" x14ac:dyDescent="0.25">
      <c r="B15" s="223" t="s">
        <v>222</v>
      </c>
      <c r="C15" s="329"/>
      <c r="D15" s="329"/>
      <c r="E15" s="185">
        <f>inputOth!E19</f>
        <v>0</v>
      </c>
    </row>
    <row r="16" spans="2:5" x14ac:dyDescent="0.25">
      <c r="B16" s="549" t="s">
        <v>79</v>
      </c>
      <c r="C16" s="329">
        <v>1031</v>
      </c>
      <c r="D16" s="329">
        <v>800</v>
      </c>
      <c r="E16" s="226">
        <v>800</v>
      </c>
    </row>
    <row r="17" spans="2:5" x14ac:dyDescent="0.25">
      <c r="B17" s="549" t="s">
        <v>355</v>
      </c>
      <c r="C17" s="329">
        <v>19979</v>
      </c>
      <c r="D17" s="329">
        <v>20000</v>
      </c>
      <c r="E17" s="226">
        <v>20000</v>
      </c>
    </row>
    <row r="18" spans="2:5" x14ac:dyDescent="0.25">
      <c r="B18" s="549"/>
      <c r="C18" s="329"/>
      <c r="D18" s="329"/>
      <c r="E18" s="226"/>
    </row>
    <row r="19" spans="2:5" x14ac:dyDescent="0.25">
      <c r="B19" s="550"/>
      <c r="C19" s="329"/>
      <c r="D19" s="329"/>
      <c r="E19" s="226"/>
    </row>
    <row r="20" spans="2:5" x14ac:dyDescent="0.25">
      <c r="B20" s="550" t="s">
        <v>356</v>
      </c>
      <c r="C20" s="329"/>
      <c r="D20" s="329"/>
      <c r="E20" s="226"/>
    </row>
    <row r="21" spans="2:5" x14ac:dyDescent="0.25">
      <c r="B21" s="550" t="s">
        <v>357</v>
      </c>
      <c r="C21" s="329"/>
      <c r="D21" s="329"/>
      <c r="E21" s="226"/>
    </row>
    <row r="22" spans="2:5" x14ac:dyDescent="0.25">
      <c r="B22" s="549" t="s">
        <v>358</v>
      </c>
      <c r="C22" s="329">
        <v>173876</v>
      </c>
      <c r="D22" s="329">
        <v>170000</v>
      </c>
      <c r="E22" s="226">
        <v>170000</v>
      </c>
    </row>
    <row r="23" spans="2:5" x14ac:dyDescent="0.25">
      <c r="B23" s="549" t="s">
        <v>359</v>
      </c>
      <c r="C23" s="329">
        <v>7427</v>
      </c>
      <c r="D23" s="329">
        <v>7000</v>
      </c>
      <c r="E23" s="226">
        <v>7000</v>
      </c>
    </row>
    <row r="24" spans="2:5" x14ac:dyDescent="0.25">
      <c r="B24" s="549" t="s">
        <v>360</v>
      </c>
      <c r="C24" s="329">
        <v>682</v>
      </c>
      <c r="D24" s="329">
        <v>700</v>
      </c>
      <c r="E24" s="226">
        <v>700</v>
      </c>
    </row>
    <row r="25" spans="2:5" x14ac:dyDescent="0.25">
      <c r="B25" s="549"/>
      <c r="C25" s="329"/>
      <c r="D25" s="329"/>
      <c r="E25" s="226"/>
    </row>
    <row r="26" spans="2:5" x14ac:dyDescent="0.25">
      <c r="B26" s="549" t="s">
        <v>361</v>
      </c>
      <c r="C26" s="329"/>
      <c r="D26" s="329"/>
      <c r="E26" s="226"/>
    </row>
    <row r="27" spans="2:5" x14ac:dyDescent="0.25">
      <c r="B27" s="549" t="s">
        <v>362</v>
      </c>
      <c r="C27" s="329">
        <v>36427</v>
      </c>
      <c r="D27" s="329">
        <v>30000</v>
      </c>
      <c r="E27" s="226">
        <v>25000</v>
      </c>
    </row>
    <row r="28" spans="2:5" x14ac:dyDescent="0.25">
      <c r="B28" s="549" t="s">
        <v>363</v>
      </c>
      <c r="C28" s="329">
        <v>20949</v>
      </c>
      <c r="D28" s="329">
        <v>21000</v>
      </c>
      <c r="E28" s="226">
        <v>22000</v>
      </c>
    </row>
    <row r="29" spans="2:5" x14ac:dyDescent="0.25">
      <c r="B29" s="549" t="s">
        <v>364</v>
      </c>
      <c r="C29" s="329">
        <v>13051</v>
      </c>
      <c r="D29" s="329">
        <v>10000</v>
      </c>
      <c r="E29" s="226">
        <v>10000</v>
      </c>
    </row>
    <row r="30" spans="2:5" x14ac:dyDescent="0.25">
      <c r="B30" s="634" t="s">
        <v>430</v>
      </c>
      <c r="C30" s="329">
        <v>300</v>
      </c>
      <c r="D30" s="329"/>
      <c r="E30" s="226"/>
    </row>
    <row r="31" spans="2:5" x14ac:dyDescent="0.25">
      <c r="B31" s="549"/>
      <c r="C31" s="329"/>
      <c r="D31" s="329"/>
      <c r="E31" s="226"/>
    </row>
    <row r="32" spans="2:5" x14ac:dyDescent="0.25">
      <c r="B32" s="634" t="s">
        <v>365</v>
      </c>
      <c r="C32" s="329"/>
      <c r="D32" s="329"/>
      <c r="E32" s="226"/>
    </row>
    <row r="33" spans="2:5" x14ac:dyDescent="0.25">
      <c r="B33" s="634" t="s">
        <v>366</v>
      </c>
      <c r="C33" s="329">
        <v>5685</v>
      </c>
      <c r="D33" s="329">
        <v>4000</v>
      </c>
      <c r="E33" s="226">
        <v>4000</v>
      </c>
    </row>
    <row r="34" spans="2:5" x14ac:dyDescent="0.25">
      <c r="B34" s="634" t="s">
        <v>367</v>
      </c>
      <c r="C34" s="329">
        <v>135806</v>
      </c>
      <c r="D34" s="329">
        <v>135000</v>
      </c>
      <c r="E34" s="226">
        <v>135000</v>
      </c>
    </row>
    <row r="35" spans="2:5" x14ac:dyDescent="0.25">
      <c r="B35" s="634" t="s">
        <v>368</v>
      </c>
      <c r="C35" s="329">
        <v>10421</v>
      </c>
      <c r="D35" s="329">
        <v>8000</v>
      </c>
      <c r="E35" s="226">
        <v>8000</v>
      </c>
    </row>
    <row r="36" spans="2:5" x14ac:dyDescent="0.25">
      <c r="B36" s="634" t="s">
        <v>431</v>
      </c>
      <c r="C36" s="329">
        <v>3582</v>
      </c>
      <c r="D36" s="329">
        <v>1000</v>
      </c>
      <c r="E36" s="226">
        <v>1000</v>
      </c>
    </row>
    <row r="37" spans="2:5" x14ac:dyDescent="0.25">
      <c r="B37" s="634"/>
      <c r="C37" s="329"/>
      <c r="D37" s="329"/>
      <c r="E37" s="226"/>
    </row>
    <row r="38" spans="2:5" x14ac:dyDescent="0.25">
      <c r="B38" s="634" t="s">
        <v>369</v>
      </c>
      <c r="C38" s="641">
        <v>15436</v>
      </c>
      <c r="D38" s="329">
        <v>11115</v>
      </c>
      <c r="E38" s="226">
        <v>12000</v>
      </c>
    </row>
    <row r="39" spans="2:5" x14ac:dyDescent="0.25">
      <c r="B39" s="227"/>
      <c r="C39" s="329"/>
      <c r="D39" s="329"/>
      <c r="E39" s="226"/>
    </row>
    <row r="40" spans="2:5" x14ac:dyDescent="0.25">
      <c r="B40" s="227"/>
      <c r="C40" s="329"/>
      <c r="D40" s="329"/>
      <c r="E40" s="226"/>
    </row>
    <row r="41" spans="2:5" x14ac:dyDescent="0.25">
      <c r="B41" s="228" t="s">
        <v>80</v>
      </c>
      <c r="C41" s="329">
        <v>3276</v>
      </c>
      <c r="D41" s="329">
        <v>2500</v>
      </c>
      <c r="E41" s="226">
        <v>2500</v>
      </c>
    </row>
    <row r="42" spans="2:5" x14ac:dyDescent="0.25">
      <c r="B42" s="229" t="s">
        <v>37</v>
      </c>
      <c r="C42" s="329">
        <v>3286</v>
      </c>
      <c r="D42" s="329">
        <v>2000</v>
      </c>
      <c r="E42" s="226">
        <v>2000</v>
      </c>
    </row>
    <row r="43" spans="2:5" x14ac:dyDescent="0.25">
      <c r="B43" s="229" t="s">
        <v>262</v>
      </c>
      <c r="C43" s="330" t="str">
        <f>IF(C44*0.1&lt;C42,"Exceed 10% Rule","")</f>
        <v/>
      </c>
      <c r="D43" s="330" t="str">
        <f>IF(D44*0.1&lt;D42,"Exceed 10% Rule","")</f>
        <v/>
      </c>
      <c r="E43" s="256" t="str">
        <f>IF(E44*0.1+E108&lt;E42,"Exceed 10% Rule","")</f>
        <v/>
      </c>
    </row>
    <row r="44" spans="2:5" x14ac:dyDescent="0.25">
      <c r="B44" s="231" t="s">
        <v>81</v>
      </c>
      <c r="C44" s="331">
        <f>SUM(C8:C42)</f>
        <v>1939804</v>
      </c>
      <c r="D44" s="331">
        <f>SUM(D8:D42)</f>
        <v>2081539</v>
      </c>
      <c r="E44" s="259">
        <f>SUM(E9:E42)</f>
        <v>585730</v>
      </c>
    </row>
    <row r="45" spans="2:5" x14ac:dyDescent="0.25">
      <c r="B45" s="231" t="s">
        <v>82</v>
      </c>
      <c r="C45" s="331">
        <f>C6+C44</f>
        <v>2000558</v>
      </c>
      <c r="D45" s="331">
        <f>D6+D44</f>
        <v>2187823</v>
      </c>
      <c r="E45" s="259">
        <f>E6+E44</f>
        <v>688601</v>
      </c>
    </row>
    <row r="46" spans="2:5" x14ac:dyDescent="0.25">
      <c r="B46" s="28"/>
      <c r="C46" s="155"/>
      <c r="D46" s="155"/>
      <c r="E46" s="155"/>
    </row>
    <row r="47" spans="2:5" x14ac:dyDescent="0.25">
      <c r="B47" s="700" t="s">
        <v>195</v>
      </c>
      <c r="C47" s="700"/>
      <c r="D47" s="700"/>
      <c r="E47" s="700"/>
    </row>
    <row r="48" spans="2:5" x14ac:dyDescent="0.25">
      <c r="B48" s="155" t="str">
        <f>inputPrYr!C2</f>
        <v>Edwards County</v>
      </c>
      <c r="C48" s="155"/>
      <c r="D48" s="155"/>
      <c r="E48" s="206">
        <f>inputPrYr!C4</f>
        <v>2015</v>
      </c>
    </row>
    <row r="49" spans="2:5" x14ac:dyDescent="0.25">
      <c r="B49" s="28"/>
      <c r="C49" s="155"/>
      <c r="D49" s="155"/>
      <c r="E49" s="162"/>
    </row>
    <row r="50" spans="2:5" x14ac:dyDescent="0.25">
      <c r="B50" s="233" t="s">
        <v>151</v>
      </c>
      <c r="C50" s="234"/>
      <c r="D50" s="234"/>
      <c r="E50" s="234"/>
    </row>
    <row r="51" spans="2:5" x14ac:dyDescent="0.25">
      <c r="B51" s="28" t="s">
        <v>74</v>
      </c>
      <c r="C51" s="461" t="s">
        <v>296</v>
      </c>
      <c r="D51" s="462" t="s">
        <v>297</v>
      </c>
      <c r="E51" s="151" t="s">
        <v>298</v>
      </c>
    </row>
    <row r="52" spans="2:5" x14ac:dyDescent="0.25">
      <c r="B52" s="55" t="s">
        <v>84</v>
      </c>
      <c r="C52" s="332" t="str">
        <f>CONCATENATE("Actual for ",E48-2,"")</f>
        <v>Actual for 2013</v>
      </c>
      <c r="D52" s="332" t="str">
        <f>CONCATENATE("Estimate for ",E48-1,"")</f>
        <v>Estimate for 2014</v>
      </c>
      <c r="E52" s="222" t="str">
        <f>CONCATENATE("Year for ",E48,"")</f>
        <v>Year for 2015</v>
      </c>
    </row>
    <row r="53" spans="2:5" x14ac:dyDescent="0.25">
      <c r="B53" s="231" t="s">
        <v>82</v>
      </c>
      <c r="C53" s="333">
        <f>C45</f>
        <v>2000558</v>
      </c>
      <c r="D53" s="333">
        <f>D45</f>
        <v>2187823</v>
      </c>
      <c r="E53" s="185">
        <f>E45</f>
        <v>688601</v>
      </c>
    </row>
    <row r="54" spans="2:5" x14ac:dyDescent="0.25">
      <c r="B54" s="223" t="s">
        <v>85</v>
      </c>
      <c r="C54" s="333"/>
      <c r="D54" s="333"/>
      <c r="E54" s="185"/>
    </row>
    <row r="55" spans="2:5" x14ac:dyDescent="0.25">
      <c r="B55" s="225" t="str">
        <f>'gen-detail'!A7</f>
        <v>County Commissioners</v>
      </c>
      <c r="C55" s="333">
        <f>'gen-detail'!B13</f>
        <v>47614</v>
      </c>
      <c r="D55" s="333">
        <f>'gen-detail'!C13</f>
        <v>50000</v>
      </c>
      <c r="E55" s="185">
        <f>'gen-detail'!D13</f>
        <v>51500</v>
      </c>
    </row>
    <row r="56" spans="2:5" x14ac:dyDescent="0.25">
      <c r="B56" s="225" t="str">
        <f>'gen-detail'!A14</f>
        <v>County Clerk</v>
      </c>
      <c r="C56" s="333">
        <f>'gen-detail'!B20</f>
        <v>82849</v>
      </c>
      <c r="D56" s="333">
        <f>'gen-detail'!C20</f>
        <v>90000</v>
      </c>
      <c r="E56" s="185">
        <f>'gen-detail'!D20</f>
        <v>97000</v>
      </c>
    </row>
    <row r="57" spans="2:5" x14ac:dyDescent="0.25">
      <c r="B57" s="225" t="str">
        <f>'gen-detail'!A21</f>
        <v>County Treasurer</v>
      </c>
      <c r="C57" s="333">
        <f>'gen-detail'!B26</f>
        <v>97973</v>
      </c>
      <c r="D57" s="333">
        <f>'gen-detail'!C26</f>
        <v>113000</v>
      </c>
      <c r="E57" s="185">
        <f>'gen-detail'!D26</f>
        <v>114000</v>
      </c>
    </row>
    <row r="58" spans="2:5" x14ac:dyDescent="0.25">
      <c r="B58" s="225" t="str">
        <f>'gen-detail'!A27</f>
        <v>County Attorney</v>
      </c>
      <c r="C58" s="333">
        <f>'gen-detail'!B32</f>
        <v>74507</v>
      </c>
      <c r="D58" s="333">
        <f>'gen-detail'!C32</f>
        <v>68000</v>
      </c>
      <c r="E58" s="185">
        <f>'gen-detail'!D32</f>
        <v>69100</v>
      </c>
    </row>
    <row r="59" spans="2:5" x14ac:dyDescent="0.25">
      <c r="B59" s="225" t="str">
        <f>'gen-detail'!A33</f>
        <v>Register of Deeds</v>
      </c>
      <c r="C59" s="333">
        <f>'gen-detail'!B38</f>
        <v>67717</v>
      </c>
      <c r="D59" s="333">
        <f>'gen-detail'!C38</f>
        <v>74000</v>
      </c>
      <c r="E59" s="185">
        <f>'gen-detail'!D38</f>
        <v>76700</v>
      </c>
    </row>
    <row r="60" spans="2:5" x14ac:dyDescent="0.25">
      <c r="B60" s="225" t="str">
        <f>'gen-detail'!A39</f>
        <v>District Court</v>
      </c>
      <c r="C60" s="333">
        <f>'gen-detail'!B45</f>
        <v>46973</v>
      </c>
      <c r="D60" s="333">
        <f>'gen-detail'!C45</f>
        <v>51638</v>
      </c>
      <c r="E60" s="185">
        <f>'gen-detail'!D45</f>
        <v>51731</v>
      </c>
    </row>
    <row r="61" spans="2:5" x14ac:dyDescent="0.25">
      <c r="B61" s="225" t="str">
        <f>'gen-detail'!A46</f>
        <v>Courthouse General</v>
      </c>
      <c r="C61" s="333">
        <f>'gen-detail'!B53</f>
        <v>184905</v>
      </c>
      <c r="D61" s="333">
        <f>'gen-detail'!C53</f>
        <v>227000</v>
      </c>
      <c r="E61" s="185">
        <f>'gen-detail'!D53</f>
        <v>252000</v>
      </c>
    </row>
    <row r="62" spans="2:5" x14ac:dyDescent="0.25">
      <c r="B62" s="225" t="str">
        <f>'gen-detail'!A65</f>
        <v>Appraisal</v>
      </c>
      <c r="C62" s="333">
        <f>'gen-detail'!B70</f>
        <v>99074</v>
      </c>
      <c r="D62" s="333">
        <f>'gen-detail'!C70</f>
        <v>118000</v>
      </c>
      <c r="E62" s="185">
        <f>'gen-detail'!D70</f>
        <v>130500</v>
      </c>
    </row>
    <row r="63" spans="2:5" x14ac:dyDescent="0.25">
      <c r="B63" s="225" t="str">
        <f>'gen-detail'!A71</f>
        <v>Extension Office</v>
      </c>
      <c r="C63" s="333">
        <f>'gen-detail'!B76</f>
        <v>10148</v>
      </c>
      <c r="D63" s="333">
        <f>'gen-detail'!C76</f>
        <v>11000</v>
      </c>
      <c r="E63" s="185">
        <f>'gen-detail'!D76</f>
        <v>11000</v>
      </c>
    </row>
    <row r="64" spans="2:5" x14ac:dyDescent="0.25">
      <c r="B64" s="225" t="str">
        <f>'gen-detail'!A77</f>
        <v>Zoning</v>
      </c>
      <c r="C64" s="333">
        <f>'gen-detail'!B82</f>
        <v>2507</v>
      </c>
      <c r="D64" s="333">
        <f>'gen-detail'!C82</f>
        <v>2500</v>
      </c>
      <c r="E64" s="185">
        <f>'gen-detail'!D82</f>
        <v>3500</v>
      </c>
    </row>
    <row r="65" spans="2:5" x14ac:dyDescent="0.25">
      <c r="B65" s="225" t="str">
        <f>'gen-detail'!A83</f>
        <v>Election</v>
      </c>
      <c r="C65" s="333">
        <f>'gen-detail'!B88</f>
        <v>18836</v>
      </c>
      <c r="D65" s="333">
        <f>'gen-detail'!C88</f>
        <v>34000</v>
      </c>
      <c r="E65" s="185">
        <f>'gen-detail'!D88</f>
        <v>34000</v>
      </c>
    </row>
    <row r="66" spans="2:5" x14ac:dyDescent="0.25">
      <c r="B66" s="225" t="str">
        <f>'gen-detail'!A89</f>
        <v>Insurance Cost</v>
      </c>
      <c r="C66" s="333">
        <f>'gen-detail'!B91</f>
        <v>75701</v>
      </c>
      <c r="D66" s="333">
        <f>'gen-detail'!C91</f>
        <v>80000</v>
      </c>
      <c r="E66" s="185">
        <f>'gen-detail'!D91</f>
        <v>85500</v>
      </c>
    </row>
    <row r="67" spans="2:5" x14ac:dyDescent="0.25">
      <c r="B67" s="225" t="str">
        <f>'gen-detail'!A92</f>
        <v>Soil Conservation</v>
      </c>
      <c r="C67" s="333">
        <f>'gen-detail'!B94</f>
        <v>22955</v>
      </c>
      <c r="D67" s="333">
        <f>'gen-detail'!C94</f>
        <v>22955</v>
      </c>
      <c r="E67" s="185">
        <f>'gen-detail'!D94</f>
        <v>27955</v>
      </c>
    </row>
    <row r="68" spans="2:5" x14ac:dyDescent="0.25">
      <c r="B68" s="225" t="str">
        <f>'gen-detail'!A95</f>
        <v>Sheriff</v>
      </c>
      <c r="C68" s="333">
        <f>'gen-detail'!B101</f>
        <v>487007</v>
      </c>
      <c r="D68" s="333">
        <f>'gen-detail'!C101</f>
        <v>531900</v>
      </c>
      <c r="E68" s="185">
        <f>'gen-detail'!D101</f>
        <v>610260</v>
      </c>
    </row>
    <row r="69" spans="2:5" x14ac:dyDescent="0.25">
      <c r="B69" s="225" t="str">
        <f>'gen-detail'!A102</f>
        <v>Emergency Preparedness</v>
      </c>
      <c r="C69" s="333">
        <f>'gen-detail'!B108</f>
        <v>8465</v>
      </c>
      <c r="D69" s="333">
        <f>'gen-detail'!C108</f>
        <v>9500</v>
      </c>
      <c r="E69" s="185">
        <f>'gen-detail'!D108</f>
        <v>10000</v>
      </c>
    </row>
    <row r="70" spans="2:5" x14ac:dyDescent="0.25">
      <c r="B70" s="225" t="str">
        <f>'gen-detail'!A119</f>
        <v>Public Works</v>
      </c>
      <c r="C70" s="333">
        <f>'gen-detail'!B121</f>
        <v>0</v>
      </c>
      <c r="D70" s="333">
        <f>'gen-detail'!C121</f>
        <v>0</v>
      </c>
      <c r="E70" s="185">
        <f>'gen-detail'!D121</f>
        <v>0</v>
      </c>
    </row>
    <row r="71" spans="2:5" x14ac:dyDescent="0.25">
      <c r="B71" s="225" t="str">
        <f>'gen-detail'!A122</f>
        <v>Ambulance</v>
      </c>
      <c r="C71" s="333">
        <f>'gen-detail'!B124</f>
        <v>67332</v>
      </c>
      <c r="D71" s="333">
        <f>'gen-detail'!C124</f>
        <v>83868</v>
      </c>
      <c r="E71" s="185">
        <f>'gen-detail'!D124</f>
        <v>84000</v>
      </c>
    </row>
    <row r="72" spans="2:5" x14ac:dyDescent="0.25">
      <c r="B72" s="225" t="str">
        <f>'gen-detail'!A125</f>
        <v>Mental Health</v>
      </c>
      <c r="C72" s="333">
        <f>'gen-detail'!B127</f>
        <v>26400</v>
      </c>
      <c r="D72" s="333">
        <f>'gen-detail'!C127</f>
        <v>26000</v>
      </c>
      <c r="E72" s="185">
        <f>'gen-detail'!D127</f>
        <v>26400</v>
      </c>
    </row>
    <row r="73" spans="2:5" x14ac:dyDescent="0.25">
      <c r="B73" s="225" t="str">
        <f>'gen-detail'!A128</f>
        <v>Mental Retardation</v>
      </c>
      <c r="C73" s="333">
        <f>'gen-detail'!B130</f>
        <v>31500</v>
      </c>
      <c r="D73" s="333">
        <f>'gen-detail'!C130</f>
        <v>31500</v>
      </c>
      <c r="E73" s="185">
        <f>'gen-detail'!D130</f>
        <v>32500</v>
      </c>
    </row>
    <row r="74" spans="2:5" x14ac:dyDescent="0.25">
      <c r="B74" s="225" t="str">
        <f>'gen-detail'!A131</f>
        <v>County Fair</v>
      </c>
      <c r="C74" s="333">
        <f>'gen-detail'!B136</f>
        <v>13064</v>
      </c>
      <c r="D74" s="333">
        <f>'gen-detail'!C136</f>
        <v>17000</v>
      </c>
      <c r="E74" s="185">
        <f>'gen-detail'!D136</f>
        <v>17000</v>
      </c>
    </row>
    <row r="75" spans="2:5" x14ac:dyDescent="0.25">
      <c r="B75" s="225" t="str">
        <f>'gen-detail'!A137</f>
        <v>Transfer Station</v>
      </c>
      <c r="C75" s="333">
        <f>'gen-detail'!B143</f>
        <v>145570</v>
      </c>
      <c r="D75" s="333">
        <f>'gen-detail'!C143</f>
        <v>168000</v>
      </c>
      <c r="E75" s="185">
        <f>'gen-detail'!D143</f>
        <v>239500</v>
      </c>
    </row>
    <row r="76" spans="2:5" x14ac:dyDescent="0.25">
      <c r="B76" s="225" t="str">
        <f>'gen-detail'!A144</f>
        <v>Transfer to Equipment Reserve</v>
      </c>
      <c r="C76" s="333">
        <f>'gen-detail'!B146</f>
        <v>50000</v>
      </c>
      <c r="D76" s="333">
        <f>'gen-detail'!C146</f>
        <v>46000</v>
      </c>
      <c r="E76" s="185">
        <f>'gen-detail'!D146</f>
        <v>0</v>
      </c>
    </row>
    <row r="77" spans="2:5" x14ac:dyDescent="0.25">
      <c r="B77" s="225" t="str">
        <f>'gen-detail'!A147</f>
        <v>Transfer to Multi-Year Capital Improvement</v>
      </c>
      <c r="C77" s="333">
        <f>'gen-detail'!B149</f>
        <v>50000</v>
      </c>
      <c r="D77" s="333">
        <f>'gen-detail'!C149</f>
        <v>46000</v>
      </c>
      <c r="E77" s="185">
        <f>'gen-detail'!D149</f>
        <v>0</v>
      </c>
    </row>
    <row r="78" spans="2:5" x14ac:dyDescent="0.25">
      <c r="B78" s="225" t="str">
        <f>'gen-detail'!A160</f>
        <v>Transfer to Economic Development</v>
      </c>
      <c r="C78" s="333">
        <f>'gen-detail'!B162</f>
        <v>40000</v>
      </c>
      <c r="D78" s="333">
        <f>'gen-detail'!C162</f>
        <v>40000</v>
      </c>
      <c r="E78" s="185">
        <f>'gen-detail'!D162</f>
        <v>40000</v>
      </c>
    </row>
    <row r="79" spans="2:5" x14ac:dyDescent="0.25">
      <c r="B79" s="225" t="str">
        <f>'gen-detail'!A163</f>
        <v>County Fair</v>
      </c>
      <c r="C79" s="333">
        <f>'gen-detail'!B165</f>
        <v>10870</v>
      </c>
      <c r="D79" s="333">
        <f>'gen-detail'!C165</f>
        <v>10870</v>
      </c>
      <c r="E79" s="185">
        <f>'gen-detail'!D165</f>
        <v>11000</v>
      </c>
    </row>
    <row r="80" spans="2:5" x14ac:dyDescent="0.25">
      <c r="B80" s="225" t="str">
        <f>'gen-detail'!A166</f>
        <v>Extension Council</v>
      </c>
      <c r="C80" s="333">
        <f>'gen-detail'!B168</f>
        <v>113500</v>
      </c>
      <c r="D80" s="333">
        <f>'gen-detail'!C168</f>
        <v>113500</v>
      </c>
      <c r="E80" s="185">
        <f>'gen-detail'!D168</f>
        <v>123794</v>
      </c>
    </row>
    <row r="81" spans="2:10" x14ac:dyDescent="0.25">
      <c r="B81" s="225" t="str">
        <f>'gen-detail'!A169</f>
        <v>Historical Society</v>
      </c>
      <c r="C81" s="333">
        <f>'gen-detail'!B171</f>
        <v>8000</v>
      </c>
      <c r="D81" s="333">
        <f>'gen-detail'!C171</f>
        <v>8000</v>
      </c>
      <c r="E81" s="185">
        <f>'gen-detail'!D171</f>
        <v>8000</v>
      </c>
    </row>
    <row r="82" spans="2:10" x14ac:dyDescent="0.25">
      <c r="B82" s="225">
        <f>'gen-detail'!A172</f>
        <v>0</v>
      </c>
      <c r="C82" s="333">
        <f>'gen-detail'!B177</f>
        <v>0</v>
      </c>
      <c r="D82" s="333">
        <f>'gen-detail'!C177</f>
        <v>0</v>
      </c>
      <c r="E82" s="185">
        <f>'gen-detail'!D177</f>
        <v>0</v>
      </c>
    </row>
    <row r="83" spans="2:10" x14ac:dyDescent="0.25">
      <c r="B83" s="225">
        <f>'gen-detail'!A178</f>
        <v>0</v>
      </c>
      <c r="C83" s="333">
        <f>'gen-detail'!B183</f>
        <v>0</v>
      </c>
      <c r="D83" s="333">
        <f>'gen-detail'!C183</f>
        <v>0</v>
      </c>
      <c r="E83" s="185">
        <f>'gen-detail'!D183</f>
        <v>0</v>
      </c>
    </row>
    <row r="84" spans="2:10" x14ac:dyDescent="0.25">
      <c r="B84" s="225">
        <f>'gen-detail'!A184</f>
        <v>0</v>
      </c>
      <c r="C84" s="333">
        <f>'gen-detail'!B185</f>
        <v>0</v>
      </c>
      <c r="D84" s="333">
        <f>'gen-detail'!C185</f>
        <v>0</v>
      </c>
      <c r="E84" s="185">
        <f>'gen-detail'!D185</f>
        <v>0</v>
      </c>
    </row>
    <row r="85" spans="2:10" x14ac:dyDescent="0.25">
      <c r="B85" s="225">
        <f>'gen-detail'!A187</f>
        <v>0</v>
      </c>
      <c r="C85" s="333">
        <f>'gen-detail'!B192</f>
        <v>0</v>
      </c>
      <c r="D85" s="333">
        <f>'gen-detail'!C192</f>
        <v>0</v>
      </c>
      <c r="E85" s="185">
        <f>'gen-detail'!D192</f>
        <v>0</v>
      </c>
    </row>
    <row r="86" spans="2:10" x14ac:dyDescent="0.25">
      <c r="B86" s="225">
        <f>'gen-detail'!A193</f>
        <v>0</v>
      </c>
      <c r="C86" s="333">
        <f>'gen-detail'!B198</f>
        <v>0</v>
      </c>
      <c r="D86" s="333">
        <f>'gen-detail'!C198</f>
        <v>0</v>
      </c>
      <c r="E86" s="185">
        <f>'gen-detail'!D198</f>
        <v>0</v>
      </c>
      <c r="G86" s="703" t="str">
        <f>CONCATENATE("Desired Carryover Into ",E1+1,"")</f>
        <v>Desired Carryover Into 2016</v>
      </c>
      <c r="H86" s="704"/>
      <c r="I86" s="704"/>
      <c r="J86" s="682"/>
    </row>
    <row r="87" spans="2:10" x14ac:dyDescent="0.25">
      <c r="B87" s="225">
        <f>'gen-detail'!A209</f>
        <v>0</v>
      </c>
      <c r="C87" s="333">
        <f>'gen-detail'!B214</f>
        <v>0</v>
      </c>
      <c r="D87" s="333">
        <f>'gen-detail'!C214</f>
        <v>0</v>
      </c>
      <c r="E87" s="185">
        <f>'gen-detail'!D214</f>
        <v>0</v>
      </c>
      <c r="G87" s="413"/>
      <c r="H87" s="414"/>
      <c r="I87" s="415"/>
      <c r="J87" s="416"/>
    </row>
    <row r="88" spans="2:10" x14ac:dyDescent="0.25">
      <c r="B88" s="225">
        <f>'gen-detail'!A215</f>
        <v>0</v>
      </c>
      <c r="C88" s="333">
        <f>'gen-detail'!B220</f>
        <v>0</v>
      </c>
      <c r="D88" s="333">
        <f>'gen-detail'!C220</f>
        <v>0</v>
      </c>
      <c r="E88" s="185">
        <f>'gen-detail'!D220</f>
        <v>0</v>
      </c>
      <c r="G88" s="417" t="s">
        <v>267</v>
      </c>
      <c r="H88" s="415"/>
      <c r="I88" s="415"/>
      <c r="J88" s="418">
        <v>0</v>
      </c>
    </row>
    <row r="89" spans="2:10" x14ac:dyDescent="0.25">
      <c r="B89" s="225">
        <f>'gen-detail'!A221</f>
        <v>0</v>
      </c>
      <c r="C89" s="333">
        <f>'gen-detail'!B226</f>
        <v>0</v>
      </c>
      <c r="D89" s="333">
        <f>'gen-detail'!C226</f>
        <v>0</v>
      </c>
      <c r="E89" s="185">
        <f>'gen-detail'!D226</f>
        <v>0</v>
      </c>
      <c r="G89" s="413" t="s">
        <v>268</v>
      </c>
      <c r="H89" s="414"/>
      <c r="I89" s="414"/>
      <c r="J89" s="419" t="str">
        <f>IF(J88=0,"",ROUND((J88+E108-G101)/inputOth!E6*1000,3)-G106)</f>
        <v/>
      </c>
    </row>
    <row r="90" spans="2:10" x14ac:dyDescent="0.25">
      <c r="B90" s="225">
        <f>'gen-detail'!A227</f>
        <v>0</v>
      </c>
      <c r="C90" s="333">
        <f>'gen-detail'!B232</f>
        <v>0</v>
      </c>
      <c r="D90" s="333">
        <f>'gen-detail'!C232</f>
        <v>0</v>
      </c>
      <c r="E90" s="185">
        <f>'gen-detail'!D232</f>
        <v>0</v>
      </c>
      <c r="G90" s="420" t="str">
        <f>CONCATENATE("",E1," Tot Exp/Non-Appr Must Be:")</f>
        <v>2015 Tot Exp/Non-Appr Must Be:</v>
      </c>
      <c r="H90" s="421"/>
      <c r="I90" s="422"/>
      <c r="J90" s="423">
        <f>IF(J88&gt;0,IF(E105&lt;E45,IF(J88=G101,E105,((J88-G101)*(1-D107))+E45),E105+(J88-G101)),0)</f>
        <v>0</v>
      </c>
    </row>
    <row r="91" spans="2:10" x14ac:dyDescent="0.25">
      <c r="B91" s="225">
        <f>'gen-detail'!A233</f>
        <v>0</v>
      </c>
      <c r="C91" s="333">
        <f>'gen-detail'!B236</f>
        <v>0</v>
      </c>
      <c r="D91" s="333">
        <f>'gen-detail'!C236</f>
        <v>0</v>
      </c>
      <c r="E91" s="185">
        <f>'gen-detail'!D236</f>
        <v>0</v>
      </c>
      <c r="G91" s="424" t="s">
        <v>294</v>
      </c>
      <c r="H91" s="425"/>
      <c r="I91" s="425"/>
      <c r="J91" s="426">
        <f>IF(J88&gt;0,J90-E105,0)</f>
        <v>0</v>
      </c>
    </row>
    <row r="92" spans="2:10" x14ac:dyDescent="0.25">
      <c r="B92" s="225">
        <f>'gen-detail'!A237</f>
        <v>0</v>
      </c>
      <c r="C92" s="333">
        <f>'gen-detail'!B242</f>
        <v>0</v>
      </c>
      <c r="D92" s="333">
        <f>'gen-detail'!C242</f>
        <v>0</v>
      </c>
      <c r="E92" s="185">
        <f>'gen-detail'!D242</f>
        <v>0</v>
      </c>
    </row>
    <row r="93" spans="2:10" x14ac:dyDescent="0.25">
      <c r="B93" s="225">
        <f>'gen-detail'!A243</f>
        <v>0</v>
      </c>
      <c r="C93" s="333">
        <f>'gen-detail'!B248</f>
        <v>0</v>
      </c>
      <c r="D93" s="333">
        <f>'gen-detail'!C248</f>
        <v>0</v>
      </c>
      <c r="E93" s="185">
        <f>'gen-detail'!D248</f>
        <v>0</v>
      </c>
      <c r="G93" s="712" t="str">
        <f>CONCATENATE("Projected Carryover Into ",E1+1,"")</f>
        <v>Projected Carryover Into 2016</v>
      </c>
      <c r="H93" s="713"/>
      <c r="I93" s="713"/>
      <c r="J93" s="714"/>
    </row>
    <row r="94" spans="2:10" x14ac:dyDescent="0.25">
      <c r="B94" s="236" t="s">
        <v>24</v>
      </c>
      <c r="C94" s="348">
        <f>SUM(C55:C93)</f>
        <v>1883467</v>
      </c>
      <c r="D94" s="348">
        <f>SUM(D55:D93)</f>
        <v>2074231</v>
      </c>
      <c r="E94" s="257">
        <f>SUM(E55:E93)</f>
        <v>2206940</v>
      </c>
      <c r="G94" s="371"/>
      <c r="H94" s="370"/>
      <c r="I94" s="370"/>
      <c r="J94" s="372"/>
    </row>
    <row r="95" spans="2:10" x14ac:dyDescent="0.25">
      <c r="B95" s="237"/>
      <c r="C95" s="329"/>
      <c r="D95" s="329"/>
      <c r="E95" s="53"/>
      <c r="G95" s="357">
        <f>D102</f>
        <v>102871</v>
      </c>
      <c r="H95" s="355" t="str">
        <f>CONCATENATE("",E1-1," Ending Cash Balance (est.)")</f>
        <v>2014 Ending Cash Balance (est.)</v>
      </c>
      <c r="I95" s="354"/>
      <c r="J95" s="372"/>
    </row>
    <row r="96" spans="2:10" x14ac:dyDescent="0.25">
      <c r="B96" s="237"/>
      <c r="C96" s="329"/>
      <c r="D96" s="329"/>
      <c r="E96" s="53"/>
      <c r="G96" s="357">
        <f>E44</f>
        <v>585730</v>
      </c>
      <c r="H96" s="353" t="str">
        <f>CONCATENATE("",E1," Non-AV Receipts (est.)")</f>
        <v>2015 Non-AV Receipts (est.)</v>
      </c>
      <c r="I96" s="354"/>
      <c r="J96" s="372"/>
    </row>
    <row r="97" spans="2:10" x14ac:dyDescent="0.25">
      <c r="B97" s="237"/>
      <c r="C97" s="329"/>
      <c r="D97" s="329"/>
      <c r="E97" s="53"/>
      <c r="G97" s="352">
        <f>IF(E107&gt;0,E106,E108)</f>
        <v>1531251</v>
      </c>
      <c r="H97" s="353" t="str">
        <f>CONCATENATE("",E1," Ad Valorem Tax (est.)")</f>
        <v>2015 Ad Valorem Tax (est.)</v>
      </c>
      <c r="I97" s="354"/>
      <c r="J97" s="372"/>
    </row>
    <row r="98" spans="2:10" x14ac:dyDescent="0.25">
      <c r="B98" s="229" t="s">
        <v>38</v>
      </c>
      <c r="C98" s="329">
        <v>10807</v>
      </c>
      <c r="D98" s="329">
        <v>10721</v>
      </c>
      <c r="E98" s="61">
        <f>Nhood!$E6</f>
        <v>12912</v>
      </c>
      <c r="G98" s="357">
        <f>SUM(G95:G97)</f>
        <v>2219852</v>
      </c>
      <c r="H98" s="353" t="str">
        <f>CONCATENATE("Total ",E1," Resources Available")</f>
        <v>Total 2015 Resources Available</v>
      </c>
      <c r="I98" s="354"/>
      <c r="J98" s="372"/>
    </row>
    <row r="99" spans="2:10" x14ac:dyDescent="0.25">
      <c r="B99" s="229" t="s">
        <v>37</v>
      </c>
      <c r="C99" s="329"/>
      <c r="D99" s="329"/>
      <c r="E99" s="53"/>
      <c r="G99" s="351"/>
      <c r="H99" s="353"/>
      <c r="I99" s="353"/>
      <c r="J99" s="372"/>
    </row>
    <row r="100" spans="2:10" x14ac:dyDescent="0.25">
      <c r="B100" s="229" t="s">
        <v>261</v>
      </c>
      <c r="C100" s="330" t="str">
        <f>IF(C101*0.1&lt;C99,"Exceed 10% Rule","")</f>
        <v/>
      </c>
      <c r="D100" s="330" t="str">
        <f>IF(D101*0.1&lt;D99,"Exceed 10% Rule","")</f>
        <v/>
      </c>
      <c r="E100" s="256" t="str">
        <f>IF(E101*0.1&lt;E99,"Exceed 10% Rule","")</f>
        <v/>
      </c>
      <c r="G100" s="352">
        <f>C101*0.05+C101</f>
        <v>1988987.7</v>
      </c>
      <c r="H100" s="353" t="str">
        <f>CONCATENATE("Less ",E1-2," Expenditures + 5%")</f>
        <v>Less 2013 Expenditures + 5%</v>
      </c>
      <c r="I100" s="354"/>
      <c r="J100" s="372"/>
    </row>
    <row r="101" spans="2:10" x14ac:dyDescent="0.25">
      <c r="B101" s="231" t="s">
        <v>86</v>
      </c>
      <c r="C101" s="331">
        <f>SUM(C94:C99)</f>
        <v>1894274</v>
      </c>
      <c r="D101" s="331">
        <f>SUM(D94:D99)</f>
        <v>2084952</v>
      </c>
      <c r="E101" s="259">
        <f>SUM(E94:E99)</f>
        <v>2219852</v>
      </c>
      <c r="G101" s="350">
        <f>G98-G100</f>
        <v>230864.30000000005</v>
      </c>
      <c r="H101" s="349" t="str">
        <f>CONCATENATE("Projected ",E1," Carryover (est.)")</f>
        <v>Projected 2015 Carryover (est.)</v>
      </c>
      <c r="I101" s="341"/>
      <c r="J101" s="340"/>
    </row>
    <row r="102" spans="2:10" x14ac:dyDescent="0.25">
      <c r="B102" s="89" t="s">
        <v>187</v>
      </c>
      <c r="C102" s="334">
        <f>C45-C101</f>
        <v>106284</v>
      </c>
      <c r="D102" s="334">
        <f>D45-D101</f>
        <v>102871</v>
      </c>
      <c r="E102" s="153" t="s">
        <v>61</v>
      </c>
      <c r="G102" s="367"/>
      <c r="H102" s="367"/>
      <c r="I102" s="367"/>
      <c r="J102" s="367"/>
    </row>
    <row r="103" spans="2:10" x14ac:dyDescent="0.25">
      <c r="B103" s="221" t="str">
        <f>CONCATENATE("",E1-2,"/",E1-1,"/",E1," Budget Authority Amount:")</f>
        <v>2013/2014/2015 Budget Authority Amount:</v>
      </c>
      <c r="C103" s="255">
        <f>inputOth!$B30</f>
        <v>1986036</v>
      </c>
      <c r="D103" s="255">
        <f>inputPrYr!$D16</f>
        <v>2162798</v>
      </c>
      <c r="E103" s="185">
        <f>E101</f>
        <v>2219852</v>
      </c>
      <c r="G103" s="705" t="s">
        <v>295</v>
      </c>
      <c r="H103" s="706"/>
      <c r="I103" s="706"/>
      <c r="J103" s="707"/>
    </row>
    <row r="104" spans="2:10" x14ac:dyDescent="0.25">
      <c r="B104" s="207"/>
      <c r="C104" s="708" t="s">
        <v>264</v>
      </c>
      <c r="D104" s="709"/>
      <c r="E104" s="53"/>
      <c r="G104" s="428"/>
      <c r="H104" s="429"/>
      <c r="I104" s="430"/>
      <c r="J104" s="431"/>
    </row>
    <row r="105" spans="2:10" x14ac:dyDescent="0.25">
      <c r="B105" s="360" t="str">
        <f>CONCATENATE(C120,"     ",D120)</f>
        <v xml:space="preserve">     </v>
      </c>
      <c r="C105" s="710" t="s">
        <v>265</v>
      </c>
      <c r="D105" s="711"/>
      <c r="E105" s="185">
        <f>E101+E104</f>
        <v>2219852</v>
      </c>
      <c r="G105" s="432">
        <f>summ!H16</f>
        <v>32.871000000000002</v>
      </c>
      <c r="H105" s="429" t="str">
        <f>CONCATENATE("",E1," Fund Mill Rate")</f>
        <v>2015 Fund Mill Rate</v>
      </c>
      <c r="I105" s="430"/>
      <c r="J105" s="431"/>
    </row>
    <row r="106" spans="2:10" x14ac:dyDescent="0.25">
      <c r="B106" s="360" t="str">
        <f>CONCATENATE(C121,"     ",D121)</f>
        <v xml:space="preserve">     </v>
      </c>
      <c r="C106" s="240"/>
      <c r="D106" s="162" t="s">
        <v>87</v>
      </c>
      <c r="E106" s="61">
        <f>IF(E105-E45&gt;0,E105-E45,0)</f>
        <v>1531251</v>
      </c>
      <c r="G106" s="433">
        <f>summ!E16</f>
        <v>33.615000000000002</v>
      </c>
      <c r="H106" s="429" t="str">
        <f>CONCATENATE("",E1-1," Fund Mill Rate")</f>
        <v>2014 Fund Mill Rate</v>
      </c>
      <c r="I106" s="430"/>
      <c r="J106" s="431"/>
    </row>
    <row r="107" spans="2:10" x14ac:dyDescent="0.25">
      <c r="B107" s="207"/>
      <c r="C107" s="358" t="s">
        <v>266</v>
      </c>
      <c r="D107" s="412">
        <f>inputOth!$E$23</f>
        <v>0.01</v>
      </c>
      <c r="E107" s="185">
        <f>IF(D107&gt;0,(E106*D107),0)</f>
        <v>15312.51</v>
      </c>
      <c r="G107" s="434">
        <f>summ!H34</f>
        <v>79.596000000000004</v>
      </c>
      <c r="H107" s="429" t="str">
        <f>CONCATENATE("Total ",E1," Mill Rate")</f>
        <v>Total 2015 Mill Rate</v>
      </c>
      <c r="I107" s="430"/>
      <c r="J107" s="431"/>
    </row>
    <row r="108" spans="2:10" x14ac:dyDescent="0.25">
      <c r="B108" s="28"/>
      <c r="C108" s="701" t="str">
        <f>CONCATENATE("Amount of  ",$E$1-1," Ad Valorem Tax")</f>
        <v>Amount of  2014 Ad Valorem Tax</v>
      </c>
      <c r="D108" s="702"/>
      <c r="E108" s="257">
        <f>E106+E107</f>
        <v>1546563.51</v>
      </c>
      <c r="G108" s="433">
        <f>summ!E34</f>
        <v>78.593000000000004</v>
      </c>
      <c r="H108" s="435" t="str">
        <f>CONCATENATE("Total ",E1-1," Mill Rate")</f>
        <v>Total 2014 Mill Rate</v>
      </c>
      <c r="I108" s="436"/>
      <c r="J108" s="437"/>
    </row>
    <row r="109" spans="2:10" x14ac:dyDescent="0.25">
      <c r="B109" s="28"/>
      <c r="C109" s="28"/>
      <c r="D109" s="28"/>
      <c r="E109" s="28"/>
      <c r="G109" s="466"/>
      <c r="H109" s="373"/>
      <c r="I109" s="464"/>
      <c r="J109" s="465"/>
    </row>
    <row r="110" spans="2:10" x14ac:dyDescent="0.25">
      <c r="B110" s="700" t="s">
        <v>196</v>
      </c>
      <c r="C110" s="700"/>
      <c r="D110" s="700"/>
      <c r="E110" s="700"/>
      <c r="G110" s="507" t="s">
        <v>313</v>
      </c>
      <c r="H110" s="481"/>
      <c r="I110" s="480" t="str">
        <f>cert!E50</f>
        <v>Yes</v>
      </c>
    </row>
    <row r="116" spans="3:11" x14ac:dyDescent="0.25">
      <c r="F116" s="239"/>
    </row>
    <row r="117" spans="3:11" x14ac:dyDescent="0.25">
      <c r="F117" s="356" t="str">
        <f>IF(E101/0.95-E101&lt;E104,"Exceeds 5%","")</f>
        <v/>
      </c>
      <c r="K117" s="427" t="str">
        <f>IF(G97=E108,"","Note: Does not include Delinquent Taxes")</f>
        <v>Note: Does not include Delinquent Taxes</v>
      </c>
    </row>
    <row r="120" spans="3:11" x14ac:dyDescent="0.25">
      <c r="C120" s="25" t="str">
        <f>IF(C101&gt;C103,"See Tab A","")</f>
        <v/>
      </c>
      <c r="D120" s="25" t="str">
        <f>IF(D101&gt;D103,"See Tab C","")</f>
        <v/>
      </c>
    </row>
    <row r="121" spans="3:11" x14ac:dyDescent="0.25">
      <c r="C121" s="25" t="str">
        <f>IF(C102&lt;0,"See Tab B","")</f>
        <v/>
      </c>
      <c r="D121" s="25" t="str">
        <f>IF(D102&lt;0,"See Tab D","")</f>
        <v/>
      </c>
    </row>
    <row r="133" hidden="1" x14ac:dyDescent="0.25"/>
    <row r="134" hidden="1" x14ac:dyDescent="0.25"/>
  </sheetData>
  <mergeCells count="8">
    <mergeCell ref="B47:E47"/>
    <mergeCell ref="B110:E110"/>
    <mergeCell ref="C108:D108"/>
    <mergeCell ref="G86:J86"/>
    <mergeCell ref="G103:J103"/>
    <mergeCell ref="C104:D104"/>
    <mergeCell ref="C105:D105"/>
    <mergeCell ref="G93:J93"/>
  </mergeCells>
  <phoneticPr fontId="0" type="noConversion"/>
  <conditionalFormatting sqref="E99">
    <cfRule type="cellIs" dxfId="141" priority="2" stopIfTrue="1" operator="greaterThan">
      <formula>$E$101*0.1</formula>
    </cfRule>
  </conditionalFormatting>
  <conditionalFormatting sqref="E104">
    <cfRule type="cellIs" dxfId="140" priority="3" stopIfTrue="1" operator="greaterThan">
      <formula>$E$101/0.95-$E$101</formula>
    </cfRule>
  </conditionalFormatting>
  <conditionalFormatting sqref="D99">
    <cfRule type="cellIs" dxfId="139" priority="4" stopIfTrue="1" operator="greaterThan">
      <formula>$D$101*0.1</formula>
    </cfRule>
  </conditionalFormatting>
  <conditionalFormatting sqref="C99">
    <cfRule type="cellIs" dxfId="138" priority="5" stopIfTrue="1" operator="greaterThan">
      <formula>$C$101*0.1</formula>
    </cfRule>
  </conditionalFormatting>
  <conditionalFormatting sqref="C102">
    <cfRule type="cellIs" dxfId="137" priority="6" stopIfTrue="1" operator="lessThan">
      <formula>0</formula>
    </cfRule>
  </conditionalFormatting>
  <conditionalFormatting sqref="D101">
    <cfRule type="cellIs" dxfId="136" priority="7" stopIfTrue="1" operator="greaterThan">
      <formula>$D$103</formula>
    </cfRule>
  </conditionalFormatting>
  <conditionalFormatting sqref="C101">
    <cfRule type="cellIs" dxfId="135" priority="8" stopIfTrue="1" operator="greaterThan">
      <formula>$C$103</formula>
    </cfRule>
  </conditionalFormatting>
  <conditionalFormatting sqref="D42">
    <cfRule type="cellIs" dxfId="134" priority="9" stopIfTrue="1" operator="greaterThan">
      <formula>$D$44*0.1</formula>
    </cfRule>
  </conditionalFormatting>
  <conditionalFormatting sqref="C42">
    <cfRule type="cellIs" dxfId="133" priority="10" stopIfTrue="1" operator="greaterThan">
      <formula>$C$44*0.1</formula>
    </cfRule>
  </conditionalFormatting>
  <conditionalFormatting sqref="E42">
    <cfRule type="cellIs" dxfId="132" priority="11" stopIfTrue="1" operator="greaterThan">
      <formula>$E$44*0.1+E108</formula>
    </cfRule>
  </conditionalFormatting>
  <conditionalFormatting sqref="D102">
    <cfRule type="cellIs" dxfId="131" priority="1" stopIfTrue="1" operator="lessThan">
      <formula>0</formula>
    </cfRule>
  </conditionalFormatting>
  <pageMargins left="1" right="0.5" top="0.81" bottom="0.36" header="0.5" footer="0"/>
  <pageSetup scale="65" fitToHeight="2" orientation="portrait" blackAndWhite="1" r:id="rId1"/>
  <headerFooter alignWithMargins="0">
    <oddHeader xml:space="preserve">&amp;RState of Kansas
County
</oddHeader>
  </headerFooter>
  <rowBreaks count="1" manualBreakCount="1">
    <brk id="47" max="4" man="1"/>
  </rowBreaks>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365"/>
  <sheetViews>
    <sheetView topLeftCell="A115" zoomScaleNormal="100" workbookViewId="0">
      <selection activeCell="D142" sqref="D142"/>
    </sheetView>
  </sheetViews>
  <sheetFormatPr defaultColWidth="8.9140625" defaultRowHeight="15.6" x14ac:dyDescent="0.25"/>
  <cols>
    <col min="1" max="1" width="30.75" style="25" customWidth="1"/>
    <col min="2" max="3" width="15.75" style="25" customWidth="1"/>
    <col min="4" max="4" width="16.08203125" style="25" customWidth="1"/>
    <col min="5" max="16384" width="8.9140625" style="25"/>
  </cols>
  <sheetData>
    <row r="1" spans="1:4" x14ac:dyDescent="0.25">
      <c r="A1" s="155" t="str">
        <f>inputPrYr!C2</f>
        <v>Edwards County</v>
      </c>
      <c r="B1" s="28"/>
      <c r="C1" s="221"/>
      <c r="D1" s="28">
        <f>inputPrYr!C4</f>
        <v>2015</v>
      </c>
    </row>
    <row r="2" spans="1:4" x14ac:dyDescent="0.25">
      <c r="A2" s="28"/>
      <c r="B2" s="28"/>
      <c r="C2" s="28"/>
      <c r="D2" s="221"/>
    </row>
    <row r="3" spans="1:4" x14ac:dyDescent="0.25">
      <c r="A3" s="93" t="s">
        <v>152</v>
      </c>
      <c r="B3" s="234"/>
      <c r="C3" s="234"/>
      <c r="D3" s="234"/>
    </row>
    <row r="4" spans="1:4" x14ac:dyDescent="0.25">
      <c r="A4" s="221" t="s">
        <v>74</v>
      </c>
      <c r="B4" s="461" t="s">
        <v>296</v>
      </c>
      <c r="C4" s="462" t="s">
        <v>297</v>
      </c>
      <c r="D4" s="151" t="s">
        <v>298</v>
      </c>
    </row>
    <row r="5" spans="1:4" x14ac:dyDescent="0.25">
      <c r="A5" s="345" t="s">
        <v>263</v>
      </c>
      <c r="B5" s="332" t="str">
        <f>CONCATENATE("Actual for ",D1-2,"")</f>
        <v>Actual for 2013</v>
      </c>
      <c r="C5" s="332" t="str">
        <f>CONCATENATE("Estimate for ",D1-1,"")</f>
        <v>Estimate for 2014</v>
      </c>
      <c r="D5" s="222" t="str">
        <f>CONCATENATE("Year for ",D1,"")</f>
        <v>Year for 2015</v>
      </c>
    </row>
    <row r="6" spans="1:4" x14ac:dyDescent="0.25">
      <c r="A6" s="182" t="s">
        <v>85</v>
      </c>
      <c r="B6" s="68"/>
      <c r="C6" s="68"/>
      <c r="D6" s="68"/>
    </row>
    <row r="7" spans="1:4" x14ac:dyDescent="0.25">
      <c r="A7" s="556" t="s">
        <v>370</v>
      </c>
      <c r="B7" s="68"/>
      <c r="C7" s="68"/>
      <c r="D7" s="68"/>
    </row>
    <row r="8" spans="1:4" x14ac:dyDescent="0.25">
      <c r="A8" s="552" t="s">
        <v>90</v>
      </c>
      <c r="B8" s="226">
        <v>47295</v>
      </c>
      <c r="C8" s="226">
        <v>48500</v>
      </c>
      <c r="D8" s="226">
        <v>49500</v>
      </c>
    </row>
    <row r="9" spans="1:4" x14ac:dyDescent="0.25">
      <c r="A9" s="552" t="s">
        <v>91</v>
      </c>
      <c r="B9" s="226">
        <v>234</v>
      </c>
      <c r="C9" s="226">
        <v>1000</v>
      </c>
      <c r="D9" s="226">
        <v>1500</v>
      </c>
    </row>
    <row r="10" spans="1:4" x14ac:dyDescent="0.25">
      <c r="A10" s="552" t="s">
        <v>92</v>
      </c>
      <c r="B10" s="226"/>
      <c r="C10" s="226">
        <v>500</v>
      </c>
      <c r="D10" s="226">
        <v>500</v>
      </c>
    </row>
    <row r="11" spans="1:4" x14ac:dyDescent="0.25">
      <c r="A11" s="552" t="s">
        <v>93</v>
      </c>
      <c r="B11" s="226">
        <v>85</v>
      </c>
      <c r="C11" s="226"/>
      <c r="D11" s="226"/>
    </row>
    <row r="12" spans="1:4" x14ac:dyDescent="0.25">
      <c r="A12" s="553"/>
      <c r="B12" s="226"/>
      <c r="C12" s="226"/>
      <c r="D12" s="226"/>
    </row>
    <row r="13" spans="1:4" x14ac:dyDescent="0.25">
      <c r="A13" s="554" t="s">
        <v>46</v>
      </c>
      <c r="B13" s="244">
        <f>SUM(B8:B12)</f>
        <v>47614</v>
      </c>
      <c r="C13" s="244">
        <f>SUM(C8:C12)</f>
        <v>50000</v>
      </c>
      <c r="D13" s="244">
        <f>SUM(D8:D12)</f>
        <v>51500</v>
      </c>
    </row>
    <row r="14" spans="1:4" x14ac:dyDescent="0.25">
      <c r="A14" s="556" t="s">
        <v>64</v>
      </c>
      <c r="B14" s="68"/>
      <c r="C14" s="68"/>
      <c r="D14" s="68"/>
    </row>
    <row r="15" spans="1:4" x14ac:dyDescent="0.25">
      <c r="A15" s="552" t="s">
        <v>90</v>
      </c>
      <c r="B15" s="226">
        <v>81970</v>
      </c>
      <c r="C15" s="226">
        <v>85000</v>
      </c>
      <c r="D15" s="226">
        <v>89000</v>
      </c>
    </row>
    <row r="16" spans="1:4" x14ac:dyDescent="0.25">
      <c r="A16" s="552" t="s">
        <v>91</v>
      </c>
      <c r="B16" s="226">
        <v>565</v>
      </c>
      <c r="C16" s="226">
        <v>2500</v>
      </c>
      <c r="D16" s="226">
        <v>4000</v>
      </c>
    </row>
    <row r="17" spans="1:4" x14ac:dyDescent="0.25">
      <c r="A17" s="552" t="s">
        <v>92</v>
      </c>
      <c r="B17" s="226">
        <v>609</v>
      </c>
      <c r="C17" s="226">
        <v>2500</v>
      </c>
      <c r="D17" s="226">
        <v>4000</v>
      </c>
    </row>
    <row r="18" spans="1:4" s="627" customFormat="1" x14ac:dyDescent="0.25">
      <c r="A18" s="628" t="s">
        <v>93</v>
      </c>
      <c r="B18" s="633"/>
      <c r="C18" s="633"/>
      <c r="D18" s="633"/>
    </row>
    <row r="19" spans="1:4" x14ac:dyDescent="0.25">
      <c r="A19" s="628" t="s">
        <v>371</v>
      </c>
      <c r="B19" s="226">
        <v>-295</v>
      </c>
      <c r="C19" s="226"/>
      <c r="D19" s="226"/>
    </row>
    <row r="20" spans="1:4" x14ac:dyDescent="0.25">
      <c r="A20" s="632" t="s">
        <v>46</v>
      </c>
      <c r="B20" s="244">
        <f>SUM(B15:B19)</f>
        <v>82849</v>
      </c>
      <c r="C20" s="244">
        <f>SUM(C15:C19)</f>
        <v>90000</v>
      </c>
      <c r="D20" s="244">
        <f>SUM(D15:D19)</f>
        <v>97000</v>
      </c>
    </row>
    <row r="21" spans="1:4" x14ac:dyDescent="0.25">
      <c r="A21" s="637" t="s">
        <v>96</v>
      </c>
      <c r="B21" s="68"/>
      <c r="C21" s="68"/>
      <c r="D21" s="68"/>
    </row>
    <row r="22" spans="1:4" x14ac:dyDescent="0.25">
      <c r="A22" s="628" t="s">
        <v>90</v>
      </c>
      <c r="B22" s="226">
        <v>94038</v>
      </c>
      <c r="C22" s="226">
        <v>106500</v>
      </c>
      <c r="D22" s="226">
        <v>107000</v>
      </c>
    </row>
    <row r="23" spans="1:4" x14ac:dyDescent="0.25">
      <c r="A23" s="628" t="s">
        <v>91</v>
      </c>
      <c r="B23" s="226">
        <v>3075</v>
      </c>
      <c r="C23" s="226">
        <v>5500</v>
      </c>
      <c r="D23" s="226">
        <v>5000</v>
      </c>
    </row>
    <row r="24" spans="1:4" x14ac:dyDescent="0.25">
      <c r="A24" s="628" t="s">
        <v>92</v>
      </c>
      <c r="B24" s="226">
        <v>860</v>
      </c>
      <c r="C24" s="226">
        <v>1000</v>
      </c>
      <c r="D24" s="226">
        <v>1000</v>
      </c>
    </row>
    <row r="25" spans="1:4" x14ac:dyDescent="0.25">
      <c r="A25" s="628" t="s">
        <v>93</v>
      </c>
      <c r="B25" s="226"/>
      <c r="C25" s="226"/>
      <c r="D25" s="226">
        <v>1000</v>
      </c>
    </row>
    <row r="26" spans="1:4" x14ac:dyDescent="0.25">
      <c r="A26" s="632" t="s">
        <v>46</v>
      </c>
      <c r="B26" s="244">
        <f>SUM(B22:B25)</f>
        <v>97973</v>
      </c>
      <c r="C26" s="244">
        <f>SUM(C22:C25)</f>
        <v>113000</v>
      </c>
      <c r="D26" s="244">
        <f>SUM(D22:D25)</f>
        <v>114000</v>
      </c>
    </row>
    <row r="27" spans="1:4" x14ac:dyDescent="0.25">
      <c r="A27" s="637" t="s">
        <v>372</v>
      </c>
      <c r="B27" s="68"/>
      <c r="C27" s="68"/>
      <c r="D27" s="68"/>
    </row>
    <row r="28" spans="1:4" x14ac:dyDescent="0.25">
      <c r="A28" s="628" t="s">
        <v>90</v>
      </c>
      <c r="B28" s="226">
        <v>35371</v>
      </c>
      <c r="C28" s="226">
        <v>35000</v>
      </c>
      <c r="D28" s="226">
        <v>35000</v>
      </c>
    </row>
    <row r="29" spans="1:4" x14ac:dyDescent="0.25">
      <c r="A29" s="628" t="s">
        <v>91</v>
      </c>
      <c r="B29" s="226">
        <v>38457</v>
      </c>
      <c r="C29" s="226">
        <v>32000</v>
      </c>
      <c r="D29" s="226">
        <v>33100</v>
      </c>
    </row>
    <row r="30" spans="1:4" x14ac:dyDescent="0.25">
      <c r="A30" s="628" t="s">
        <v>92</v>
      </c>
      <c r="B30" s="226">
        <v>679</v>
      </c>
      <c r="C30" s="226">
        <v>1000</v>
      </c>
      <c r="D30" s="226">
        <v>1000</v>
      </c>
    </row>
    <row r="31" spans="1:4" x14ac:dyDescent="0.25">
      <c r="A31" s="628" t="s">
        <v>93</v>
      </c>
      <c r="B31" s="226"/>
      <c r="C31" s="226"/>
      <c r="D31" s="226"/>
    </row>
    <row r="32" spans="1:4" x14ac:dyDescent="0.25">
      <c r="A32" s="632" t="s">
        <v>46</v>
      </c>
      <c r="B32" s="244">
        <f>SUM(B28:B31)</f>
        <v>74507</v>
      </c>
      <c r="C32" s="244">
        <f>SUM(C28:C31)</f>
        <v>68000</v>
      </c>
      <c r="D32" s="244">
        <f>SUM(D28:D31)</f>
        <v>69100</v>
      </c>
    </row>
    <row r="33" spans="1:4" x14ac:dyDescent="0.25">
      <c r="A33" s="637" t="s">
        <v>103</v>
      </c>
      <c r="B33" s="68"/>
      <c r="C33" s="68"/>
      <c r="D33" s="68"/>
    </row>
    <row r="34" spans="1:4" x14ac:dyDescent="0.25">
      <c r="A34" s="628" t="s">
        <v>90</v>
      </c>
      <c r="B34" s="226">
        <v>61438</v>
      </c>
      <c r="C34" s="226">
        <v>66650</v>
      </c>
      <c r="D34" s="226">
        <v>70483</v>
      </c>
    </row>
    <row r="35" spans="1:4" x14ac:dyDescent="0.25">
      <c r="A35" s="628" t="s">
        <v>91</v>
      </c>
      <c r="B35" s="226">
        <v>4442</v>
      </c>
      <c r="C35" s="226">
        <v>2625</v>
      </c>
      <c r="D35" s="226">
        <v>2756</v>
      </c>
    </row>
    <row r="36" spans="1:4" x14ac:dyDescent="0.25">
      <c r="A36" s="628" t="s">
        <v>92</v>
      </c>
      <c r="B36" s="226">
        <v>1837</v>
      </c>
      <c r="C36" s="226">
        <v>2625</v>
      </c>
      <c r="D36" s="226">
        <v>2756</v>
      </c>
    </row>
    <row r="37" spans="1:4" x14ac:dyDescent="0.25">
      <c r="A37" s="628" t="s">
        <v>93</v>
      </c>
      <c r="B37" s="226"/>
      <c r="C37" s="226">
        <v>2100</v>
      </c>
      <c r="D37" s="226">
        <f>2205-1500</f>
        <v>705</v>
      </c>
    </row>
    <row r="38" spans="1:4" x14ac:dyDescent="0.25">
      <c r="A38" s="632" t="s">
        <v>46</v>
      </c>
      <c r="B38" s="244">
        <f>SUM(B34:B37)</f>
        <v>67717</v>
      </c>
      <c r="C38" s="244">
        <f>SUM(C34:C37)</f>
        <v>74000</v>
      </c>
      <c r="D38" s="244">
        <f>SUM(D34:D37)</f>
        <v>76700</v>
      </c>
    </row>
    <row r="39" spans="1:4" x14ac:dyDescent="0.25">
      <c r="A39" s="637" t="s">
        <v>73</v>
      </c>
      <c r="B39" s="68"/>
      <c r="C39" s="68"/>
      <c r="D39" s="68"/>
    </row>
    <row r="40" spans="1:4" x14ac:dyDescent="0.25">
      <c r="A40" s="628" t="s">
        <v>90</v>
      </c>
      <c r="B40" s="226"/>
      <c r="C40" s="226"/>
      <c r="D40" s="226"/>
    </row>
    <row r="41" spans="1:4" x14ac:dyDescent="0.25">
      <c r="A41" s="628" t="s">
        <v>91</v>
      </c>
      <c r="B41" s="226">
        <v>43034</v>
      </c>
      <c r="C41" s="226">
        <v>44238</v>
      </c>
      <c r="D41" s="226">
        <v>44331</v>
      </c>
    </row>
    <row r="42" spans="1:4" x14ac:dyDescent="0.25">
      <c r="A42" s="628" t="s">
        <v>92</v>
      </c>
      <c r="B42" s="226">
        <v>1666</v>
      </c>
      <c r="C42" s="226">
        <v>2400</v>
      </c>
      <c r="D42" s="226">
        <v>2400</v>
      </c>
    </row>
    <row r="43" spans="1:4" s="627" customFormat="1" x14ac:dyDescent="0.25">
      <c r="A43" s="628" t="s">
        <v>93</v>
      </c>
      <c r="B43" s="633">
        <v>4428</v>
      </c>
      <c r="C43" s="633">
        <v>5000</v>
      </c>
      <c r="D43" s="633">
        <v>5000</v>
      </c>
    </row>
    <row r="44" spans="1:4" x14ac:dyDescent="0.25">
      <c r="A44" s="628" t="s">
        <v>371</v>
      </c>
      <c r="B44" s="226">
        <v>-2155</v>
      </c>
      <c r="C44" s="226"/>
      <c r="D44" s="226"/>
    </row>
    <row r="45" spans="1:4" x14ac:dyDescent="0.25">
      <c r="A45" s="632" t="s">
        <v>46</v>
      </c>
      <c r="B45" s="244">
        <f>SUM(B40:B44)</f>
        <v>46973</v>
      </c>
      <c r="C45" s="244">
        <f>SUM(C40:C44)</f>
        <v>51638</v>
      </c>
      <c r="D45" s="244">
        <f>SUM(D40:D44)</f>
        <v>51731</v>
      </c>
    </row>
    <row r="46" spans="1:4" x14ac:dyDescent="0.25">
      <c r="A46" s="560" t="s">
        <v>373</v>
      </c>
      <c r="B46" s="68"/>
      <c r="C46" s="68"/>
      <c r="D46" s="68"/>
    </row>
    <row r="47" spans="1:4" x14ac:dyDescent="0.25">
      <c r="A47" s="559" t="s">
        <v>90</v>
      </c>
      <c r="B47" s="226"/>
      <c r="C47" s="226"/>
      <c r="D47" s="226"/>
    </row>
    <row r="48" spans="1:4" x14ac:dyDescent="0.25">
      <c r="A48" s="559" t="s">
        <v>91</v>
      </c>
      <c r="B48" s="226">
        <v>146013</v>
      </c>
      <c r="C48" s="226">
        <v>175000</v>
      </c>
      <c r="D48" s="226">
        <v>200000</v>
      </c>
    </row>
    <row r="49" spans="1:4" x14ac:dyDescent="0.25">
      <c r="A49" s="559" t="s">
        <v>92</v>
      </c>
      <c r="B49" s="226">
        <v>29691</v>
      </c>
      <c r="C49" s="226">
        <v>35000</v>
      </c>
      <c r="D49" s="226">
        <v>35000</v>
      </c>
    </row>
    <row r="50" spans="1:4" x14ac:dyDescent="0.25">
      <c r="A50" s="559" t="s">
        <v>93</v>
      </c>
      <c r="B50" s="558">
        <v>1840</v>
      </c>
      <c r="C50" s="558">
        <v>3000</v>
      </c>
      <c r="D50" s="558">
        <v>3000</v>
      </c>
    </row>
    <row r="51" spans="1:4" x14ac:dyDescent="0.25">
      <c r="A51" s="559" t="s">
        <v>374</v>
      </c>
      <c r="B51" s="555">
        <v>9063</v>
      </c>
      <c r="C51" s="555">
        <v>14000</v>
      </c>
      <c r="D51" s="555">
        <v>14000</v>
      </c>
    </row>
    <row r="52" spans="1:4" x14ac:dyDescent="0.25">
      <c r="A52" s="559" t="s">
        <v>371</v>
      </c>
      <c r="B52" s="226">
        <v>-1702</v>
      </c>
      <c r="C52" s="226"/>
      <c r="D52" s="226"/>
    </row>
    <row r="53" spans="1:4" x14ac:dyDescent="0.25">
      <c r="A53" s="554" t="s">
        <v>46</v>
      </c>
      <c r="B53" s="238">
        <f>SUM(B47:B52)</f>
        <v>184905</v>
      </c>
      <c r="C53" s="238">
        <f>SUM(C47:C52)</f>
        <v>227000</v>
      </c>
      <c r="D53" s="238">
        <f>SUM(D47:D52)</f>
        <v>252000</v>
      </c>
    </row>
    <row r="54" spans="1:4" x14ac:dyDescent="0.25">
      <c r="A54" s="28"/>
      <c r="B54" s="68"/>
      <c r="C54" s="68"/>
      <c r="D54" s="68"/>
    </row>
    <row r="55" spans="1:4" x14ac:dyDescent="0.25">
      <c r="A55" s="221" t="s">
        <v>205</v>
      </c>
      <c r="B55" s="232">
        <f>B13+B20+B26+B32+B38+B45++B53</f>
        <v>602538</v>
      </c>
      <c r="C55" s="635">
        <f>C13+C20+C26+C32+C38+C45++C53</f>
        <v>673638</v>
      </c>
      <c r="D55" s="635">
        <f>D13+D20+D26+D32+D38+D45++D53</f>
        <v>712031</v>
      </c>
    </row>
    <row r="56" spans="1:4" s="557" customFormat="1" x14ac:dyDescent="0.25">
      <c r="A56" s="28"/>
      <c r="B56" s="155"/>
      <c r="C56" s="155"/>
      <c r="D56" s="155"/>
    </row>
    <row r="57" spans="1:4" s="551" customFormat="1" x14ac:dyDescent="0.25">
      <c r="A57" s="715" t="s">
        <v>197</v>
      </c>
      <c r="B57" s="715"/>
      <c r="C57" s="715"/>
      <c r="D57" s="715"/>
    </row>
    <row r="58" spans="1:4" x14ac:dyDescent="0.25">
      <c r="A58" s="28"/>
      <c r="B58" s="155"/>
      <c r="C58" s="155"/>
      <c r="D58" s="155"/>
    </row>
    <row r="59" spans="1:4" x14ac:dyDescent="0.25">
      <c r="A59" s="155" t="str">
        <f>inputPrYr!C2</f>
        <v>Edwards County</v>
      </c>
      <c r="B59" s="155"/>
      <c r="C59" s="27"/>
      <c r="D59" s="245">
        <f>D1</f>
        <v>2015</v>
      </c>
    </row>
    <row r="60" spans="1:4" x14ac:dyDescent="0.25">
      <c r="A60" s="28"/>
      <c r="B60" s="155"/>
      <c r="C60" s="155"/>
      <c r="D60" s="27"/>
    </row>
    <row r="61" spans="1:4" x14ac:dyDescent="0.25">
      <c r="A61" s="233" t="s">
        <v>151</v>
      </c>
      <c r="B61" s="246"/>
      <c r="C61" s="246"/>
      <c r="D61" s="246"/>
    </row>
    <row r="62" spans="1:4" x14ac:dyDescent="0.25">
      <c r="A62" s="28" t="s">
        <v>74</v>
      </c>
      <c r="B62" s="242" t="str">
        <f t="shared" ref="B62:D63" si="0">B4</f>
        <v xml:space="preserve">Prior Year </v>
      </c>
      <c r="C62" s="151" t="str">
        <f t="shared" si="0"/>
        <v xml:space="preserve">Current Year </v>
      </c>
      <c r="D62" s="151" t="str">
        <f t="shared" si="0"/>
        <v xml:space="preserve">Proposed Budget </v>
      </c>
    </row>
    <row r="63" spans="1:4" x14ac:dyDescent="0.25">
      <c r="A63" s="55" t="s">
        <v>89</v>
      </c>
      <c r="B63" s="235" t="str">
        <f t="shared" si="0"/>
        <v>Actual for 2013</v>
      </c>
      <c r="C63" s="235" t="str">
        <f t="shared" si="0"/>
        <v>Estimate for 2014</v>
      </c>
      <c r="D63" s="235" t="str">
        <f t="shared" si="0"/>
        <v>Year for 2015</v>
      </c>
    </row>
    <row r="64" spans="1:4" x14ac:dyDescent="0.25">
      <c r="A64" s="221" t="s">
        <v>85</v>
      </c>
      <c r="B64" s="68"/>
      <c r="C64" s="68"/>
      <c r="D64" s="68"/>
    </row>
    <row r="65" spans="1:4" x14ac:dyDescent="0.25">
      <c r="A65" s="563" t="s">
        <v>95</v>
      </c>
      <c r="B65" s="68"/>
      <c r="C65" s="68"/>
      <c r="D65" s="68"/>
    </row>
    <row r="66" spans="1:4" x14ac:dyDescent="0.25">
      <c r="A66" s="561" t="s">
        <v>90</v>
      </c>
      <c r="B66" s="226">
        <v>83088</v>
      </c>
      <c r="C66" s="226">
        <v>96500</v>
      </c>
      <c r="D66" s="226">
        <v>107000</v>
      </c>
    </row>
    <row r="67" spans="1:4" x14ac:dyDescent="0.25">
      <c r="A67" s="561" t="s">
        <v>91</v>
      </c>
      <c r="B67" s="226">
        <v>14250</v>
      </c>
      <c r="C67" s="226">
        <v>18000</v>
      </c>
      <c r="D67" s="226">
        <v>20000</v>
      </c>
    </row>
    <row r="68" spans="1:4" x14ac:dyDescent="0.25">
      <c r="A68" s="561" t="s">
        <v>92</v>
      </c>
      <c r="B68" s="226">
        <v>1736</v>
      </c>
      <c r="C68" s="226">
        <v>2500</v>
      </c>
      <c r="D68" s="226">
        <v>2500</v>
      </c>
    </row>
    <row r="69" spans="1:4" x14ac:dyDescent="0.25">
      <c r="A69" s="561" t="s">
        <v>93</v>
      </c>
      <c r="B69" s="226"/>
      <c r="C69" s="226">
        <v>1000</v>
      </c>
      <c r="D69" s="226">
        <v>1000</v>
      </c>
    </row>
    <row r="70" spans="1:4" x14ac:dyDescent="0.25">
      <c r="A70" s="562" t="s">
        <v>46</v>
      </c>
      <c r="B70" s="244">
        <f>SUM(B66:B69)</f>
        <v>99074</v>
      </c>
      <c r="C70" s="244">
        <f>SUM(C66:C69)</f>
        <v>118000</v>
      </c>
      <c r="D70" s="244">
        <f>SUM(D66:D69)</f>
        <v>130500</v>
      </c>
    </row>
    <row r="71" spans="1:4" x14ac:dyDescent="0.25">
      <c r="A71" s="563" t="s">
        <v>375</v>
      </c>
      <c r="B71" s="68"/>
      <c r="C71" s="68"/>
      <c r="D71" s="68"/>
    </row>
    <row r="72" spans="1:4" x14ac:dyDescent="0.25">
      <c r="A72" s="561" t="s">
        <v>90</v>
      </c>
      <c r="B72" s="226"/>
      <c r="C72" s="226"/>
      <c r="D72" s="226"/>
    </row>
    <row r="73" spans="1:4" x14ac:dyDescent="0.25">
      <c r="A73" s="561" t="s">
        <v>91</v>
      </c>
      <c r="B73" s="226">
        <v>10148</v>
      </c>
      <c r="C73" s="226">
        <v>11000</v>
      </c>
      <c r="D73" s="226">
        <v>11000</v>
      </c>
    </row>
    <row r="74" spans="1:4" x14ac:dyDescent="0.25">
      <c r="A74" s="561" t="s">
        <v>92</v>
      </c>
      <c r="B74" s="226"/>
      <c r="C74" s="226"/>
      <c r="D74" s="226"/>
    </row>
    <row r="75" spans="1:4" x14ac:dyDescent="0.25">
      <c r="A75" s="561" t="s">
        <v>93</v>
      </c>
      <c r="B75" s="226"/>
      <c r="C75" s="226"/>
      <c r="D75" s="226"/>
    </row>
    <row r="76" spans="1:4" x14ac:dyDescent="0.25">
      <c r="A76" s="564" t="s">
        <v>46</v>
      </c>
      <c r="B76" s="238">
        <f>SUM(B72:B75)</f>
        <v>10148</v>
      </c>
      <c r="C76" s="238">
        <f>SUM(C72:C75)</f>
        <v>11000</v>
      </c>
      <c r="D76" s="238">
        <f>SUM(D72:D75)</f>
        <v>11000</v>
      </c>
    </row>
    <row r="77" spans="1:4" x14ac:dyDescent="0.25">
      <c r="A77" s="563" t="s">
        <v>376</v>
      </c>
      <c r="B77" s="68"/>
      <c r="C77" s="68"/>
      <c r="D77" s="68"/>
    </row>
    <row r="78" spans="1:4" x14ac:dyDescent="0.25">
      <c r="A78" s="561" t="s">
        <v>90</v>
      </c>
      <c r="B78" s="226">
        <v>2507</v>
      </c>
      <c r="C78" s="226">
        <v>2500</v>
      </c>
      <c r="D78" s="226">
        <v>3000</v>
      </c>
    </row>
    <row r="79" spans="1:4" x14ac:dyDescent="0.25">
      <c r="A79" s="561" t="s">
        <v>91</v>
      </c>
      <c r="B79" s="226"/>
      <c r="C79" s="226"/>
      <c r="D79" s="226">
        <v>500</v>
      </c>
    </row>
    <row r="80" spans="1:4" x14ac:dyDescent="0.25">
      <c r="A80" s="561" t="s">
        <v>92</v>
      </c>
      <c r="B80" s="226"/>
      <c r="C80" s="226"/>
      <c r="D80" s="226"/>
    </row>
    <row r="81" spans="1:4" x14ac:dyDescent="0.25">
      <c r="A81" s="561" t="s">
        <v>93</v>
      </c>
      <c r="B81" s="226"/>
      <c r="C81" s="226"/>
      <c r="D81" s="226"/>
    </row>
    <row r="82" spans="1:4" x14ac:dyDescent="0.25">
      <c r="A82" s="562" t="s">
        <v>46</v>
      </c>
      <c r="B82" s="238">
        <f>SUM(B78:B81)</f>
        <v>2507</v>
      </c>
      <c r="C82" s="238">
        <f>SUM(C78:C81)</f>
        <v>2500</v>
      </c>
      <c r="D82" s="238">
        <f>SUM(D78:D81)</f>
        <v>3500</v>
      </c>
    </row>
    <row r="83" spans="1:4" x14ac:dyDescent="0.25">
      <c r="A83" s="563" t="s">
        <v>98</v>
      </c>
      <c r="B83" s="68"/>
      <c r="C83" s="68"/>
      <c r="D83" s="68"/>
    </row>
    <row r="84" spans="1:4" x14ac:dyDescent="0.25">
      <c r="A84" s="561" t="s">
        <v>90</v>
      </c>
      <c r="B84" s="226">
        <v>8711</v>
      </c>
      <c r="C84" s="226">
        <v>12500</v>
      </c>
      <c r="D84" s="226">
        <v>12500</v>
      </c>
    </row>
    <row r="85" spans="1:4" x14ac:dyDescent="0.25">
      <c r="A85" s="561" t="s">
        <v>91</v>
      </c>
      <c r="B85" s="226">
        <v>9657</v>
      </c>
      <c r="C85" s="226">
        <v>19000</v>
      </c>
      <c r="D85" s="226">
        <v>19000</v>
      </c>
    </row>
    <row r="86" spans="1:4" x14ac:dyDescent="0.25">
      <c r="A86" s="561" t="s">
        <v>92</v>
      </c>
      <c r="B86" s="226">
        <v>468</v>
      </c>
      <c r="C86" s="226">
        <v>2500</v>
      </c>
      <c r="D86" s="226">
        <v>2500</v>
      </c>
    </row>
    <row r="87" spans="1:4" x14ac:dyDescent="0.25">
      <c r="A87" s="561" t="s">
        <v>93</v>
      </c>
      <c r="B87" s="226"/>
      <c r="C87" s="226"/>
      <c r="D87" s="226"/>
    </row>
    <row r="88" spans="1:4" x14ac:dyDescent="0.25">
      <c r="A88" s="221" t="s">
        <v>46</v>
      </c>
      <c r="B88" s="238">
        <f>SUM(B84:B87)</f>
        <v>18836</v>
      </c>
      <c r="C88" s="238">
        <f>SUM(C84:C87)</f>
        <v>34000</v>
      </c>
      <c r="D88" s="238">
        <f>SUM(D84:D87)</f>
        <v>34000</v>
      </c>
    </row>
    <row r="89" spans="1:4" x14ac:dyDescent="0.25">
      <c r="A89" s="566" t="s">
        <v>377</v>
      </c>
      <c r="B89" s="68"/>
      <c r="C89" s="68"/>
      <c r="D89" s="68"/>
    </row>
    <row r="90" spans="1:4" x14ac:dyDescent="0.25">
      <c r="A90" s="565" t="s">
        <v>91</v>
      </c>
      <c r="B90" s="226">
        <v>75701</v>
      </c>
      <c r="C90" s="226">
        <v>80000</v>
      </c>
      <c r="D90" s="226">
        <v>85500</v>
      </c>
    </row>
    <row r="91" spans="1:4" x14ac:dyDescent="0.25">
      <c r="A91" s="221" t="s">
        <v>46</v>
      </c>
      <c r="B91" s="238">
        <f>SUM(B90:B90)</f>
        <v>75701</v>
      </c>
      <c r="C91" s="238">
        <f>SUM(C90:C90)</f>
        <v>80000</v>
      </c>
      <c r="D91" s="238">
        <f>SUM(D90:D90)</f>
        <v>85500</v>
      </c>
    </row>
    <row r="92" spans="1:4" x14ac:dyDescent="0.25">
      <c r="A92" s="569" t="s">
        <v>105</v>
      </c>
      <c r="B92" s="68"/>
      <c r="C92" s="68"/>
      <c r="D92" s="68"/>
    </row>
    <row r="93" spans="1:4" x14ac:dyDescent="0.25">
      <c r="A93" s="565" t="s">
        <v>379</v>
      </c>
      <c r="B93" s="226">
        <v>22955</v>
      </c>
      <c r="C93" s="226">
        <v>22955</v>
      </c>
      <c r="D93" s="226">
        <v>27955</v>
      </c>
    </row>
    <row r="94" spans="1:4" x14ac:dyDescent="0.25">
      <c r="A94" s="221" t="s">
        <v>46</v>
      </c>
      <c r="B94" s="238">
        <f>SUM(B93:B93)</f>
        <v>22955</v>
      </c>
      <c r="C94" s="238">
        <f>SUM(C93:C93)</f>
        <v>22955</v>
      </c>
      <c r="D94" s="238">
        <f>SUM(D93:D93)</f>
        <v>27955</v>
      </c>
    </row>
    <row r="95" spans="1:4" x14ac:dyDescent="0.25">
      <c r="A95" s="573" t="s">
        <v>380</v>
      </c>
      <c r="B95" s="68"/>
      <c r="C95" s="68"/>
      <c r="D95" s="68"/>
    </row>
    <row r="96" spans="1:4" x14ac:dyDescent="0.25">
      <c r="A96" s="571" t="s">
        <v>90</v>
      </c>
      <c r="B96" s="226">
        <v>379948</v>
      </c>
      <c r="C96" s="226">
        <v>413400</v>
      </c>
      <c r="D96" s="226">
        <v>446400</v>
      </c>
    </row>
    <row r="97" spans="1:4" x14ac:dyDescent="0.25">
      <c r="A97" s="571" t="s">
        <v>91</v>
      </c>
      <c r="B97" s="226">
        <v>28472</v>
      </c>
      <c r="C97" s="226">
        <v>40000</v>
      </c>
      <c r="D97" s="226">
        <v>41060</v>
      </c>
    </row>
    <row r="98" spans="1:4" x14ac:dyDescent="0.25">
      <c r="A98" s="571" t="s">
        <v>92</v>
      </c>
      <c r="B98" s="226">
        <v>68971</v>
      </c>
      <c r="C98" s="226">
        <v>75000</v>
      </c>
      <c r="D98" s="226">
        <v>77800</v>
      </c>
    </row>
    <row r="99" spans="1:4" x14ac:dyDescent="0.25">
      <c r="A99" s="571" t="s">
        <v>93</v>
      </c>
      <c r="B99" s="568">
        <v>10736</v>
      </c>
      <c r="C99" s="568">
        <v>3500</v>
      </c>
      <c r="D99" s="568">
        <v>45000</v>
      </c>
    </row>
    <row r="100" spans="1:4" x14ac:dyDescent="0.25">
      <c r="A100" s="571" t="s">
        <v>371</v>
      </c>
      <c r="B100" s="226">
        <v>-1120</v>
      </c>
      <c r="C100" s="226"/>
      <c r="D100" s="226"/>
    </row>
    <row r="101" spans="1:4" x14ac:dyDescent="0.25">
      <c r="A101" s="221" t="s">
        <v>46</v>
      </c>
      <c r="B101" s="238">
        <f>SUM(B96:B100)</f>
        <v>487007</v>
      </c>
      <c r="C101" s="238">
        <f>SUM(C96:C100)</f>
        <v>531900</v>
      </c>
      <c r="D101" s="238">
        <f>SUM(D96:D100)</f>
        <v>610260</v>
      </c>
    </row>
    <row r="102" spans="1:4" x14ac:dyDescent="0.25">
      <c r="A102" s="575" t="s">
        <v>348</v>
      </c>
      <c r="B102" s="68"/>
      <c r="C102" s="68"/>
      <c r="D102" s="68"/>
    </row>
    <row r="103" spans="1:4" x14ac:dyDescent="0.25">
      <c r="A103" s="574" t="s">
        <v>90</v>
      </c>
      <c r="B103" s="226">
        <v>7520</v>
      </c>
      <c r="C103" s="226">
        <v>7500</v>
      </c>
      <c r="D103" s="226">
        <v>8000</v>
      </c>
    </row>
    <row r="104" spans="1:4" x14ac:dyDescent="0.25">
      <c r="A104" s="574" t="s">
        <v>91</v>
      </c>
      <c r="B104" s="226">
        <v>945</v>
      </c>
      <c r="C104" s="226">
        <v>2000</v>
      </c>
      <c r="D104" s="226">
        <v>2000</v>
      </c>
    </row>
    <row r="105" spans="1:4" s="567" customFormat="1" x14ac:dyDescent="0.25">
      <c r="A105" s="574" t="s">
        <v>92</v>
      </c>
      <c r="B105" s="226"/>
      <c r="C105" s="226"/>
      <c r="D105" s="226"/>
    </row>
    <row r="106" spans="1:4" x14ac:dyDescent="0.25">
      <c r="A106" s="574" t="s">
        <v>93</v>
      </c>
      <c r="B106" s="572"/>
      <c r="C106" s="572"/>
      <c r="D106" s="572"/>
    </row>
    <row r="107" spans="1:4" x14ac:dyDescent="0.25">
      <c r="A107" s="574" t="s">
        <v>371</v>
      </c>
      <c r="B107" s="226"/>
      <c r="C107" s="226"/>
      <c r="D107" s="226"/>
    </row>
    <row r="108" spans="1:4" x14ac:dyDescent="0.25">
      <c r="A108" s="221" t="s">
        <v>46</v>
      </c>
      <c r="B108" s="238">
        <f>SUM(B103:B107)</f>
        <v>8465</v>
      </c>
      <c r="C108" s="238">
        <f>SUM(C103:C107)</f>
        <v>9500</v>
      </c>
      <c r="D108" s="238">
        <f>SUM(D103:D107)</f>
        <v>10000</v>
      </c>
    </row>
    <row r="109" spans="1:4" x14ac:dyDescent="0.25">
      <c r="A109" s="28"/>
      <c r="B109" s="68"/>
      <c r="C109" s="68"/>
      <c r="D109" s="68"/>
    </row>
    <row r="110" spans="1:4" x14ac:dyDescent="0.25">
      <c r="A110" s="221" t="s">
        <v>206</v>
      </c>
      <c r="B110" s="232">
        <f>B70+B76+B82+B88+B91+B94+B101+B108</f>
        <v>724693</v>
      </c>
      <c r="C110" s="232">
        <f>C70+C76+C82+C88+C91+C94+C101+C108</f>
        <v>809855</v>
      </c>
      <c r="D110" s="232">
        <f>D70+D76+D82+D88+D91+D94+D101+D108</f>
        <v>912715</v>
      </c>
    </row>
    <row r="111" spans="1:4" x14ac:dyDescent="0.25">
      <c r="A111" s="28"/>
      <c r="B111" s="155"/>
      <c r="C111" s="155"/>
      <c r="D111" s="155"/>
    </row>
    <row r="112" spans="1:4" s="570" customFormat="1" x14ac:dyDescent="0.25">
      <c r="A112" s="715" t="s">
        <v>198</v>
      </c>
      <c r="B112" s="715"/>
      <c r="C112" s="715"/>
      <c r="D112" s="715"/>
    </row>
    <row r="113" spans="1:4" x14ac:dyDescent="0.25">
      <c r="A113" s="155" t="str">
        <f>inputPrYr!C2</f>
        <v>Edwards County</v>
      </c>
      <c r="B113" s="155"/>
      <c r="C113" s="27"/>
      <c r="D113" s="245">
        <f>D1</f>
        <v>2015</v>
      </c>
    </row>
    <row r="114" spans="1:4" x14ac:dyDescent="0.25">
      <c r="A114" s="28"/>
      <c r="B114" s="155"/>
      <c r="C114" s="155"/>
      <c r="D114" s="27"/>
    </row>
    <row r="115" spans="1:4" x14ac:dyDescent="0.25">
      <c r="A115" s="233" t="s">
        <v>151</v>
      </c>
      <c r="B115" s="246"/>
      <c r="C115" s="246"/>
      <c r="D115" s="246"/>
    </row>
    <row r="116" spans="1:4" x14ac:dyDescent="0.25">
      <c r="A116" s="28" t="s">
        <v>74</v>
      </c>
      <c r="B116" s="242" t="str">
        <f t="shared" ref="B116:D117" si="1">B4</f>
        <v xml:space="preserve">Prior Year </v>
      </c>
      <c r="C116" s="151" t="str">
        <f t="shared" si="1"/>
        <v xml:space="preserve">Current Year </v>
      </c>
      <c r="D116" s="151" t="str">
        <f t="shared" si="1"/>
        <v xml:space="preserve">Proposed Budget </v>
      </c>
    </row>
    <row r="117" spans="1:4" x14ac:dyDescent="0.25">
      <c r="A117" s="55" t="s">
        <v>89</v>
      </c>
      <c r="B117" s="235" t="str">
        <f t="shared" si="1"/>
        <v>Actual for 2013</v>
      </c>
      <c r="C117" s="235" t="str">
        <f t="shared" si="1"/>
        <v>Estimate for 2014</v>
      </c>
      <c r="D117" s="235" t="str">
        <f t="shared" si="1"/>
        <v>Year for 2015</v>
      </c>
    </row>
    <row r="118" spans="1:4" x14ac:dyDescent="0.25">
      <c r="A118" s="221" t="s">
        <v>85</v>
      </c>
      <c r="B118" s="68"/>
      <c r="C118" s="68"/>
      <c r="D118" s="68"/>
    </row>
    <row r="119" spans="1:4" x14ac:dyDescent="0.25">
      <c r="A119" s="577" t="s">
        <v>381</v>
      </c>
      <c r="B119" s="68"/>
      <c r="C119" s="68"/>
      <c r="D119" s="68"/>
    </row>
    <row r="120" spans="1:4" x14ac:dyDescent="0.25">
      <c r="A120" s="576" t="s">
        <v>382</v>
      </c>
      <c r="B120" s="226"/>
      <c r="C120" s="226"/>
      <c r="D120" s="226"/>
    </row>
    <row r="121" spans="1:4" x14ac:dyDescent="0.25">
      <c r="A121" s="221" t="s">
        <v>46</v>
      </c>
      <c r="B121" s="238">
        <f>SUM(B120:B120)</f>
        <v>0</v>
      </c>
      <c r="C121" s="238">
        <f>SUM(C120:C120)</f>
        <v>0</v>
      </c>
      <c r="D121" s="238">
        <f>SUM(D120:D120)</f>
        <v>0</v>
      </c>
    </row>
    <row r="122" spans="1:4" x14ac:dyDescent="0.25">
      <c r="A122" s="579" t="s">
        <v>94</v>
      </c>
      <c r="B122" s="68"/>
      <c r="C122" s="68"/>
      <c r="D122" s="68"/>
    </row>
    <row r="123" spans="1:4" x14ac:dyDescent="0.25">
      <c r="A123" s="578" t="s">
        <v>383</v>
      </c>
      <c r="B123" s="226">
        <v>67332</v>
      </c>
      <c r="C123" s="226">
        <v>83868</v>
      </c>
      <c r="D123" s="226">
        <v>84000</v>
      </c>
    </row>
    <row r="124" spans="1:4" x14ac:dyDescent="0.25">
      <c r="A124" s="221" t="s">
        <v>46</v>
      </c>
      <c r="B124" s="238">
        <f>SUM(B123:B123)</f>
        <v>67332</v>
      </c>
      <c r="C124" s="238">
        <f>SUM(C123:C123)</f>
        <v>83868</v>
      </c>
      <c r="D124" s="238">
        <f>SUM(D123:D123)</f>
        <v>84000</v>
      </c>
    </row>
    <row r="125" spans="1:4" x14ac:dyDescent="0.25">
      <c r="A125" s="581" t="s">
        <v>66</v>
      </c>
      <c r="B125" s="68"/>
      <c r="C125" s="68"/>
      <c r="D125" s="68"/>
    </row>
    <row r="126" spans="1:4" x14ac:dyDescent="0.25">
      <c r="A126" s="580" t="s">
        <v>379</v>
      </c>
      <c r="B126" s="226">
        <v>26400</v>
      </c>
      <c r="C126" s="226">
        <v>26000</v>
      </c>
      <c r="D126" s="226">
        <v>26400</v>
      </c>
    </row>
    <row r="127" spans="1:4" x14ac:dyDescent="0.25">
      <c r="A127" s="221" t="s">
        <v>46</v>
      </c>
      <c r="B127" s="238">
        <f>SUM(B126:B126)</f>
        <v>26400</v>
      </c>
      <c r="C127" s="238">
        <f>SUM(C126:C126)</f>
        <v>26000</v>
      </c>
      <c r="D127" s="238">
        <f>SUM(D126:D126)</f>
        <v>26400</v>
      </c>
    </row>
    <row r="128" spans="1:4" x14ac:dyDescent="0.25">
      <c r="A128" s="583" t="s">
        <v>102</v>
      </c>
      <c r="B128" s="68"/>
      <c r="C128" s="68"/>
      <c r="D128" s="68"/>
    </row>
    <row r="129" spans="1:4" x14ac:dyDescent="0.25">
      <c r="A129" s="582" t="s">
        <v>379</v>
      </c>
      <c r="B129" s="226">
        <v>31500</v>
      </c>
      <c r="C129" s="226">
        <v>31500</v>
      </c>
      <c r="D129" s="226">
        <v>32500</v>
      </c>
    </row>
    <row r="130" spans="1:4" x14ac:dyDescent="0.25">
      <c r="A130" s="221" t="s">
        <v>46</v>
      </c>
      <c r="B130" s="238">
        <f>SUM(B129:B129)</f>
        <v>31500</v>
      </c>
      <c r="C130" s="238">
        <f>SUM(C129:C129)</f>
        <v>31500</v>
      </c>
      <c r="D130" s="238">
        <f>SUM(D129:D129)</f>
        <v>32500</v>
      </c>
    </row>
    <row r="131" spans="1:4" x14ac:dyDescent="0.25">
      <c r="A131" s="587" t="s">
        <v>384</v>
      </c>
      <c r="B131" s="68"/>
      <c r="C131" s="68"/>
      <c r="D131" s="68"/>
    </row>
    <row r="132" spans="1:4" x14ac:dyDescent="0.25">
      <c r="A132" s="585" t="s">
        <v>90</v>
      </c>
      <c r="B132" s="226"/>
      <c r="C132" s="226"/>
      <c r="D132" s="226"/>
    </row>
    <row r="133" spans="1:4" x14ac:dyDescent="0.25">
      <c r="A133" s="585" t="s">
        <v>91</v>
      </c>
      <c r="B133" s="226">
        <v>11334</v>
      </c>
      <c r="C133" s="226">
        <v>14000</v>
      </c>
      <c r="D133" s="226">
        <v>13000</v>
      </c>
    </row>
    <row r="134" spans="1:4" x14ac:dyDescent="0.25">
      <c r="A134" s="585" t="s">
        <v>92</v>
      </c>
      <c r="B134" s="226">
        <v>1730</v>
      </c>
      <c r="C134" s="226">
        <v>3000</v>
      </c>
      <c r="D134" s="226">
        <v>4000</v>
      </c>
    </row>
    <row r="135" spans="1:4" x14ac:dyDescent="0.25">
      <c r="A135" s="585" t="s">
        <v>93</v>
      </c>
      <c r="B135" s="226"/>
      <c r="C135" s="226"/>
      <c r="D135" s="226"/>
    </row>
    <row r="136" spans="1:4" x14ac:dyDescent="0.25">
      <c r="A136" s="221" t="s">
        <v>46</v>
      </c>
      <c r="B136" s="238">
        <f>SUM(B132:B135)</f>
        <v>13064</v>
      </c>
      <c r="C136" s="238">
        <f>SUM(C132:C135)</f>
        <v>17000</v>
      </c>
      <c r="D136" s="238">
        <f>SUM(D132:D135)</f>
        <v>17000</v>
      </c>
    </row>
    <row r="137" spans="1:4" x14ac:dyDescent="0.25">
      <c r="A137" s="589" t="s">
        <v>385</v>
      </c>
      <c r="B137" s="68"/>
      <c r="C137" s="68"/>
      <c r="D137" s="68"/>
    </row>
    <row r="138" spans="1:4" x14ac:dyDescent="0.25">
      <c r="A138" s="588" t="s">
        <v>90</v>
      </c>
      <c r="B138" s="226">
        <v>46382</v>
      </c>
      <c r="C138" s="226">
        <v>48000</v>
      </c>
      <c r="D138" s="226">
        <v>49000</v>
      </c>
    </row>
    <row r="139" spans="1:4" x14ac:dyDescent="0.25">
      <c r="A139" s="588" t="s">
        <v>91</v>
      </c>
      <c r="B139" s="226">
        <v>82000</v>
      </c>
      <c r="C139" s="226">
        <v>90000</v>
      </c>
      <c r="D139" s="226">
        <v>98000</v>
      </c>
    </row>
    <row r="140" spans="1:4" x14ac:dyDescent="0.25">
      <c r="A140" s="588" t="s">
        <v>92</v>
      </c>
      <c r="B140" s="586">
        <v>17174</v>
      </c>
      <c r="C140" s="586">
        <v>20000</v>
      </c>
      <c r="D140" s="586">
        <v>30500</v>
      </c>
    </row>
    <row r="141" spans="1:4" x14ac:dyDescent="0.25">
      <c r="A141" s="588" t="s">
        <v>93</v>
      </c>
      <c r="B141" s="226">
        <v>14</v>
      </c>
      <c r="C141" s="226">
        <v>10000</v>
      </c>
      <c r="D141" s="226">
        <v>62000</v>
      </c>
    </row>
    <row r="142" spans="1:4" x14ac:dyDescent="0.25">
      <c r="A142" s="588" t="s">
        <v>371</v>
      </c>
      <c r="B142" s="328"/>
      <c r="C142" s="328"/>
      <c r="D142" s="328"/>
    </row>
    <row r="143" spans="1:4" x14ac:dyDescent="0.25">
      <c r="A143" s="221" t="s">
        <v>46</v>
      </c>
      <c r="B143" s="238">
        <f>SUM(B138:B142)</f>
        <v>145570</v>
      </c>
      <c r="C143" s="238">
        <f>SUM(C138:C142)</f>
        <v>168000</v>
      </c>
      <c r="D143" s="238">
        <f>SUM(D138:D142)</f>
        <v>239500</v>
      </c>
    </row>
    <row r="144" spans="1:4" x14ac:dyDescent="0.25">
      <c r="A144" s="591" t="s">
        <v>386</v>
      </c>
      <c r="B144" s="68"/>
      <c r="C144" s="68"/>
      <c r="D144" s="68"/>
    </row>
    <row r="145" spans="1:4" x14ac:dyDescent="0.25">
      <c r="A145" s="590" t="s">
        <v>387</v>
      </c>
      <c r="B145" s="226">
        <v>50000</v>
      </c>
      <c r="C145" s="226">
        <v>46000</v>
      </c>
      <c r="D145" s="226"/>
    </row>
    <row r="146" spans="1:4" s="584" customFormat="1" x14ac:dyDescent="0.25">
      <c r="A146" s="221" t="s">
        <v>46</v>
      </c>
      <c r="B146" s="238">
        <f>SUM(B145:B145)</f>
        <v>50000</v>
      </c>
      <c r="C146" s="238">
        <f>SUM(C145:C145)</f>
        <v>46000</v>
      </c>
      <c r="D146" s="238">
        <f>SUM(D145:D145)</f>
        <v>0</v>
      </c>
    </row>
    <row r="147" spans="1:4" x14ac:dyDescent="0.25">
      <c r="A147" s="592" t="s">
        <v>388</v>
      </c>
      <c r="B147" s="68"/>
      <c r="C147" s="68"/>
      <c r="D147" s="68"/>
    </row>
    <row r="148" spans="1:4" x14ac:dyDescent="0.25">
      <c r="A148" s="565" t="s">
        <v>387</v>
      </c>
      <c r="B148" s="226">
        <v>50000</v>
      </c>
      <c r="C148" s="226">
        <v>46000</v>
      </c>
      <c r="D148" s="226"/>
    </row>
    <row r="149" spans="1:4" x14ac:dyDescent="0.25">
      <c r="A149" s="221" t="s">
        <v>46</v>
      </c>
      <c r="B149" s="238">
        <f>SUM(B148:B148)</f>
        <v>50000</v>
      </c>
      <c r="C149" s="238">
        <f>SUM(C148:C148)</f>
        <v>46000</v>
      </c>
      <c r="D149" s="238">
        <f>SUM(D148:D148)</f>
        <v>0</v>
      </c>
    </row>
    <row r="150" spans="1:4" x14ac:dyDescent="0.25">
      <c r="A150" s="221"/>
      <c r="B150" s="68"/>
      <c r="C150" s="68"/>
      <c r="D150" s="68"/>
    </row>
    <row r="151" spans="1:4" x14ac:dyDescent="0.25">
      <c r="A151" s="221" t="s">
        <v>207</v>
      </c>
      <c r="B151" s="232">
        <f>B121+B124+B127+B130+B136+B143+B146+B149</f>
        <v>383866</v>
      </c>
      <c r="C151" s="232">
        <f>C121+C124+C127+C130+C136+C143+C146+C149</f>
        <v>418368</v>
      </c>
      <c r="D151" s="232">
        <f>D121+D124+D127+D130+D136+D143+D146+D149</f>
        <v>399400</v>
      </c>
    </row>
    <row r="152" spans="1:4" x14ac:dyDescent="0.25">
      <c r="A152" s="28"/>
      <c r="B152" s="155"/>
      <c r="C152" s="155"/>
      <c r="D152" s="155"/>
    </row>
    <row r="153" spans="1:4" x14ac:dyDescent="0.25">
      <c r="A153" s="715" t="s">
        <v>199</v>
      </c>
      <c r="B153" s="715"/>
      <c r="C153" s="715"/>
      <c r="D153" s="715"/>
    </row>
    <row r="154" spans="1:4" x14ac:dyDescent="0.25">
      <c r="A154" s="155" t="str">
        <f>inputPrYr!C2</f>
        <v>Edwards County</v>
      </c>
      <c r="B154" s="155"/>
      <c r="C154" s="27"/>
      <c r="D154" s="245">
        <f>D1</f>
        <v>2015</v>
      </c>
    </row>
    <row r="155" spans="1:4" x14ac:dyDescent="0.25">
      <c r="A155" s="28"/>
      <c r="B155" s="155"/>
      <c r="C155" s="155"/>
      <c r="D155" s="27"/>
    </row>
    <row r="156" spans="1:4" x14ac:dyDescent="0.25">
      <c r="A156" s="233" t="s">
        <v>151</v>
      </c>
      <c r="B156" s="246"/>
      <c r="C156" s="246"/>
      <c r="D156" s="246"/>
    </row>
    <row r="157" spans="1:4" x14ac:dyDescent="0.25">
      <c r="A157" s="28" t="s">
        <v>74</v>
      </c>
      <c r="B157" s="242" t="str">
        <f t="shared" ref="B157:D158" si="2">B4</f>
        <v xml:space="preserve">Prior Year </v>
      </c>
      <c r="C157" s="151" t="str">
        <f t="shared" si="2"/>
        <v xml:space="preserve">Current Year </v>
      </c>
      <c r="D157" s="151" t="str">
        <f t="shared" si="2"/>
        <v xml:space="preserve">Proposed Budget </v>
      </c>
    </row>
    <row r="158" spans="1:4" x14ac:dyDescent="0.25">
      <c r="A158" s="55" t="s">
        <v>89</v>
      </c>
      <c r="B158" s="235" t="str">
        <f t="shared" si="2"/>
        <v>Actual for 2013</v>
      </c>
      <c r="C158" s="235" t="str">
        <f t="shared" si="2"/>
        <v>Estimate for 2014</v>
      </c>
      <c r="D158" s="235" t="str">
        <f t="shared" si="2"/>
        <v>Year for 2015</v>
      </c>
    </row>
    <row r="159" spans="1:4" x14ac:dyDescent="0.25">
      <c r="A159" s="221" t="s">
        <v>85</v>
      </c>
      <c r="B159" s="68"/>
      <c r="C159" s="68"/>
      <c r="D159" s="68"/>
    </row>
    <row r="160" spans="1:4" x14ac:dyDescent="0.25">
      <c r="A160" s="593" t="s">
        <v>389</v>
      </c>
      <c r="B160" s="68"/>
      <c r="C160" s="68"/>
      <c r="D160" s="68"/>
    </row>
    <row r="161" spans="1:4" x14ac:dyDescent="0.25">
      <c r="A161" s="565" t="s">
        <v>387</v>
      </c>
      <c r="B161" s="226">
        <v>40000</v>
      </c>
      <c r="C161" s="226">
        <v>40000</v>
      </c>
      <c r="D161" s="226">
        <v>40000</v>
      </c>
    </row>
    <row r="162" spans="1:4" x14ac:dyDescent="0.25">
      <c r="A162" s="221" t="s">
        <v>46</v>
      </c>
      <c r="B162" s="238">
        <f>SUM(B161:B161)</f>
        <v>40000</v>
      </c>
      <c r="C162" s="238">
        <f>SUM(C161:C161)</f>
        <v>40000</v>
      </c>
      <c r="D162" s="238">
        <f>SUM(D161:D161)</f>
        <v>40000</v>
      </c>
    </row>
    <row r="163" spans="1:4" x14ac:dyDescent="0.25">
      <c r="A163" s="594" t="s">
        <v>384</v>
      </c>
      <c r="B163" s="68"/>
      <c r="C163" s="68"/>
      <c r="D163" s="68"/>
    </row>
    <row r="164" spans="1:4" x14ac:dyDescent="0.25">
      <c r="A164" s="565" t="s">
        <v>379</v>
      </c>
      <c r="B164" s="226">
        <v>10870</v>
      </c>
      <c r="C164" s="226">
        <v>10870</v>
      </c>
      <c r="D164" s="226">
        <v>11000</v>
      </c>
    </row>
    <row r="165" spans="1:4" x14ac:dyDescent="0.25">
      <c r="A165" s="221" t="s">
        <v>46</v>
      </c>
      <c r="B165" s="68">
        <f>SUM(B164:B164)</f>
        <v>10870</v>
      </c>
      <c r="C165" s="68">
        <f>SUM(C164:C164)</f>
        <v>10870</v>
      </c>
      <c r="D165" s="68">
        <f>SUM(D164:D164)</f>
        <v>11000</v>
      </c>
    </row>
    <row r="166" spans="1:4" x14ac:dyDescent="0.25">
      <c r="A166" s="596" t="s">
        <v>101</v>
      </c>
      <c r="B166" s="68"/>
      <c r="C166" s="68"/>
      <c r="D166" s="68"/>
    </row>
    <row r="167" spans="1:4" x14ac:dyDescent="0.25">
      <c r="A167" s="595" t="s">
        <v>379</v>
      </c>
      <c r="B167" s="226">
        <v>113500</v>
      </c>
      <c r="C167" s="226">
        <v>113500</v>
      </c>
      <c r="D167" s="226">
        <v>123794</v>
      </c>
    </row>
    <row r="168" spans="1:4" x14ac:dyDescent="0.25">
      <c r="A168" s="221" t="s">
        <v>46</v>
      </c>
      <c r="B168" s="238">
        <f>SUM(B167:B167)</f>
        <v>113500</v>
      </c>
      <c r="C168" s="238">
        <f>SUM(C167:C167)</f>
        <v>113500</v>
      </c>
      <c r="D168" s="238">
        <f>SUM(D167:D167)</f>
        <v>123794</v>
      </c>
    </row>
    <row r="169" spans="1:4" x14ac:dyDescent="0.25">
      <c r="A169" s="598" t="s">
        <v>390</v>
      </c>
      <c r="B169" s="68"/>
      <c r="C169" s="68"/>
      <c r="D169" s="68"/>
    </row>
    <row r="170" spans="1:4" x14ac:dyDescent="0.25">
      <c r="A170" s="597" t="s">
        <v>379</v>
      </c>
      <c r="B170" s="226">
        <v>8000</v>
      </c>
      <c r="C170" s="226">
        <v>8000</v>
      </c>
      <c r="D170" s="226">
        <v>8000</v>
      </c>
    </row>
    <row r="171" spans="1:4" x14ac:dyDescent="0.25">
      <c r="A171" s="221" t="s">
        <v>46</v>
      </c>
      <c r="B171" s="68">
        <f>SUM(B170:B170)</f>
        <v>8000</v>
      </c>
      <c r="C171" s="68">
        <f>SUM(C170:C170)</f>
        <v>8000</v>
      </c>
      <c r="D171" s="68">
        <f>SUM(D170:D170)</f>
        <v>8000</v>
      </c>
    </row>
    <row r="172" spans="1:4" x14ac:dyDescent="0.25">
      <c r="A172" s="243"/>
      <c r="B172" s="68"/>
      <c r="C172" s="68"/>
      <c r="D172" s="68"/>
    </row>
    <row r="173" spans="1:4" x14ac:dyDescent="0.25">
      <c r="A173" s="51" t="s">
        <v>90</v>
      </c>
      <c r="B173" s="226"/>
      <c r="C173" s="226"/>
      <c r="D173" s="226"/>
    </row>
    <row r="174" spans="1:4" x14ac:dyDescent="0.25">
      <c r="A174" s="51" t="s">
        <v>91</v>
      </c>
      <c r="B174" s="226"/>
      <c r="C174" s="226"/>
      <c r="D174" s="226"/>
    </row>
    <row r="175" spans="1:4" x14ac:dyDescent="0.25">
      <c r="A175" s="51" t="s">
        <v>92</v>
      </c>
      <c r="B175" s="226"/>
      <c r="C175" s="226"/>
      <c r="D175" s="226"/>
    </row>
    <row r="176" spans="1:4" x14ac:dyDescent="0.25">
      <c r="A176" s="51" t="s">
        <v>93</v>
      </c>
      <c r="B176" s="226"/>
      <c r="C176" s="226"/>
      <c r="D176" s="226"/>
    </row>
    <row r="177" spans="1:4" x14ac:dyDescent="0.25">
      <c r="A177" s="221" t="s">
        <v>46</v>
      </c>
      <c r="B177" s="238">
        <f>SUM(B173:B176)</f>
        <v>0</v>
      </c>
      <c r="C177" s="238">
        <f>SUM(C173:C176)</f>
        <v>0</v>
      </c>
      <c r="D177" s="238">
        <f>SUM(D173:D176)</f>
        <v>0</v>
      </c>
    </row>
    <row r="178" spans="1:4" x14ac:dyDescent="0.25">
      <c r="A178" s="243"/>
      <c r="B178" s="68"/>
      <c r="C178" s="68"/>
      <c r="D178" s="68"/>
    </row>
    <row r="179" spans="1:4" x14ac:dyDescent="0.25">
      <c r="A179" s="51" t="s">
        <v>90</v>
      </c>
      <c r="B179" s="226"/>
      <c r="C179" s="226"/>
      <c r="D179" s="226"/>
    </row>
    <row r="180" spans="1:4" x14ac:dyDescent="0.25">
      <c r="A180" s="51" t="s">
        <v>91</v>
      </c>
      <c r="B180" s="226"/>
      <c r="C180" s="226"/>
      <c r="D180" s="226"/>
    </row>
    <row r="181" spans="1:4" x14ac:dyDescent="0.25">
      <c r="A181" s="51" t="s">
        <v>92</v>
      </c>
      <c r="B181" s="226"/>
      <c r="C181" s="226"/>
      <c r="D181" s="226"/>
    </row>
    <row r="182" spans="1:4" x14ac:dyDescent="0.25">
      <c r="A182" s="51" t="s">
        <v>93</v>
      </c>
      <c r="B182" s="226"/>
      <c r="C182" s="226"/>
      <c r="D182" s="226"/>
    </row>
    <row r="183" spans="1:4" x14ac:dyDescent="0.25">
      <c r="A183" s="221" t="s">
        <v>46</v>
      </c>
      <c r="B183" s="238">
        <f>SUM(B179:B182)</f>
        <v>0</v>
      </c>
      <c r="C183" s="238">
        <f>SUM(C179:C182)</f>
        <v>0</v>
      </c>
      <c r="D183" s="238">
        <f>SUM(D179:D182)</f>
        <v>0</v>
      </c>
    </row>
    <row r="184" spans="1:4" x14ac:dyDescent="0.25">
      <c r="A184" s="243"/>
      <c r="B184" s="68"/>
      <c r="C184" s="68"/>
      <c r="D184" s="68"/>
    </row>
    <row r="185" spans="1:4" x14ac:dyDescent="0.25">
      <c r="A185" s="51" t="s">
        <v>91</v>
      </c>
      <c r="B185" s="226"/>
      <c r="C185" s="226"/>
      <c r="D185" s="226"/>
    </row>
    <row r="186" spans="1:4" x14ac:dyDescent="0.25">
      <c r="A186" s="221" t="s">
        <v>46</v>
      </c>
      <c r="B186" s="238">
        <f>B185</f>
        <v>0</v>
      </c>
      <c r="C186" s="238">
        <f>C185</f>
        <v>0</v>
      </c>
      <c r="D186" s="238">
        <f>D185</f>
        <v>0</v>
      </c>
    </row>
    <row r="187" spans="1:4" x14ac:dyDescent="0.25">
      <c r="A187" s="243"/>
      <c r="B187" s="68"/>
      <c r="C187" s="68"/>
      <c r="D187" s="68"/>
    </row>
    <row r="188" spans="1:4" x14ac:dyDescent="0.25">
      <c r="A188" s="51" t="s">
        <v>90</v>
      </c>
      <c r="B188" s="226"/>
      <c r="C188" s="226"/>
      <c r="D188" s="226"/>
    </row>
    <row r="189" spans="1:4" x14ac:dyDescent="0.25">
      <c r="A189" s="51" t="s">
        <v>91</v>
      </c>
      <c r="B189" s="226"/>
      <c r="C189" s="226"/>
      <c r="D189" s="226"/>
    </row>
    <row r="190" spans="1:4" x14ac:dyDescent="0.25">
      <c r="A190" s="51" t="s">
        <v>92</v>
      </c>
      <c r="B190" s="226"/>
      <c r="C190" s="226"/>
      <c r="D190" s="226"/>
    </row>
    <row r="191" spans="1:4" x14ac:dyDescent="0.25">
      <c r="A191" s="51" t="s">
        <v>93</v>
      </c>
      <c r="B191" s="226"/>
      <c r="C191" s="226"/>
      <c r="D191" s="226"/>
    </row>
    <row r="192" spans="1:4" x14ac:dyDescent="0.25">
      <c r="A192" s="221" t="s">
        <v>46</v>
      </c>
      <c r="B192" s="238">
        <f>SUM(B188:B191)</f>
        <v>0</v>
      </c>
      <c r="C192" s="238">
        <f>SUM(C188:C191)</f>
        <v>0</v>
      </c>
      <c r="D192" s="238">
        <f>SUM(D188:D191)</f>
        <v>0</v>
      </c>
    </row>
    <row r="193" spans="1:4" x14ac:dyDescent="0.25">
      <c r="A193" s="243"/>
      <c r="B193" s="68"/>
      <c r="C193" s="68"/>
      <c r="D193" s="68"/>
    </row>
    <row r="194" spans="1:4" x14ac:dyDescent="0.25">
      <c r="A194" s="51" t="s">
        <v>90</v>
      </c>
      <c r="B194" s="226"/>
      <c r="C194" s="226"/>
      <c r="D194" s="226"/>
    </row>
    <row r="195" spans="1:4" x14ac:dyDescent="0.25">
      <c r="A195" s="51" t="s">
        <v>91</v>
      </c>
      <c r="B195" s="226"/>
      <c r="C195" s="226"/>
      <c r="D195" s="226"/>
    </row>
    <row r="196" spans="1:4" x14ac:dyDescent="0.25">
      <c r="A196" s="51" t="s">
        <v>92</v>
      </c>
      <c r="B196" s="226"/>
      <c r="C196" s="226"/>
      <c r="D196" s="226"/>
    </row>
    <row r="197" spans="1:4" x14ac:dyDescent="0.25">
      <c r="A197" s="51" t="s">
        <v>93</v>
      </c>
      <c r="B197" s="226"/>
      <c r="C197" s="226"/>
      <c r="D197" s="226"/>
    </row>
    <row r="198" spans="1:4" x14ac:dyDescent="0.25">
      <c r="A198" s="221" t="s">
        <v>46</v>
      </c>
      <c r="B198" s="238">
        <f>SUM(B194:B197)</f>
        <v>0</v>
      </c>
      <c r="C198" s="238">
        <f>SUM(C194:C197)</f>
        <v>0</v>
      </c>
      <c r="D198" s="238">
        <f>SUM(D194:D197)</f>
        <v>0</v>
      </c>
    </row>
    <row r="199" spans="1:4" x14ac:dyDescent="0.25">
      <c r="A199" s="221"/>
      <c r="B199" s="238"/>
      <c r="C199" s="238"/>
      <c r="D199" s="238"/>
    </row>
    <row r="200" spans="1:4" x14ac:dyDescent="0.25">
      <c r="A200" s="221" t="s">
        <v>208</v>
      </c>
      <c r="B200" s="232">
        <f>B162+B165+B168+B171+B177+B183+B185+B192+B198</f>
        <v>172370</v>
      </c>
      <c r="C200" s="232">
        <f>C162+C165+C168+C171+C177+C183+C185+C192+C198</f>
        <v>172370</v>
      </c>
      <c r="D200" s="232">
        <f>D162+D165+D168+D171+D177+D183+D185+D192+D198</f>
        <v>182794</v>
      </c>
    </row>
    <row r="201" spans="1:4" x14ac:dyDescent="0.25">
      <c r="A201" s="28"/>
      <c r="B201" s="155"/>
      <c r="C201" s="155"/>
      <c r="D201" s="155"/>
    </row>
    <row r="202" spans="1:4" x14ac:dyDescent="0.25">
      <c r="A202" s="715" t="s">
        <v>200</v>
      </c>
      <c r="B202" s="715"/>
      <c r="C202" s="715"/>
      <c r="D202" s="715"/>
    </row>
    <row r="203" spans="1:4" x14ac:dyDescent="0.25">
      <c r="A203" s="155" t="str">
        <f>inputPrYr!C2</f>
        <v>Edwards County</v>
      </c>
      <c r="B203" s="155"/>
      <c r="C203" s="27"/>
      <c r="D203" s="245">
        <f>D1</f>
        <v>2015</v>
      </c>
    </row>
    <row r="204" spans="1:4" x14ac:dyDescent="0.25">
      <c r="A204" s="28"/>
      <c r="B204" s="155"/>
      <c r="C204" s="155"/>
      <c r="D204" s="27"/>
    </row>
    <row r="205" spans="1:4" x14ac:dyDescent="0.25">
      <c r="A205" s="233" t="s">
        <v>151</v>
      </c>
      <c r="B205" s="246"/>
      <c r="C205" s="246"/>
      <c r="D205" s="246"/>
    </row>
    <row r="206" spans="1:4" x14ac:dyDescent="0.25">
      <c r="A206" s="28" t="s">
        <v>74</v>
      </c>
      <c r="B206" s="242" t="str">
        <f t="shared" ref="B206:D207" si="3">B4</f>
        <v xml:space="preserve">Prior Year </v>
      </c>
      <c r="C206" s="151" t="str">
        <f t="shared" si="3"/>
        <v xml:space="preserve">Current Year </v>
      </c>
      <c r="D206" s="151" t="str">
        <f t="shared" si="3"/>
        <v xml:space="preserve">Proposed Budget </v>
      </c>
    </row>
    <row r="207" spans="1:4" x14ac:dyDescent="0.25">
      <c r="A207" s="55" t="s">
        <v>89</v>
      </c>
      <c r="B207" s="235" t="str">
        <f t="shared" si="3"/>
        <v>Actual for 2013</v>
      </c>
      <c r="C207" s="235" t="str">
        <f t="shared" si="3"/>
        <v>Estimate for 2014</v>
      </c>
      <c r="D207" s="235" t="str">
        <f t="shared" si="3"/>
        <v>Year for 2015</v>
      </c>
    </row>
    <row r="208" spans="1:4" x14ac:dyDescent="0.25">
      <c r="A208" s="182" t="s">
        <v>85</v>
      </c>
      <c r="B208" s="68"/>
      <c r="C208" s="68"/>
      <c r="D208" s="68"/>
    </row>
    <row r="209" spans="1:4" x14ac:dyDescent="0.25">
      <c r="A209" s="243"/>
      <c r="B209" s="68"/>
      <c r="C209" s="68"/>
      <c r="D209" s="68"/>
    </row>
    <row r="210" spans="1:4" x14ac:dyDescent="0.25">
      <c r="A210" s="51" t="s">
        <v>90</v>
      </c>
      <c r="B210" s="226"/>
      <c r="C210" s="226"/>
      <c r="D210" s="226"/>
    </row>
    <row r="211" spans="1:4" x14ac:dyDescent="0.25">
      <c r="A211" s="51" t="s">
        <v>91</v>
      </c>
      <c r="B211" s="226"/>
      <c r="C211" s="226"/>
      <c r="D211" s="226"/>
    </row>
    <row r="212" spans="1:4" x14ac:dyDescent="0.25">
      <c r="A212" s="51" t="s">
        <v>92</v>
      </c>
      <c r="B212" s="226"/>
      <c r="C212" s="226"/>
      <c r="D212" s="226"/>
    </row>
    <row r="213" spans="1:4" x14ac:dyDescent="0.25">
      <c r="A213" s="51" t="s">
        <v>93</v>
      </c>
      <c r="B213" s="226"/>
      <c r="C213" s="226"/>
      <c r="D213" s="226"/>
    </row>
    <row r="214" spans="1:4" x14ac:dyDescent="0.25">
      <c r="A214" s="221" t="s">
        <v>46</v>
      </c>
      <c r="B214" s="238">
        <f>SUM(B210:B213)</f>
        <v>0</v>
      </c>
      <c r="C214" s="238">
        <f>SUM(C210:C213)</f>
        <v>0</v>
      </c>
      <c r="D214" s="238">
        <f>SUM(D210:D213)</f>
        <v>0</v>
      </c>
    </row>
    <row r="215" spans="1:4" x14ac:dyDescent="0.25">
      <c r="A215" s="243"/>
      <c r="B215" s="68"/>
      <c r="C215" s="68"/>
      <c r="D215" s="68"/>
    </row>
    <row r="216" spans="1:4" x14ac:dyDescent="0.25">
      <c r="A216" s="51" t="s">
        <v>90</v>
      </c>
      <c r="B216" s="226"/>
      <c r="C216" s="226"/>
      <c r="D216" s="226"/>
    </row>
    <row r="217" spans="1:4" x14ac:dyDescent="0.25">
      <c r="A217" s="51" t="s">
        <v>91</v>
      </c>
      <c r="B217" s="226"/>
      <c r="C217" s="226"/>
      <c r="D217" s="226"/>
    </row>
    <row r="218" spans="1:4" x14ac:dyDescent="0.25">
      <c r="A218" s="51" t="s">
        <v>92</v>
      </c>
      <c r="B218" s="226"/>
      <c r="C218" s="226"/>
      <c r="D218" s="226"/>
    </row>
    <row r="219" spans="1:4" x14ac:dyDescent="0.25">
      <c r="A219" s="51" t="s">
        <v>93</v>
      </c>
      <c r="B219" s="226"/>
      <c r="C219" s="226"/>
      <c r="D219" s="226"/>
    </row>
    <row r="220" spans="1:4" x14ac:dyDescent="0.25">
      <c r="A220" s="221" t="s">
        <v>46</v>
      </c>
      <c r="B220" s="238">
        <f>SUM(B216:B219)</f>
        <v>0</v>
      </c>
      <c r="C220" s="238">
        <f>SUM(C216:C219)</f>
        <v>0</v>
      </c>
      <c r="D220" s="238">
        <f>SUM(D216:D219)</f>
        <v>0</v>
      </c>
    </row>
    <row r="221" spans="1:4" x14ac:dyDescent="0.25">
      <c r="A221" s="243"/>
      <c r="B221" s="68"/>
      <c r="C221" s="68"/>
      <c r="D221" s="68"/>
    </row>
    <row r="222" spans="1:4" x14ac:dyDescent="0.25">
      <c r="A222" s="51" t="s">
        <v>90</v>
      </c>
      <c r="B222" s="226"/>
      <c r="C222" s="226"/>
      <c r="D222" s="226"/>
    </row>
    <row r="223" spans="1:4" x14ac:dyDescent="0.25">
      <c r="A223" s="51" t="s">
        <v>91</v>
      </c>
      <c r="B223" s="226"/>
      <c r="C223" s="226"/>
      <c r="D223" s="226"/>
    </row>
    <row r="224" spans="1:4" x14ac:dyDescent="0.25">
      <c r="A224" s="51" t="s">
        <v>92</v>
      </c>
      <c r="B224" s="226"/>
      <c r="C224" s="226"/>
      <c r="D224" s="226"/>
    </row>
    <row r="225" spans="1:4" x14ac:dyDescent="0.25">
      <c r="A225" s="51" t="s">
        <v>93</v>
      </c>
      <c r="B225" s="226"/>
      <c r="C225" s="226"/>
      <c r="D225" s="226"/>
    </row>
    <row r="226" spans="1:4" x14ac:dyDescent="0.25">
      <c r="A226" s="221" t="s">
        <v>46</v>
      </c>
      <c r="B226" s="238">
        <f>SUM(B222:B225)</f>
        <v>0</v>
      </c>
      <c r="C226" s="238">
        <f>SUM(C222:C225)</f>
        <v>0</v>
      </c>
      <c r="D226" s="238">
        <f>SUM(D222:D225)</f>
        <v>0</v>
      </c>
    </row>
    <row r="227" spans="1:4" x14ac:dyDescent="0.25">
      <c r="A227" s="243"/>
      <c r="B227" s="68"/>
      <c r="C227" s="68"/>
      <c r="D227" s="68"/>
    </row>
    <row r="228" spans="1:4" x14ac:dyDescent="0.25">
      <c r="A228" s="51" t="s">
        <v>90</v>
      </c>
      <c r="B228" s="226"/>
      <c r="C228" s="226"/>
      <c r="D228" s="226"/>
    </row>
    <row r="229" spans="1:4" x14ac:dyDescent="0.25">
      <c r="A229" s="51" t="s">
        <v>91</v>
      </c>
      <c r="B229" s="226"/>
      <c r="C229" s="226"/>
      <c r="D229" s="226"/>
    </row>
    <row r="230" spans="1:4" x14ac:dyDescent="0.25">
      <c r="A230" s="51" t="s">
        <v>92</v>
      </c>
      <c r="B230" s="226"/>
      <c r="C230" s="226"/>
      <c r="D230" s="226"/>
    </row>
    <row r="231" spans="1:4" x14ac:dyDescent="0.25">
      <c r="A231" s="51" t="s">
        <v>93</v>
      </c>
      <c r="B231" s="226"/>
      <c r="C231" s="226"/>
      <c r="D231" s="226"/>
    </row>
    <row r="232" spans="1:4" x14ac:dyDescent="0.25">
      <c r="A232" s="221" t="s">
        <v>46</v>
      </c>
      <c r="B232" s="238">
        <f>SUM(B228:B231)</f>
        <v>0</v>
      </c>
      <c r="C232" s="238">
        <f>SUM(C228:C231)</f>
        <v>0</v>
      </c>
      <c r="D232" s="238">
        <f>SUM(D228:D231)</f>
        <v>0</v>
      </c>
    </row>
    <row r="233" spans="1:4" x14ac:dyDescent="0.25">
      <c r="A233" s="243"/>
      <c r="B233" s="68"/>
      <c r="C233" s="68"/>
      <c r="D233" s="68"/>
    </row>
    <row r="234" spans="1:4" x14ac:dyDescent="0.25">
      <c r="A234" s="51" t="s">
        <v>91</v>
      </c>
      <c r="B234" s="226"/>
      <c r="C234" s="226"/>
      <c r="D234" s="226"/>
    </row>
    <row r="235" spans="1:4" x14ac:dyDescent="0.25">
      <c r="A235" s="51" t="s">
        <v>106</v>
      </c>
      <c r="B235" s="226"/>
      <c r="C235" s="226"/>
      <c r="D235" s="226"/>
    </row>
    <row r="236" spans="1:4" x14ac:dyDescent="0.25">
      <c r="A236" s="221" t="s">
        <v>46</v>
      </c>
      <c r="B236" s="238">
        <f>SUM(B234:B235)</f>
        <v>0</v>
      </c>
      <c r="C236" s="238">
        <f>SUM(C234:C235)</f>
        <v>0</v>
      </c>
      <c r="D236" s="238">
        <f>SUM(D234:D235)</f>
        <v>0</v>
      </c>
    </row>
    <row r="237" spans="1:4" x14ac:dyDescent="0.25">
      <c r="A237" s="243"/>
      <c r="B237" s="68"/>
      <c r="C237" s="68"/>
      <c r="D237" s="68"/>
    </row>
    <row r="238" spans="1:4" x14ac:dyDescent="0.25">
      <c r="A238" s="51" t="s">
        <v>90</v>
      </c>
      <c r="B238" s="226"/>
      <c r="C238" s="226"/>
      <c r="D238" s="226"/>
    </row>
    <row r="239" spans="1:4" x14ac:dyDescent="0.25">
      <c r="A239" s="51" t="s">
        <v>91</v>
      </c>
      <c r="B239" s="226"/>
      <c r="C239" s="226"/>
      <c r="D239" s="226"/>
    </row>
    <row r="240" spans="1:4" x14ac:dyDescent="0.25">
      <c r="A240" s="51" t="s">
        <v>92</v>
      </c>
      <c r="B240" s="226"/>
      <c r="C240" s="226"/>
      <c r="D240" s="226"/>
    </row>
    <row r="241" spans="1:4" x14ac:dyDescent="0.25">
      <c r="A241" s="51" t="s">
        <v>93</v>
      </c>
      <c r="B241" s="226"/>
      <c r="C241" s="226"/>
      <c r="D241" s="226"/>
    </row>
    <row r="242" spans="1:4" x14ac:dyDescent="0.25">
      <c r="A242" s="221" t="s">
        <v>46</v>
      </c>
      <c r="B242" s="238">
        <f>SUM(B238:B241)</f>
        <v>0</v>
      </c>
      <c r="C242" s="238">
        <f>SUM(C238:C241)</f>
        <v>0</v>
      </c>
      <c r="D242" s="238">
        <f>SUM(D238:D241)</f>
        <v>0</v>
      </c>
    </row>
    <row r="243" spans="1:4" x14ac:dyDescent="0.25">
      <c r="A243" s="243"/>
      <c r="B243" s="68"/>
      <c r="C243" s="68"/>
      <c r="D243" s="68"/>
    </row>
    <row r="244" spans="1:4" x14ac:dyDescent="0.25">
      <c r="A244" s="51" t="s">
        <v>90</v>
      </c>
      <c r="B244" s="226"/>
      <c r="C244" s="226"/>
      <c r="D244" s="226"/>
    </row>
    <row r="245" spans="1:4" x14ac:dyDescent="0.25">
      <c r="A245" s="51" t="s">
        <v>91</v>
      </c>
      <c r="B245" s="226"/>
      <c r="C245" s="226"/>
      <c r="D245" s="226"/>
    </row>
    <row r="246" spans="1:4" x14ac:dyDescent="0.25">
      <c r="A246" s="51" t="s">
        <v>92</v>
      </c>
      <c r="B246" s="226"/>
      <c r="C246" s="226"/>
      <c r="D246" s="226"/>
    </row>
    <row r="247" spans="1:4" x14ac:dyDescent="0.25">
      <c r="A247" s="51" t="s">
        <v>93</v>
      </c>
      <c r="B247" s="226"/>
      <c r="C247" s="226"/>
      <c r="D247" s="226"/>
    </row>
    <row r="248" spans="1:4" x14ac:dyDescent="0.25">
      <c r="A248" s="221" t="s">
        <v>46</v>
      </c>
      <c r="B248" s="238">
        <f>SUM(B244:B247)</f>
        <v>0</v>
      </c>
      <c r="C248" s="238">
        <f>SUM(C244:C247)</f>
        <v>0</v>
      </c>
      <c r="D248" s="238">
        <f>SUM(D244:D247)</f>
        <v>0</v>
      </c>
    </row>
    <row r="249" spans="1:4" x14ac:dyDescent="0.25">
      <c r="A249" s="221"/>
      <c r="B249" s="68"/>
      <c r="C249" s="68"/>
      <c r="D249" s="68"/>
    </row>
    <row r="250" spans="1:4" x14ac:dyDescent="0.25">
      <c r="A250" s="221" t="s">
        <v>209</v>
      </c>
      <c r="B250" s="238">
        <f>B214+B220+B226+B232+B236+B242+B248</f>
        <v>0</v>
      </c>
      <c r="C250" s="238">
        <f>C214+C220+C226+C232+C236+C242+C248</f>
        <v>0</v>
      </c>
      <c r="D250" s="238">
        <f>D214+D220+D226+D232+D236+D242+D248</f>
        <v>0</v>
      </c>
    </row>
    <row r="251" spans="1:4" x14ac:dyDescent="0.25">
      <c r="A251" s="221"/>
      <c r="B251" s="68"/>
      <c r="C251" s="68"/>
      <c r="D251" s="68"/>
    </row>
    <row r="252" spans="1:4" x14ac:dyDescent="0.25">
      <c r="A252" s="221" t="s">
        <v>210</v>
      </c>
      <c r="B252" s="238">
        <f>B55</f>
        <v>602538</v>
      </c>
      <c r="C252" s="238">
        <f>C55</f>
        <v>673638</v>
      </c>
      <c r="D252" s="238">
        <f>D55</f>
        <v>712031</v>
      </c>
    </row>
    <row r="253" spans="1:4" x14ac:dyDescent="0.25">
      <c r="A253" s="28"/>
      <c r="B253" s="68"/>
      <c r="C253" s="68"/>
      <c r="D253" s="68"/>
    </row>
    <row r="254" spans="1:4" x14ac:dyDescent="0.25">
      <c r="A254" s="221" t="s">
        <v>211</v>
      </c>
      <c r="B254" s="238">
        <f>B110</f>
        <v>724693</v>
      </c>
      <c r="C254" s="238">
        <f>C110</f>
        <v>809855</v>
      </c>
      <c r="D254" s="238">
        <f>D110</f>
        <v>912715</v>
      </c>
    </row>
    <row r="255" spans="1:4" x14ac:dyDescent="0.25">
      <c r="A255" s="28"/>
      <c r="B255" s="68"/>
      <c r="C255" s="68"/>
      <c r="D255" s="68"/>
    </row>
    <row r="256" spans="1:4" x14ac:dyDescent="0.25">
      <c r="A256" s="221" t="s">
        <v>207</v>
      </c>
      <c r="B256" s="238">
        <f>B151</f>
        <v>383866</v>
      </c>
      <c r="C256" s="238">
        <f>C151</f>
        <v>418368</v>
      </c>
      <c r="D256" s="238">
        <f>D151</f>
        <v>399400</v>
      </c>
    </row>
    <row r="257" spans="1:4" x14ac:dyDescent="0.25">
      <c r="A257" s="28"/>
      <c r="B257" s="68"/>
      <c r="C257" s="68"/>
      <c r="D257" s="68"/>
    </row>
    <row r="258" spans="1:4" x14ac:dyDescent="0.25">
      <c r="A258" s="221" t="s">
        <v>208</v>
      </c>
      <c r="B258" s="238">
        <f>B200</f>
        <v>172370</v>
      </c>
      <c r="C258" s="238">
        <f>C200</f>
        <v>172370</v>
      </c>
      <c r="D258" s="238">
        <f>D200</f>
        <v>182794</v>
      </c>
    </row>
    <row r="259" spans="1:4" x14ac:dyDescent="0.25">
      <c r="A259" s="28"/>
      <c r="B259" s="68"/>
      <c r="C259" s="68"/>
      <c r="D259" s="68"/>
    </row>
    <row r="260" spans="1:4" ht="16.2" thickBot="1" x14ac:dyDescent="0.3">
      <c r="A260" s="182" t="s">
        <v>25</v>
      </c>
      <c r="B260" s="247">
        <f>SUM(B250:B259)</f>
        <v>1883467</v>
      </c>
      <c r="C260" s="247">
        <f>SUM(C250:C259)</f>
        <v>2074231</v>
      </c>
      <c r="D260" s="247">
        <f>SUM(D250:D259)</f>
        <v>2206940</v>
      </c>
    </row>
    <row r="261" spans="1:4" ht="16.2" thickTop="1" x14ac:dyDescent="0.25">
      <c r="A261" s="248" t="s">
        <v>26</v>
      </c>
      <c r="B261" s="249"/>
      <c r="C261" s="249"/>
      <c r="D261" s="249"/>
    </row>
    <row r="262" spans="1:4" x14ac:dyDescent="0.25">
      <c r="A262" s="715" t="s">
        <v>212</v>
      </c>
      <c r="B262" s="715"/>
      <c r="C262" s="715"/>
      <c r="D262" s="715"/>
    </row>
    <row r="263" spans="1:4" x14ac:dyDescent="0.25">
      <c r="B263" s="250"/>
      <c r="C263" s="250"/>
      <c r="D263" s="250"/>
    </row>
    <row r="264" spans="1:4" x14ac:dyDescent="0.25">
      <c r="B264" s="250"/>
      <c r="C264" s="250"/>
      <c r="D264" s="250"/>
    </row>
    <row r="265" spans="1:4" x14ac:dyDescent="0.25">
      <c r="B265" s="250"/>
      <c r="C265" s="250"/>
      <c r="D265" s="250"/>
    </row>
    <row r="266" spans="1:4" x14ac:dyDescent="0.25">
      <c r="B266" s="250"/>
      <c r="C266" s="250"/>
      <c r="D266" s="250"/>
    </row>
    <row r="267" spans="1:4" x14ac:dyDescent="0.25">
      <c r="B267" s="250"/>
      <c r="C267" s="250"/>
      <c r="D267" s="250"/>
    </row>
    <row r="268" spans="1:4" x14ac:dyDescent="0.25">
      <c r="B268" s="250"/>
      <c r="C268" s="250"/>
      <c r="D268" s="250"/>
    </row>
    <row r="269" spans="1:4" x14ac:dyDescent="0.25">
      <c r="B269" s="250"/>
      <c r="C269" s="250"/>
      <c r="D269" s="250"/>
    </row>
    <row r="270" spans="1:4" x14ac:dyDescent="0.25">
      <c r="B270" s="250"/>
      <c r="C270" s="250"/>
      <c r="D270" s="250"/>
    </row>
    <row r="271" spans="1:4" x14ac:dyDescent="0.25">
      <c r="B271" s="250"/>
      <c r="C271" s="250"/>
      <c r="D271" s="250"/>
    </row>
    <row r="272" spans="1:4" x14ac:dyDescent="0.25">
      <c r="B272" s="250"/>
      <c r="C272" s="250"/>
      <c r="D272" s="250"/>
    </row>
    <row r="273" spans="2:4" x14ac:dyDescent="0.25">
      <c r="B273" s="250"/>
      <c r="C273" s="250"/>
      <c r="D273" s="250"/>
    </row>
    <row r="274" spans="2:4" x14ac:dyDescent="0.25">
      <c r="B274" s="250"/>
      <c r="C274" s="250"/>
      <c r="D274" s="250"/>
    </row>
    <row r="275" spans="2:4" x14ac:dyDescent="0.25">
      <c r="B275" s="250"/>
      <c r="C275" s="250"/>
      <c r="D275" s="250"/>
    </row>
    <row r="276" spans="2:4" x14ac:dyDescent="0.25">
      <c r="B276" s="250"/>
      <c r="C276" s="250"/>
      <c r="D276" s="250"/>
    </row>
    <row r="277" spans="2:4" x14ac:dyDescent="0.25">
      <c r="B277" s="250"/>
      <c r="C277" s="250"/>
      <c r="D277" s="250"/>
    </row>
    <row r="278" spans="2:4" x14ac:dyDescent="0.25">
      <c r="B278" s="250"/>
      <c r="C278" s="250"/>
      <c r="D278" s="250"/>
    </row>
    <row r="279" spans="2:4" x14ac:dyDescent="0.25">
      <c r="B279" s="250"/>
      <c r="C279" s="250"/>
      <c r="D279" s="250"/>
    </row>
    <row r="280" spans="2:4" x14ac:dyDescent="0.25">
      <c r="B280" s="250"/>
      <c r="C280" s="250"/>
      <c r="D280" s="250"/>
    </row>
    <row r="281" spans="2:4" x14ac:dyDescent="0.25">
      <c r="B281" s="250"/>
      <c r="C281" s="250"/>
      <c r="D281" s="250"/>
    </row>
    <row r="282" spans="2:4" x14ac:dyDescent="0.25">
      <c r="B282" s="250"/>
      <c r="C282" s="250"/>
      <c r="D282" s="250"/>
    </row>
    <row r="283" spans="2:4" x14ac:dyDescent="0.25">
      <c r="B283" s="250"/>
      <c r="C283" s="250"/>
      <c r="D283" s="250"/>
    </row>
    <row r="284" spans="2:4" x14ac:dyDescent="0.25">
      <c r="B284" s="250"/>
      <c r="C284" s="250"/>
      <c r="D284" s="250"/>
    </row>
    <row r="285" spans="2:4" x14ac:dyDescent="0.25">
      <c r="B285" s="250"/>
      <c r="C285" s="250"/>
      <c r="D285" s="250"/>
    </row>
    <row r="286" spans="2:4" x14ac:dyDescent="0.25">
      <c r="B286" s="250"/>
      <c r="C286" s="250"/>
      <c r="D286" s="250"/>
    </row>
    <row r="287" spans="2:4" x14ac:dyDescent="0.25">
      <c r="B287" s="250"/>
      <c r="C287" s="250"/>
      <c r="D287" s="250"/>
    </row>
    <row r="288" spans="2:4" x14ac:dyDescent="0.25">
      <c r="B288" s="250"/>
      <c r="C288" s="250"/>
      <c r="D288" s="250"/>
    </row>
    <row r="289" spans="2:4" x14ac:dyDescent="0.25">
      <c r="B289" s="250"/>
      <c r="C289" s="250"/>
      <c r="D289" s="250"/>
    </row>
    <row r="290" spans="2:4" x14ac:dyDescent="0.25">
      <c r="B290" s="250"/>
      <c r="C290" s="250"/>
      <c r="D290" s="250"/>
    </row>
    <row r="291" spans="2:4" x14ac:dyDescent="0.25">
      <c r="B291" s="250"/>
      <c r="C291" s="250"/>
      <c r="D291" s="250"/>
    </row>
    <row r="292" spans="2:4" x14ac:dyDescent="0.25">
      <c r="B292" s="250"/>
      <c r="C292" s="250"/>
      <c r="D292" s="250"/>
    </row>
    <row r="293" spans="2:4" x14ac:dyDescent="0.25">
      <c r="B293" s="250"/>
      <c r="C293" s="250"/>
      <c r="D293" s="250"/>
    </row>
    <row r="294" spans="2:4" x14ac:dyDescent="0.25">
      <c r="B294" s="250"/>
      <c r="C294" s="250"/>
      <c r="D294" s="250"/>
    </row>
    <row r="295" spans="2:4" x14ac:dyDescent="0.25">
      <c r="B295" s="250"/>
      <c r="C295" s="250"/>
      <c r="D295" s="250"/>
    </row>
    <row r="296" spans="2:4" x14ac:dyDescent="0.25">
      <c r="B296" s="250"/>
      <c r="C296" s="250"/>
      <c r="D296" s="250"/>
    </row>
    <row r="297" spans="2:4" x14ac:dyDescent="0.25">
      <c r="B297" s="250"/>
      <c r="C297" s="250"/>
      <c r="D297" s="250"/>
    </row>
    <row r="298" spans="2:4" x14ac:dyDescent="0.25">
      <c r="B298" s="250"/>
      <c r="C298" s="250"/>
      <c r="D298" s="250"/>
    </row>
    <row r="299" spans="2:4" x14ac:dyDescent="0.25">
      <c r="B299" s="250"/>
      <c r="C299" s="250"/>
      <c r="D299" s="250"/>
    </row>
    <row r="300" spans="2:4" x14ac:dyDescent="0.25">
      <c r="B300" s="250"/>
      <c r="C300" s="250"/>
      <c r="D300" s="250"/>
    </row>
    <row r="301" spans="2:4" x14ac:dyDescent="0.25">
      <c r="B301" s="250"/>
      <c r="C301" s="250"/>
      <c r="D301" s="250"/>
    </row>
    <row r="302" spans="2:4" x14ac:dyDescent="0.25">
      <c r="B302" s="250"/>
      <c r="C302" s="250"/>
      <c r="D302" s="250"/>
    </row>
    <row r="303" spans="2:4" x14ac:dyDescent="0.25">
      <c r="B303" s="250"/>
      <c r="C303" s="250"/>
      <c r="D303" s="250"/>
    </row>
    <row r="304" spans="2:4" x14ac:dyDescent="0.25">
      <c r="B304" s="250"/>
      <c r="C304" s="250"/>
      <c r="D304" s="250"/>
    </row>
    <row r="305" spans="2:4" x14ac:dyDescent="0.25">
      <c r="B305" s="250"/>
      <c r="C305" s="250"/>
      <c r="D305" s="250"/>
    </row>
    <row r="306" spans="2:4" x14ac:dyDescent="0.25">
      <c r="B306" s="250"/>
      <c r="C306" s="250"/>
      <c r="D306" s="250"/>
    </row>
    <row r="307" spans="2:4" x14ac:dyDescent="0.25">
      <c r="B307" s="250"/>
      <c r="C307" s="250"/>
      <c r="D307" s="250"/>
    </row>
    <row r="308" spans="2:4" x14ac:dyDescent="0.25">
      <c r="B308" s="250"/>
      <c r="C308" s="250"/>
      <c r="D308" s="250"/>
    </row>
    <row r="309" spans="2:4" x14ac:dyDescent="0.25">
      <c r="B309" s="250"/>
      <c r="C309" s="250"/>
      <c r="D309" s="250"/>
    </row>
    <row r="310" spans="2:4" x14ac:dyDescent="0.25">
      <c r="B310" s="250"/>
      <c r="C310" s="250"/>
      <c r="D310" s="250"/>
    </row>
    <row r="311" spans="2:4" x14ac:dyDescent="0.25">
      <c r="B311" s="250"/>
      <c r="C311" s="250"/>
      <c r="D311" s="250"/>
    </row>
    <row r="312" spans="2:4" x14ac:dyDescent="0.25">
      <c r="B312" s="250"/>
      <c r="C312" s="250"/>
      <c r="D312" s="250"/>
    </row>
    <row r="313" spans="2:4" x14ac:dyDescent="0.25">
      <c r="B313" s="250"/>
      <c r="C313" s="250"/>
      <c r="D313" s="250"/>
    </row>
    <row r="314" spans="2:4" x14ac:dyDescent="0.25">
      <c r="B314" s="250"/>
      <c r="C314" s="250"/>
      <c r="D314" s="250"/>
    </row>
    <row r="315" spans="2:4" x14ac:dyDescent="0.25">
      <c r="B315" s="250"/>
      <c r="C315" s="250"/>
      <c r="D315" s="250"/>
    </row>
    <row r="316" spans="2:4" x14ac:dyDescent="0.25">
      <c r="B316" s="250"/>
      <c r="C316" s="250"/>
      <c r="D316" s="250"/>
    </row>
    <row r="317" spans="2:4" x14ac:dyDescent="0.25">
      <c r="B317" s="250"/>
      <c r="C317" s="250"/>
      <c r="D317" s="250"/>
    </row>
    <row r="318" spans="2:4" x14ac:dyDescent="0.25">
      <c r="B318" s="250"/>
      <c r="C318" s="250"/>
      <c r="D318" s="250"/>
    </row>
    <row r="319" spans="2:4" x14ac:dyDescent="0.25">
      <c r="B319" s="250"/>
      <c r="C319" s="250"/>
      <c r="D319" s="250"/>
    </row>
    <row r="320" spans="2:4" x14ac:dyDescent="0.25">
      <c r="B320" s="250"/>
      <c r="C320" s="250"/>
      <c r="D320" s="250"/>
    </row>
    <row r="321" spans="2:4" x14ac:dyDescent="0.25">
      <c r="B321" s="250"/>
      <c r="C321" s="250"/>
      <c r="D321" s="250"/>
    </row>
    <row r="322" spans="2:4" x14ac:dyDescent="0.25">
      <c r="B322" s="250"/>
      <c r="C322" s="250"/>
      <c r="D322" s="250"/>
    </row>
    <row r="323" spans="2:4" x14ac:dyDescent="0.25">
      <c r="B323" s="250"/>
      <c r="C323" s="250"/>
      <c r="D323" s="250"/>
    </row>
    <row r="324" spans="2:4" x14ac:dyDescent="0.25">
      <c r="B324" s="250"/>
      <c r="C324" s="250"/>
      <c r="D324" s="250"/>
    </row>
    <row r="325" spans="2:4" x14ac:dyDescent="0.25">
      <c r="B325" s="250"/>
      <c r="C325" s="250"/>
      <c r="D325" s="250"/>
    </row>
    <row r="326" spans="2:4" x14ac:dyDescent="0.25">
      <c r="B326" s="250"/>
      <c r="C326" s="250"/>
      <c r="D326" s="250"/>
    </row>
    <row r="327" spans="2:4" x14ac:dyDescent="0.25">
      <c r="B327" s="250"/>
      <c r="C327" s="250"/>
      <c r="D327" s="250"/>
    </row>
    <row r="328" spans="2:4" x14ac:dyDescent="0.25">
      <c r="B328" s="250"/>
      <c r="C328" s="250"/>
      <c r="D328" s="250"/>
    </row>
    <row r="329" spans="2:4" x14ac:dyDescent="0.25">
      <c r="B329" s="250"/>
      <c r="C329" s="250"/>
      <c r="D329" s="250"/>
    </row>
    <row r="330" spans="2:4" x14ac:dyDescent="0.25">
      <c r="B330" s="250"/>
      <c r="C330" s="250"/>
      <c r="D330" s="250"/>
    </row>
    <row r="331" spans="2:4" x14ac:dyDescent="0.25">
      <c r="B331" s="250"/>
      <c r="C331" s="250"/>
      <c r="D331" s="250"/>
    </row>
    <row r="332" spans="2:4" x14ac:dyDescent="0.25">
      <c r="B332" s="250"/>
      <c r="C332" s="250"/>
      <c r="D332" s="250"/>
    </row>
    <row r="333" spans="2:4" x14ac:dyDescent="0.25">
      <c r="B333" s="250"/>
      <c r="C333" s="250"/>
      <c r="D333" s="250"/>
    </row>
    <row r="334" spans="2:4" x14ac:dyDescent="0.25">
      <c r="B334" s="250"/>
      <c r="C334" s="250"/>
      <c r="D334" s="250"/>
    </row>
    <row r="335" spans="2:4" x14ac:dyDescent="0.25">
      <c r="B335" s="250"/>
      <c r="C335" s="250"/>
      <c r="D335" s="250"/>
    </row>
    <row r="336" spans="2:4" x14ac:dyDescent="0.25">
      <c r="B336" s="250"/>
      <c r="C336" s="250"/>
      <c r="D336" s="250"/>
    </row>
    <row r="337" spans="2:4" x14ac:dyDescent="0.25">
      <c r="B337" s="250"/>
      <c r="C337" s="250"/>
      <c r="D337" s="250"/>
    </row>
    <row r="338" spans="2:4" x14ac:dyDescent="0.25">
      <c r="B338" s="250"/>
      <c r="C338" s="250"/>
      <c r="D338" s="250"/>
    </row>
    <row r="339" spans="2:4" x14ac:dyDescent="0.25">
      <c r="B339" s="250"/>
      <c r="C339" s="250"/>
      <c r="D339" s="250"/>
    </row>
    <row r="340" spans="2:4" x14ac:dyDescent="0.25">
      <c r="B340" s="250"/>
      <c r="C340" s="250"/>
      <c r="D340" s="250"/>
    </row>
    <row r="341" spans="2:4" x14ac:dyDescent="0.25">
      <c r="B341" s="250"/>
      <c r="C341" s="250"/>
      <c r="D341" s="250"/>
    </row>
    <row r="342" spans="2:4" x14ac:dyDescent="0.25">
      <c r="B342" s="250"/>
      <c r="C342" s="250"/>
      <c r="D342" s="250"/>
    </row>
    <row r="343" spans="2:4" x14ac:dyDescent="0.25">
      <c r="B343" s="250"/>
      <c r="C343" s="250"/>
      <c r="D343" s="250"/>
    </row>
    <row r="344" spans="2:4" x14ac:dyDescent="0.25">
      <c r="B344" s="250"/>
      <c r="C344" s="250"/>
      <c r="D344" s="250"/>
    </row>
    <row r="345" spans="2:4" x14ac:dyDescent="0.25">
      <c r="B345" s="250"/>
      <c r="C345" s="250"/>
      <c r="D345" s="250"/>
    </row>
    <row r="346" spans="2:4" x14ac:dyDescent="0.25">
      <c r="B346" s="250"/>
      <c r="C346" s="250"/>
      <c r="D346" s="250"/>
    </row>
    <row r="347" spans="2:4" x14ac:dyDescent="0.25">
      <c r="B347" s="250"/>
      <c r="C347" s="250"/>
      <c r="D347" s="250"/>
    </row>
    <row r="348" spans="2:4" x14ac:dyDescent="0.25">
      <c r="B348" s="250"/>
      <c r="C348" s="250"/>
      <c r="D348" s="250"/>
    </row>
    <row r="349" spans="2:4" x14ac:dyDescent="0.25">
      <c r="B349" s="250"/>
      <c r="C349" s="250"/>
      <c r="D349" s="250"/>
    </row>
    <row r="350" spans="2:4" x14ac:dyDescent="0.25">
      <c r="B350" s="250"/>
      <c r="C350" s="250"/>
      <c r="D350" s="250"/>
    </row>
    <row r="351" spans="2:4" x14ac:dyDescent="0.25">
      <c r="B351" s="250"/>
      <c r="C351" s="250"/>
      <c r="D351" s="250"/>
    </row>
    <row r="352" spans="2:4" x14ac:dyDescent="0.25">
      <c r="B352" s="250"/>
      <c r="C352" s="250"/>
      <c r="D352" s="250"/>
    </row>
    <row r="353" spans="2:4" x14ac:dyDescent="0.25">
      <c r="B353" s="250"/>
      <c r="C353" s="250"/>
      <c r="D353" s="250"/>
    </row>
    <row r="354" spans="2:4" x14ac:dyDescent="0.25">
      <c r="B354" s="250"/>
      <c r="C354" s="250"/>
      <c r="D354" s="250"/>
    </row>
    <row r="355" spans="2:4" x14ac:dyDescent="0.25">
      <c r="B355" s="250"/>
      <c r="C355" s="250"/>
      <c r="D355" s="250"/>
    </row>
    <row r="356" spans="2:4" x14ac:dyDescent="0.25">
      <c r="B356" s="250"/>
      <c r="C356" s="250"/>
      <c r="D356" s="250"/>
    </row>
    <row r="357" spans="2:4" x14ac:dyDescent="0.25">
      <c r="B357" s="250"/>
      <c r="C357" s="250"/>
      <c r="D357" s="250"/>
    </row>
    <row r="358" spans="2:4" x14ac:dyDescent="0.25">
      <c r="B358" s="250"/>
      <c r="C358" s="250"/>
      <c r="D358" s="250"/>
    </row>
    <row r="359" spans="2:4" x14ac:dyDescent="0.25">
      <c r="B359" s="250"/>
      <c r="C359" s="250"/>
      <c r="D359" s="250"/>
    </row>
    <row r="360" spans="2:4" x14ac:dyDescent="0.25">
      <c r="B360" s="250"/>
      <c r="C360" s="250"/>
      <c r="D360" s="250"/>
    </row>
    <row r="361" spans="2:4" x14ac:dyDescent="0.25">
      <c r="B361" s="250"/>
      <c r="C361" s="250"/>
      <c r="D361" s="250"/>
    </row>
    <row r="362" spans="2:4" x14ac:dyDescent="0.25">
      <c r="B362" s="250"/>
      <c r="C362" s="250"/>
      <c r="D362" s="250"/>
    </row>
    <row r="363" spans="2:4" x14ac:dyDescent="0.25">
      <c r="B363" s="250"/>
      <c r="C363" s="250"/>
      <c r="D363" s="250"/>
    </row>
    <row r="364" spans="2:4" x14ac:dyDescent="0.25">
      <c r="B364" s="250"/>
      <c r="C364" s="250"/>
      <c r="D364" s="250"/>
    </row>
    <row r="365" spans="2:4" x14ac:dyDescent="0.25">
      <c r="B365" s="250"/>
      <c r="C365" s="250"/>
      <c r="D365" s="250"/>
    </row>
  </sheetData>
  <mergeCells count="5">
    <mergeCell ref="A262:D262"/>
    <mergeCell ref="A57:D57"/>
    <mergeCell ref="A112:D112"/>
    <mergeCell ref="A153:D153"/>
    <mergeCell ref="A202:D202"/>
  </mergeCells>
  <phoneticPr fontId="0" type="noConversion"/>
  <pageMargins left="1.1200000000000001" right="0.5" top="0.74" bottom="0.34" header="0.5" footer="0"/>
  <pageSetup scale="71" orientation="portrait" blackAndWhite="1" r:id="rId1"/>
  <headerFooter alignWithMargins="0">
    <oddHeader xml:space="preserve">&amp;RState of Kansas
County
</oddHeader>
  </headerFooter>
  <rowBreaks count="4" manualBreakCount="4">
    <brk id="63" max="16383" man="1"/>
    <brk id="112" max="3" man="1"/>
    <brk id="159" max="16383" man="1"/>
    <brk id="20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5"/>
  <sheetViews>
    <sheetView topLeftCell="A13" zoomScaleNormal="100" workbookViewId="0">
      <selection activeCell="D19" sqref="D19"/>
    </sheetView>
  </sheetViews>
  <sheetFormatPr defaultColWidth="8.9140625" defaultRowHeight="15.6" x14ac:dyDescent="0.25"/>
  <cols>
    <col min="1" max="1" width="2.4140625" style="25" customWidth="1"/>
    <col min="2" max="2" width="31.08203125" style="25" customWidth="1"/>
    <col min="3" max="4" width="15.75" style="25" customWidth="1"/>
    <col min="5" max="5" width="16.25" style="25" customWidth="1"/>
    <col min="6" max="6" width="7.4140625" style="25" customWidth="1"/>
    <col min="7" max="7" width="10.25" style="25" customWidth="1"/>
    <col min="8" max="8" width="8.9140625" style="25"/>
    <col min="9" max="9" width="5" style="25" customWidth="1"/>
    <col min="10" max="10" width="10" style="25" customWidth="1"/>
    <col min="11" max="16384" width="8.9140625" style="25"/>
  </cols>
  <sheetData>
    <row r="1" spans="2:5" x14ac:dyDescent="0.25">
      <c r="B1" s="155" t="str">
        <f>inputPrYr!C2</f>
        <v>Edwards County</v>
      </c>
      <c r="C1" s="28"/>
      <c r="D1" s="28"/>
      <c r="E1" s="206">
        <f>inputPrYr!C4</f>
        <v>2015</v>
      </c>
    </row>
    <row r="2" spans="2:5" x14ac:dyDescent="0.25">
      <c r="B2" s="28"/>
      <c r="C2" s="28"/>
      <c r="D2" s="28"/>
      <c r="E2" s="162"/>
    </row>
    <row r="3" spans="2:5" x14ac:dyDescent="0.25">
      <c r="B3" s="93" t="s">
        <v>153</v>
      </c>
      <c r="C3" s="28"/>
      <c r="D3" s="28"/>
      <c r="E3" s="220"/>
    </row>
    <row r="4" spans="2:5" x14ac:dyDescent="0.25">
      <c r="B4" s="221" t="s">
        <v>74</v>
      </c>
      <c r="C4" s="461" t="s">
        <v>296</v>
      </c>
      <c r="D4" s="462" t="s">
        <v>297</v>
      </c>
      <c r="E4" s="151" t="s">
        <v>298</v>
      </c>
    </row>
    <row r="5" spans="2:5" x14ac:dyDescent="0.25">
      <c r="B5" s="347" t="str">
        <f>inputPrYr!B18</f>
        <v>Road &amp; Bridge</v>
      </c>
      <c r="C5" s="332" t="str">
        <f>CONCATENATE("Actual for ",E1-2,"")</f>
        <v>Actual for 2013</v>
      </c>
      <c r="D5" s="332" t="str">
        <f>CONCATENATE("Estimate for ",E1-1,"")</f>
        <v>Estimate for 2014</v>
      </c>
      <c r="E5" s="222" t="str">
        <f>CONCATENATE("Year for ",E1,"")</f>
        <v>Year for 2015</v>
      </c>
    </row>
    <row r="6" spans="2:5" x14ac:dyDescent="0.25">
      <c r="B6" s="223" t="s">
        <v>186</v>
      </c>
      <c r="C6" s="329">
        <v>9850</v>
      </c>
      <c r="D6" s="333">
        <f>C42</f>
        <v>49397</v>
      </c>
      <c r="E6" s="185">
        <f>D42</f>
        <v>37968</v>
      </c>
    </row>
    <row r="7" spans="2:5" x14ac:dyDescent="0.25">
      <c r="B7" s="210" t="s">
        <v>188</v>
      </c>
      <c r="C7" s="225"/>
      <c r="D7" s="225"/>
      <c r="E7" s="68"/>
    </row>
    <row r="8" spans="2:5" x14ac:dyDescent="0.25">
      <c r="B8" s="223" t="s">
        <v>75</v>
      </c>
      <c r="C8" s="329">
        <v>788609</v>
      </c>
      <c r="D8" s="333">
        <f>IF(inputPrYr!H18&gt;0,inputPrYr!H18,inputPrYr!E18)</f>
        <v>794161</v>
      </c>
      <c r="E8" s="153" t="s">
        <v>61</v>
      </c>
    </row>
    <row r="9" spans="2:5" x14ac:dyDescent="0.25">
      <c r="B9" s="223" t="s">
        <v>76</v>
      </c>
      <c r="C9" s="329">
        <v>9846</v>
      </c>
      <c r="D9" s="329">
        <v>5000</v>
      </c>
      <c r="E9" s="226">
        <v>5000</v>
      </c>
    </row>
    <row r="10" spans="2:5" x14ac:dyDescent="0.25">
      <c r="B10" s="223" t="s">
        <v>77</v>
      </c>
      <c r="C10" s="329">
        <v>71572</v>
      </c>
      <c r="D10" s="329">
        <v>70123</v>
      </c>
      <c r="E10" s="68">
        <f>mvalloc!E9</f>
        <v>68382</v>
      </c>
    </row>
    <row r="11" spans="2:5" x14ac:dyDescent="0.25">
      <c r="B11" s="223" t="s">
        <v>78</v>
      </c>
      <c r="C11" s="329">
        <v>1072</v>
      </c>
      <c r="D11" s="329">
        <v>1210</v>
      </c>
      <c r="E11" s="68">
        <f>mvalloc!F9</f>
        <v>1005</v>
      </c>
    </row>
    <row r="12" spans="2:5" x14ac:dyDescent="0.25">
      <c r="B12" s="225" t="s">
        <v>177</v>
      </c>
      <c r="C12" s="329">
        <v>9092</v>
      </c>
      <c r="D12" s="329">
        <v>9851</v>
      </c>
      <c r="E12" s="68">
        <f>mvalloc!G9</f>
        <v>9959</v>
      </c>
    </row>
    <row r="13" spans="2:5" x14ac:dyDescent="0.25">
      <c r="B13" s="600" t="s">
        <v>391</v>
      </c>
      <c r="C13" s="329">
        <v>608</v>
      </c>
      <c r="D13" s="329">
        <v>600</v>
      </c>
      <c r="E13" s="88">
        <v>600</v>
      </c>
    </row>
    <row r="14" spans="2:5" x14ac:dyDescent="0.25">
      <c r="B14" s="600" t="s">
        <v>392</v>
      </c>
      <c r="C14" s="329"/>
      <c r="D14" s="329"/>
      <c r="E14" s="88"/>
    </row>
    <row r="15" spans="2:5" x14ac:dyDescent="0.25">
      <c r="B15" s="601" t="s">
        <v>393</v>
      </c>
      <c r="C15" s="329">
        <v>233621</v>
      </c>
      <c r="D15" s="329">
        <v>253943</v>
      </c>
      <c r="E15" s="88">
        <v>259126</v>
      </c>
    </row>
    <row r="16" spans="2:5" x14ac:dyDescent="0.25">
      <c r="B16" s="599" t="s">
        <v>7</v>
      </c>
      <c r="C16" s="329"/>
      <c r="D16" s="329"/>
      <c r="E16" s="88"/>
    </row>
    <row r="17" spans="2:10" x14ac:dyDescent="0.25">
      <c r="B17" s="599" t="s">
        <v>394</v>
      </c>
      <c r="C17" s="329">
        <v>150</v>
      </c>
      <c r="D17" s="329"/>
      <c r="E17" s="226"/>
    </row>
    <row r="18" spans="2:10" x14ac:dyDescent="0.25">
      <c r="B18" s="599" t="s">
        <v>395</v>
      </c>
      <c r="C18" s="329">
        <v>6972</v>
      </c>
      <c r="D18" s="329">
        <v>5000</v>
      </c>
      <c r="E18" s="226">
        <v>5000</v>
      </c>
    </row>
    <row r="19" spans="2:10" x14ac:dyDescent="0.25">
      <c r="B19" s="227"/>
      <c r="C19" s="329"/>
      <c r="D19" s="329"/>
      <c r="E19" s="226"/>
    </row>
    <row r="20" spans="2:10" x14ac:dyDescent="0.25">
      <c r="B20" s="227"/>
      <c r="C20" s="329"/>
      <c r="D20" s="329"/>
      <c r="E20" s="226"/>
    </row>
    <row r="21" spans="2:10" x14ac:dyDescent="0.25">
      <c r="B21" s="228" t="s">
        <v>80</v>
      </c>
      <c r="C21" s="329"/>
      <c r="D21" s="329"/>
      <c r="E21" s="226"/>
    </row>
    <row r="22" spans="2:10" x14ac:dyDescent="0.25">
      <c r="B22" s="229" t="s">
        <v>37</v>
      </c>
      <c r="C22" s="329"/>
      <c r="D22" s="329"/>
      <c r="E22" s="226"/>
    </row>
    <row r="23" spans="2:10" x14ac:dyDescent="0.25">
      <c r="B23" s="229" t="s">
        <v>262</v>
      </c>
      <c r="C23" s="330" t="str">
        <f>IF(C24*0.1&lt;C22,"Exceed 10% Rule","")</f>
        <v/>
      </c>
      <c r="D23" s="330" t="str">
        <f>IF(D24*0.1&lt;D22,"Exceed 10% Rule","")</f>
        <v/>
      </c>
      <c r="E23" s="256" t="str">
        <f>IF(E24*0.1+E48&lt;E22,"Exceed 10% Rule","")</f>
        <v/>
      </c>
    </row>
    <row r="24" spans="2:10" x14ac:dyDescent="0.25">
      <c r="B24" s="231" t="s">
        <v>81</v>
      </c>
      <c r="C24" s="331">
        <f>SUM(C8:C22)</f>
        <v>1121542</v>
      </c>
      <c r="D24" s="331">
        <f>SUM(D8:D22)</f>
        <v>1139888</v>
      </c>
      <c r="E24" s="259">
        <f>SUM(E9:E22)</f>
        <v>349072</v>
      </c>
    </row>
    <row r="25" spans="2:10" x14ac:dyDescent="0.25">
      <c r="B25" s="231" t="s">
        <v>82</v>
      </c>
      <c r="C25" s="331">
        <f>C6+C24</f>
        <v>1131392</v>
      </c>
      <c r="D25" s="331">
        <f>D6+D24</f>
        <v>1189285</v>
      </c>
      <c r="E25" s="259">
        <f>E6+E24</f>
        <v>387040</v>
      </c>
    </row>
    <row r="26" spans="2:10" x14ac:dyDescent="0.25">
      <c r="B26" s="28"/>
      <c r="C26" s="155"/>
      <c r="D26" s="155"/>
      <c r="E26" s="155"/>
    </row>
    <row r="27" spans="2:10" x14ac:dyDescent="0.25">
      <c r="B27" s="231" t="s">
        <v>82</v>
      </c>
      <c r="C27" s="333">
        <f>C25</f>
        <v>1131392</v>
      </c>
      <c r="D27" s="333">
        <f>D25</f>
        <v>1189285</v>
      </c>
      <c r="E27" s="185">
        <f>E25</f>
        <v>387040</v>
      </c>
      <c r="G27" s="703" t="str">
        <f>CONCATENATE("Desired Carryover Into ",E1+1,"")</f>
        <v>Desired Carryover Into 2016</v>
      </c>
      <c r="H27" s="704"/>
      <c r="I27" s="704"/>
      <c r="J27" s="682"/>
    </row>
    <row r="28" spans="2:10" x14ac:dyDescent="0.25">
      <c r="B28" s="602" t="s">
        <v>396</v>
      </c>
      <c r="C28" s="329"/>
      <c r="D28" s="329"/>
      <c r="E28" s="88"/>
      <c r="G28" s="413"/>
      <c r="H28" s="414"/>
      <c r="I28" s="415"/>
      <c r="J28" s="416"/>
    </row>
    <row r="29" spans="2:10" x14ac:dyDescent="0.25">
      <c r="B29" s="602" t="s">
        <v>90</v>
      </c>
      <c r="C29" s="329">
        <v>387628</v>
      </c>
      <c r="D29" s="329">
        <v>410000</v>
      </c>
      <c r="E29" s="88">
        <v>427500</v>
      </c>
      <c r="G29" s="417" t="s">
        <v>267</v>
      </c>
      <c r="H29" s="415"/>
      <c r="I29" s="415"/>
      <c r="J29" s="418">
        <v>0</v>
      </c>
    </row>
    <row r="30" spans="2:10" x14ac:dyDescent="0.25">
      <c r="B30" s="602" t="s">
        <v>91</v>
      </c>
      <c r="C30" s="329">
        <v>47028</v>
      </c>
      <c r="D30" s="329">
        <v>165000</v>
      </c>
      <c r="E30" s="88">
        <v>179750</v>
      </c>
      <c r="G30" s="413" t="s">
        <v>268</v>
      </c>
      <c r="H30" s="414"/>
      <c r="I30" s="414"/>
      <c r="J30" s="419" t="str">
        <f>IF(J29=0,"",ROUND((J29+E48-G42)/inputOth!E6*1000,3)-G47)</f>
        <v/>
      </c>
    </row>
    <row r="31" spans="2:10" x14ac:dyDescent="0.25">
      <c r="B31" s="602" t="s">
        <v>92</v>
      </c>
      <c r="C31" s="329">
        <v>533998</v>
      </c>
      <c r="D31" s="329">
        <v>545000</v>
      </c>
      <c r="E31" s="88">
        <v>557850</v>
      </c>
      <c r="G31" s="420" t="str">
        <f>CONCATENATE("",E1," Tot Exp/Non-Appr Must Be:")</f>
        <v>2015 Tot Exp/Non-Appr Must Be:</v>
      </c>
      <c r="H31" s="421"/>
      <c r="I31" s="422"/>
      <c r="J31" s="423">
        <f>IF(J29&gt;0,IF(E45&lt;E25,IF(J29=G42,E45,((J29-G42)*(1-D47))+E25),E45+(J29-G42)),0)</f>
        <v>0</v>
      </c>
    </row>
    <row r="32" spans="2:10" x14ac:dyDescent="0.25">
      <c r="B32" s="602" t="s">
        <v>93</v>
      </c>
      <c r="C32" s="329">
        <v>6974</v>
      </c>
      <c r="D32" s="329">
        <v>25000</v>
      </c>
      <c r="E32" s="88">
        <v>20000</v>
      </c>
      <c r="G32" s="424" t="s">
        <v>294</v>
      </c>
      <c r="H32" s="425"/>
      <c r="I32" s="425"/>
      <c r="J32" s="426">
        <f>IF(J29&gt;0,J31-E45,0)</f>
        <v>0</v>
      </c>
    </row>
    <row r="33" spans="2:10" x14ac:dyDescent="0.25">
      <c r="B33" s="602" t="s">
        <v>397</v>
      </c>
      <c r="C33" s="329">
        <v>20000</v>
      </c>
      <c r="D33" s="329"/>
      <c r="E33" s="88"/>
    </row>
    <row r="34" spans="2:10" x14ac:dyDescent="0.25">
      <c r="B34" s="602" t="s">
        <v>398</v>
      </c>
      <c r="C34" s="329">
        <v>80000</v>
      </c>
      <c r="D34" s="329"/>
      <c r="E34" s="88"/>
      <c r="G34" s="712" t="str">
        <f>CONCATENATE("Projected Carryover Into ",E1+1,"")</f>
        <v>Projected Carryover Into 2016</v>
      </c>
      <c r="H34" s="713"/>
      <c r="I34" s="713"/>
      <c r="J34" s="714"/>
    </row>
    <row r="35" spans="2:10" x14ac:dyDescent="0.25">
      <c r="B35" s="261"/>
      <c r="C35" s="329"/>
      <c r="D35" s="329"/>
      <c r="E35" s="88"/>
      <c r="G35" s="371"/>
      <c r="H35" s="370"/>
      <c r="I35" s="370"/>
      <c r="J35" s="372"/>
    </row>
    <row r="36" spans="2:10" x14ac:dyDescent="0.25">
      <c r="B36" s="261"/>
      <c r="C36" s="329"/>
      <c r="D36" s="329"/>
      <c r="E36" s="88"/>
      <c r="G36" s="357">
        <f>D42</f>
        <v>37968</v>
      </c>
      <c r="H36" s="355" t="str">
        <f>CONCATENATE("",E1-1," Ending Cash Balance (est.)")</f>
        <v>2014 Ending Cash Balance (est.)</v>
      </c>
      <c r="I36" s="354"/>
      <c r="J36" s="372"/>
    </row>
    <row r="37" spans="2:10" x14ac:dyDescent="0.25">
      <c r="B37" s="237"/>
      <c r="C37" s="329"/>
      <c r="D37" s="329"/>
      <c r="E37" s="226"/>
      <c r="G37" s="357">
        <f>E24</f>
        <v>349072</v>
      </c>
      <c r="H37" s="353" t="str">
        <f>CONCATENATE("",E1," Non-AV Receipts (est.)")</f>
        <v>2015 Non-AV Receipts (est.)</v>
      </c>
      <c r="I37" s="354"/>
      <c r="J37" s="372"/>
    </row>
    <row r="38" spans="2:10" x14ac:dyDescent="0.25">
      <c r="B38" s="229" t="s">
        <v>38</v>
      </c>
      <c r="C38" s="329">
        <v>6367</v>
      </c>
      <c r="D38" s="329">
        <v>6317</v>
      </c>
      <c r="E38" s="238">
        <f>Nhood!E8</f>
        <v>6787</v>
      </c>
      <c r="G38" s="352">
        <f>IF(E47&gt;0,E46,E48)</f>
        <v>804847</v>
      </c>
      <c r="H38" s="353" t="str">
        <f>CONCATENATE("",E1," Ad Valorem Tax (est.)")</f>
        <v>2015 Ad Valorem Tax (est.)</v>
      </c>
      <c r="I38" s="354"/>
      <c r="J38" s="372"/>
    </row>
    <row r="39" spans="2:10" x14ac:dyDescent="0.25">
      <c r="B39" s="229" t="s">
        <v>37</v>
      </c>
      <c r="C39" s="329"/>
      <c r="D39" s="329"/>
      <c r="E39" s="226"/>
      <c r="G39" s="357">
        <f>SUM(G36:G38)</f>
        <v>1191887</v>
      </c>
      <c r="H39" s="353" t="str">
        <f>CONCATENATE("Total ",E1," Resources Available")</f>
        <v>Total 2015 Resources Available</v>
      </c>
      <c r="I39" s="354"/>
      <c r="J39" s="372"/>
    </row>
    <row r="40" spans="2:10" x14ac:dyDescent="0.25">
      <c r="B40" s="229" t="s">
        <v>261</v>
      </c>
      <c r="C40" s="330" t="str">
        <f>IF(C41*0.1&lt;C39,"Exceed 10% Rule","")</f>
        <v/>
      </c>
      <c r="D40" s="330" t="str">
        <f>IF(D41*0.1&lt;D39,"Exceed 10% Rule","")</f>
        <v/>
      </c>
      <c r="E40" s="256" t="str">
        <f>IF(E41*0.1&lt;E39,"Exceed 10% Rule","")</f>
        <v/>
      </c>
      <c r="G40" s="351"/>
      <c r="H40" s="353"/>
      <c r="I40" s="353"/>
      <c r="J40" s="372"/>
    </row>
    <row r="41" spans="2:10" x14ac:dyDescent="0.25">
      <c r="B41" s="231" t="s">
        <v>86</v>
      </c>
      <c r="C41" s="331">
        <f>SUM(C28:C39)</f>
        <v>1081995</v>
      </c>
      <c r="D41" s="331">
        <f>SUM(D28:D39)</f>
        <v>1151317</v>
      </c>
      <c r="E41" s="259">
        <f>SUM(E28:E39)</f>
        <v>1191887</v>
      </c>
      <c r="G41" s="352">
        <f>C41*0.05+C41</f>
        <v>1136094.75</v>
      </c>
      <c r="H41" s="353" t="str">
        <f>CONCATENATE("Less ",E1-2," Expenditures + 5%")</f>
        <v>Less 2013 Expenditures + 5%</v>
      </c>
      <c r="I41" s="354"/>
      <c r="J41" s="372"/>
    </row>
    <row r="42" spans="2:10" x14ac:dyDescent="0.25">
      <c r="B42" s="89" t="s">
        <v>187</v>
      </c>
      <c r="C42" s="334">
        <f>C25-C41</f>
        <v>49397</v>
      </c>
      <c r="D42" s="334">
        <f>D25-D41</f>
        <v>37968</v>
      </c>
      <c r="E42" s="153" t="s">
        <v>61</v>
      </c>
      <c r="G42" s="350">
        <f>G39-G41</f>
        <v>55792.25</v>
      </c>
      <c r="H42" s="349" t="str">
        <f>CONCATENATE("Projected ",E1," Carryover (est.)")</f>
        <v>Projected 2015 Carryover (est.)</v>
      </c>
      <c r="I42" s="341"/>
      <c r="J42" s="340"/>
    </row>
    <row r="43" spans="2:10" x14ac:dyDescent="0.25">
      <c r="B43" s="221" t="str">
        <f>CONCATENATE("",E1-2,"/",E1-1,"/",E1," Budget Authority Amount:")</f>
        <v>2013/2014/2015 Budget Authority Amount:</v>
      </c>
      <c r="C43" s="255">
        <f>inputOth!$B32</f>
        <v>1142117</v>
      </c>
      <c r="D43" s="255">
        <f>inputPrYr!D18</f>
        <v>1154640</v>
      </c>
      <c r="E43" s="185">
        <f>E41</f>
        <v>1191887</v>
      </c>
    </row>
    <row r="44" spans="2:10" x14ac:dyDescent="0.25">
      <c r="B44" s="207"/>
      <c r="C44" s="708" t="s">
        <v>264</v>
      </c>
      <c r="D44" s="709"/>
      <c r="E44" s="53"/>
      <c r="G44" s="705" t="s">
        <v>295</v>
      </c>
      <c r="H44" s="706"/>
      <c r="I44" s="706"/>
      <c r="J44" s="707"/>
    </row>
    <row r="45" spans="2:10" x14ac:dyDescent="0.25">
      <c r="B45" s="360" t="str">
        <f>CONCATENATE(C59,"     ",D59)</f>
        <v xml:space="preserve">     </v>
      </c>
      <c r="C45" s="710" t="s">
        <v>265</v>
      </c>
      <c r="D45" s="711"/>
      <c r="E45" s="185">
        <f>E41+E44</f>
        <v>1191887</v>
      </c>
      <c r="G45" s="428"/>
      <c r="H45" s="429"/>
      <c r="I45" s="430"/>
      <c r="J45" s="431"/>
    </row>
    <row r="46" spans="2:10" x14ac:dyDescent="0.25">
      <c r="B46" s="360" t="str">
        <f>CONCATENATE(C60,"     ",D60)</f>
        <v xml:space="preserve">     </v>
      </c>
      <c r="C46" s="240"/>
      <c r="D46" s="162" t="s">
        <v>87</v>
      </c>
      <c r="E46" s="61">
        <f>IF(E45-E25&gt;0,E45-E25,0)</f>
        <v>804847</v>
      </c>
      <c r="G46" s="432">
        <f>summ!H17</f>
        <v>17.277999999999999</v>
      </c>
      <c r="H46" s="429" t="str">
        <f>CONCATENATE("",E1," Fund Mill Rate")</f>
        <v>2015 Fund Mill Rate</v>
      </c>
      <c r="I46" s="430"/>
      <c r="J46" s="431"/>
    </row>
    <row r="47" spans="2:10" x14ac:dyDescent="0.25">
      <c r="B47" s="207"/>
      <c r="C47" s="358" t="s">
        <v>266</v>
      </c>
      <c r="D47" s="412">
        <f>inputOth!$E$23</f>
        <v>0.01</v>
      </c>
      <c r="E47" s="185">
        <f>IF(D47&gt;0,(E46*D47),0)</f>
        <v>8048.47</v>
      </c>
      <c r="G47" s="433">
        <f>summ!E17</f>
        <v>17.695</v>
      </c>
      <c r="H47" s="429" t="str">
        <f>CONCATENATE("",E1-1," Fund Mill Rate")</f>
        <v>2014 Fund Mill Rate</v>
      </c>
      <c r="I47" s="430"/>
      <c r="J47" s="431"/>
    </row>
    <row r="48" spans="2:10" x14ac:dyDescent="0.25">
      <c r="B48" s="28"/>
      <c r="C48" s="701" t="str">
        <f>CONCATENATE("Amount of  ",$E$1-1," Ad Valorem Tax")</f>
        <v>Amount of  2014 Ad Valorem Tax</v>
      </c>
      <c r="D48" s="702"/>
      <c r="E48" s="257">
        <f>E46+E47</f>
        <v>812895.47</v>
      </c>
      <c r="G48" s="434">
        <f>summ!H34</f>
        <v>79.596000000000004</v>
      </c>
      <c r="H48" s="429" t="str">
        <f>CONCATENATE("Total ",E1," Mill Rate")</f>
        <v>Total 2015 Mill Rate</v>
      </c>
      <c r="I48" s="430"/>
      <c r="J48" s="431"/>
    </row>
    <row r="49" spans="2:10" x14ac:dyDescent="0.25">
      <c r="B49" s="28"/>
      <c r="C49" s="28"/>
      <c r="D49" s="28"/>
      <c r="E49" s="28"/>
      <c r="G49" s="433">
        <f>summ!E34</f>
        <v>78.593000000000004</v>
      </c>
      <c r="H49" s="435" t="str">
        <f>CONCATENATE("Total ",E1-1," Mill Rate")</f>
        <v>Total 2014 Mill Rate</v>
      </c>
      <c r="I49" s="436"/>
      <c r="J49" s="437"/>
    </row>
    <row r="50" spans="2:10" x14ac:dyDescent="0.25">
      <c r="B50" s="38"/>
      <c r="C50" s="603" t="s">
        <v>399</v>
      </c>
      <c r="D50" s="260"/>
      <c r="E50" s="260"/>
    </row>
    <row r="51" spans="2:10" x14ac:dyDescent="0.25">
      <c r="G51" s="508" t="s">
        <v>313</v>
      </c>
      <c r="H51" s="479"/>
      <c r="I51" s="478" t="str">
        <f>cert!E50</f>
        <v>Yes</v>
      </c>
    </row>
    <row r="59" spans="2:10" x14ac:dyDescent="0.25">
      <c r="C59" s="25" t="str">
        <f>IF(C41&gt;C43,"See Tab A","")</f>
        <v/>
      </c>
      <c r="D59" s="25" t="str">
        <f>IF(D41&gt;D43,"See Tab C","")</f>
        <v/>
      </c>
    </row>
    <row r="60" spans="2:10" x14ac:dyDescent="0.25">
      <c r="C60" s="25" t="str">
        <f>IF(C42&lt;0,"See Tab B","")</f>
        <v/>
      </c>
      <c r="D60" s="25" t="str">
        <f>IF(D42&lt;0,"See Tab D","")</f>
        <v/>
      </c>
    </row>
    <row r="98" spans="6:11" x14ac:dyDescent="0.25">
      <c r="F98" s="239"/>
    </row>
    <row r="99" spans="6:11" x14ac:dyDescent="0.25">
      <c r="F99" s="356" t="str">
        <f>IF(E41/0.95-E41&lt;E44,"Exceeds 5%","")</f>
        <v/>
      </c>
      <c r="K99" s="427" t="str">
        <f>IF(G38=E48,"","Note: Does not include Delinquent Taxes")</f>
        <v>Note: Does not include Delinquent Taxes</v>
      </c>
    </row>
    <row r="114" hidden="1" x14ac:dyDescent="0.25"/>
    <row r="115" hidden="1" x14ac:dyDescent="0.25"/>
  </sheetData>
  <mergeCells count="6">
    <mergeCell ref="G44:J44"/>
    <mergeCell ref="C44:D44"/>
    <mergeCell ref="C45:D45"/>
    <mergeCell ref="C48:D48"/>
    <mergeCell ref="G27:J27"/>
    <mergeCell ref="G34:J34"/>
  </mergeCells>
  <phoneticPr fontId="8" type="noConversion"/>
  <conditionalFormatting sqref="E39">
    <cfRule type="cellIs" dxfId="130" priority="2" stopIfTrue="1" operator="greaterThan">
      <formula>$E$41*0.1</formula>
    </cfRule>
  </conditionalFormatting>
  <conditionalFormatting sqref="E44">
    <cfRule type="cellIs" dxfId="129" priority="3" stopIfTrue="1" operator="greaterThan">
      <formula>$E$41/0.95-$E$41</formula>
    </cfRule>
  </conditionalFormatting>
  <conditionalFormatting sqref="C22">
    <cfRule type="cellIs" dxfId="128" priority="4" stopIfTrue="1" operator="greaterThan">
      <formula>$C$24*0.1</formula>
    </cfRule>
  </conditionalFormatting>
  <conditionalFormatting sqref="D22">
    <cfRule type="cellIs" dxfId="127" priority="5" stopIfTrue="1" operator="greaterThan">
      <formula>$D$24*0.1</formula>
    </cfRule>
  </conditionalFormatting>
  <conditionalFormatting sqref="E22">
    <cfRule type="cellIs" dxfId="126" priority="6" stopIfTrue="1" operator="greaterThan">
      <formula>$E$24*0.1+E48</formula>
    </cfRule>
  </conditionalFormatting>
  <conditionalFormatting sqref="C39">
    <cfRule type="cellIs" dxfId="125" priority="7" stopIfTrue="1" operator="greaterThan">
      <formula>$C$41*0.1</formula>
    </cfRule>
  </conditionalFormatting>
  <conditionalFormatting sqref="D39">
    <cfRule type="cellIs" dxfId="124" priority="8" stopIfTrue="1" operator="greaterThan">
      <formula>$D$41*0.1</formula>
    </cfRule>
  </conditionalFormatting>
  <conditionalFormatting sqref="C41">
    <cfRule type="cellIs" dxfId="123" priority="9" stopIfTrue="1" operator="greaterThan">
      <formula>$C$43</formula>
    </cfRule>
  </conditionalFormatting>
  <conditionalFormatting sqref="C42">
    <cfRule type="cellIs" dxfId="122" priority="10" stopIfTrue="1" operator="lessThan">
      <formula>0</formula>
    </cfRule>
  </conditionalFormatting>
  <conditionalFormatting sqref="D41">
    <cfRule type="cellIs" dxfId="121" priority="11" stopIfTrue="1" operator="greaterThan">
      <formula>$D$43</formula>
    </cfRule>
  </conditionalFormatting>
  <conditionalFormatting sqref="D42">
    <cfRule type="cellIs" dxfId="120" priority="1" stopIfTrue="1" operator="lessThan">
      <formula>0</formula>
    </cfRule>
  </conditionalFormatting>
  <pageMargins left="0.75" right="0.75" top="1" bottom="0.5" header="0.5" footer="0.5"/>
  <pageSetup scale="88" orientation="portrait" blackAndWhite="1" r:id="rId1"/>
  <headerFooter alignWithMargins="0">
    <oddHeader>&amp;RState of Kansas
County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K97"/>
  <sheetViews>
    <sheetView topLeftCell="A37" zoomScaleNormal="100" workbookViewId="0">
      <selection activeCell="H18" sqref="H18"/>
    </sheetView>
  </sheetViews>
  <sheetFormatPr defaultColWidth="8.9140625" defaultRowHeight="15.6" x14ac:dyDescent="0.25"/>
  <cols>
    <col min="1" max="1" width="2.4140625" style="25" customWidth="1"/>
    <col min="2" max="2" width="31.08203125" style="25" customWidth="1"/>
    <col min="3" max="4" width="15.75" style="25" customWidth="1"/>
    <col min="5" max="5" width="16.08203125" style="25" customWidth="1"/>
    <col min="6" max="6" width="7.4140625" style="25" customWidth="1"/>
    <col min="7" max="7" width="10.25" style="25" customWidth="1"/>
    <col min="8" max="8" width="8.9140625" style="25"/>
    <col min="9" max="9" width="5" style="25" customWidth="1"/>
    <col min="10" max="10" width="10" style="25" customWidth="1"/>
    <col min="11" max="16384" width="8.9140625" style="25"/>
  </cols>
  <sheetData>
    <row r="1" spans="2:5" x14ac:dyDescent="0.25">
      <c r="B1" s="155" t="str">
        <f>(inputPrYr!C2)</f>
        <v>Edwards County</v>
      </c>
      <c r="C1" s="28"/>
      <c r="D1" s="28"/>
      <c r="E1" s="206">
        <f>inputPrYr!C4</f>
        <v>2015</v>
      </c>
    </row>
    <row r="2" spans="2:5" x14ac:dyDescent="0.25">
      <c r="B2" s="28"/>
      <c r="C2" s="28"/>
      <c r="D2" s="28"/>
      <c r="E2" s="162"/>
    </row>
    <row r="3" spans="2:5" x14ac:dyDescent="0.25">
      <c r="B3" s="93" t="s">
        <v>153</v>
      </c>
      <c r="C3" s="251"/>
      <c r="D3" s="251"/>
      <c r="E3" s="252"/>
    </row>
    <row r="4" spans="2:5" x14ac:dyDescent="0.25">
      <c r="B4" s="27" t="s">
        <v>74</v>
      </c>
      <c r="C4" s="461" t="s">
        <v>296</v>
      </c>
      <c r="D4" s="462" t="s">
        <v>297</v>
      </c>
      <c r="E4" s="151" t="s">
        <v>298</v>
      </c>
    </row>
    <row r="5" spans="2:5" x14ac:dyDescent="0.25">
      <c r="B5" s="347" t="str">
        <f>inputPrYr!B19</f>
        <v>Noxious Weed</v>
      </c>
      <c r="C5" s="332" t="str">
        <f>CONCATENATE("Actual for ",E1-2,"")</f>
        <v>Actual for 2013</v>
      </c>
      <c r="D5" s="332" t="str">
        <f>CONCATENATE("Estimate for ",E1-1,"")</f>
        <v>Estimate for 2014</v>
      </c>
      <c r="E5" s="222" t="str">
        <f>CONCATENATE("Year for ",E1,"")</f>
        <v>Year for 2015</v>
      </c>
    </row>
    <row r="6" spans="2:5" x14ac:dyDescent="0.25">
      <c r="B6" s="89" t="s">
        <v>186</v>
      </c>
      <c r="C6" s="329">
        <v>16071</v>
      </c>
      <c r="D6" s="333">
        <f>C34</f>
        <v>14958</v>
      </c>
      <c r="E6" s="185">
        <f>D34</f>
        <v>14195</v>
      </c>
    </row>
    <row r="7" spans="2:5" x14ac:dyDescent="0.25">
      <c r="B7" s="210" t="s">
        <v>188</v>
      </c>
      <c r="C7" s="225"/>
      <c r="D7" s="225"/>
      <c r="E7" s="68"/>
    </row>
    <row r="8" spans="2:5" x14ac:dyDescent="0.25">
      <c r="B8" s="89" t="s">
        <v>75</v>
      </c>
      <c r="C8" s="329">
        <v>64439</v>
      </c>
      <c r="D8" s="333">
        <f>IF(inputPrYr!H19&gt;0,inputPrYr!H19,inputPrYr!E19)</f>
        <v>67312</v>
      </c>
      <c r="E8" s="254" t="s">
        <v>61</v>
      </c>
    </row>
    <row r="9" spans="2:5" x14ac:dyDescent="0.25">
      <c r="B9" s="89" t="s">
        <v>76</v>
      </c>
      <c r="C9" s="329">
        <v>839</v>
      </c>
      <c r="D9" s="329">
        <v>900</v>
      </c>
      <c r="E9" s="53">
        <v>950</v>
      </c>
    </row>
    <row r="10" spans="2:5" x14ac:dyDescent="0.25">
      <c r="B10" s="89" t="s">
        <v>77</v>
      </c>
      <c r="C10" s="329">
        <v>5926</v>
      </c>
      <c r="D10" s="329">
        <v>5732</v>
      </c>
      <c r="E10" s="185">
        <f>mvalloc!E10</f>
        <v>5796</v>
      </c>
    </row>
    <row r="11" spans="2:5" x14ac:dyDescent="0.25">
      <c r="B11" s="89" t="s">
        <v>78</v>
      </c>
      <c r="C11" s="329">
        <v>89</v>
      </c>
      <c r="D11" s="329">
        <v>99</v>
      </c>
      <c r="E11" s="185">
        <f>mvalloc!F10</f>
        <v>85</v>
      </c>
    </row>
    <row r="12" spans="2:5" x14ac:dyDescent="0.25">
      <c r="B12" s="225" t="s">
        <v>146</v>
      </c>
      <c r="C12" s="329">
        <v>780</v>
      </c>
      <c r="D12" s="329">
        <v>805</v>
      </c>
      <c r="E12" s="185">
        <f>mvalloc!G10</f>
        <v>844</v>
      </c>
    </row>
    <row r="13" spans="2:5" x14ac:dyDescent="0.25">
      <c r="B13" s="605" t="s">
        <v>391</v>
      </c>
      <c r="C13" s="329">
        <v>49</v>
      </c>
      <c r="D13" s="329">
        <v>55</v>
      </c>
      <c r="E13" s="53">
        <v>55</v>
      </c>
    </row>
    <row r="14" spans="2:5" x14ac:dyDescent="0.25">
      <c r="B14" s="604" t="s">
        <v>80</v>
      </c>
      <c r="C14" s="329"/>
      <c r="D14" s="329"/>
      <c r="E14" s="53"/>
    </row>
    <row r="15" spans="2:5" x14ac:dyDescent="0.25">
      <c r="B15" s="237"/>
      <c r="C15" s="329"/>
      <c r="D15" s="329"/>
      <c r="E15" s="53"/>
    </row>
    <row r="16" spans="2:5" x14ac:dyDescent="0.25">
      <c r="B16" s="237"/>
      <c r="C16" s="329"/>
      <c r="D16" s="329"/>
      <c r="E16" s="53"/>
    </row>
    <row r="17" spans="2:10" x14ac:dyDescent="0.25">
      <c r="B17" s="228" t="s">
        <v>80</v>
      </c>
      <c r="C17" s="329"/>
      <c r="D17" s="329"/>
      <c r="E17" s="53"/>
    </row>
    <row r="18" spans="2:10" x14ac:dyDescent="0.25">
      <c r="B18" s="229" t="s">
        <v>37</v>
      </c>
      <c r="C18" s="329"/>
      <c r="D18" s="329"/>
      <c r="E18" s="53"/>
    </row>
    <row r="19" spans="2:10" x14ac:dyDescent="0.25">
      <c r="B19" s="229" t="s">
        <v>262</v>
      </c>
      <c r="C19" s="330" t="str">
        <f>IF(C20*0.1&lt;C18,"Exceed 10% Rule","")</f>
        <v/>
      </c>
      <c r="D19" s="330" t="str">
        <f>IF(D20*0.1&lt;D18,"Exceed 10% Rule","")</f>
        <v/>
      </c>
      <c r="E19" s="256" t="str">
        <f>IF(E20*0.1+E40&lt;E18,"Exceed 10% Rule","")</f>
        <v/>
      </c>
    </row>
    <row r="20" spans="2:10" x14ac:dyDescent="0.25">
      <c r="B20" s="231" t="s">
        <v>81</v>
      </c>
      <c r="C20" s="331">
        <f>SUM(C8:C18)</f>
        <v>72122</v>
      </c>
      <c r="D20" s="331">
        <f>SUM(D8:D18)</f>
        <v>74903</v>
      </c>
      <c r="E20" s="259">
        <f>SUM(E8:E18)</f>
        <v>7730</v>
      </c>
    </row>
    <row r="21" spans="2:10" x14ac:dyDescent="0.25">
      <c r="B21" s="231" t="s">
        <v>82</v>
      </c>
      <c r="C21" s="331">
        <f>C6+C20</f>
        <v>88193</v>
      </c>
      <c r="D21" s="331">
        <f>D6+D20</f>
        <v>89861</v>
      </c>
      <c r="E21" s="259">
        <f>E6+E20</f>
        <v>21925</v>
      </c>
    </row>
    <row r="22" spans="2:10" x14ac:dyDescent="0.25">
      <c r="B22" s="89" t="s">
        <v>85</v>
      </c>
      <c r="C22" s="229"/>
      <c r="D22" s="229"/>
      <c r="E22" s="49"/>
    </row>
    <row r="23" spans="2:10" x14ac:dyDescent="0.25">
      <c r="B23" s="606" t="s">
        <v>400</v>
      </c>
      <c r="C23" s="329"/>
      <c r="D23" s="329"/>
      <c r="E23" s="53"/>
    </row>
    <row r="24" spans="2:10" x14ac:dyDescent="0.25">
      <c r="B24" s="606" t="s">
        <v>90</v>
      </c>
      <c r="C24" s="329">
        <v>33775</v>
      </c>
      <c r="D24" s="329">
        <v>35100</v>
      </c>
      <c r="E24" s="53">
        <v>36000</v>
      </c>
      <c r="G24" s="703" t="str">
        <f>CONCATENATE("Desired Carryover Into ",E1+1,"")</f>
        <v>Desired Carryover Into 2016</v>
      </c>
      <c r="H24" s="704"/>
      <c r="I24" s="704"/>
      <c r="J24" s="682"/>
    </row>
    <row r="25" spans="2:10" x14ac:dyDescent="0.25">
      <c r="B25" s="606" t="s">
        <v>91</v>
      </c>
      <c r="C25" s="329">
        <v>6703</v>
      </c>
      <c r="D25" s="329">
        <v>8350</v>
      </c>
      <c r="E25" s="53">
        <v>8350</v>
      </c>
      <c r="G25" s="413"/>
      <c r="H25" s="414"/>
      <c r="I25" s="415"/>
      <c r="J25" s="416"/>
    </row>
    <row r="26" spans="2:10" x14ac:dyDescent="0.25">
      <c r="B26" s="606" t="s">
        <v>92</v>
      </c>
      <c r="C26" s="329">
        <v>147474</v>
      </c>
      <c r="D26" s="329">
        <v>90100</v>
      </c>
      <c r="E26" s="53">
        <v>92000</v>
      </c>
      <c r="G26" s="417" t="s">
        <v>267</v>
      </c>
      <c r="H26" s="415"/>
      <c r="I26" s="415"/>
      <c r="J26" s="418">
        <v>0</v>
      </c>
    </row>
    <row r="27" spans="2:10" x14ac:dyDescent="0.25">
      <c r="B27" s="606" t="s">
        <v>93</v>
      </c>
      <c r="C27" s="329">
        <v>6004</v>
      </c>
      <c r="D27" s="329">
        <v>1500</v>
      </c>
      <c r="E27" s="53">
        <v>5500</v>
      </c>
      <c r="G27" s="413" t="s">
        <v>268</v>
      </c>
      <c r="H27" s="414"/>
      <c r="I27" s="414"/>
      <c r="J27" s="419" t="str">
        <f>IF(J26=0,"",ROUND((J26+E40-G39)/inputOth!E6*1000,3)-G44)</f>
        <v/>
      </c>
    </row>
    <row r="28" spans="2:10" x14ac:dyDescent="0.25">
      <c r="B28" s="606" t="s">
        <v>401</v>
      </c>
      <c r="C28" s="329">
        <v>-122241</v>
      </c>
      <c r="D28" s="329">
        <v>-60000</v>
      </c>
      <c r="E28" s="53">
        <v>-50000</v>
      </c>
      <c r="G28" s="420" t="str">
        <f>CONCATENATE("",E1," Tot Exp/Non-Appr Must Be:")</f>
        <v>2015 Tot Exp/Non-Appr Must Be:</v>
      </c>
      <c r="H28" s="421"/>
      <c r="I28" s="422"/>
      <c r="J28" s="423">
        <f>IF(J26&gt;0,IF(E37&lt;E21,IF(J26=G39,E37,((J26-G39)*(1-D39))+E21),E37+(J26-G39)),0)</f>
        <v>0</v>
      </c>
    </row>
    <row r="29" spans="2:10" x14ac:dyDescent="0.25">
      <c r="B29" s="606" t="s">
        <v>402</v>
      </c>
      <c r="C29" s="329">
        <v>1000</v>
      </c>
      <c r="D29" s="329"/>
      <c r="E29" s="53"/>
      <c r="G29" s="424" t="s">
        <v>294</v>
      </c>
      <c r="H29" s="425"/>
      <c r="I29" s="425"/>
      <c r="J29" s="426">
        <f>IF(J26&gt;0,J28-E37,0)</f>
        <v>0</v>
      </c>
    </row>
    <row r="30" spans="2:10" x14ac:dyDescent="0.3">
      <c r="B30" s="229" t="s">
        <v>38</v>
      </c>
      <c r="C30" s="329">
        <v>520</v>
      </c>
      <c r="D30" s="329">
        <v>616</v>
      </c>
      <c r="E30" s="61">
        <f>Nhood!E9</f>
        <v>595</v>
      </c>
      <c r="G30" s="1"/>
      <c r="H30" s="1"/>
      <c r="I30" s="1"/>
      <c r="J30" s="1"/>
    </row>
    <row r="31" spans="2:10" x14ac:dyDescent="0.25">
      <c r="B31" s="229" t="s">
        <v>37</v>
      </c>
      <c r="C31" s="329"/>
      <c r="D31" s="329"/>
      <c r="E31" s="53"/>
      <c r="G31" s="703" t="str">
        <f>CONCATENATE("Projected Carryover Into ",E1+1,"")</f>
        <v>Projected Carryover Into 2016</v>
      </c>
      <c r="H31" s="716"/>
      <c r="I31" s="716"/>
      <c r="J31" s="717"/>
    </row>
    <row r="32" spans="2:10" x14ac:dyDescent="0.25">
      <c r="B32" s="229" t="s">
        <v>261</v>
      </c>
      <c r="C32" s="330" t="str">
        <f>IF(C33*0.1&lt;C31,"Exceed 10% Rule","")</f>
        <v/>
      </c>
      <c r="D32" s="330" t="str">
        <f>IF(D33*0.1&lt;D31,"Exceed 10% Rule","")</f>
        <v/>
      </c>
      <c r="E32" s="256" t="str">
        <f>IF(E33*0.1&lt;E31,"Exceed 10% Rule","")</f>
        <v/>
      </c>
      <c r="G32" s="413"/>
      <c r="H32" s="415"/>
      <c r="I32" s="415"/>
      <c r="J32" s="438"/>
    </row>
    <row r="33" spans="2:11" x14ac:dyDescent="0.25">
      <c r="B33" s="231" t="s">
        <v>86</v>
      </c>
      <c r="C33" s="331">
        <f>SUM(C23:C31)</f>
        <v>73235</v>
      </c>
      <c r="D33" s="331">
        <f>SUM(D23:D31)</f>
        <v>75666</v>
      </c>
      <c r="E33" s="259">
        <f>SUM(E23:E31)</f>
        <v>92445</v>
      </c>
      <c r="G33" s="439">
        <f>D34</f>
        <v>14195</v>
      </c>
      <c r="H33" s="429" t="str">
        <f>CONCATENATE("",E1-1," Ending Cash Balance (est.)")</f>
        <v>2014 Ending Cash Balance (est.)</v>
      </c>
      <c r="I33" s="440"/>
      <c r="J33" s="438"/>
    </row>
    <row r="34" spans="2:11" x14ac:dyDescent="0.25">
      <c r="B34" s="89" t="s">
        <v>187</v>
      </c>
      <c r="C34" s="334">
        <f>C21-C33</f>
        <v>14958</v>
      </c>
      <c r="D34" s="334">
        <f>D21-D33</f>
        <v>14195</v>
      </c>
      <c r="E34" s="254" t="s">
        <v>61</v>
      </c>
      <c r="G34" s="439">
        <f>E20</f>
        <v>7730</v>
      </c>
      <c r="H34" s="415" t="str">
        <f>CONCATENATE("",E1," Non-AV Receipts (est.)")</f>
        <v>2015 Non-AV Receipts (est.)</v>
      </c>
      <c r="I34" s="440"/>
      <c r="J34" s="438"/>
    </row>
    <row r="35" spans="2:11" x14ac:dyDescent="0.25">
      <c r="B35" s="221" t="str">
        <f>CONCATENATE("",E1-2,"/",E1-1,"/",E1," Budget Authority Amount:")</f>
        <v>2013/2014/2015 Budget Authority Amount:</v>
      </c>
      <c r="C35" s="255">
        <f>inputOth!B33</f>
        <v>86146</v>
      </c>
      <c r="D35" s="255">
        <f>inputPrYr!D19</f>
        <v>88566</v>
      </c>
      <c r="E35" s="185">
        <f>E33</f>
        <v>92445</v>
      </c>
      <c r="F35" s="239"/>
      <c r="G35" s="441">
        <f>IF(E39&gt;0,E38,E40)</f>
        <v>70520</v>
      </c>
      <c r="H35" s="415" t="str">
        <f>CONCATENATE("",E1," Ad Valorem Tax (est.)")</f>
        <v>2015 Ad Valorem Tax (est.)</v>
      </c>
      <c r="I35" s="440"/>
      <c r="J35" s="438"/>
      <c r="K35" s="427" t="str">
        <f>IF(G35=E40,"","Note: Does not include Delinquent Taxes")</f>
        <v>Note: Does not include Delinquent Taxes</v>
      </c>
    </row>
    <row r="36" spans="2:11" x14ac:dyDescent="0.25">
      <c r="B36" s="207"/>
      <c r="C36" s="708" t="s">
        <v>264</v>
      </c>
      <c r="D36" s="709"/>
      <c r="E36" s="53"/>
      <c r="F36" s="356" t="str">
        <f>IF(E33/0.95-E33&lt;E36,"Exceeds 5%","")</f>
        <v/>
      </c>
      <c r="G36" s="439">
        <f>SUM(G33:G35)</f>
        <v>92445</v>
      </c>
      <c r="H36" s="415" t="str">
        <f>CONCATENATE("Total ",E1," Resources Available")</f>
        <v>Total 2015 Resources Available</v>
      </c>
      <c r="I36" s="440"/>
      <c r="J36" s="438"/>
    </row>
    <row r="37" spans="2:11" x14ac:dyDescent="0.25">
      <c r="B37" s="360" t="str">
        <f>CONCATENATE(C94,"     ",D94)</f>
        <v xml:space="preserve">     </v>
      </c>
      <c r="C37" s="710" t="s">
        <v>265</v>
      </c>
      <c r="D37" s="711"/>
      <c r="E37" s="185">
        <f>E33+E36</f>
        <v>92445</v>
      </c>
      <c r="G37" s="442"/>
      <c r="H37" s="415"/>
      <c r="I37" s="415"/>
      <c r="J37" s="438"/>
    </row>
    <row r="38" spans="2:11" x14ac:dyDescent="0.3">
      <c r="B38" s="360" t="str">
        <f>CONCATENATE(C95,"     ",D95)</f>
        <v xml:space="preserve">     </v>
      </c>
      <c r="C38" s="240"/>
      <c r="D38" s="162" t="s">
        <v>87</v>
      </c>
      <c r="E38" s="61">
        <f>IF(E37-E21&gt;0,E37-E21,0)</f>
        <v>70520</v>
      </c>
      <c r="G38" s="441">
        <f>ROUND(C33*0.05+C33,0)</f>
        <v>76897</v>
      </c>
      <c r="H38" s="415" t="str">
        <f>CONCATENATE("Less ",E1-2," Expenditures + 5%")</f>
        <v>Less 2013 Expenditures + 5%</v>
      </c>
      <c r="I38" s="440"/>
      <c r="J38" s="443"/>
    </row>
    <row r="39" spans="2:11" x14ac:dyDescent="0.25">
      <c r="B39" s="162"/>
      <c r="C39" s="358" t="s">
        <v>266</v>
      </c>
      <c r="D39" s="412">
        <f>inputOth!$E$23</f>
        <v>0.01</v>
      </c>
      <c r="E39" s="185">
        <f>ROUND(IF(D39&gt;0,($E$38*D39),0),0)</f>
        <v>705</v>
      </c>
      <c r="G39" s="444">
        <f>G36-G38</f>
        <v>15548</v>
      </c>
      <c r="H39" s="445" t="str">
        <f>CONCATENATE("Projected ",E1+1," carryover (est.)")</f>
        <v>Projected 2016 carryover (est.)</v>
      </c>
      <c r="I39" s="446"/>
      <c r="J39" s="447"/>
    </row>
    <row r="40" spans="2:11" x14ac:dyDescent="0.3">
      <c r="B40" s="28"/>
      <c r="C40" s="701" t="str">
        <f>CONCATENATE("Amount of  ",$E$1-1," Ad Valorem Tax")</f>
        <v>Amount of  2014 Ad Valorem Tax</v>
      </c>
      <c r="D40" s="702"/>
      <c r="E40" s="257">
        <f>E38+E39</f>
        <v>71225</v>
      </c>
      <c r="G40" s="1"/>
      <c r="H40" s="1"/>
      <c r="I40" s="1"/>
      <c r="J40" s="1"/>
    </row>
    <row r="41" spans="2:11" x14ac:dyDescent="0.25">
      <c r="B41" s="28"/>
      <c r="C41" s="246"/>
      <c r="D41" s="246"/>
      <c r="E41" s="246"/>
      <c r="G41" s="705" t="s">
        <v>295</v>
      </c>
      <c r="H41" s="706"/>
      <c r="I41" s="706"/>
      <c r="J41" s="707"/>
    </row>
    <row r="42" spans="2:11" x14ac:dyDescent="0.25">
      <c r="B42" s="27" t="s">
        <v>74</v>
      </c>
      <c r="C42" s="461" t="str">
        <f t="shared" ref="C42:E43" si="0">C4</f>
        <v xml:space="preserve">Prior Year </v>
      </c>
      <c r="D42" s="462" t="str">
        <f t="shared" si="0"/>
        <v xml:space="preserve">Current Year </v>
      </c>
      <c r="E42" s="151" t="str">
        <f t="shared" si="0"/>
        <v xml:space="preserve">Proposed Budget </v>
      </c>
      <c r="G42" s="428"/>
      <c r="H42" s="429"/>
      <c r="I42" s="430"/>
      <c r="J42" s="431"/>
    </row>
    <row r="43" spans="2:11" x14ac:dyDescent="0.25">
      <c r="B43" s="346" t="str">
        <f>(inputPrYr!B20)</f>
        <v>Employee Benefits</v>
      </c>
      <c r="C43" s="332" t="str">
        <f t="shared" si="0"/>
        <v>Actual for 2013</v>
      </c>
      <c r="D43" s="332" t="str">
        <f t="shared" si="0"/>
        <v>Estimate for 2014</v>
      </c>
      <c r="E43" s="222" t="str">
        <f t="shared" si="0"/>
        <v>Year for 2015</v>
      </c>
      <c r="G43" s="432">
        <f>summ!H18</f>
        <v>1.514</v>
      </c>
      <c r="H43" s="429" t="str">
        <f>CONCATENATE("",E1," Fund Mill Rate")</f>
        <v>2015 Fund Mill Rate</v>
      </c>
      <c r="I43" s="430"/>
      <c r="J43" s="431"/>
    </row>
    <row r="44" spans="2:11" x14ac:dyDescent="0.25">
      <c r="B44" s="89" t="s">
        <v>186</v>
      </c>
      <c r="C44" s="329">
        <v>76244</v>
      </c>
      <c r="D44" s="333">
        <f>C77</f>
        <v>112126</v>
      </c>
      <c r="E44" s="185">
        <f>D77</f>
        <v>73861</v>
      </c>
      <c r="G44" s="433">
        <f>summ!E18</f>
        <v>1.5</v>
      </c>
      <c r="H44" s="429" t="str">
        <f>CONCATENATE("",E1-1," Fund Mill Rate")</f>
        <v>2014 Fund Mill Rate</v>
      </c>
      <c r="I44" s="430"/>
      <c r="J44" s="431"/>
    </row>
    <row r="45" spans="2:11" x14ac:dyDescent="0.25">
      <c r="B45" s="223" t="s">
        <v>188</v>
      </c>
      <c r="C45" s="225"/>
      <c r="D45" s="225"/>
      <c r="E45" s="68"/>
      <c r="G45" s="434">
        <f>summ!H34</f>
        <v>79.596000000000004</v>
      </c>
      <c r="H45" s="429" t="str">
        <f>CONCATENATE("Total ",E1," Mill Rate")</f>
        <v>Total 2015 Mill Rate</v>
      </c>
      <c r="I45" s="430"/>
      <c r="J45" s="431"/>
    </row>
    <row r="46" spans="2:11" x14ac:dyDescent="0.25">
      <c r="B46" s="89" t="s">
        <v>75</v>
      </c>
      <c r="C46" s="329">
        <v>790403</v>
      </c>
      <c r="D46" s="333">
        <f>IF(inputPrYr!H20&gt;0,inputPrYr!H20,inputPrYr!E20)</f>
        <v>820400</v>
      </c>
      <c r="E46" s="254" t="s">
        <v>61</v>
      </c>
      <c r="G46" s="433">
        <f>summ!E34</f>
        <v>78.593000000000004</v>
      </c>
      <c r="H46" s="435" t="str">
        <f>CONCATENATE("Total ",E1-1," Mill Rate")</f>
        <v>Total 2014 Mill Rate</v>
      </c>
      <c r="I46" s="436"/>
      <c r="J46" s="437"/>
    </row>
    <row r="47" spans="2:11" x14ac:dyDescent="0.3">
      <c r="B47" s="89" t="s">
        <v>76</v>
      </c>
      <c r="C47" s="329">
        <v>9519</v>
      </c>
      <c r="D47" s="329">
        <v>3000</v>
      </c>
      <c r="E47" s="53">
        <v>3000</v>
      </c>
      <c r="G47" s="1"/>
      <c r="H47" s="1"/>
      <c r="I47" s="1"/>
      <c r="J47" s="1"/>
    </row>
    <row r="48" spans="2:11" x14ac:dyDescent="0.3">
      <c r="B48" s="89" t="s">
        <v>77</v>
      </c>
      <c r="C48" s="329">
        <v>71436</v>
      </c>
      <c r="D48" s="329">
        <v>70281</v>
      </c>
      <c r="E48" s="185">
        <f>mvalloc!E11</f>
        <v>70641</v>
      </c>
      <c r="G48" s="509" t="s">
        <v>313</v>
      </c>
      <c r="H48" s="479"/>
      <c r="I48" s="478" t="str">
        <f>cert!E50</f>
        <v>Yes</v>
      </c>
      <c r="J48" s="1"/>
    </row>
    <row r="49" spans="2:10" x14ac:dyDescent="0.3">
      <c r="B49" s="89" t="s">
        <v>78</v>
      </c>
      <c r="C49" s="329">
        <v>1068</v>
      </c>
      <c r="D49" s="329">
        <v>1213</v>
      </c>
      <c r="E49" s="185">
        <f>mvalloc!F11</f>
        <v>1039</v>
      </c>
      <c r="G49" s="1"/>
      <c r="H49" s="1"/>
      <c r="I49" s="1"/>
      <c r="J49" s="1"/>
    </row>
    <row r="50" spans="2:10" x14ac:dyDescent="0.3">
      <c r="B50" s="225" t="s">
        <v>146</v>
      </c>
      <c r="C50" s="329">
        <v>8258</v>
      </c>
      <c r="D50" s="329">
        <v>9873</v>
      </c>
      <c r="E50" s="185">
        <f>mvalloc!G11</f>
        <v>10288</v>
      </c>
      <c r="G50" s="1"/>
      <c r="H50" s="1"/>
      <c r="I50" s="1"/>
      <c r="J50" s="1"/>
    </row>
    <row r="51" spans="2:10" x14ac:dyDescent="0.3">
      <c r="B51" s="608" t="s">
        <v>391</v>
      </c>
      <c r="C51" s="329">
        <v>609</v>
      </c>
      <c r="D51" s="329">
        <v>525</v>
      </c>
      <c r="E51" s="53">
        <v>525</v>
      </c>
      <c r="G51" s="1"/>
      <c r="H51" s="1"/>
      <c r="I51" s="1"/>
      <c r="J51" s="1"/>
    </row>
    <row r="52" spans="2:10" x14ac:dyDescent="0.3">
      <c r="B52" s="237"/>
      <c r="C52" s="329"/>
      <c r="D52" s="329"/>
      <c r="E52" s="53"/>
      <c r="G52" s="1"/>
      <c r="H52" s="1"/>
      <c r="I52" s="1"/>
      <c r="J52" s="1"/>
    </row>
    <row r="53" spans="2:10" x14ac:dyDescent="0.3">
      <c r="B53" s="237"/>
      <c r="C53" s="329"/>
      <c r="D53" s="329"/>
      <c r="E53" s="53"/>
      <c r="G53" s="1"/>
      <c r="H53" s="1"/>
      <c r="I53" s="1"/>
      <c r="J53" s="1"/>
    </row>
    <row r="54" spans="2:10" x14ac:dyDescent="0.3">
      <c r="B54" s="237"/>
      <c r="C54" s="329"/>
      <c r="D54" s="329"/>
      <c r="E54" s="53"/>
      <c r="G54" s="1"/>
      <c r="H54" s="1"/>
      <c r="I54" s="1"/>
      <c r="J54" s="1"/>
    </row>
    <row r="55" spans="2:10" x14ac:dyDescent="0.3">
      <c r="B55" s="237"/>
      <c r="C55" s="329"/>
      <c r="D55" s="329"/>
      <c r="E55" s="53"/>
      <c r="G55" s="1"/>
      <c r="H55" s="1"/>
      <c r="I55" s="1"/>
      <c r="J55" s="1"/>
    </row>
    <row r="56" spans="2:10" x14ac:dyDescent="0.3">
      <c r="B56" s="237"/>
      <c r="C56" s="329"/>
      <c r="D56" s="329"/>
      <c r="E56" s="53"/>
      <c r="G56" s="1"/>
      <c r="H56" s="1"/>
      <c r="I56" s="1"/>
      <c r="J56" s="1"/>
    </row>
    <row r="57" spans="2:10" x14ac:dyDescent="0.3">
      <c r="B57" s="228" t="s">
        <v>80</v>
      </c>
      <c r="C57" s="329"/>
      <c r="D57" s="329"/>
      <c r="E57" s="53"/>
      <c r="G57" s="1"/>
      <c r="H57" s="1"/>
      <c r="I57" s="1"/>
      <c r="J57" s="1"/>
    </row>
    <row r="58" spans="2:10" x14ac:dyDescent="0.3">
      <c r="B58" s="229" t="s">
        <v>37</v>
      </c>
      <c r="C58" s="329"/>
      <c r="D58" s="329"/>
      <c r="E58" s="53"/>
      <c r="G58" s="1"/>
      <c r="H58" s="1"/>
      <c r="I58" s="1"/>
      <c r="J58" s="1"/>
    </row>
    <row r="59" spans="2:10" x14ac:dyDescent="0.3">
      <c r="B59" s="229" t="s">
        <v>262</v>
      </c>
      <c r="C59" s="330" t="str">
        <f>IF(C60*0.1&lt;C58,"Exceed 10% Rule","")</f>
        <v/>
      </c>
      <c r="D59" s="330" t="str">
        <f>IF(D60*0.1&lt;D58,"Exceed 10% Rule","")</f>
        <v/>
      </c>
      <c r="E59" s="256" t="str">
        <f>IF(E60*0.1+E83&lt;E58,"Exceed 10% Rule","")</f>
        <v/>
      </c>
      <c r="G59" s="1"/>
      <c r="H59" s="1"/>
      <c r="I59" s="1"/>
      <c r="J59" s="1"/>
    </row>
    <row r="60" spans="2:10" x14ac:dyDescent="0.3">
      <c r="B60" s="231" t="s">
        <v>81</v>
      </c>
      <c r="C60" s="331">
        <f>SUM(C46:C58)</f>
        <v>881293</v>
      </c>
      <c r="D60" s="331">
        <f>SUM(D46:D58)</f>
        <v>905292</v>
      </c>
      <c r="E60" s="259">
        <f>SUM(E46:E58)</f>
        <v>85493</v>
      </c>
      <c r="G60" s="1"/>
      <c r="H60" s="1"/>
      <c r="I60" s="1"/>
      <c r="J60" s="1"/>
    </row>
    <row r="61" spans="2:10" x14ac:dyDescent="0.3">
      <c r="B61" s="231" t="s">
        <v>82</v>
      </c>
      <c r="C61" s="331">
        <f>C44+C60</f>
        <v>957537</v>
      </c>
      <c r="D61" s="331">
        <f>D44+D60</f>
        <v>1017418</v>
      </c>
      <c r="E61" s="259">
        <f>E44+E60</f>
        <v>159354</v>
      </c>
      <c r="G61" s="1"/>
      <c r="H61" s="1"/>
      <c r="I61" s="1"/>
      <c r="J61" s="1"/>
    </row>
    <row r="62" spans="2:10" x14ac:dyDescent="0.3">
      <c r="B62" s="89" t="s">
        <v>85</v>
      </c>
      <c r="C62" s="229"/>
      <c r="D62" s="229"/>
      <c r="E62" s="49"/>
      <c r="G62" s="1"/>
      <c r="H62" s="1"/>
      <c r="I62" s="1"/>
      <c r="J62" s="1"/>
    </row>
    <row r="63" spans="2:10" x14ac:dyDescent="0.3">
      <c r="B63" s="610" t="s">
        <v>403</v>
      </c>
      <c r="C63" s="329"/>
      <c r="D63" s="329"/>
      <c r="E63" s="53"/>
      <c r="G63" s="1"/>
      <c r="H63" s="1"/>
      <c r="I63" s="1"/>
      <c r="J63" s="1"/>
    </row>
    <row r="64" spans="2:10" x14ac:dyDescent="0.25">
      <c r="B64" s="610" t="s">
        <v>100</v>
      </c>
      <c r="C64" s="609">
        <v>105778</v>
      </c>
      <c r="D64" s="609">
        <v>117000</v>
      </c>
      <c r="E64" s="607">
        <v>120000</v>
      </c>
      <c r="G64" s="703" t="str">
        <f>CONCATENATE("Desired Carryover Into ",E1+1,"")</f>
        <v>Desired Carryover Into 2016</v>
      </c>
      <c r="H64" s="704"/>
      <c r="I64" s="704"/>
      <c r="J64" s="682"/>
    </row>
    <row r="65" spans="2:11" x14ac:dyDescent="0.25">
      <c r="B65" s="610" t="s">
        <v>404</v>
      </c>
      <c r="C65" s="609">
        <v>118039</v>
      </c>
      <c r="D65" s="609">
        <v>145000</v>
      </c>
      <c r="E65" s="607">
        <v>160000</v>
      </c>
      <c r="G65" s="413"/>
      <c r="H65" s="414"/>
      <c r="I65" s="415"/>
      <c r="J65" s="416"/>
    </row>
    <row r="66" spans="2:11" x14ac:dyDescent="0.25">
      <c r="B66" s="610" t="s">
        <v>405</v>
      </c>
      <c r="C66" s="609">
        <v>9886</v>
      </c>
      <c r="D66" s="609">
        <v>12000</v>
      </c>
      <c r="E66" s="607">
        <v>12000</v>
      </c>
      <c r="G66" s="417" t="s">
        <v>267</v>
      </c>
      <c r="H66" s="415"/>
      <c r="I66" s="415"/>
      <c r="J66" s="418">
        <v>0</v>
      </c>
    </row>
    <row r="67" spans="2:11" x14ac:dyDescent="0.25">
      <c r="B67" s="610" t="s">
        <v>406</v>
      </c>
      <c r="C67" s="329">
        <v>558469</v>
      </c>
      <c r="D67" s="329">
        <v>610000</v>
      </c>
      <c r="E67" s="53">
        <v>700000</v>
      </c>
      <c r="G67" s="413" t="s">
        <v>268</v>
      </c>
      <c r="H67" s="414"/>
      <c r="I67" s="414"/>
      <c r="J67" s="419" t="str">
        <f>IF(J66=0,"",ROUND((J66+E83-G79)/inputOth!E6*1000,3)-G84)</f>
        <v/>
      </c>
    </row>
    <row r="68" spans="2:11" x14ac:dyDescent="0.25">
      <c r="B68" s="610" t="s">
        <v>407</v>
      </c>
      <c r="C68" s="329">
        <v>1551</v>
      </c>
      <c r="D68" s="329">
        <v>3000</v>
      </c>
      <c r="E68" s="53">
        <v>3000</v>
      </c>
      <c r="G68" s="420" t="str">
        <f>CONCATENATE("",E1," Tot Exp/Non-Appr Must Be:")</f>
        <v>2015 Tot Exp/Non-Appr Must Be:</v>
      </c>
      <c r="H68" s="421"/>
      <c r="I68" s="422"/>
      <c r="J68" s="423">
        <f>IF(J66&gt;0,IF(E80&lt;E61,IF(J66=G79,E80,((J66-G79)*(1-D82))+E61),E80+(J66-G79)),0)</f>
        <v>0</v>
      </c>
    </row>
    <row r="69" spans="2:11" x14ac:dyDescent="0.25">
      <c r="B69" s="610" t="s">
        <v>408</v>
      </c>
      <c r="C69" s="329">
        <v>37553</v>
      </c>
      <c r="D69" s="329">
        <v>39000</v>
      </c>
      <c r="E69" s="53">
        <v>40000</v>
      </c>
      <c r="G69" s="424" t="s">
        <v>294</v>
      </c>
      <c r="H69" s="425"/>
      <c r="I69" s="425"/>
      <c r="J69" s="426">
        <f>IF(J66&gt;0,J68-E80,0)</f>
        <v>0</v>
      </c>
    </row>
    <row r="70" spans="2:11" x14ac:dyDescent="0.3">
      <c r="B70" s="610" t="s">
        <v>409</v>
      </c>
      <c r="C70" s="329">
        <v>7680</v>
      </c>
      <c r="D70" s="329">
        <v>10000</v>
      </c>
      <c r="E70" s="53">
        <v>10000</v>
      </c>
      <c r="G70" s="1"/>
      <c r="H70" s="1"/>
      <c r="I70" s="1"/>
      <c r="J70" s="1"/>
    </row>
    <row r="71" spans="2:11" x14ac:dyDescent="0.25">
      <c r="B71" s="636" t="s">
        <v>3</v>
      </c>
      <c r="C71" s="329">
        <v>73</v>
      </c>
      <c r="D71" s="329"/>
      <c r="E71" s="53"/>
      <c r="G71" s="703" t="str">
        <f>CONCATENATE("Projected Carryover Into ",E1+1,"")</f>
        <v>Projected Carryover Into 2016</v>
      </c>
      <c r="H71" s="718"/>
      <c r="I71" s="718"/>
      <c r="J71" s="717"/>
    </row>
    <row r="72" spans="2:11" x14ac:dyDescent="0.3">
      <c r="B72" s="237"/>
      <c r="C72" s="329"/>
      <c r="D72" s="329"/>
      <c r="E72" s="53"/>
      <c r="G72" s="448"/>
      <c r="H72" s="414"/>
      <c r="I72" s="414"/>
      <c r="J72" s="443"/>
    </row>
    <row r="73" spans="2:11" x14ac:dyDescent="0.3">
      <c r="B73" s="229" t="s">
        <v>38</v>
      </c>
      <c r="C73" s="329">
        <v>6382</v>
      </c>
      <c r="D73" s="329">
        <v>7557</v>
      </c>
      <c r="E73" s="61">
        <f>Nhood!E10</f>
        <v>7531</v>
      </c>
      <c r="G73" s="439">
        <f>D77</f>
        <v>73861</v>
      </c>
      <c r="H73" s="429" t="str">
        <f>CONCATENATE("",E1-1," Ending Cash Balance (est.)")</f>
        <v>2014 Ending Cash Balance (est.)</v>
      </c>
      <c r="I73" s="440"/>
      <c r="J73" s="443"/>
    </row>
    <row r="74" spans="2:11" x14ac:dyDescent="0.3">
      <c r="B74" s="229" t="s">
        <v>37</v>
      </c>
      <c r="C74" s="329"/>
      <c r="D74" s="329"/>
      <c r="E74" s="53"/>
      <c r="G74" s="439">
        <f>E60</f>
        <v>85493</v>
      </c>
      <c r="H74" s="415" t="str">
        <f>CONCATENATE("",E1," Non-AV Receipts (est.)")</f>
        <v>2015 Non-AV Receipts (est.)</v>
      </c>
      <c r="I74" s="440"/>
      <c r="J74" s="443"/>
    </row>
    <row r="75" spans="2:11" x14ac:dyDescent="0.3">
      <c r="B75" s="229" t="s">
        <v>261</v>
      </c>
      <c r="C75" s="330" t="str">
        <f>IF(C76*0.1&lt;C74,"Exceed 10% Rule","")</f>
        <v/>
      </c>
      <c r="D75" s="330" t="str">
        <f>IF(D76*0.1&lt;D74,"Exceed 10% Rule","")</f>
        <v/>
      </c>
      <c r="E75" s="256" t="str">
        <f>IF(E76*0.1&lt;E74,"Exceed 10% Rule","")</f>
        <v/>
      </c>
      <c r="F75" s="239"/>
      <c r="G75" s="441">
        <f>IF(E82&gt;0,E81,E83)</f>
        <v>893177</v>
      </c>
      <c r="H75" s="415" t="str">
        <f>CONCATENATE("",E1," Ad Valorem Tax (est.)")</f>
        <v>2015 Ad Valorem Tax (est.)</v>
      </c>
      <c r="I75" s="440"/>
      <c r="J75" s="443"/>
      <c r="K75" s="427" t="str">
        <f>IF(G75=E83,"","Note: Does not include Delinquent Taxes")</f>
        <v>Note: Does not include Delinquent Taxes</v>
      </c>
    </row>
    <row r="76" spans="2:11" x14ac:dyDescent="0.3">
      <c r="B76" s="231" t="s">
        <v>86</v>
      </c>
      <c r="C76" s="331">
        <f>SUM(C63:C74)</f>
        <v>845411</v>
      </c>
      <c r="D76" s="331">
        <f>SUM(D63:D74)</f>
        <v>943557</v>
      </c>
      <c r="E76" s="259">
        <f>SUM(E63:E74)</f>
        <v>1052531</v>
      </c>
      <c r="F76" s="356" t="str">
        <f>IF(E76/0.95-E76&lt;E79,"Exceeds 5%","")</f>
        <v/>
      </c>
      <c r="G76" s="449">
        <f>SUM(G73:G75)</f>
        <v>1052531</v>
      </c>
      <c r="H76" s="415" t="str">
        <f>CONCATENATE("Total ",E1," Resources Available")</f>
        <v>Total 2015 Resources Available</v>
      </c>
      <c r="I76" s="450"/>
      <c r="J76" s="443"/>
    </row>
    <row r="77" spans="2:11" x14ac:dyDescent="0.3">
      <c r="B77" s="89" t="s">
        <v>187</v>
      </c>
      <c r="C77" s="334">
        <f>C61-C76</f>
        <v>112126</v>
      </c>
      <c r="D77" s="334">
        <f>D61-D76</f>
        <v>73861</v>
      </c>
      <c r="E77" s="254" t="s">
        <v>61</v>
      </c>
      <c r="G77" s="451"/>
      <c r="H77" s="452"/>
      <c r="I77" s="414"/>
      <c r="J77" s="443"/>
    </row>
    <row r="78" spans="2:11" x14ac:dyDescent="0.3">
      <c r="B78" s="221" t="str">
        <f>CONCATENATE("",E1-2,"/",E1-1,"/",E1," Budget Authority Amount:")</f>
        <v>2013/2014/2015 Budget Authority Amount:</v>
      </c>
      <c r="C78" s="255">
        <f>inputOth!B34</f>
        <v>914831</v>
      </c>
      <c r="D78" s="255">
        <f>inputPrYr!D20</f>
        <v>943557</v>
      </c>
      <c r="E78" s="185">
        <f>E76</f>
        <v>1052531</v>
      </c>
      <c r="G78" s="453">
        <f>ROUND(C76*0.05+C76,0)</f>
        <v>887682</v>
      </c>
      <c r="H78" s="415" t="str">
        <f>CONCATENATE("Less ",E1-2," Expenditures + 5%")</f>
        <v>Less 2013 Expenditures + 5%</v>
      </c>
      <c r="I78" s="450"/>
      <c r="J78" s="443"/>
    </row>
    <row r="79" spans="2:11" x14ac:dyDescent="0.3">
      <c r="B79" s="207"/>
      <c r="C79" s="708" t="s">
        <v>264</v>
      </c>
      <c r="D79" s="709"/>
      <c r="E79" s="53"/>
      <c r="G79" s="454">
        <f>G76-G78</f>
        <v>164849</v>
      </c>
      <c r="H79" s="445" t="str">
        <f>CONCATENATE("Projected ",E1+1," carryover (est.)")</f>
        <v>Projected 2016 carryover (est.)</v>
      </c>
      <c r="I79" s="455"/>
      <c r="J79" s="456"/>
    </row>
    <row r="80" spans="2:11" x14ac:dyDescent="0.3">
      <c r="B80" s="359" t="str">
        <f>CONCATENATE(C96,"     ",D96)</f>
        <v xml:space="preserve">     </v>
      </c>
      <c r="C80" s="710" t="s">
        <v>265</v>
      </c>
      <c r="D80" s="711"/>
      <c r="E80" s="185">
        <f>E76+E79</f>
        <v>1052531</v>
      </c>
      <c r="G80" s="1"/>
      <c r="H80" s="1"/>
      <c r="I80" s="1"/>
      <c r="J80" s="1"/>
    </row>
    <row r="81" spans="2:10" x14ac:dyDescent="0.25">
      <c r="B81" s="359" t="str">
        <f>CONCATENATE(C97,"     ",D97)</f>
        <v xml:space="preserve">     </v>
      </c>
      <c r="C81" s="240"/>
      <c r="D81" s="162" t="s">
        <v>87</v>
      </c>
      <c r="E81" s="61">
        <f>IF(E80-E61&gt;0,E80-E61,0)</f>
        <v>893177</v>
      </c>
      <c r="G81" s="705" t="s">
        <v>295</v>
      </c>
      <c r="H81" s="706"/>
      <c r="I81" s="706"/>
      <c r="J81" s="707"/>
    </row>
    <row r="82" spans="2:10" x14ac:dyDescent="0.25">
      <c r="B82" s="162"/>
      <c r="C82" s="358" t="s">
        <v>266</v>
      </c>
      <c r="D82" s="412">
        <f>inputOth!$E$23</f>
        <v>0.01</v>
      </c>
      <c r="E82" s="185">
        <f>ROUND(IF(D82&gt;0,($E$81*D82),0),0)</f>
        <v>8932</v>
      </c>
      <c r="G82" s="428"/>
      <c r="H82" s="429"/>
      <c r="I82" s="430"/>
      <c r="J82" s="431"/>
    </row>
    <row r="83" spans="2:10" x14ac:dyDescent="0.25">
      <c r="B83" s="28"/>
      <c r="C83" s="701" t="str">
        <f>CONCATENATE("Amount of  ",$E$1-1," Ad Valorem Tax")</f>
        <v>Amount of  2014 Ad Valorem Tax</v>
      </c>
      <c r="D83" s="702"/>
      <c r="E83" s="257">
        <f>E81+E82</f>
        <v>902109</v>
      </c>
      <c r="G83" s="432">
        <f>summ!H19</f>
        <v>19.173999999999999</v>
      </c>
      <c r="H83" s="429" t="str">
        <f>CONCATENATE("",E1," Fund Mill Rate")</f>
        <v>2015 Fund Mill Rate</v>
      </c>
      <c r="I83" s="430"/>
      <c r="J83" s="431"/>
    </row>
    <row r="84" spans="2:10" x14ac:dyDescent="0.25">
      <c r="B84" s="207" t="s">
        <v>108</v>
      </c>
      <c r="C84" s="258">
        <v>9</v>
      </c>
      <c r="D84" s="28"/>
      <c r="E84" s="28"/>
      <c r="G84" s="433">
        <f>summ!E19</f>
        <v>18.28</v>
      </c>
      <c r="H84" s="429" t="str">
        <f>CONCATENATE("",E1-1," Fund Mill Rate")</f>
        <v>2014 Fund Mill Rate</v>
      </c>
      <c r="I84" s="430"/>
      <c r="J84" s="431"/>
    </row>
    <row r="85" spans="2:10" x14ac:dyDescent="0.25">
      <c r="G85" s="434">
        <f>summ!H34</f>
        <v>79.596000000000004</v>
      </c>
      <c r="H85" s="429" t="str">
        <f>CONCATENATE("Total ",E1," Mill Rate")</f>
        <v>Total 2015 Mill Rate</v>
      </c>
      <c r="I85" s="430"/>
      <c r="J85" s="431"/>
    </row>
    <row r="86" spans="2:10" x14ac:dyDescent="0.25">
      <c r="G86" s="433">
        <f>summ!E34</f>
        <v>78.593000000000004</v>
      </c>
      <c r="H86" s="435" t="str">
        <f>CONCATENATE("Total ",E1-1," Mill Rate")</f>
        <v>Total 2014 Mill Rate</v>
      </c>
      <c r="I86" s="436"/>
      <c r="J86" s="437"/>
    </row>
    <row r="88" spans="2:10" x14ac:dyDescent="0.25">
      <c r="G88" s="510" t="s">
        <v>313</v>
      </c>
      <c r="H88" s="479"/>
      <c r="I88" s="478" t="str">
        <f>cert!E50</f>
        <v>Yes</v>
      </c>
    </row>
    <row r="91" spans="2:10" hidden="1" x14ac:dyDescent="0.25"/>
    <row r="92" spans="2:10" hidden="1" x14ac:dyDescent="0.25"/>
    <row r="93" spans="2:10" hidden="1" x14ac:dyDescent="0.25"/>
    <row r="94" spans="2:10" hidden="1" x14ac:dyDescent="0.25">
      <c r="C94" s="25" t="str">
        <f>IF(C33&gt;C35,"See Tab A","")</f>
        <v/>
      </c>
      <c r="D94" s="25" t="str">
        <f>IF(D33&gt;D35,"See Tab C","")</f>
        <v/>
      </c>
    </row>
    <row r="95" spans="2:10" x14ac:dyDescent="0.25">
      <c r="C95" s="25" t="str">
        <f>IF(C34&lt;0,"See Tab B","")</f>
        <v/>
      </c>
      <c r="D95" s="25" t="str">
        <f>IF(D34&lt;0,"See Tab D","")</f>
        <v/>
      </c>
    </row>
    <row r="96" spans="2:10" x14ac:dyDescent="0.25">
      <c r="C96" s="25" t="str">
        <f>IF(C76&gt;C78,"See Tab A","")</f>
        <v/>
      </c>
      <c r="D96" s="25" t="str">
        <f>IF(D76&gt;D78,"See Tab C","")</f>
        <v/>
      </c>
    </row>
    <row r="97" spans="3:4" x14ac:dyDescent="0.25">
      <c r="C97" s="25" t="str">
        <f>IF(C77&lt;0,"See Tab B","")</f>
        <v/>
      </c>
      <c r="D97" s="25" t="str">
        <f>IF(D77&lt;0,"See Tab D","")</f>
        <v/>
      </c>
    </row>
  </sheetData>
  <mergeCells count="12">
    <mergeCell ref="C83:D83"/>
    <mergeCell ref="C40:D40"/>
    <mergeCell ref="G24:J24"/>
    <mergeCell ref="G31:J31"/>
    <mergeCell ref="G41:J41"/>
    <mergeCell ref="G64:J64"/>
    <mergeCell ref="G71:J71"/>
    <mergeCell ref="G81:J81"/>
    <mergeCell ref="C36:D36"/>
    <mergeCell ref="C37:D37"/>
    <mergeCell ref="C79:D79"/>
    <mergeCell ref="C80:D80"/>
  </mergeCells>
  <phoneticPr fontId="0" type="noConversion"/>
  <conditionalFormatting sqref="E74">
    <cfRule type="cellIs" dxfId="119" priority="4" stopIfTrue="1" operator="greaterThan">
      <formula>$E$76*0.1</formula>
    </cfRule>
  </conditionalFormatting>
  <conditionalFormatting sqref="E79">
    <cfRule type="cellIs" dxfId="118" priority="5" stopIfTrue="1" operator="greaterThan">
      <formula>$E$76/0.95-$E$76</formula>
    </cfRule>
  </conditionalFormatting>
  <conditionalFormatting sqref="E36">
    <cfRule type="cellIs" dxfId="117" priority="6" stopIfTrue="1" operator="greaterThan">
      <formula>$E$33/0.95-$E$33</formula>
    </cfRule>
  </conditionalFormatting>
  <conditionalFormatting sqref="E31">
    <cfRule type="cellIs" dxfId="116" priority="7" stopIfTrue="1" operator="greaterThan">
      <formula>$E$33*0.1</formula>
    </cfRule>
  </conditionalFormatting>
  <conditionalFormatting sqref="C33">
    <cfRule type="cellIs" dxfId="115" priority="8" stopIfTrue="1" operator="greaterThan">
      <formula>$C$35</formula>
    </cfRule>
  </conditionalFormatting>
  <conditionalFormatting sqref="C77 C34">
    <cfRule type="cellIs" dxfId="114" priority="9" stopIfTrue="1" operator="lessThan">
      <formula>0</formula>
    </cfRule>
  </conditionalFormatting>
  <conditionalFormatting sqref="D33">
    <cfRule type="cellIs" dxfId="113" priority="10" stopIfTrue="1" operator="greaterThan">
      <formula>$D$35</formula>
    </cfRule>
  </conditionalFormatting>
  <conditionalFormatting sqref="C76">
    <cfRule type="cellIs" dxfId="112" priority="11" stopIfTrue="1" operator="greaterThan">
      <formula>$C$78</formula>
    </cfRule>
  </conditionalFormatting>
  <conditionalFormatting sqref="D76">
    <cfRule type="cellIs" dxfId="111" priority="12" stopIfTrue="1" operator="greaterThan">
      <formula>$D$78</formula>
    </cfRule>
  </conditionalFormatting>
  <conditionalFormatting sqref="C74">
    <cfRule type="cellIs" dxfId="110" priority="13" stopIfTrue="1" operator="greaterThan">
      <formula>$C$76*0.1</formula>
    </cfRule>
  </conditionalFormatting>
  <conditionalFormatting sqref="D74">
    <cfRule type="cellIs" dxfId="109" priority="14" stopIfTrue="1" operator="greaterThan">
      <formula>$D$76*0.1</formula>
    </cfRule>
  </conditionalFormatting>
  <conditionalFormatting sqref="E58">
    <cfRule type="cellIs" dxfId="108" priority="15" stopIfTrue="1" operator="greaterThan">
      <formula>$E$60*0.1+E83</formula>
    </cfRule>
  </conditionalFormatting>
  <conditionalFormatting sqref="C58">
    <cfRule type="cellIs" dxfId="107" priority="16" stopIfTrue="1" operator="greaterThan">
      <formula>$C$60*0.1</formula>
    </cfRule>
  </conditionalFormatting>
  <conditionalFormatting sqref="D58">
    <cfRule type="cellIs" dxfId="106" priority="17" stopIfTrue="1" operator="greaterThan">
      <formula>$D$60*0.1</formula>
    </cfRule>
  </conditionalFormatting>
  <conditionalFormatting sqref="C31">
    <cfRule type="cellIs" dxfId="105" priority="18" stopIfTrue="1" operator="greaterThan">
      <formula>$C$33*0.1</formula>
    </cfRule>
  </conditionalFormatting>
  <conditionalFormatting sqref="D31">
    <cfRule type="cellIs" dxfId="104" priority="19" stopIfTrue="1" operator="greaterThan">
      <formula>$D$33*0.1</formula>
    </cfRule>
  </conditionalFormatting>
  <conditionalFormatting sqref="E18">
    <cfRule type="cellIs" dxfId="103" priority="20" stopIfTrue="1" operator="greaterThan">
      <formula>$E$20*0.1+E40</formula>
    </cfRule>
  </conditionalFormatting>
  <conditionalFormatting sqref="C18">
    <cfRule type="cellIs" dxfId="102" priority="21" stopIfTrue="1" operator="greaterThan">
      <formula>$C$20*0.1</formula>
    </cfRule>
  </conditionalFormatting>
  <conditionalFormatting sqref="D18">
    <cfRule type="cellIs" dxfId="101" priority="22" stopIfTrue="1" operator="greaterThan">
      <formula>$D$20*0.1</formula>
    </cfRule>
  </conditionalFormatting>
  <conditionalFormatting sqref="D34">
    <cfRule type="cellIs" dxfId="100" priority="2" stopIfTrue="1" operator="lessThan">
      <formula>0</formula>
    </cfRule>
    <cfRule type="cellIs" dxfId="99" priority="3" stopIfTrue="1" operator="lessThan">
      <formula>0</formula>
    </cfRule>
  </conditionalFormatting>
  <conditionalFormatting sqref="D77">
    <cfRule type="cellIs" dxfId="98" priority="1"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K94"/>
  <sheetViews>
    <sheetView zoomScaleNormal="100" workbookViewId="0">
      <selection activeCell="L20" sqref="L20"/>
    </sheetView>
  </sheetViews>
  <sheetFormatPr defaultColWidth="8.9140625" defaultRowHeight="15.6" x14ac:dyDescent="0.25"/>
  <cols>
    <col min="1" max="1" width="2.4140625" style="25" customWidth="1"/>
    <col min="2" max="2" width="31.08203125" style="25" customWidth="1"/>
    <col min="3" max="4" width="15.75" style="25" customWidth="1"/>
    <col min="5" max="5" width="16.08203125" style="25" customWidth="1"/>
    <col min="6" max="6" width="7.4140625" style="25" customWidth="1"/>
    <col min="7" max="7" width="10.25" style="25" customWidth="1"/>
    <col min="8" max="8" width="8.9140625" style="25"/>
    <col min="9" max="9" width="5" style="25" customWidth="1"/>
    <col min="10" max="10" width="10" style="25" customWidth="1"/>
    <col min="11" max="16384" width="8.9140625" style="25"/>
  </cols>
  <sheetData>
    <row r="1" spans="2:10" x14ac:dyDescent="0.25">
      <c r="B1" s="155" t="str">
        <f>(inputPrYr!C2)</f>
        <v>Edwards County</v>
      </c>
      <c r="C1" s="28"/>
      <c r="D1" s="28"/>
      <c r="E1" s="206">
        <f>inputPrYr!C4</f>
        <v>2015</v>
      </c>
    </row>
    <row r="2" spans="2:10" x14ac:dyDescent="0.25">
      <c r="B2" s="28"/>
      <c r="C2" s="28"/>
      <c r="D2" s="28"/>
      <c r="E2" s="162"/>
    </row>
    <row r="3" spans="2:10" x14ac:dyDescent="0.25">
      <c r="B3" s="93" t="s">
        <v>153</v>
      </c>
      <c r="C3" s="251"/>
      <c r="D3" s="251"/>
      <c r="E3" s="252"/>
    </row>
    <row r="4" spans="2:10" x14ac:dyDescent="0.25">
      <c r="B4" s="27" t="s">
        <v>74</v>
      </c>
      <c r="C4" s="461" t="s">
        <v>296</v>
      </c>
      <c r="D4" s="462" t="s">
        <v>297</v>
      </c>
      <c r="E4" s="151" t="s">
        <v>298</v>
      </c>
    </row>
    <row r="5" spans="2:10" x14ac:dyDescent="0.25">
      <c r="B5" s="347" t="str">
        <f>inputPrYr!B21</f>
        <v>County Health</v>
      </c>
      <c r="C5" s="332" t="str">
        <f>CONCATENATE("Actual for ",E1-2,"")</f>
        <v>Actual for 2013</v>
      </c>
      <c r="D5" s="332" t="str">
        <f>CONCATENATE("Estimate for ",E1-1,"")</f>
        <v>Estimate for 2014</v>
      </c>
      <c r="E5" s="222" t="str">
        <f>CONCATENATE("Year for ",E1,"")</f>
        <v>Year for 2015</v>
      </c>
    </row>
    <row r="6" spans="2:10" x14ac:dyDescent="0.25">
      <c r="B6" s="89" t="s">
        <v>186</v>
      </c>
      <c r="C6" s="329">
        <v>34810</v>
      </c>
      <c r="D6" s="333">
        <f>C36</f>
        <v>47927</v>
      </c>
      <c r="E6" s="185">
        <f>D36</f>
        <v>26219</v>
      </c>
    </row>
    <row r="7" spans="2:10" x14ac:dyDescent="0.25">
      <c r="B7" s="210" t="s">
        <v>188</v>
      </c>
      <c r="C7" s="225"/>
      <c r="D7" s="225"/>
      <c r="E7" s="68"/>
    </row>
    <row r="8" spans="2:10" x14ac:dyDescent="0.25">
      <c r="B8" s="89" t="s">
        <v>75</v>
      </c>
      <c r="C8" s="329">
        <v>128920</v>
      </c>
      <c r="D8" s="333">
        <f>IF(inputPrYr!H21&gt;0,inputPrYr!H21,inputPrYr!E21)</f>
        <v>129264</v>
      </c>
      <c r="E8" s="254" t="s">
        <v>61</v>
      </c>
    </row>
    <row r="9" spans="2:10" x14ac:dyDescent="0.25">
      <c r="B9" s="89" t="s">
        <v>76</v>
      </c>
      <c r="C9" s="329">
        <v>1640</v>
      </c>
      <c r="D9" s="329">
        <v>500</v>
      </c>
      <c r="E9" s="53">
        <v>500</v>
      </c>
      <c r="G9" s="703" t="str">
        <f>CONCATENATE("Desired Carryover Into ",E1+1,"")</f>
        <v>Desired Carryover Into 2016</v>
      </c>
      <c r="H9" s="704"/>
      <c r="I9" s="704"/>
      <c r="J9" s="682"/>
    </row>
    <row r="10" spans="2:10" x14ac:dyDescent="0.25">
      <c r="B10" s="89" t="s">
        <v>77</v>
      </c>
      <c r="C10" s="329">
        <v>11768</v>
      </c>
      <c r="D10" s="329">
        <v>11461</v>
      </c>
      <c r="E10" s="185">
        <f>mvalloc!E12</f>
        <v>11130</v>
      </c>
      <c r="G10" s="413"/>
      <c r="H10" s="414"/>
      <c r="I10" s="415"/>
      <c r="J10" s="416"/>
    </row>
    <row r="11" spans="2:10" x14ac:dyDescent="0.25">
      <c r="B11" s="89" t="s">
        <v>78</v>
      </c>
      <c r="C11" s="329">
        <v>176</v>
      </c>
      <c r="D11" s="329">
        <v>198</v>
      </c>
      <c r="E11" s="185">
        <f>mvalloc!F12</f>
        <v>164</v>
      </c>
      <c r="G11" s="417" t="s">
        <v>267</v>
      </c>
      <c r="H11" s="415"/>
      <c r="I11" s="415"/>
      <c r="J11" s="418">
        <v>0</v>
      </c>
    </row>
    <row r="12" spans="2:10" x14ac:dyDescent="0.25">
      <c r="B12" s="225" t="s">
        <v>146</v>
      </c>
      <c r="C12" s="329">
        <v>1540</v>
      </c>
      <c r="D12" s="329">
        <v>1610</v>
      </c>
      <c r="E12" s="185">
        <f>mvalloc!G12</f>
        <v>1621</v>
      </c>
      <c r="G12" s="413" t="s">
        <v>268</v>
      </c>
      <c r="H12" s="414"/>
      <c r="I12" s="414"/>
      <c r="J12" s="419" t="str">
        <f>IF(J11=0,"",ROUND((J11+E42-G24)/inputOth!E6*1000,3)-G29)</f>
        <v/>
      </c>
    </row>
    <row r="13" spans="2:10" x14ac:dyDescent="0.25">
      <c r="B13" s="612" t="s">
        <v>391</v>
      </c>
      <c r="C13" s="329">
        <v>99</v>
      </c>
      <c r="D13" s="329">
        <v>75</v>
      </c>
      <c r="E13" s="53">
        <v>75</v>
      </c>
      <c r="G13" s="420" t="str">
        <f>CONCATENATE("",E1," Tot Exp/Non-Appr Must Be:")</f>
        <v>2015 Tot Exp/Non-Appr Must Be:</v>
      </c>
      <c r="H13" s="421"/>
      <c r="I13" s="422"/>
      <c r="J13" s="423">
        <f>IF(J11&gt;0,IF(E39&lt;E21,IF(J11=G24,E39,((J11-G24)*(1-D41))+E21),E39+(J11-G24)),0)</f>
        <v>0</v>
      </c>
    </row>
    <row r="14" spans="2:10" x14ac:dyDescent="0.25">
      <c r="B14" s="612"/>
      <c r="C14" s="329"/>
      <c r="D14" s="329"/>
      <c r="E14" s="53"/>
      <c r="G14" s="424" t="s">
        <v>294</v>
      </c>
      <c r="H14" s="425"/>
      <c r="I14" s="425"/>
      <c r="J14" s="426">
        <f>IF(J11&gt;0,J13-E39,0)</f>
        <v>0</v>
      </c>
    </row>
    <row r="15" spans="2:10" x14ac:dyDescent="0.3">
      <c r="B15" s="612" t="s">
        <v>395</v>
      </c>
      <c r="C15" s="329">
        <v>24350</v>
      </c>
      <c r="D15" s="329">
        <v>20000</v>
      </c>
      <c r="E15" s="53">
        <v>20000</v>
      </c>
      <c r="G15" s="1"/>
      <c r="H15" s="1"/>
      <c r="I15" s="1"/>
      <c r="J15" s="1"/>
    </row>
    <row r="16" spans="2:10" x14ac:dyDescent="0.25">
      <c r="B16" s="636" t="s">
        <v>432</v>
      </c>
      <c r="C16" s="329">
        <v>7309</v>
      </c>
      <c r="D16" s="329"/>
      <c r="E16" s="53"/>
      <c r="G16" s="703" t="str">
        <f>CONCATENATE("Projected Carryover Into ",E1+1,"")</f>
        <v>Projected Carryover Into 2016</v>
      </c>
      <c r="H16" s="716"/>
      <c r="I16" s="716"/>
      <c r="J16" s="717"/>
    </row>
    <row r="17" spans="2:10" x14ac:dyDescent="0.25">
      <c r="B17" s="228" t="s">
        <v>80</v>
      </c>
      <c r="C17" s="329"/>
      <c r="D17" s="329"/>
      <c r="E17" s="53"/>
      <c r="G17" s="413"/>
      <c r="H17" s="415"/>
      <c r="I17" s="415"/>
      <c r="J17" s="438"/>
    </row>
    <row r="18" spans="2:10" x14ac:dyDescent="0.25">
      <c r="B18" s="229" t="s">
        <v>37</v>
      </c>
      <c r="C18" s="329"/>
      <c r="D18" s="329"/>
      <c r="E18" s="53"/>
      <c r="G18" s="439">
        <f>D36</f>
        <v>26219</v>
      </c>
      <c r="H18" s="429" t="str">
        <f>CONCATENATE("",E1-1," Ending Cash Balance (est.)")</f>
        <v>2014 Ending Cash Balance (est.)</v>
      </c>
      <c r="I18" s="440"/>
      <c r="J18" s="438"/>
    </row>
    <row r="19" spans="2:10" x14ac:dyDescent="0.25">
      <c r="B19" s="229" t="s">
        <v>262</v>
      </c>
      <c r="C19" s="330" t="str">
        <f>IF(C20*0.1&lt;C18,"Exceed 10% Rule","")</f>
        <v/>
      </c>
      <c r="D19" s="330" t="str">
        <f>IF(D20*0.1&lt;D18,"Exceed 10% Rule","")</f>
        <v/>
      </c>
      <c r="E19" s="256" t="str">
        <f>IF(E20*0.1+E42&lt;E18,"Exceed 10% Rule","")</f>
        <v/>
      </c>
      <c r="G19" s="439">
        <f>E20</f>
        <v>33490</v>
      </c>
      <c r="H19" s="415" t="str">
        <f>CONCATENATE("",E1," Non-AV Receipts (est.)")</f>
        <v>2015 Non-AV Receipts (est.)</v>
      </c>
      <c r="I19" s="440"/>
      <c r="J19" s="438"/>
    </row>
    <row r="20" spans="2:10" x14ac:dyDescent="0.25">
      <c r="B20" s="231" t="s">
        <v>81</v>
      </c>
      <c r="C20" s="331">
        <f>SUM(C8:C18)</f>
        <v>175802</v>
      </c>
      <c r="D20" s="331">
        <f>SUM(D8:D18)</f>
        <v>163108</v>
      </c>
      <c r="E20" s="259">
        <f>SUM(E8:E18)</f>
        <v>33490</v>
      </c>
      <c r="G20" s="441">
        <f>IF(E41&gt;0,E40,E42)</f>
        <v>130340</v>
      </c>
      <c r="H20" s="415" t="str">
        <f>CONCATENATE("",E1," Ad Valorem Tax (est.)")</f>
        <v>2015 Ad Valorem Tax (est.)</v>
      </c>
      <c r="I20" s="440"/>
      <c r="J20" s="438"/>
    </row>
    <row r="21" spans="2:10" x14ac:dyDescent="0.25">
      <c r="B21" s="231" t="s">
        <v>82</v>
      </c>
      <c r="C21" s="331">
        <f>C6+C20</f>
        <v>210612</v>
      </c>
      <c r="D21" s="331">
        <f>D6+D20</f>
        <v>211035</v>
      </c>
      <c r="E21" s="259">
        <f>E6+E20</f>
        <v>59709</v>
      </c>
      <c r="G21" s="439">
        <f>SUM(G18:G20)</f>
        <v>190049</v>
      </c>
      <c r="H21" s="415" t="str">
        <f>CONCATENATE("Total ",E1," Resources Available")</f>
        <v>Total 2015 Resources Available</v>
      </c>
      <c r="I21" s="440"/>
      <c r="J21" s="438"/>
    </row>
    <row r="22" spans="2:10" x14ac:dyDescent="0.25">
      <c r="B22" s="89" t="s">
        <v>85</v>
      </c>
      <c r="C22" s="229"/>
      <c r="D22" s="229"/>
      <c r="E22" s="49"/>
      <c r="G22" s="442"/>
      <c r="H22" s="415"/>
      <c r="I22" s="415"/>
      <c r="J22" s="438"/>
    </row>
    <row r="23" spans="2:10" x14ac:dyDescent="0.3">
      <c r="B23" s="614" t="s">
        <v>410</v>
      </c>
      <c r="C23" s="329"/>
      <c r="D23" s="329"/>
      <c r="E23" s="53"/>
      <c r="G23" s="441">
        <f>ROUND(C35*0.05+C35,0)</f>
        <v>170819</v>
      </c>
      <c r="H23" s="415" t="str">
        <f>CONCATENATE("Less ",E1-2," Expenditures + 5%")</f>
        <v>Less 2013 Expenditures + 5%</v>
      </c>
      <c r="I23" s="440"/>
      <c r="J23" s="443"/>
    </row>
    <row r="24" spans="2:10" x14ac:dyDescent="0.25">
      <c r="B24" s="614" t="s">
        <v>90</v>
      </c>
      <c r="C24" s="613">
        <v>137178</v>
      </c>
      <c r="D24" s="613">
        <v>147279</v>
      </c>
      <c r="E24" s="611">
        <v>140000</v>
      </c>
      <c r="G24" s="444">
        <f>G21-G23</f>
        <v>19230</v>
      </c>
      <c r="H24" s="445" t="str">
        <f>CONCATENATE("Projected ",E1+1," carryover (est.)")</f>
        <v>Projected 2016 carryover (est.)</v>
      </c>
      <c r="I24" s="446"/>
      <c r="J24" s="447"/>
    </row>
    <row r="25" spans="2:10" x14ac:dyDescent="0.3">
      <c r="B25" s="614" t="s">
        <v>91</v>
      </c>
      <c r="C25" s="613">
        <v>22311</v>
      </c>
      <c r="D25" s="613">
        <v>23355</v>
      </c>
      <c r="E25" s="611">
        <v>20500</v>
      </c>
      <c r="G25" s="1"/>
      <c r="H25" s="1"/>
      <c r="I25" s="1"/>
      <c r="J25" s="1"/>
    </row>
    <row r="26" spans="2:10" x14ac:dyDescent="0.25">
      <c r="B26" s="614" t="s">
        <v>92</v>
      </c>
      <c r="C26" s="329">
        <v>21588</v>
      </c>
      <c r="D26" s="329">
        <v>27950</v>
      </c>
      <c r="E26" s="53">
        <v>25950</v>
      </c>
      <c r="G26" s="705" t="s">
        <v>295</v>
      </c>
      <c r="H26" s="706"/>
      <c r="I26" s="706"/>
      <c r="J26" s="707"/>
    </row>
    <row r="27" spans="2:10" x14ac:dyDescent="0.25">
      <c r="B27" s="614" t="s">
        <v>93</v>
      </c>
      <c r="C27" s="329">
        <v>2045</v>
      </c>
      <c r="D27" s="329"/>
      <c r="E27" s="53"/>
      <c r="G27" s="428"/>
      <c r="H27" s="429"/>
      <c r="I27" s="430"/>
      <c r="J27" s="431"/>
    </row>
    <row r="28" spans="2:10" x14ac:dyDescent="0.25">
      <c r="B28" s="614" t="s">
        <v>411</v>
      </c>
      <c r="C28" s="329">
        <v>-40473</v>
      </c>
      <c r="D28" s="329">
        <v>-20000</v>
      </c>
      <c r="E28" s="53">
        <v>-7500</v>
      </c>
      <c r="G28" s="432">
        <f>summ!H20</f>
        <v>2.798</v>
      </c>
      <c r="H28" s="429" t="str">
        <f>CONCATENATE("",E1," Fund Mill Rate")</f>
        <v>2015 Fund Mill Rate</v>
      </c>
      <c r="I28" s="430"/>
      <c r="J28" s="431"/>
    </row>
    <row r="29" spans="2:10" x14ac:dyDescent="0.25">
      <c r="B29" s="614" t="s">
        <v>386</v>
      </c>
      <c r="C29" s="329"/>
      <c r="D29" s="329"/>
      <c r="E29" s="53"/>
      <c r="G29" s="433">
        <f>summ!E20</f>
        <v>2.88</v>
      </c>
      <c r="H29" s="429" t="str">
        <f>CONCATENATE("",E1-1," Fund Mill Rate")</f>
        <v>2014 Fund Mill Rate</v>
      </c>
      <c r="I29" s="430"/>
      <c r="J29" s="431"/>
    </row>
    <row r="30" spans="2:10" x14ac:dyDescent="0.25">
      <c r="B30" s="614" t="s">
        <v>412</v>
      </c>
      <c r="C30" s="329">
        <v>18995</v>
      </c>
      <c r="D30" s="329">
        <v>5000</v>
      </c>
      <c r="E30" s="53">
        <v>10000</v>
      </c>
      <c r="G30" s="434">
        <f>summ!H34</f>
        <v>79.596000000000004</v>
      </c>
      <c r="H30" s="429" t="str">
        <f>CONCATENATE("Total ",E1," Mill Rate")</f>
        <v>Total 2015 Mill Rate</v>
      </c>
      <c r="I30" s="430"/>
      <c r="J30" s="431"/>
    </row>
    <row r="31" spans="2:10" x14ac:dyDescent="0.25">
      <c r="B31" s="237"/>
      <c r="C31" s="329"/>
      <c r="D31" s="329"/>
      <c r="E31" s="53"/>
      <c r="G31" s="433">
        <f>summ!E34</f>
        <v>78.593000000000004</v>
      </c>
      <c r="H31" s="435" t="str">
        <f>CONCATENATE("Total ",E1-1," Mill Rate")</f>
        <v>Total 2014 Mill Rate</v>
      </c>
      <c r="I31" s="436"/>
      <c r="J31" s="437"/>
    </row>
    <row r="32" spans="2:10" x14ac:dyDescent="0.3">
      <c r="B32" s="229" t="s">
        <v>38</v>
      </c>
      <c r="C32" s="329">
        <v>1041</v>
      </c>
      <c r="D32" s="329">
        <v>1232</v>
      </c>
      <c r="E32" s="61">
        <f>Nhood!E11</f>
        <v>1099</v>
      </c>
      <c r="G32" s="1"/>
      <c r="H32" s="1"/>
      <c r="I32" s="1"/>
      <c r="J32" s="1"/>
    </row>
    <row r="33" spans="2:11" x14ac:dyDescent="0.3">
      <c r="B33" s="229" t="s">
        <v>37</v>
      </c>
      <c r="C33" s="329"/>
      <c r="D33" s="329"/>
      <c r="E33" s="53"/>
      <c r="G33" s="511" t="s">
        <v>313</v>
      </c>
      <c r="H33" s="479"/>
      <c r="I33" s="478" t="str">
        <f>cert!E50</f>
        <v>Yes</v>
      </c>
      <c r="J33" s="1"/>
    </row>
    <row r="34" spans="2:11" x14ac:dyDescent="0.3">
      <c r="B34" s="229" t="s">
        <v>261</v>
      </c>
      <c r="C34" s="330" t="str">
        <f>IF(C35*0.1&lt;C33,"Exceed 10% Rule","")</f>
        <v/>
      </c>
      <c r="D34" s="330" t="str">
        <f>IF(D35*0.1&lt;D33,"Exceed 10% Rule","")</f>
        <v/>
      </c>
      <c r="E34" s="256" t="str">
        <f>IF(E35*0.1&lt;E33,"Exceed 10% Rule","")</f>
        <v/>
      </c>
      <c r="G34" s="1"/>
      <c r="H34" s="1"/>
      <c r="I34" s="1"/>
      <c r="J34" s="1"/>
    </row>
    <row r="35" spans="2:11" x14ac:dyDescent="0.3">
      <c r="B35" s="231" t="s">
        <v>86</v>
      </c>
      <c r="C35" s="331">
        <f>SUM(C23:C33)</f>
        <v>162685</v>
      </c>
      <c r="D35" s="331">
        <f>SUM(D23:D33)</f>
        <v>184816</v>
      </c>
      <c r="E35" s="259">
        <f>SUM(E23:E33)</f>
        <v>190049</v>
      </c>
      <c r="F35" s="239"/>
      <c r="G35" s="1"/>
      <c r="H35" s="1"/>
      <c r="I35" s="1"/>
      <c r="J35" s="1"/>
      <c r="K35" s="427" t="str">
        <f>IF(G20=E42,"","Note: Does not include Delinquent Taxes")</f>
        <v>Note: Does not include Delinquent Taxes</v>
      </c>
    </row>
    <row r="36" spans="2:11" x14ac:dyDescent="0.3">
      <c r="B36" s="89" t="s">
        <v>187</v>
      </c>
      <c r="C36" s="334">
        <f>C21-C35</f>
        <v>47927</v>
      </c>
      <c r="D36" s="334">
        <f>D21-D35</f>
        <v>26219</v>
      </c>
      <c r="E36" s="254" t="s">
        <v>61</v>
      </c>
      <c r="F36" s="356" t="str">
        <f>IF(E35/0.95-E35&lt;E38,"Exceeds 5%","")</f>
        <v/>
      </c>
      <c r="G36" s="1"/>
      <c r="H36" s="1"/>
      <c r="I36" s="1"/>
      <c r="J36" s="1"/>
    </row>
    <row r="37" spans="2:11" x14ac:dyDescent="0.3">
      <c r="B37" s="221" t="str">
        <f>CONCATENATE("",E1-2,"/",E1-1,"/",E1," Budget Authority Amount:")</f>
        <v>2013/2014/2015 Budget Authority Amount:</v>
      </c>
      <c r="C37" s="255">
        <f>inputOth!B35</f>
        <v>181112</v>
      </c>
      <c r="D37" s="255">
        <f>inputPrYr!D21</f>
        <v>184816</v>
      </c>
      <c r="E37" s="185">
        <f>E35</f>
        <v>190049</v>
      </c>
      <c r="G37" s="1"/>
      <c r="H37" s="1"/>
      <c r="I37" s="1"/>
      <c r="J37" s="1"/>
    </row>
    <row r="38" spans="2:11" x14ac:dyDescent="0.3">
      <c r="B38" s="207"/>
      <c r="C38" s="708" t="s">
        <v>264</v>
      </c>
      <c r="D38" s="709"/>
      <c r="E38" s="213"/>
      <c r="G38" s="1"/>
      <c r="H38" s="1"/>
      <c r="I38" s="1"/>
      <c r="J38" s="1"/>
    </row>
    <row r="39" spans="2:11" x14ac:dyDescent="0.3">
      <c r="B39" s="360" t="str">
        <f>CONCATENATE(C89,"     ",D89)</f>
        <v xml:space="preserve">     </v>
      </c>
      <c r="C39" s="710" t="s">
        <v>265</v>
      </c>
      <c r="D39" s="711"/>
      <c r="E39" s="185">
        <f>E35+E38</f>
        <v>190049</v>
      </c>
      <c r="G39" s="1"/>
      <c r="H39" s="1"/>
      <c r="I39" s="1"/>
      <c r="J39" s="1"/>
    </row>
    <row r="40" spans="2:11" x14ac:dyDescent="0.3">
      <c r="B40" s="360" t="str">
        <f>CONCATENATE(C90,"     ",D90)</f>
        <v xml:space="preserve">     </v>
      </c>
      <c r="C40" s="240"/>
      <c r="D40" s="162" t="s">
        <v>87</v>
      </c>
      <c r="E40" s="61">
        <f>IF(E39-E21&gt;0,E39-E21,0)</f>
        <v>130340</v>
      </c>
      <c r="G40" s="1"/>
      <c r="H40" s="1"/>
      <c r="I40" s="1"/>
      <c r="J40" s="1"/>
    </row>
    <row r="41" spans="2:11" x14ac:dyDescent="0.3">
      <c r="B41" s="162"/>
      <c r="C41" s="358" t="s">
        <v>266</v>
      </c>
      <c r="D41" s="412">
        <f>inputOth!$E$23</f>
        <v>0.01</v>
      </c>
      <c r="E41" s="185">
        <f>ROUND(IF(D41&gt;0,($E$40*D41),0),0)</f>
        <v>1303</v>
      </c>
      <c r="G41" s="1"/>
      <c r="H41" s="1"/>
      <c r="I41" s="1"/>
      <c r="J41" s="1"/>
    </row>
    <row r="42" spans="2:11" x14ac:dyDescent="0.3">
      <c r="B42" s="28"/>
      <c r="C42" s="701" t="str">
        <f>CONCATENATE("Amount of  ",$E$1-1," Ad Valorem Tax")</f>
        <v>Amount of  2014 Ad Valorem Tax</v>
      </c>
      <c r="D42" s="702"/>
      <c r="E42" s="257">
        <f>E40+E41</f>
        <v>131643</v>
      </c>
      <c r="G42" s="1"/>
      <c r="H42" s="1"/>
      <c r="I42" s="1"/>
      <c r="J42" s="1"/>
    </row>
    <row r="43" spans="2:11" x14ac:dyDescent="0.3">
      <c r="B43" s="27" t="s">
        <v>74</v>
      </c>
      <c r="C43" s="246"/>
      <c r="D43" s="246"/>
      <c r="E43" s="246"/>
      <c r="G43" s="1"/>
      <c r="H43" s="1"/>
      <c r="I43" s="1"/>
      <c r="J43" s="1"/>
    </row>
    <row r="44" spans="2:11" x14ac:dyDescent="0.3">
      <c r="B44" s="28"/>
      <c r="C44" s="461" t="str">
        <f t="shared" ref="C44:E45" si="0">C4</f>
        <v xml:space="preserve">Prior Year </v>
      </c>
      <c r="D44" s="462" t="str">
        <f t="shared" si="0"/>
        <v xml:space="preserve">Current Year </v>
      </c>
      <c r="E44" s="151" t="str">
        <f t="shared" si="0"/>
        <v xml:space="preserve">Proposed Budget </v>
      </c>
      <c r="G44" s="1"/>
      <c r="H44" s="1"/>
      <c r="I44" s="1"/>
      <c r="J44" s="1"/>
    </row>
    <row r="45" spans="2:11" x14ac:dyDescent="0.3">
      <c r="B45" s="346" t="str">
        <f>inputPrYr!B22</f>
        <v>Hospital Maintenance</v>
      </c>
      <c r="C45" s="332" t="str">
        <f t="shared" si="0"/>
        <v>Actual for 2013</v>
      </c>
      <c r="D45" s="332" t="str">
        <f t="shared" si="0"/>
        <v>Estimate for 2014</v>
      </c>
      <c r="E45" s="222" t="str">
        <f t="shared" si="0"/>
        <v>Year for 2015</v>
      </c>
      <c r="G45" s="1"/>
      <c r="H45" s="1"/>
      <c r="I45" s="1"/>
      <c r="J45" s="1"/>
    </row>
    <row r="46" spans="2:11" x14ac:dyDescent="0.3">
      <c r="B46" s="89" t="s">
        <v>186</v>
      </c>
      <c r="C46" s="329">
        <v>5224</v>
      </c>
      <c r="D46" s="333">
        <f>C72</f>
        <v>5134</v>
      </c>
      <c r="E46" s="185">
        <f>D72</f>
        <v>2816</v>
      </c>
      <c r="G46" s="1"/>
      <c r="H46" s="1"/>
      <c r="I46" s="1"/>
      <c r="J46" s="1"/>
    </row>
    <row r="47" spans="2:11" x14ac:dyDescent="0.3">
      <c r="B47" s="223" t="s">
        <v>188</v>
      </c>
      <c r="C47" s="225"/>
      <c r="D47" s="225"/>
      <c r="E47" s="68"/>
      <c r="G47" s="1"/>
      <c r="H47" s="1"/>
      <c r="I47" s="1"/>
      <c r="J47" s="1"/>
    </row>
    <row r="48" spans="2:11" x14ac:dyDescent="0.3">
      <c r="B48" s="89" t="s">
        <v>75</v>
      </c>
      <c r="C48" s="329">
        <v>206872</v>
      </c>
      <c r="D48" s="333">
        <f>IF(inputPrYr!H22&gt;0,inputPrYr!H22,inputPrYr!E22)</f>
        <v>207495</v>
      </c>
      <c r="E48" s="254" t="s">
        <v>61</v>
      </c>
      <c r="G48" s="1"/>
      <c r="H48" s="1"/>
      <c r="I48" s="1"/>
      <c r="J48" s="1"/>
    </row>
    <row r="49" spans="2:10" x14ac:dyDescent="0.25">
      <c r="B49" s="89" t="s">
        <v>76</v>
      </c>
      <c r="C49" s="329">
        <v>2716</v>
      </c>
      <c r="D49" s="329">
        <v>1000</v>
      </c>
      <c r="E49" s="53">
        <v>1000</v>
      </c>
      <c r="G49" s="703" t="str">
        <f>CONCATENATE("Desired Carryover Into ",E1+1,"")</f>
        <v>Desired Carryover Into 2016</v>
      </c>
      <c r="H49" s="704"/>
      <c r="I49" s="704"/>
      <c r="J49" s="682"/>
    </row>
    <row r="50" spans="2:10" x14ac:dyDescent="0.25">
      <c r="B50" s="89" t="s">
        <v>77</v>
      </c>
      <c r="C50" s="329">
        <v>19212</v>
      </c>
      <c r="D50" s="329">
        <v>18395</v>
      </c>
      <c r="E50" s="185">
        <f>mvalloc!E13</f>
        <v>17867</v>
      </c>
      <c r="G50" s="413"/>
      <c r="H50" s="414"/>
      <c r="I50" s="415"/>
      <c r="J50" s="416"/>
    </row>
    <row r="51" spans="2:10" x14ac:dyDescent="0.25">
      <c r="B51" s="89" t="s">
        <v>78</v>
      </c>
      <c r="C51" s="329">
        <v>288</v>
      </c>
      <c r="D51" s="329">
        <v>318</v>
      </c>
      <c r="E51" s="185">
        <f>mvalloc!F13</f>
        <v>263</v>
      </c>
      <c r="G51" s="417" t="s">
        <v>267</v>
      </c>
      <c r="H51" s="415"/>
      <c r="I51" s="415"/>
      <c r="J51" s="418">
        <v>0</v>
      </c>
    </row>
    <row r="52" spans="2:10" x14ac:dyDescent="0.25">
      <c r="B52" s="225" t="s">
        <v>146</v>
      </c>
      <c r="C52" s="329">
        <v>2565</v>
      </c>
      <c r="D52" s="329">
        <v>2584</v>
      </c>
      <c r="E52" s="185">
        <f>mvalloc!G13</f>
        <v>2602</v>
      </c>
      <c r="G52" s="413" t="s">
        <v>268</v>
      </c>
      <c r="H52" s="414"/>
      <c r="I52" s="414"/>
      <c r="J52" s="419" t="str">
        <f>IF(J51=0,"",ROUND((J51+E78-G64)/inputOth!E6*1000,3)-G69)</f>
        <v/>
      </c>
    </row>
    <row r="53" spans="2:10" x14ac:dyDescent="0.25">
      <c r="B53" s="615" t="s">
        <v>391</v>
      </c>
      <c r="C53" s="329">
        <v>159</v>
      </c>
      <c r="D53" s="329">
        <v>100</v>
      </c>
      <c r="E53" s="53">
        <v>100</v>
      </c>
      <c r="G53" s="420" t="str">
        <f>CONCATENATE("",E1," Tot Exp/Non-Appr Must Be:")</f>
        <v>2015 Tot Exp/Non-Appr Must Be:</v>
      </c>
      <c r="H53" s="421"/>
      <c r="I53" s="422"/>
      <c r="J53" s="423">
        <f>IF(J51&gt;0,IF(E75&lt;E63,IF(J51=G64,E75,((J51-G64)*(1-D77))+E63),E75+(J51-G64)),0)</f>
        <v>0</v>
      </c>
    </row>
    <row r="54" spans="2:10" x14ac:dyDescent="0.25">
      <c r="B54" s="237"/>
      <c r="C54" s="329"/>
      <c r="D54" s="329"/>
      <c r="E54" s="53"/>
      <c r="G54" s="424" t="s">
        <v>294</v>
      </c>
      <c r="H54" s="425"/>
      <c r="I54" s="425"/>
      <c r="J54" s="426">
        <f>IF(J51&gt;0,J53-E75,0)</f>
        <v>0</v>
      </c>
    </row>
    <row r="55" spans="2:10" x14ac:dyDescent="0.3">
      <c r="B55" s="237"/>
      <c r="C55" s="329"/>
      <c r="D55" s="329"/>
      <c r="E55" s="53"/>
      <c r="G55" s="1"/>
      <c r="H55" s="1"/>
      <c r="I55" s="1"/>
      <c r="J55" s="1"/>
    </row>
    <row r="56" spans="2:10" x14ac:dyDescent="0.25">
      <c r="B56" s="237"/>
      <c r="C56" s="329"/>
      <c r="D56" s="329"/>
      <c r="E56" s="53"/>
      <c r="G56" s="703" t="str">
        <f>CONCATENATE("Projected Carryover Into ",E1+1,"")</f>
        <v>Projected Carryover Into 2016</v>
      </c>
      <c r="H56" s="718"/>
      <c r="I56" s="718"/>
      <c r="J56" s="717"/>
    </row>
    <row r="57" spans="2:10" x14ac:dyDescent="0.3">
      <c r="B57" s="237"/>
      <c r="C57" s="329"/>
      <c r="D57" s="329"/>
      <c r="E57" s="53"/>
      <c r="G57" s="448"/>
      <c r="H57" s="414"/>
      <c r="I57" s="414"/>
      <c r="J57" s="443"/>
    </row>
    <row r="58" spans="2:10" x14ac:dyDescent="0.3">
      <c r="B58" s="237"/>
      <c r="C58" s="329"/>
      <c r="D58" s="329"/>
      <c r="E58" s="53"/>
      <c r="G58" s="439">
        <f>D72</f>
        <v>2816</v>
      </c>
      <c r="H58" s="429" t="str">
        <f>CONCATENATE("",E1-1," Ending Cash Balance (est.)")</f>
        <v>2014 Ending Cash Balance (est.)</v>
      </c>
      <c r="I58" s="440"/>
      <c r="J58" s="443"/>
    </row>
    <row r="59" spans="2:10" x14ac:dyDescent="0.3">
      <c r="B59" s="228" t="s">
        <v>80</v>
      </c>
      <c r="C59" s="329"/>
      <c r="D59" s="329"/>
      <c r="E59" s="53"/>
      <c r="G59" s="439">
        <f>E62</f>
        <v>21832</v>
      </c>
      <c r="H59" s="415" t="str">
        <f>CONCATENATE("",E1," Non-AV Receipts (est.)")</f>
        <v>2015 Non-AV Receipts (est.)</v>
      </c>
      <c r="I59" s="440"/>
      <c r="J59" s="443"/>
    </row>
    <row r="60" spans="2:10" x14ac:dyDescent="0.3">
      <c r="B60" s="229" t="s">
        <v>37</v>
      </c>
      <c r="C60" s="329"/>
      <c r="D60" s="329"/>
      <c r="E60" s="53"/>
      <c r="G60" s="441">
        <f>IF(E77&gt;0,E76,E78)</f>
        <v>277694</v>
      </c>
      <c r="H60" s="415" t="str">
        <f>CONCATENATE("",E1," Ad Valorem Tax (est.)")</f>
        <v>2015 Ad Valorem Tax (est.)</v>
      </c>
      <c r="I60" s="440"/>
      <c r="J60" s="443"/>
    </row>
    <row r="61" spans="2:10" x14ac:dyDescent="0.3">
      <c r="B61" s="229" t="s">
        <v>262</v>
      </c>
      <c r="C61" s="330" t="str">
        <f>IF(C62*0.1&lt;C60,"Exceed 10% Rule","")</f>
        <v/>
      </c>
      <c r="D61" s="330" t="str">
        <f>IF(D62*0.1&lt;D60,"Exceed 10% Rule","")</f>
        <v/>
      </c>
      <c r="E61" s="256" t="str">
        <f>IF(E62*0.1+E78&lt;E60,"Exceed 10% Rule","")</f>
        <v/>
      </c>
      <c r="G61" s="449">
        <f>SUM(G58:G60)</f>
        <v>302342</v>
      </c>
      <c r="H61" s="415" t="str">
        <f>CONCATENATE("Total ",E1," Resources Available")</f>
        <v>Total 2015 Resources Available</v>
      </c>
      <c r="I61" s="450"/>
      <c r="J61" s="443"/>
    </row>
    <row r="62" spans="2:10" x14ac:dyDescent="0.3">
      <c r="B62" s="231" t="s">
        <v>81</v>
      </c>
      <c r="C62" s="331">
        <f>SUM(C48:C60)</f>
        <v>231812</v>
      </c>
      <c r="D62" s="331">
        <f>SUM(D48:D60)</f>
        <v>229892</v>
      </c>
      <c r="E62" s="259">
        <f>SUM(E49:E60)</f>
        <v>21832</v>
      </c>
      <c r="G62" s="451"/>
      <c r="H62" s="452"/>
      <c r="I62" s="414"/>
      <c r="J62" s="443"/>
    </row>
    <row r="63" spans="2:10" x14ac:dyDescent="0.3">
      <c r="B63" s="231" t="s">
        <v>82</v>
      </c>
      <c r="C63" s="331">
        <f>C46+C62</f>
        <v>237036</v>
      </c>
      <c r="D63" s="331">
        <f>D46+D62</f>
        <v>235026</v>
      </c>
      <c r="E63" s="259">
        <f>E46+E62</f>
        <v>24648</v>
      </c>
      <c r="G63" s="453">
        <f>ROUND(C71*0.05+C71,0)</f>
        <v>243497</v>
      </c>
      <c r="H63" s="415" t="str">
        <f>CONCATENATE("Less ",E1-2," Expenditures + 5%")</f>
        <v>Less 2013 Expenditures + 5%</v>
      </c>
      <c r="I63" s="450"/>
      <c r="J63" s="443"/>
    </row>
    <row r="64" spans="2:10" x14ac:dyDescent="0.3">
      <c r="B64" s="89" t="s">
        <v>85</v>
      </c>
      <c r="C64" s="229"/>
      <c r="D64" s="229"/>
      <c r="E64" s="49"/>
      <c r="G64" s="454">
        <f>G61-G63</f>
        <v>58845</v>
      </c>
      <c r="H64" s="445" t="str">
        <f>CONCATENATE("Projected ",E1+1," carryover (est.)")</f>
        <v>Projected 2016 carryover (est.)</v>
      </c>
      <c r="I64" s="455"/>
      <c r="J64" s="456"/>
    </row>
    <row r="65" spans="2:11" x14ac:dyDescent="0.3">
      <c r="B65" s="615" t="s">
        <v>379</v>
      </c>
      <c r="C65" s="329">
        <v>230232</v>
      </c>
      <c r="D65" s="329">
        <v>230232</v>
      </c>
      <c r="E65" s="53">
        <v>300000</v>
      </c>
      <c r="G65" s="1"/>
      <c r="H65" s="1"/>
      <c r="I65" s="1"/>
      <c r="J65" s="1"/>
    </row>
    <row r="66" spans="2:11" x14ac:dyDescent="0.25">
      <c r="B66" s="237"/>
      <c r="C66" s="329"/>
      <c r="D66" s="329"/>
      <c r="E66" s="53"/>
      <c r="G66" s="705" t="s">
        <v>295</v>
      </c>
      <c r="H66" s="706"/>
      <c r="I66" s="706"/>
      <c r="J66" s="707"/>
    </row>
    <row r="67" spans="2:11" x14ac:dyDescent="0.25">
      <c r="B67" s="237"/>
      <c r="C67" s="329"/>
      <c r="D67" s="329"/>
      <c r="E67" s="53"/>
      <c r="G67" s="428"/>
      <c r="H67" s="429"/>
      <c r="I67" s="430"/>
      <c r="J67" s="431"/>
    </row>
    <row r="68" spans="2:11" x14ac:dyDescent="0.25">
      <c r="B68" s="229" t="s">
        <v>38</v>
      </c>
      <c r="C68" s="329">
        <v>1670</v>
      </c>
      <c r="D68" s="329">
        <v>1978</v>
      </c>
      <c r="E68" s="61">
        <f>Nhood!E12</f>
        <v>2342</v>
      </c>
      <c r="G68" s="432">
        <f>summ!H21</f>
        <v>5.9610000000000003</v>
      </c>
      <c r="H68" s="429" t="str">
        <f>CONCATENATE("",E1," Fund Mill Rate")</f>
        <v>2015 Fund Mill Rate</v>
      </c>
      <c r="I68" s="430"/>
      <c r="J68" s="431"/>
    </row>
    <row r="69" spans="2:11" x14ac:dyDescent="0.25">
      <c r="B69" s="229" t="s">
        <v>37</v>
      </c>
      <c r="C69" s="329"/>
      <c r="D69" s="329"/>
      <c r="E69" s="53"/>
      <c r="G69" s="433">
        <f>summ!E21</f>
        <v>4.6230000000000002</v>
      </c>
      <c r="H69" s="429" t="str">
        <f>CONCATENATE("",E1-1," Fund Mill Rate")</f>
        <v>2014 Fund Mill Rate</v>
      </c>
      <c r="I69" s="430"/>
      <c r="J69" s="431"/>
    </row>
    <row r="70" spans="2:11" x14ac:dyDescent="0.25">
      <c r="B70" s="229" t="s">
        <v>261</v>
      </c>
      <c r="C70" s="330" t="str">
        <f>IF(C71*0.1&lt;C69,"Exceed 10% Rule","")</f>
        <v/>
      </c>
      <c r="D70" s="330" t="str">
        <f>IF(D71*0.1&lt;D69,"Exceed 10% Rule","")</f>
        <v/>
      </c>
      <c r="E70" s="256" t="str">
        <f>IF(E71*0.1&lt;E69,"Exceed 10% Rule","")</f>
        <v/>
      </c>
      <c r="G70" s="434">
        <f>summ!H34</f>
        <v>79.596000000000004</v>
      </c>
      <c r="H70" s="429" t="str">
        <f>CONCATENATE("Total ",E1," Mill Rate")</f>
        <v>Total 2015 Mill Rate</v>
      </c>
      <c r="I70" s="430"/>
      <c r="J70" s="431"/>
    </row>
    <row r="71" spans="2:11" x14ac:dyDescent="0.25">
      <c r="B71" s="231" t="s">
        <v>86</v>
      </c>
      <c r="C71" s="331">
        <f>SUM(C65:C69)</f>
        <v>231902</v>
      </c>
      <c r="D71" s="331">
        <f>SUM(D65:D69)</f>
        <v>232210</v>
      </c>
      <c r="E71" s="259">
        <f>SUM(E65:E69)</f>
        <v>302342</v>
      </c>
      <c r="G71" s="433">
        <f>summ!E34</f>
        <v>78.593000000000004</v>
      </c>
      <c r="H71" s="435" t="str">
        <f>CONCATENATE("Total ",E1-1," Mill Rate")</f>
        <v>Total 2014 Mill Rate</v>
      </c>
      <c r="I71" s="436"/>
      <c r="J71" s="437"/>
    </row>
    <row r="72" spans="2:11" x14ac:dyDescent="0.25">
      <c r="B72" s="89" t="s">
        <v>187</v>
      </c>
      <c r="C72" s="334">
        <f>C63-C71</f>
        <v>5134</v>
      </c>
      <c r="D72" s="334">
        <f>D63-D71</f>
        <v>2816</v>
      </c>
      <c r="E72" s="254" t="s">
        <v>61</v>
      </c>
    </row>
    <row r="73" spans="2:11" x14ac:dyDescent="0.25">
      <c r="B73" s="221" t="str">
        <f>CONCATENATE("",E1-2,"/",E1-1,"/",E1," Budget Authority Amount:")</f>
        <v>2013/2014/2015 Budget Authority Amount:</v>
      </c>
      <c r="C73" s="255">
        <f>inputOth!B36</f>
        <v>231889</v>
      </c>
      <c r="D73" s="255">
        <f>inputPrYr!D22</f>
        <v>232210</v>
      </c>
      <c r="E73" s="185">
        <f>E71</f>
        <v>302342</v>
      </c>
      <c r="G73" s="512" t="s">
        <v>313</v>
      </c>
      <c r="H73" s="479"/>
      <c r="I73" s="478" t="str">
        <f>cert!E50</f>
        <v>Yes</v>
      </c>
    </row>
    <row r="74" spans="2:11" x14ac:dyDescent="0.25">
      <c r="B74" s="207"/>
      <c r="C74" s="708" t="s">
        <v>264</v>
      </c>
      <c r="D74" s="709"/>
      <c r="E74" s="53"/>
    </row>
    <row r="75" spans="2:11" x14ac:dyDescent="0.25">
      <c r="B75" s="359" t="str">
        <f>CONCATENATE(C91,"     ",D91)</f>
        <v xml:space="preserve">See Tab A     </v>
      </c>
      <c r="C75" s="710" t="s">
        <v>265</v>
      </c>
      <c r="D75" s="711"/>
      <c r="E75" s="185">
        <f>E71+E74</f>
        <v>302342</v>
      </c>
      <c r="F75" s="239"/>
      <c r="K75" s="427" t="str">
        <f>IF(G60=E78,"","Note: Does not include Delinquent Taxes")</f>
        <v>Note: Does not include Delinquent Taxes</v>
      </c>
    </row>
    <row r="76" spans="2:11" x14ac:dyDescent="0.25">
      <c r="B76" s="359" t="str">
        <f>CONCATENATE(C92,"     ",D92)</f>
        <v xml:space="preserve">     </v>
      </c>
      <c r="C76" s="240"/>
      <c r="D76" s="162" t="s">
        <v>87</v>
      </c>
      <c r="E76" s="61">
        <f>IF(E75-E63&gt;0,E75-E63,0)</f>
        <v>277694</v>
      </c>
      <c r="F76" s="356" t="str">
        <f>IF(E71/0.95-E71&lt;E74,"Exceeds 5%","")</f>
        <v/>
      </c>
    </row>
    <row r="77" spans="2:11" x14ac:dyDescent="0.25">
      <c r="B77" s="162"/>
      <c r="C77" s="358" t="s">
        <v>266</v>
      </c>
      <c r="D77" s="412">
        <f>inputOth!$E$23</f>
        <v>0.01</v>
      </c>
      <c r="E77" s="185">
        <f>ROUND(IF(D77&gt;0,($E$76*D77),0),0)</f>
        <v>2777</v>
      </c>
    </row>
    <row r="78" spans="2:11" x14ac:dyDescent="0.25">
      <c r="B78" s="28"/>
      <c r="C78" s="701" t="str">
        <f>CONCATENATE("Amount of  ",$E$1-1," Ad Valorem Tax")</f>
        <v>Amount of  2014 Ad Valorem Tax</v>
      </c>
      <c r="D78" s="702"/>
      <c r="E78" s="257">
        <f>E76+E77</f>
        <v>280471</v>
      </c>
    </row>
    <row r="79" spans="2:11" x14ac:dyDescent="0.25">
      <c r="B79" s="207" t="s">
        <v>108</v>
      </c>
      <c r="C79" s="258">
        <v>10</v>
      </c>
      <c r="D79" s="28"/>
      <c r="E79" s="28"/>
    </row>
    <row r="89" spans="3:4" x14ac:dyDescent="0.25">
      <c r="C89" s="25" t="str">
        <f>IF(C35&gt;C37,"See Tab A","")</f>
        <v/>
      </c>
      <c r="D89" s="25" t="str">
        <f>IF(D35&gt;D37,"See Tab C","")</f>
        <v/>
      </c>
    </row>
    <row r="90" spans="3:4" x14ac:dyDescent="0.25">
      <c r="C90" s="25" t="str">
        <f>IF(C36&lt;0,"See Tab B","")</f>
        <v/>
      </c>
      <c r="D90" s="25" t="str">
        <f>IF(D36&lt;0,"See Tab D","")</f>
        <v/>
      </c>
    </row>
    <row r="91" spans="3:4" hidden="1" x14ac:dyDescent="0.25">
      <c r="C91" s="25" t="str">
        <f>IF(C71&gt;C73,"See Tab A","")</f>
        <v>See Tab A</v>
      </c>
      <c r="D91" s="25" t="str">
        <f>IF(D71&gt;D73,"See Tab C","")</f>
        <v/>
      </c>
    </row>
    <row r="92" spans="3:4" hidden="1" x14ac:dyDescent="0.25">
      <c r="C92" s="25" t="str">
        <f>IF(C72&lt;0,"See Tab B","")</f>
        <v/>
      </c>
      <c r="D92" s="25" t="str">
        <f>IF(D72&lt;0,"See Tab D","")</f>
        <v/>
      </c>
    </row>
    <row r="93" spans="3:4" hidden="1" x14ac:dyDescent="0.25"/>
    <row r="94" spans="3:4" hidden="1" x14ac:dyDescent="0.25"/>
  </sheetData>
  <mergeCells count="12">
    <mergeCell ref="C78:D78"/>
    <mergeCell ref="C42:D42"/>
    <mergeCell ref="G9:J9"/>
    <mergeCell ref="G16:J16"/>
    <mergeCell ref="G26:J26"/>
    <mergeCell ref="G49:J49"/>
    <mergeCell ref="G56:J56"/>
    <mergeCell ref="G66:J66"/>
    <mergeCell ref="C38:D38"/>
    <mergeCell ref="C39:D39"/>
    <mergeCell ref="C74:D74"/>
    <mergeCell ref="C75:D75"/>
  </mergeCells>
  <phoneticPr fontId="0" type="noConversion"/>
  <conditionalFormatting sqref="E69">
    <cfRule type="cellIs" dxfId="97" priority="3" stopIfTrue="1" operator="greaterThan">
      <formula>$E$71*0.1</formula>
    </cfRule>
  </conditionalFormatting>
  <conditionalFormatting sqref="E74">
    <cfRule type="cellIs" dxfId="96" priority="4" stopIfTrue="1" operator="greaterThan">
      <formula>$E$71/0.95-$E$71</formula>
    </cfRule>
  </conditionalFormatting>
  <conditionalFormatting sqref="E38">
    <cfRule type="cellIs" dxfId="95" priority="5" stopIfTrue="1" operator="greaterThan">
      <formula>$E$35/0.95-$E$35</formula>
    </cfRule>
  </conditionalFormatting>
  <conditionalFormatting sqref="E33">
    <cfRule type="cellIs" dxfId="94" priority="6" stopIfTrue="1" operator="greaterThan">
      <formula>$E$35*0.1</formula>
    </cfRule>
  </conditionalFormatting>
  <conditionalFormatting sqref="C35">
    <cfRule type="cellIs" dxfId="93" priority="7" stopIfTrue="1" operator="greaterThan">
      <formula>$C$37</formula>
    </cfRule>
  </conditionalFormatting>
  <conditionalFormatting sqref="C72 C36">
    <cfRule type="cellIs" dxfId="92" priority="8" stopIfTrue="1" operator="lessThan">
      <formula>0</formula>
    </cfRule>
  </conditionalFormatting>
  <conditionalFormatting sqref="D35">
    <cfRule type="cellIs" dxfId="91" priority="9" stopIfTrue="1" operator="greaterThan">
      <formula>$D$37</formula>
    </cfRule>
  </conditionalFormatting>
  <conditionalFormatting sqref="C71">
    <cfRule type="cellIs" dxfId="90" priority="10" stopIfTrue="1" operator="greaterThan">
      <formula>$C$73</formula>
    </cfRule>
  </conditionalFormatting>
  <conditionalFormatting sqref="D71">
    <cfRule type="cellIs" dxfId="89" priority="11" stopIfTrue="1" operator="greaterThan">
      <formula>$D$73</formula>
    </cfRule>
  </conditionalFormatting>
  <conditionalFormatting sqref="C69">
    <cfRule type="cellIs" dxfId="88" priority="12" stopIfTrue="1" operator="greaterThan">
      <formula>$C$71*0.1</formula>
    </cfRule>
  </conditionalFormatting>
  <conditionalFormatting sqref="D69">
    <cfRule type="cellIs" dxfId="87" priority="13" stopIfTrue="1" operator="greaterThan">
      <formula>$D$71*0.1</formula>
    </cfRule>
  </conditionalFormatting>
  <conditionalFormatting sqref="E60">
    <cfRule type="cellIs" dxfId="86" priority="14" stopIfTrue="1" operator="greaterThan">
      <formula>$E$62*0.1+E78</formula>
    </cfRule>
  </conditionalFormatting>
  <conditionalFormatting sqref="C60">
    <cfRule type="cellIs" dxfId="85" priority="15" stopIfTrue="1" operator="greaterThan">
      <formula>$C$62*0.1</formula>
    </cfRule>
  </conditionalFormatting>
  <conditionalFormatting sqref="D60">
    <cfRule type="cellIs" dxfId="84" priority="16" stopIfTrue="1" operator="greaterThan">
      <formula>$D$62*0.1</formula>
    </cfRule>
  </conditionalFormatting>
  <conditionalFormatting sqref="C33">
    <cfRule type="cellIs" dxfId="83" priority="17" stopIfTrue="1" operator="greaterThan">
      <formula>$C$35*0.1</formula>
    </cfRule>
  </conditionalFormatting>
  <conditionalFormatting sqref="D33">
    <cfRule type="cellIs" dxfId="82" priority="18" stopIfTrue="1" operator="greaterThan">
      <formula>$D$35*0.1</formula>
    </cfRule>
  </conditionalFormatting>
  <conditionalFormatting sqref="E18">
    <cfRule type="cellIs" dxfId="81" priority="19" stopIfTrue="1" operator="greaterThan">
      <formula>$E$20*0.1+E42</formula>
    </cfRule>
  </conditionalFormatting>
  <conditionalFormatting sqref="C18">
    <cfRule type="cellIs" dxfId="80" priority="20" stopIfTrue="1" operator="greaterThan">
      <formula>$C$20*0.1</formula>
    </cfRule>
  </conditionalFormatting>
  <conditionalFormatting sqref="D18">
    <cfRule type="cellIs" dxfId="79" priority="21" stopIfTrue="1" operator="greaterThan">
      <formula>$D$20*0.1</formula>
    </cfRule>
  </conditionalFormatting>
  <conditionalFormatting sqref="D72 D36">
    <cfRule type="cellIs" dxfId="78" priority="2" stopIfTrue="1" operator="lessThan">
      <formula>0</formula>
    </cfRule>
  </conditionalFormatting>
  <pageMargins left="1.1200000000000001" right="0.5" top="0.74" bottom="0.34" header="0.5" footer="0"/>
  <pageSetup scale="54" orientation="portrait" blackAndWhite="1" r:id="rId1"/>
  <headerFooter alignWithMargins="0">
    <oddHeader xml:space="preserve">&amp;RState of Kansas
County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E66"/>
  <sheetViews>
    <sheetView workbookViewId="0"/>
  </sheetViews>
  <sheetFormatPr defaultColWidth="8.9140625" defaultRowHeight="15.6" x14ac:dyDescent="0.25"/>
  <cols>
    <col min="1" max="1" width="2.4140625" style="25" customWidth="1"/>
    <col min="2" max="2" width="31.08203125" style="25" customWidth="1"/>
    <col min="3" max="4" width="15.75" style="25" customWidth="1"/>
    <col min="5" max="5" width="16.08203125" style="25" customWidth="1"/>
    <col min="6" max="16384" width="8.9140625" style="25"/>
  </cols>
  <sheetData>
    <row r="1" spans="2:5" x14ac:dyDescent="0.25">
      <c r="B1" s="155" t="str">
        <f>(inputPrYr!C2)</f>
        <v>Edwards County</v>
      </c>
      <c r="C1" s="28"/>
      <c r="D1" s="28"/>
      <c r="E1" s="206">
        <f>inputPrYr!C4</f>
        <v>2015</v>
      </c>
    </row>
    <row r="2" spans="2:5" x14ac:dyDescent="0.25">
      <c r="B2" s="28"/>
      <c r="C2" s="28"/>
      <c r="D2" s="28"/>
      <c r="E2" s="162"/>
    </row>
    <row r="3" spans="2:5" x14ac:dyDescent="0.25">
      <c r="B3" s="93" t="s">
        <v>154</v>
      </c>
      <c r="C3" s="251"/>
      <c r="D3" s="251"/>
      <c r="E3" s="252"/>
    </row>
    <row r="4" spans="2:5" x14ac:dyDescent="0.25">
      <c r="B4" s="28"/>
      <c r="C4" s="246"/>
      <c r="D4" s="246"/>
      <c r="E4" s="246"/>
    </row>
    <row r="5" spans="2:5" x14ac:dyDescent="0.25">
      <c r="B5" s="27" t="s">
        <v>74</v>
      </c>
      <c r="C5" s="242" t="str">
        <f>general!C4</f>
        <v xml:space="preserve">Prior Year </v>
      </c>
      <c r="D5" s="151" t="str">
        <f>general!D4</f>
        <v xml:space="preserve">Current Year </v>
      </c>
      <c r="E5" s="151" t="str">
        <f>general!E4</f>
        <v xml:space="preserve">Proposed Budget </v>
      </c>
    </row>
    <row r="6" spans="2:5" x14ac:dyDescent="0.25">
      <c r="B6" s="347" t="str">
        <f>inputPrYr!B43</f>
        <v>Special Drug and Alcohol</v>
      </c>
      <c r="C6" s="235" t="str">
        <f>general!C5</f>
        <v>Actual for 2013</v>
      </c>
      <c r="D6" s="235" t="str">
        <f>general!D5</f>
        <v>Estimate for 2014</v>
      </c>
      <c r="E6" s="222" t="str">
        <f>general!E5</f>
        <v>Year for 2015</v>
      </c>
    </row>
    <row r="7" spans="2:5" x14ac:dyDescent="0.25">
      <c r="B7" s="89" t="s">
        <v>186</v>
      </c>
      <c r="C7" s="53">
        <v>5325</v>
      </c>
      <c r="D7" s="185">
        <f>C30</f>
        <v>6957</v>
      </c>
      <c r="E7" s="185">
        <f>D30</f>
        <v>7000</v>
      </c>
    </row>
    <row r="8" spans="2:5" x14ac:dyDescent="0.25">
      <c r="B8" s="253" t="s">
        <v>188</v>
      </c>
      <c r="C8" s="49"/>
      <c r="D8" s="49"/>
      <c r="E8" s="49"/>
    </row>
    <row r="9" spans="2:5" x14ac:dyDescent="0.25">
      <c r="B9" s="616" t="s">
        <v>413</v>
      </c>
      <c r="C9" s="53">
        <v>4891</v>
      </c>
      <c r="D9" s="53">
        <v>5000</v>
      </c>
      <c r="E9" s="53">
        <v>5000</v>
      </c>
    </row>
    <row r="10" spans="2:5" x14ac:dyDescent="0.25">
      <c r="B10" s="237"/>
      <c r="C10" s="53"/>
      <c r="D10" s="53"/>
      <c r="E10" s="53"/>
    </row>
    <row r="11" spans="2:5" x14ac:dyDescent="0.25">
      <c r="B11" s="237"/>
      <c r="C11" s="53"/>
      <c r="D11" s="53"/>
      <c r="E11" s="53"/>
    </row>
    <row r="12" spans="2:5" x14ac:dyDescent="0.25">
      <c r="B12" s="228" t="s">
        <v>80</v>
      </c>
      <c r="C12" s="53"/>
      <c r="D12" s="53"/>
      <c r="E12" s="53"/>
    </row>
    <row r="13" spans="2:5" x14ac:dyDescent="0.25">
      <c r="B13" s="229" t="s">
        <v>37</v>
      </c>
      <c r="C13" s="53"/>
      <c r="D13" s="224"/>
      <c r="E13" s="224"/>
    </row>
    <row r="14" spans="2:5" x14ac:dyDescent="0.25">
      <c r="B14" s="229" t="s">
        <v>262</v>
      </c>
      <c r="C14" s="344" t="str">
        <f>IF(C15*0.1&lt;C13,"Exceed 10% Rule","")</f>
        <v/>
      </c>
      <c r="D14" s="230" t="str">
        <f>IF(D15*0.1&lt;D13,"Exceed 10% Rule","")</f>
        <v/>
      </c>
      <c r="E14" s="230" t="str">
        <f>IF(E15*0.1&lt;E13,"Exceed 10% Rule","")</f>
        <v/>
      </c>
    </row>
    <row r="15" spans="2:5" x14ac:dyDescent="0.25">
      <c r="B15" s="231" t="s">
        <v>81</v>
      </c>
      <c r="C15" s="259">
        <f>SUM(C9:C13)</f>
        <v>4891</v>
      </c>
      <c r="D15" s="259">
        <f>SUM(D9:D13)</f>
        <v>5000</v>
      </c>
      <c r="E15" s="259">
        <f>SUM(E9:E13)</f>
        <v>5000</v>
      </c>
    </row>
    <row r="16" spans="2:5" x14ac:dyDescent="0.25">
      <c r="B16" s="231" t="s">
        <v>82</v>
      </c>
      <c r="C16" s="259">
        <f>C15+C7</f>
        <v>10216</v>
      </c>
      <c r="D16" s="259">
        <f>D15+D7</f>
        <v>11957</v>
      </c>
      <c r="E16" s="259">
        <f>E15+E7</f>
        <v>12000</v>
      </c>
    </row>
    <row r="17" spans="2:5" x14ac:dyDescent="0.25">
      <c r="B17" s="89" t="s">
        <v>85</v>
      </c>
      <c r="C17" s="185"/>
      <c r="D17" s="185"/>
      <c r="E17" s="185"/>
    </row>
    <row r="18" spans="2:5" x14ac:dyDescent="0.25">
      <c r="B18" s="617" t="s">
        <v>414</v>
      </c>
      <c r="C18" s="53"/>
      <c r="D18" s="53"/>
      <c r="E18" s="53"/>
    </row>
    <row r="19" spans="2:5" x14ac:dyDescent="0.25">
      <c r="B19" s="617" t="s">
        <v>91</v>
      </c>
      <c r="C19" s="53">
        <v>3259</v>
      </c>
      <c r="D19" s="53">
        <v>4957</v>
      </c>
      <c r="E19" s="53">
        <v>12000</v>
      </c>
    </row>
    <row r="20" spans="2:5" x14ac:dyDescent="0.25">
      <c r="B20" s="237"/>
      <c r="C20" s="53"/>
      <c r="D20" s="53"/>
      <c r="E20" s="53"/>
    </row>
    <row r="21" spans="2:5" x14ac:dyDescent="0.25">
      <c r="B21" s="237"/>
      <c r="C21" s="53"/>
      <c r="D21" s="53"/>
      <c r="E21" s="53"/>
    </row>
    <row r="22" spans="2:5" x14ac:dyDescent="0.25">
      <c r="B22" s="237"/>
      <c r="C22" s="53"/>
      <c r="D22" s="53"/>
      <c r="E22" s="53"/>
    </row>
    <row r="23" spans="2:5" x14ac:dyDescent="0.25">
      <c r="B23" s="237"/>
      <c r="C23" s="53"/>
      <c r="D23" s="53"/>
      <c r="E23" s="53"/>
    </row>
    <row r="24" spans="2:5" x14ac:dyDescent="0.25">
      <c r="B24" s="237"/>
      <c r="C24" s="53"/>
      <c r="D24" s="53"/>
      <c r="E24" s="53"/>
    </row>
    <row r="25" spans="2:5" x14ac:dyDescent="0.25">
      <c r="B25" s="237"/>
      <c r="C25" s="53"/>
      <c r="D25" s="53"/>
      <c r="E25" s="53"/>
    </row>
    <row r="26" spans="2:5" x14ac:dyDescent="0.25">
      <c r="B26" s="237"/>
      <c r="C26" s="53"/>
      <c r="D26" s="53"/>
      <c r="E26" s="53"/>
    </row>
    <row r="27" spans="2:5" x14ac:dyDescent="0.25">
      <c r="B27" s="229" t="s">
        <v>37</v>
      </c>
      <c r="C27" s="53"/>
      <c r="D27" s="224"/>
      <c r="E27" s="224"/>
    </row>
    <row r="28" spans="2:5" x14ac:dyDescent="0.25">
      <c r="B28" s="229" t="s">
        <v>261</v>
      </c>
      <c r="C28" s="344" t="str">
        <f>IF(C29*0.1&lt;C27,"Exceed 10% Rule","")</f>
        <v/>
      </c>
      <c r="D28" s="230" t="str">
        <f>IF(D29*0.1&lt;D27,"Exceed 10% Rule","")</f>
        <v/>
      </c>
      <c r="E28" s="230" t="str">
        <f>IF(E29*0.1&lt;E27,"Exceed 10% Rule","")</f>
        <v/>
      </c>
    </row>
    <row r="29" spans="2:5" x14ac:dyDescent="0.25">
      <c r="B29" s="231" t="s">
        <v>86</v>
      </c>
      <c r="C29" s="259">
        <f>SUM(C18:C27)</f>
        <v>3259</v>
      </c>
      <c r="D29" s="259">
        <f>SUM(D18:D27)</f>
        <v>4957</v>
      </c>
      <c r="E29" s="259">
        <f>SUM(E18:E27)</f>
        <v>12000</v>
      </c>
    </row>
    <row r="30" spans="2:5" x14ac:dyDescent="0.25">
      <c r="B30" s="89" t="s">
        <v>187</v>
      </c>
      <c r="C30" s="61">
        <f>C16-C29</f>
        <v>6957</v>
      </c>
      <c r="D30" s="61">
        <f>D16-D29</f>
        <v>7000</v>
      </c>
      <c r="E30" s="61">
        <f>E16-E29</f>
        <v>0</v>
      </c>
    </row>
    <row r="31" spans="2:5" x14ac:dyDescent="0.25">
      <c r="B31" s="221" t="str">
        <f>CONCATENATE("",E1-2,"/",E1-1,"/",E1," Budget Authority Amount:")</f>
        <v>2013/2014/2015 Budget Authority Amount:</v>
      </c>
      <c r="C31" s="255">
        <f>inputOth!B55</f>
        <v>13000</v>
      </c>
      <c r="D31" s="255">
        <f>inputPrYr!D43</f>
        <v>12000</v>
      </c>
      <c r="E31" s="485">
        <f>E29</f>
        <v>12000</v>
      </c>
    </row>
    <row r="32" spans="2:5" x14ac:dyDescent="0.25">
      <c r="B32" s="207"/>
      <c r="C32" s="240" t="str">
        <f>IF(C29&gt;C31,"See Tab A","")</f>
        <v/>
      </c>
      <c r="D32" s="240" t="str">
        <f>IF(D29&gt;D31,"See Tab C","")</f>
        <v/>
      </c>
      <c r="E32" s="486" t="str">
        <f>IF(E30&lt;0,"See Tab E","")</f>
        <v/>
      </c>
    </row>
    <row r="33" spans="2:5" x14ac:dyDescent="0.25">
      <c r="B33" s="207"/>
      <c r="C33" s="240" t="str">
        <f>IF(C30&lt;0,"See Tab B","")</f>
        <v/>
      </c>
      <c r="D33" s="240" t="str">
        <f>IF(D30&lt;0,"See Tab D","")</f>
        <v/>
      </c>
      <c r="E33" s="86"/>
    </row>
    <row r="34" spans="2:5" x14ac:dyDescent="0.25">
      <c r="B34" s="28"/>
      <c r="C34" s="86"/>
      <c r="D34" s="86"/>
      <c r="E34" s="86"/>
    </row>
    <row r="35" spans="2:5" x14ac:dyDescent="0.25">
      <c r="B35" s="27" t="s">
        <v>74</v>
      </c>
      <c r="C35" s="246"/>
      <c r="D35" s="246"/>
      <c r="E35" s="246"/>
    </row>
    <row r="36" spans="2:5" x14ac:dyDescent="0.25">
      <c r="B36" s="28"/>
      <c r="C36" s="242" t="str">
        <f t="shared" ref="C36:E37" si="0">C5</f>
        <v xml:space="preserve">Prior Year </v>
      </c>
      <c r="D36" s="151" t="str">
        <f t="shared" si="0"/>
        <v xml:space="preserve">Current Year </v>
      </c>
      <c r="E36" s="151" t="str">
        <f t="shared" si="0"/>
        <v xml:space="preserve">Proposed Budget </v>
      </c>
    </row>
    <row r="37" spans="2:5" x14ac:dyDescent="0.25">
      <c r="B37" s="346" t="str">
        <f>inputPrYr!B44</f>
        <v>Special Parks and Recreation</v>
      </c>
      <c r="C37" s="235" t="str">
        <f t="shared" si="0"/>
        <v>Actual for 2013</v>
      </c>
      <c r="D37" s="235" t="str">
        <f t="shared" si="0"/>
        <v>Estimate for 2014</v>
      </c>
      <c r="E37" s="222" t="str">
        <f t="shared" si="0"/>
        <v>Year for 2015</v>
      </c>
    </row>
    <row r="38" spans="2:5" x14ac:dyDescent="0.25">
      <c r="B38" s="89" t="s">
        <v>186</v>
      </c>
      <c r="C38" s="53">
        <v>7621</v>
      </c>
      <c r="D38" s="185">
        <f>C61</f>
        <v>8303</v>
      </c>
      <c r="E38" s="185">
        <f>D61</f>
        <v>9303</v>
      </c>
    </row>
    <row r="39" spans="2:5" x14ac:dyDescent="0.25">
      <c r="B39" s="89" t="s">
        <v>188</v>
      </c>
      <c r="C39" s="49"/>
      <c r="D39" s="49"/>
      <c r="E39" s="49"/>
    </row>
    <row r="40" spans="2:5" x14ac:dyDescent="0.25">
      <c r="B40" s="618" t="s">
        <v>413</v>
      </c>
      <c r="C40" s="53">
        <v>682</v>
      </c>
      <c r="D40" s="53">
        <v>1000</v>
      </c>
      <c r="E40" s="53">
        <v>1000</v>
      </c>
    </row>
    <row r="41" spans="2:5" x14ac:dyDescent="0.25">
      <c r="B41" s="237"/>
      <c r="C41" s="53"/>
      <c r="D41" s="53"/>
      <c r="E41" s="53"/>
    </row>
    <row r="42" spans="2:5" x14ac:dyDescent="0.25">
      <c r="B42" s="237"/>
      <c r="C42" s="53"/>
      <c r="D42" s="53"/>
      <c r="E42" s="53"/>
    </row>
    <row r="43" spans="2:5" x14ac:dyDescent="0.25">
      <c r="B43" s="228" t="s">
        <v>80</v>
      </c>
      <c r="C43" s="53"/>
      <c r="D43" s="53"/>
      <c r="E43" s="53"/>
    </row>
    <row r="44" spans="2:5" x14ac:dyDescent="0.25">
      <c r="B44" s="229" t="s">
        <v>37</v>
      </c>
      <c r="C44" s="53"/>
      <c r="D44" s="224"/>
      <c r="E44" s="224"/>
    </row>
    <row r="45" spans="2:5" x14ac:dyDescent="0.25">
      <c r="B45" s="229" t="s">
        <v>262</v>
      </c>
      <c r="C45" s="344" t="str">
        <f>IF(C46*0.1&lt;C44,"Exceed 10% Rule","")</f>
        <v/>
      </c>
      <c r="D45" s="230" t="str">
        <f>IF(D46*0.1&lt;D44,"Exceed 10% Rule","")</f>
        <v/>
      </c>
      <c r="E45" s="230" t="str">
        <f>IF(E46*0.1&lt;E44,"Exceed 10% Rule","")</f>
        <v/>
      </c>
    </row>
    <row r="46" spans="2:5" x14ac:dyDescent="0.25">
      <c r="B46" s="231" t="s">
        <v>81</v>
      </c>
      <c r="C46" s="259">
        <f>SUM(C40:C44)</f>
        <v>682</v>
      </c>
      <c r="D46" s="259">
        <f>SUM(D40:D44)</f>
        <v>1000</v>
      </c>
      <c r="E46" s="259">
        <f>SUM(E40:E44)</f>
        <v>1000</v>
      </c>
    </row>
    <row r="47" spans="2:5" x14ac:dyDescent="0.25">
      <c r="B47" s="231" t="s">
        <v>82</v>
      </c>
      <c r="C47" s="259">
        <f>C38+C46</f>
        <v>8303</v>
      </c>
      <c r="D47" s="259">
        <f>D38+D46</f>
        <v>9303</v>
      </c>
      <c r="E47" s="259">
        <f>E38+E46</f>
        <v>10303</v>
      </c>
    </row>
    <row r="48" spans="2:5" x14ac:dyDescent="0.25">
      <c r="B48" s="89" t="s">
        <v>85</v>
      </c>
      <c r="C48" s="185"/>
      <c r="D48" s="185"/>
      <c r="E48" s="185"/>
    </row>
    <row r="49" spans="2:5" x14ac:dyDescent="0.25">
      <c r="B49" s="618" t="s">
        <v>414</v>
      </c>
      <c r="C49" s="53"/>
      <c r="D49" s="53"/>
      <c r="E49" s="53"/>
    </row>
    <row r="50" spans="2:5" x14ac:dyDescent="0.25">
      <c r="B50" s="618" t="s">
        <v>91</v>
      </c>
      <c r="C50" s="53"/>
      <c r="D50" s="53"/>
      <c r="E50" s="53">
        <v>10000</v>
      </c>
    </row>
    <row r="51" spans="2:5" x14ac:dyDescent="0.25">
      <c r="B51" s="237"/>
      <c r="C51" s="53"/>
      <c r="D51" s="53"/>
      <c r="E51" s="53"/>
    </row>
    <row r="52" spans="2:5" x14ac:dyDescent="0.25">
      <c r="B52" s="237"/>
      <c r="C52" s="53"/>
      <c r="D52" s="53"/>
      <c r="E52" s="53"/>
    </row>
    <row r="53" spans="2:5" x14ac:dyDescent="0.25">
      <c r="B53" s="237"/>
      <c r="C53" s="53"/>
      <c r="D53" s="53"/>
      <c r="E53" s="53"/>
    </row>
    <row r="54" spans="2:5" x14ac:dyDescent="0.25">
      <c r="B54" s="237"/>
      <c r="C54" s="53"/>
      <c r="D54" s="53"/>
      <c r="E54" s="53"/>
    </row>
    <row r="55" spans="2:5" x14ac:dyDescent="0.25">
      <c r="B55" s="237"/>
      <c r="C55" s="53"/>
      <c r="D55" s="53"/>
      <c r="E55" s="53"/>
    </row>
    <row r="56" spans="2:5" x14ac:dyDescent="0.25">
      <c r="B56" s="237"/>
      <c r="C56" s="53"/>
      <c r="D56" s="53"/>
      <c r="E56" s="53"/>
    </row>
    <row r="57" spans="2:5" x14ac:dyDescent="0.25">
      <c r="B57" s="237"/>
      <c r="C57" s="53"/>
      <c r="D57" s="53"/>
      <c r="E57" s="53"/>
    </row>
    <row r="58" spans="2:5" x14ac:dyDescent="0.25">
      <c r="B58" s="229" t="s">
        <v>37</v>
      </c>
      <c r="C58" s="53"/>
      <c r="D58" s="224"/>
      <c r="E58" s="224"/>
    </row>
    <row r="59" spans="2:5" x14ac:dyDescent="0.25">
      <c r="B59" s="229" t="s">
        <v>261</v>
      </c>
      <c r="C59" s="344" t="str">
        <f>IF(C60*0.1&lt;C58,"Exceed 10% Rule","")</f>
        <v/>
      </c>
      <c r="D59" s="230" t="str">
        <f>IF(D60*0.1&lt;D58,"Exceed 10% Rule","")</f>
        <v/>
      </c>
      <c r="E59" s="230" t="str">
        <f>IF(E60*0.1&lt;E58,"Exceed 10% Rule","")</f>
        <v/>
      </c>
    </row>
    <row r="60" spans="2:5" x14ac:dyDescent="0.25">
      <c r="B60" s="231" t="s">
        <v>86</v>
      </c>
      <c r="C60" s="259">
        <f>SUM(C49:C58)</f>
        <v>0</v>
      </c>
      <c r="D60" s="259">
        <f>SUM(D49:D58)</f>
        <v>0</v>
      </c>
      <c r="E60" s="259">
        <f>SUM(E49:E58)</f>
        <v>10000</v>
      </c>
    </row>
    <row r="61" spans="2:5" x14ac:dyDescent="0.25">
      <c r="B61" s="89" t="s">
        <v>187</v>
      </c>
      <c r="C61" s="61">
        <f>C47-C60</f>
        <v>8303</v>
      </c>
      <c r="D61" s="61">
        <f>D47-D60</f>
        <v>9303</v>
      </c>
      <c r="E61" s="61">
        <f>E47-E60</f>
        <v>303</v>
      </c>
    </row>
    <row r="62" spans="2:5" x14ac:dyDescent="0.25">
      <c r="B62" s="221" t="str">
        <f>CONCATENATE("",E1-2,"/",E1-1,"/",E1," Budget Authority Amount:")</f>
        <v>2013/2014/2015 Budget Authority Amount:</v>
      </c>
      <c r="C62" s="255">
        <f>inputOth!B56</f>
        <v>8000</v>
      </c>
      <c r="D62" s="255">
        <f>inputPrYr!D44</f>
        <v>0</v>
      </c>
      <c r="E62" s="485">
        <f>E60</f>
        <v>10000</v>
      </c>
    </row>
    <row r="63" spans="2:5" x14ac:dyDescent="0.25">
      <c r="B63" s="207"/>
      <c r="C63" s="240" t="str">
        <f>IF(C60&gt;C62,"See Tab A","")</f>
        <v/>
      </c>
      <c r="D63" s="240" t="str">
        <f>IF(D60&gt;D62,"See Tab C","")</f>
        <v/>
      </c>
      <c r="E63" s="487" t="str">
        <f>IF(E61&lt;0,"See Tab E","")</f>
        <v/>
      </c>
    </row>
    <row r="64" spans="2:5" x14ac:dyDescent="0.25">
      <c r="B64" s="207"/>
      <c r="C64" s="240" t="str">
        <f>IF(C61&lt;0,"See Tab B","")</f>
        <v/>
      </c>
      <c r="D64" s="240" t="str">
        <f>IF(D61&lt;0,"See Tab D","")</f>
        <v/>
      </c>
      <c r="E64" s="28"/>
    </row>
    <row r="65" spans="2:5" x14ac:dyDescent="0.25">
      <c r="B65" s="28"/>
      <c r="C65" s="28"/>
      <c r="D65" s="28"/>
      <c r="E65" s="28"/>
    </row>
    <row r="66" spans="2:5" x14ac:dyDescent="0.25">
      <c r="B66" s="207" t="s">
        <v>108</v>
      </c>
      <c r="C66" s="258">
        <v>11</v>
      </c>
      <c r="D66" s="28"/>
      <c r="E66" s="28"/>
    </row>
  </sheetData>
  <phoneticPr fontId="0" type="noConversion"/>
  <conditionalFormatting sqref="C27">
    <cfRule type="cellIs" dxfId="77" priority="7" stopIfTrue="1" operator="greaterThan">
      <formula>$C$29*0.1</formula>
    </cfRule>
  </conditionalFormatting>
  <conditionalFormatting sqref="D27">
    <cfRule type="cellIs" dxfId="76" priority="8" stopIfTrue="1" operator="greaterThan">
      <formula>$D$29*0.1</formula>
    </cfRule>
  </conditionalFormatting>
  <conditionalFormatting sqref="E27">
    <cfRule type="cellIs" dxfId="75" priority="9" stopIfTrue="1" operator="greaterThan">
      <formula>$E$29*0.1</formula>
    </cfRule>
  </conditionalFormatting>
  <conditionalFormatting sqref="C13">
    <cfRule type="cellIs" dxfId="74" priority="10" stopIfTrue="1" operator="greaterThan">
      <formula>$C$15*0.1</formula>
    </cfRule>
  </conditionalFormatting>
  <conditionalFormatting sqref="D13">
    <cfRule type="cellIs" dxfId="73" priority="11" stopIfTrue="1" operator="greaterThan">
      <formula>$D$15*0.1</formula>
    </cfRule>
  </conditionalFormatting>
  <conditionalFormatting sqref="E13">
    <cfRule type="cellIs" dxfId="72" priority="12" stopIfTrue="1" operator="greaterThan">
      <formula>$E$15*0.1</formula>
    </cfRule>
  </conditionalFormatting>
  <conditionalFormatting sqref="C44">
    <cfRule type="cellIs" dxfId="71" priority="13" stopIfTrue="1" operator="greaterThan">
      <formula>$C$46*0.1</formula>
    </cfRule>
  </conditionalFormatting>
  <conditionalFormatting sqref="D44">
    <cfRule type="cellIs" dxfId="70" priority="14" stopIfTrue="1" operator="greaterThan">
      <formula>$D$46*0.1</formula>
    </cfRule>
  </conditionalFormatting>
  <conditionalFormatting sqref="E44">
    <cfRule type="cellIs" dxfId="69" priority="15" stopIfTrue="1" operator="greaterThan">
      <formula>$E$46*0.1</formula>
    </cfRule>
  </conditionalFormatting>
  <conditionalFormatting sqref="C58">
    <cfRule type="cellIs" dxfId="68" priority="16" stopIfTrue="1" operator="greaterThan">
      <formula>$C$60*0.1</formula>
    </cfRule>
  </conditionalFormatting>
  <conditionalFormatting sqref="D58">
    <cfRule type="cellIs" dxfId="67" priority="17" stopIfTrue="1" operator="greaterThan">
      <formula>$D$60*0.1</formula>
    </cfRule>
  </conditionalFormatting>
  <conditionalFormatting sqref="E58">
    <cfRule type="cellIs" dxfId="66" priority="18" stopIfTrue="1" operator="greaterThan">
      <formula>$E$60*0.1</formula>
    </cfRule>
  </conditionalFormatting>
  <conditionalFormatting sqref="E61 C61 E30">
    <cfRule type="cellIs" dxfId="65" priority="19" stopIfTrue="1" operator="lessThan">
      <formula>0</formula>
    </cfRule>
  </conditionalFormatting>
  <conditionalFormatting sqref="D60">
    <cfRule type="cellIs" dxfId="64" priority="20" stopIfTrue="1" operator="greaterThan">
      <formula>$D$62</formula>
    </cfRule>
  </conditionalFormatting>
  <conditionalFormatting sqref="C60">
    <cfRule type="cellIs" dxfId="63" priority="21" stopIfTrue="1" operator="greaterThan">
      <formula>$C$62</formula>
    </cfRule>
  </conditionalFormatting>
  <conditionalFormatting sqref="C29">
    <cfRule type="cellIs" dxfId="62" priority="6" stopIfTrue="1" operator="greaterThan">
      <formula>$C$31</formula>
    </cfRule>
  </conditionalFormatting>
  <conditionalFormatting sqref="D29">
    <cfRule type="cellIs" dxfId="61" priority="5" stopIfTrue="1" operator="greaterThan">
      <formula>$D$31</formula>
    </cfRule>
  </conditionalFormatting>
  <conditionalFormatting sqref="C30">
    <cfRule type="cellIs" dxfId="60" priority="4" stopIfTrue="1" operator="lessThan">
      <formula>0</formula>
    </cfRule>
  </conditionalFormatting>
  <conditionalFormatting sqref="D30">
    <cfRule type="cellIs" dxfId="59" priority="2" stopIfTrue="1" operator="lessThan">
      <formula>0</formula>
    </cfRule>
    <cfRule type="cellIs" dxfId="58" priority="3" stopIfTrue="1" operator="lessThan">
      <formula>0</formula>
    </cfRule>
  </conditionalFormatting>
  <conditionalFormatting sqref="D61">
    <cfRule type="cellIs" dxfId="57"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E66"/>
  <sheetViews>
    <sheetView workbookViewId="0"/>
  </sheetViews>
  <sheetFormatPr defaultColWidth="8.9140625" defaultRowHeight="15.6" x14ac:dyDescent="0.25"/>
  <cols>
    <col min="1" max="1" width="2.4140625" style="25" customWidth="1"/>
    <col min="2" max="2" width="31.08203125" style="25" customWidth="1"/>
    <col min="3" max="4" width="15.75" style="25" customWidth="1"/>
    <col min="5" max="5" width="16.08203125" style="25" customWidth="1"/>
    <col min="6" max="16384" width="8.9140625" style="25"/>
  </cols>
  <sheetData>
    <row r="1" spans="2:5" x14ac:dyDescent="0.25">
      <c r="B1" s="155" t="str">
        <f>(inputPrYr!C2)</f>
        <v>Edwards County</v>
      </c>
      <c r="C1" s="28"/>
      <c r="D1" s="28"/>
      <c r="E1" s="206">
        <f>inputPrYr!C4</f>
        <v>2015</v>
      </c>
    </row>
    <row r="2" spans="2:5" x14ac:dyDescent="0.25">
      <c r="B2" s="28"/>
      <c r="C2" s="28"/>
      <c r="D2" s="28"/>
      <c r="E2" s="162"/>
    </row>
    <row r="3" spans="2:5" x14ac:dyDescent="0.25">
      <c r="B3" s="93" t="s">
        <v>154</v>
      </c>
      <c r="C3" s="251"/>
      <c r="D3" s="251"/>
      <c r="E3" s="252"/>
    </row>
    <row r="4" spans="2:5" x14ac:dyDescent="0.25">
      <c r="B4" s="28"/>
      <c r="C4" s="246"/>
      <c r="D4" s="246"/>
      <c r="E4" s="246"/>
    </row>
    <row r="5" spans="2:5" x14ac:dyDescent="0.25">
      <c r="B5" s="27" t="s">
        <v>74</v>
      </c>
      <c r="C5" s="242" t="str">
        <f>general!C4</f>
        <v xml:space="preserve">Prior Year </v>
      </c>
      <c r="D5" s="151" t="str">
        <f>general!D4</f>
        <v xml:space="preserve">Current Year </v>
      </c>
      <c r="E5" s="151" t="str">
        <f>general!E4</f>
        <v xml:space="preserve">Proposed Budget </v>
      </c>
    </row>
    <row r="6" spans="2:5" x14ac:dyDescent="0.25">
      <c r="B6" s="347" t="str">
        <f>inputPrYr!B45</f>
        <v>Noxious Weed Capital Outlay</v>
      </c>
      <c r="C6" s="235" t="str">
        <f>general!C5</f>
        <v>Actual for 2013</v>
      </c>
      <c r="D6" s="235" t="str">
        <f>general!D5</f>
        <v>Estimate for 2014</v>
      </c>
      <c r="E6" s="222" t="str">
        <f>general!E5</f>
        <v>Year for 2015</v>
      </c>
    </row>
    <row r="7" spans="2:5" x14ac:dyDescent="0.25">
      <c r="B7" s="89" t="s">
        <v>186</v>
      </c>
      <c r="C7" s="53">
        <v>8664</v>
      </c>
      <c r="D7" s="185">
        <f>C30</f>
        <v>8664</v>
      </c>
      <c r="E7" s="185">
        <f>D30</f>
        <v>8664</v>
      </c>
    </row>
    <row r="8" spans="2:5" x14ac:dyDescent="0.25">
      <c r="B8" s="253" t="s">
        <v>188</v>
      </c>
      <c r="C8" s="49"/>
      <c r="D8" s="49"/>
      <c r="E8" s="49"/>
    </row>
    <row r="9" spans="2:5" x14ac:dyDescent="0.25">
      <c r="B9" s="619" t="s">
        <v>415</v>
      </c>
      <c r="C9" s="53">
        <v>1000</v>
      </c>
      <c r="D9" s="53"/>
      <c r="E9" s="53"/>
    </row>
    <row r="10" spans="2:5" x14ac:dyDescent="0.25">
      <c r="B10" s="619" t="s">
        <v>416</v>
      </c>
      <c r="C10" s="53"/>
      <c r="D10" s="53"/>
      <c r="E10" s="53"/>
    </row>
    <row r="11" spans="2:5" x14ac:dyDescent="0.25">
      <c r="B11" s="237"/>
      <c r="C11" s="53"/>
      <c r="D11" s="53"/>
      <c r="E11" s="53"/>
    </row>
    <row r="12" spans="2:5" x14ac:dyDescent="0.25">
      <c r="B12" s="228" t="s">
        <v>80</v>
      </c>
      <c r="C12" s="53"/>
      <c r="D12" s="53"/>
      <c r="E12" s="53"/>
    </row>
    <row r="13" spans="2:5" x14ac:dyDescent="0.25">
      <c r="B13" s="229" t="s">
        <v>37</v>
      </c>
      <c r="C13" s="53"/>
      <c r="D13" s="224"/>
      <c r="E13" s="224"/>
    </row>
    <row r="14" spans="2:5" x14ac:dyDescent="0.25">
      <c r="B14" s="229" t="s">
        <v>262</v>
      </c>
      <c r="C14" s="344" t="str">
        <f>IF(C15*0.1&lt;C13,"Exceed 10% Rule","")</f>
        <v/>
      </c>
      <c r="D14" s="230" t="str">
        <f>IF(D15*0.1&lt;D13,"Exceed 10% Rule","")</f>
        <v/>
      </c>
      <c r="E14" s="230" t="str">
        <f>IF(E15*0.1&lt;E13,"Exceed 10% Rule","")</f>
        <v/>
      </c>
    </row>
    <row r="15" spans="2:5" x14ac:dyDescent="0.25">
      <c r="B15" s="231" t="s">
        <v>81</v>
      </c>
      <c r="C15" s="259">
        <f>SUM(C9:C13)</f>
        <v>1000</v>
      </c>
      <c r="D15" s="259">
        <f>SUM(D9:D13)</f>
        <v>0</v>
      </c>
      <c r="E15" s="259">
        <f>SUM(E9:E13)</f>
        <v>0</v>
      </c>
    </row>
    <row r="16" spans="2:5" x14ac:dyDescent="0.25">
      <c r="B16" s="231" t="s">
        <v>82</v>
      </c>
      <c r="C16" s="259">
        <f>C15+C7</f>
        <v>9664</v>
      </c>
      <c r="D16" s="259">
        <f>D15+D7</f>
        <v>8664</v>
      </c>
      <c r="E16" s="259">
        <f>E15+E7</f>
        <v>8664</v>
      </c>
    </row>
    <row r="17" spans="2:5" x14ac:dyDescent="0.25">
      <c r="B17" s="89" t="s">
        <v>85</v>
      </c>
      <c r="C17" s="185"/>
      <c r="D17" s="185"/>
      <c r="E17" s="185"/>
    </row>
    <row r="18" spans="2:5" x14ac:dyDescent="0.25">
      <c r="B18" s="620" t="s">
        <v>396</v>
      </c>
      <c r="C18" s="53"/>
      <c r="D18" s="53"/>
      <c r="E18" s="53"/>
    </row>
    <row r="19" spans="2:5" x14ac:dyDescent="0.25">
      <c r="B19" s="620" t="s">
        <v>93</v>
      </c>
      <c r="C19" s="53">
        <v>1000</v>
      </c>
      <c r="D19" s="53"/>
      <c r="E19" s="53">
        <v>8664</v>
      </c>
    </row>
    <row r="20" spans="2:5" x14ac:dyDescent="0.25">
      <c r="B20" s="237"/>
      <c r="C20" s="53"/>
      <c r="D20" s="53"/>
      <c r="E20" s="53"/>
    </row>
    <row r="21" spans="2:5" x14ac:dyDescent="0.25">
      <c r="B21" s="237"/>
      <c r="C21" s="53"/>
      <c r="D21" s="53"/>
      <c r="E21" s="53"/>
    </row>
    <row r="22" spans="2:5" x14ac:dyDescent="0.25">
      <c r="B22" s="237"/>
      <c r="C22" s="53"/>
      <c r="D22" s="53"/>
      <c r="E22" s="53"/>
    </row>
    <row r="23" spans="2:5" x14ac:dyDescent="0.25">
      <c r="B23" s="237"/>
      <c r="C23" s="53"/>
      <c r="D23" s="53"/>
      <c r="E23" s="53"/>
    </row>
    <row r="24" spans="2:5" x14ac:dyDescent="0.25">
      <c r="B24" s="237"/>
      <c r="C24" s="53"/>
      <c r="D24" s="53"/>
      <c r="E24" s="53"/>
    </row>
    <row r="25" spans="2:5" x14ac:dyDescent="0.25">
      <c r="B25" s="237"/>
      <c r="C25" s="53"/>
      <c r="D25" s="53"/>
      <c r="E25" s="53"/>
    </row>
    <row r="26" spans="2:5" x14ac:dyDescent="0.25">
      <c r="B26" s="237"/>
      <c r="C26" s="53"/>
      <c r="D26" s="53"/>
      <c r="E26" s="53"/>
    </row>
    <row r="27" spans="2:5" x14ac:dyDescent="0.25">
      <c r="B27" s="229" t="s">
        <v>37</v>
      </c>
      <c r="C27" s="53"/>
      <c r="D27" s="224"/>
      <c r="E27" s="224"/>
    </row>
    <row r="28" spans="2:5" x14ac:dyDescent="0.25">
      <c r="B28" s="229" t="s">
        <v>261</v>
      </c>
      <c r="C28" s="344" t="str">
        <f>IF(C29*0.1&lt;C27,"Exceed 10% Rule","")</f>
        <v/>
      </c>
      <c r="D28" s="230" t="str">
        <f>IF(D29*0.1&lt;D27,"Exceed 10% Rule","")</f>
        <v/>
      </c>
      <c r="E28" s="230" t="str">
        <f>IF(E29*0.1&lt;E27,"Exceed 10% Rule","")</f>
        <v/>
      </c>
    </row>
    <row r="29" spans="2:5" x14ac:dyDescent="0.25">
      <c r="B29" s="231" t="s">
        <v>86</v>
      </c>
      <c r="C29" s="259">
        <f>SUM(C18:C27)</f>
        <v>1000</v>
      </c>
      <c r="D29" s="259">
        <f>SUM(D18:D27)</f>
        <v>0</v>
      </c>
      <c r="E29" s="259">
        <f>SUM(E18:E27)</f>
        <v>8664</v>
      </c>
    </row>
    <row r="30" spans="2:5" x14ac:dyDescent="0.25">
      <c r="B30" s="89" t="s">
        <v>187</v>
      </c>
      <c r="C30" s="61">
        <f>C16-C29</f>
        <v>8664</v>
      </c>
      <c r="D30" s="61">
        <f>D16-D29</f>
        <v>8664</v>
      </c>
      <c r="E30" s="61">
        <f>E16-E29</f>
        <v>0</v>
      </c>
    </row>
    <row r="31" spans="2:5" x14ac:dyDescent="0.25">
      <c r="B31" s="221" t="str">
        <f>CONCATENATE("",E1-2,"/",E1-1,"/",E1," Budget Authority Amount:")</f>
        <v>2013/2014/2015 Budget Authority Amount:</v>
      </c>
      <c r="C31" s="255">
        <f>inputOth!B57</f>
        <v>31709</v>
      </c>
      <c r="D31" s="255">
        <f>inputPrYr!D45</f>
        <v>16664</v>
      </c>
      <c r="E31" s="485">
        <f>E29</f>
        <v>8664</v>
      </c>
    </row>
    <row r="32" spans="2:5" x14ac:dyDescent="0.25">
      <c r="B32" s="207"/>
      <c r="C32" s="240" t="str">
        <f>IF(C29&gt;C31,"See Tab A","")</f>
        <v/>
      </c>
      <c r="D32" s="240" t="str">
        <f>IF(D29&gt;D31,"See Tab C","")</f>
        <v/>
      </c>
      <c r="E32" s="486" t="str">
        <f>IF(E30&lt;0,"See Tab E","")</f>
        <v/>
      </c>
    </row>
    <row r="33" spans="2:5" x14ac:dyDescent="0.25">
      <c r="B33" s="207"/>
      <c r="C33" s="240" t="str">
        <f>IF(C30&lt;0,"See Tab B","")</f>
        <v/>
      </c>
      <c r="D33" s="240" t="str">
        <f>IF(D30&lt;0,"See Tab D","")</f>
        <v/>
      </c>
      <c r="E33" s="86"/>
    </row>
    <row r="34" spans="2:5" x14ac:dyDescent="0.25">
      <c r="B34" s="28"/>
      <c r="C34" s="86"/>
      <c r="D34" s="86"/>
      <c r="E34" s="86"/>
    </row>
    <row r="35" spans="2:5" x14ac:dyDescent="0.25">
      <c r="B35" s="27" t="s">
        <v>74</v>
      </c>
      <c r="C35" s="246"/>
      <c r="D35" s="246"/>
      <c r="E35" s="246"/>
    </row>
    <row r="36" spans="2:5" x14ac:dyDescent="0.25">
      <c r="B36" s="28"/>
      <c r="C36" s="242" t="str">
        <f t="shared" ref="C36:E37" si="0">C5</f>
        <v xml:space="preserve">Prior Year </v>
      </c>
      <c r="D36" s="151" t="str">
        <f t="shared" si="0"/>
        <v xml:space="preserve">Current Year </v>
      </c>
      <c r="E36" s="151" t="str">
        <f t="shared" si="0"/>
        <v xml:space="preserve">Proposed Budget </v>
      </c>
    </row>
    <row r="37" spans="2:5" x14ac:dyDescent="0.25">
      <c r="B37" s="346" t="str">
        <f>inputPrYr!B46</f>
        <v>911 Emergency Telephone Tax</v>
      </c>
      <c r="C37" s="235" t="str">
        <f t="shared" si="0"/>
        <v>Actual for 2013</v>
      </c>
      <c r="D37" s="235" t="str">
        <f t="shared" si="0"/>
        <v>Estimate for 2014</v>
      </c>
      <c r="E37" s="235" t="str">
        <f t="shared" si="0"/>
        <v>Year for 2015</v>
      </c>
    </row>
    <row r="38" spans="2:5" x14ac:dyDescent="0.25">
      <c r="B38" s="89" t="s">
        <v>186</v>
      </c>
      <c r="C38" s="53">
        <v>1442</v>
      </c>
      <c r="D38" s="185">
        <f>C61</f>
        <v>0</v>
      </c>
      <c r="E38" s="185">
        <f>D61</f>
        <v>0</v>
      </c>
    </row>
    <row r="39" spans="2:5" x14ac:dyDescent="0.25">
      <c r="B39" s="89" t="s">
        <v>188</v>
      </c>
      <c r="C39" s="49"/>
      <c r="D39" s="49"/>
      <c r="E39" s="49"/>
    </row>
    <row r="40" spans="2:5" x14ac:dyDescent="0.25">
      <c r="B40" s="621" t="s">
        <v>394</v>
      </c>
      <c r="C40" s="53"/>
      <c r="D40" s="53"/>
      <c r="E40" s="53"/>
    </row>
    <row r="41" spans="2:5" x14ac:dyDescent="0.25">
      <c r="B41" s="237"/>
      <c r="C41" s="53"/>
      <c r="D41" s="53"/>
      <c r="E41" s="53"/>
    </row>
    <row r="42" spans="2:5" x14ac:dyDescent="0.25">
      <c r="B42" s="237"/>
      <c r="C42" s="53"/>
      <c r="D42" s="53"/>
      <c r="E42" s="53"/>
    </row>
    <row r="43" spans="2:5" x14ac:dyDescent="0.25">
      <c r="B43" s="228" t="s">
        <v>80</v>
      </c>
      <c r="C43" s="53"/>
      <c r="D43" s="53"/>
      <c r="E43" s="53"/>
    </row>
    <row r="44" spans="2:5" x14ac:dyDescent="0.25">
      <c r="B44" s="229" t="s">
        <v>37</v>
      </c>
      <c r="C44" s="53"/>
      <c r="D44" s="224"/>
      <c r="E44" s="224"/>
    </row>
    <row r="45" spans="2:5" x14ac:dyDescent="0.25">
      <c r="B45" s="229" t="s">
        <v>262</v>
      </c>
      <c r="C45" s="344" t="str">
        <f>IF(C46*0.1&lt;C44,"Exceed 10% Rule","")</f>
        <v/>
      </c>
      <c r="D45" s="230" t="str">
        <f>IF(D46*0.1&lt;D44,"Exceed 10% Rule","")</f>
        <v/>
      </c>
      <c r="E45" s="230" t="str">
        <f>IF(E46*0.1&lt;E44,"Exceed 10% Rule","")</f>
        <v/>
      </c>
    </row>
    <row r="46" spans="2:5" x14ac:dyDescent="0.25">
      <c r="B46" s="231" t="s">
        <v>81</v>
      </c>
      <c r="C46" s="259">
        <f>SUM(C40:C44)</f>
        <v>0</v>
      </c>
      <c r="D46" s="259">
        <f>SUM(D40:D44)</f>
        <v>0</v>
      </c>
      <c r="E46" s="259">
        <f>SUM(E40:E44)</f>
        <v>0</v>
      </c>
    </row>
    <row r="47" spans="2:5" x14ac:dyDescent="0.25">
      <c r="B47" s="231" t="s">
        <v>82</v>
      </c>
      <c r="C47" s="259">
        <f>C38+C46</f>
        <v>1442</v>
      </c>
      <c r="D47" s="259">
        <f>D38+D46</f>
        <v>0</v>
      </c>
      <c r="E47" s="259">
        <f>E38+E46</f>
        <v>0</v>
      </c>
    </row>
    <row r="48" spans="2:5" x14ac:dyDescent="0.25">
      <c r="B48" s="89" t="s">
        <v>85</v>
      </c>
      <c r="C48" s="185"/>
      <c r="D48" s="185"/>
      <c r="E48" s="185"/>
    </row>
    <row r="49" spans="2:5" x14ac:dyDescent="0.25">
      <c r="B49" s="622" t="s">
        <v>417</v>
      </c>
      <c r="C49" s="53"/>
      <c r="D49" s="53"/>
      <c r="E49" s="53"/>
    </row>
    <row r="50" spans="2:5" x14ac:dyDescent="0.25">
      <c r="B50" s="622" t="s">
        <v>91</v>
      </c>
      <c r="C50" s="53">
        <v>1239</v>
      </c>
      <c r="D50" s="53"/>
      <c r="E50" s="53"/>
    </row>
    <row r="51" spans="2:5" x14ac:dyDescent="0.25">
      <c r="B51" s="622" t="s">
        <v>92</v>
      </c>
      <c r="C51" s="53">
        <v>203</v>
      </c>
      <c r="D51" s="53"/>
      <c r="E51" s="53"/>
    </row>
    <row r="52" spans="2:5" x14ac:dyDescent="0.25">
      <c r="B52" s="622" t="s">
        <v>93</v>
      </c>
      <c r="C52" s="53"/>
      <c r="D52" s="53"/>
      <c r="E52" s="53"/>
    </row>
    <row r="53" spans="2:5" x14ac:dyDescent="0.25">
      <c r="B53" s="237"/>
      <c r="C53" s="53"/>
      <c r="D53" s="53"/>
      <c r="E53" s="53"/>
    </row>
    <row r="54" spans="2:5" x14ac:dyDescent="0.25">
      <c r="B54" s="237"/>
      <c r="C54" s="53"/>
      <c r="D54" s="53"/>
      <c r="E54" s="53"/>
    </row>
    <row r="55" spans="2:5" x14ac:dyDescent="0.25">
      <c r="B55" s="237"/>
      <c r="C55" s="53"/>
      <c r="D55" s="53"/>
      <c r="E55" s="53"/>
    </row>
    <row r="56" spans="2:5" x14ac:dyDescent="0.25">
      <c r="B56" s="237"/>
      <c r="C56" s="53"/>
      <c r="D56" s="53"/>
      <c r="E56" s="53"/>
    </row>
    <row r="57" spans="2:5" x14ac:dyDescent="0.25">
      <c r="B57" s="237"/>
      <c r="C57" s="53"/>
      <c r="D57" s="53"/>
      <c r="E57" s="53"/>
    </row>
    <row r="58" spans="2:5" x14ac:dyDescent="0.25">
      <c r="B58" s="229" t="s">
        <v>37</v>
      </c>
      <c r="C58" s="53"/>
      <c r="D58" s="224"/>
      <c r="E58" s="224"/>
    </row>
    <row r="59" spans="2:5" x14ac:dyDescent="0.25">
      <c r="B59" s="229" t="s">
        <v>261</v>
      </c>
      <c r="C59" s="344" t="str">
        <f>IF(C60*0.1&lt;C58,"Exceed 10% Rule","")</f>
        <v/>
      </c>
      <c r="D59" s="230" t="str">
        <f>IF(D60*0.1&lt;D58,"Exceed 10% Rule","")</f>
        <v/>
      </c>
      <c r="E59" s="230" t="str">
        <f>IF(E60*0.1&lt;E58,"Exceed 10% Rule","")</f>
        <v/>
      </c>
    </row>
    <row r="60" spans="2:5" x14ac:dyDescent="0.25">
      <c r="B60" s="231" t="s">
        <v>86</v>
      </c>
      <c r="C60" s="259">
        <f>SUM(C49:C58)</f>
        <v>1442</v>
      </c>
      <c r="D60" s="259">
        <f>SUM(D49:D58)</f>
        <v>0</v>
      </c>
      <c r="E60" s="259">
        <f>SUM(E49:E58)</f>
        <v>0</v>
      </c>
    </row>
    <row r="61" spans="2:5" x14ac:dyDescent="0.25">
      <c r="B61" s="89" t="s">
        <v>187</v>
      </c>
      <c r="C61" s="61">
        <f>C47-C60</f>
        <v>0</v>
      </c>
      <c r="D61" s="61">
        <f>D47-D60</f>
        <v>0</v>
      </c>
      <c r="E61" s="61">
        <f>E47-E60</f>
        <v>0</v>
      </c>
    </row>
    <row r="62" spans="2:5" x14ac:dyDescent="0.25">
      <c r="B62" s="221" t="str">
        <f>CONCATENATE("",E1-2,"/",E1-1,"/",E1," Budget Authority Amount:")</f>
        <v>2013/2014/2015 Budget Authority Amount:</v>
      </c>
      <c r="C62" s="255">
        <f>inputOth!B58</f>
        <v>10000</v>
      </c>
      <c r="D62" s="255">
        <f>inputPrYr!D46</f>
        <v>0</v>
      </c>
      <c r="E62" s="485">
        <f>E60</f>
        <v>0</v>
      </c>
    </row>
    <row r="63" spans="2:5" x14ac:dyDescent="0.25">
      <c r="B63" s="207"/>
      <c r="C63" s="240" t="str">
        <f>IF(C60&gt;C62,"See Tab A","")</f>
        <v/>
      </c>
      <c r="D63" s="240" t="str">
        <f>IF(D60&gt;D62,"See Tab C","")</f>
        <v/>
      </c>
      <c r="E63" s="487" t="str">
        <f>IF(E61&lt;0,"See Tab E","")</f>
        <v/>
      </c>
    </row>
    <row r="64" spans="2:5" x14ac:dyDescent="0.25">
      <c r="B64" s="207"/>
      <c r="C64" s="240" t="str">
        <f>IF(C61&lt;0,"See Tab B","")</f>
        <v/>
      </c>
      <c r="D64" s="240" t="str">
        <f>IF(D61&lt;0,"See Tab D","")</f>
        <v/>
      </c>
      <c r="E64" s="28"/>
    </row>
    <row r="65" spans="2:5" x14ac:dyDescent="0.25">
      <c r="B65" s="28"/>
      <c r="C65" s="28"/>
      <c r="D65" s="28"/>
      <c r="E65" s="28"/>
    </row>
    <row r="66" spans="2:5" x14ac:dyDescent="0.25">
      <c r="B66" s="207" t="s">
        <v>108</v>
      </c>
      <c r="C66" s="258">
        <v>12</v>
      </c>
      <c r="D66" s="28"/>
      <c r="E66" s="28"/>
    </row>
  </sheetData>
  <phoneticPr fontId="0" type="noConversion"/>
  <conditionalFormatting sqref="C27">
    <cfRule type="cellIs" dxfId="56" priority="3" stopIfTrue="1" operator="greaterThan">
      <formula>$C$29*0.1</formula>
    </cfRule>
  </conditionalFormatting>
  <conditionalFormatting sqref="D27">
    <cfRule type="cellIs" dxfId="55" priority="4" stopIfTrue="1" operator="greaterThan">
      <formula>$D$29*0.1</formula>
    </cfRule>
  </conditionalFormatting>
  <conditionalFormatting sqref="E27">
    <cfRule type="cellIs" dxfId="54" priority="5" stopIfTrue="1" operator="greaterThan">
      <formula>$E$29*0.1</formula>
    </cfRule>
  </conditionalFormatting>
  <conditionalFormatting sqref="C13">
    <cfRule type="cellIs" dxfId="53" priority="6" stopIfTrue="1" operator="greaterThan">
      <formula>$C$15*0.1</formula>
    </cfRule>
  </conditionalFormatting>
  <conditionalFormatting sqref="D13">
    <cfRule type="cellIs" dxfId="52" priority="7" stopIfTrue="1" operator="greaterThan">
      <formula>$D$15*0.1</formula>
    </cfRule>
  </conditionalFormatting>
  <conditionalFormatting sqref="E13">
    <cfRule type="cellIs" dxfId="51" priority="8" stopIfTrue="1" operator="greaterThan">
      <formula>$E$15*0.1</formula>
    </cfRule>
  </conditionalFormatting>
  <conditionalFormatting sqref="C44">
    <cfRule type="cellIs" dxfId="50" priority="9" stopIfTrue="1" operator="greaterThan">
      <formula>$C$46*0.1</formula>
    </cfRule>
  </conditionalFormatting>
  <conditionalFormatting sqref="D44">
    <cfRule type="cellIs" dxfId="49" priority="10" stopIfTrue="1" operator="greaterThan">
      <formula>$D$46*0.1</formula>
    </cfRule>
  </conditionalFormatting>
  <conditionalFormatting sqref="E44">
    <cfRule type="cellIs" dxfId="48" priority="11" stopIfTrue="1" operator="greaterThan">
      <formula>$E$46*0.1</formula>
    </cfRule>
  </conditionalFormatting>
  <conditionalFormatting sqref="C58">
    <cfRule type="cellIs" dxfId="47" priority="12" stopIfTrue="1" operator="greaterThan">
      <formula>$C$60*0.1</formula>
    </cfRule>
  </conditionalFormatting>
  <conditionalFormatting sqref="D58">
    <cfRule type="cellIs" dxfId="46" priority="13" stopIfTrue="1" operator="greaterThan">
      <formula>$D$60*0.1</formula>
    </cfRule>
  </conditionalFormatting>
  <conditionalFormatting sqref="E58">
    <cfRule type="cellIs" dxfId="45" priority="14" stopIfTrue="1" operator="greaterThan">
      <formula>$E$60*0.1</formula>
    </cfRule>
  </conditionalFormatting>
  <conditionalFormatting sqref="E30 C30 E61 C61">
    <cfRule type="cellIs" dxfId="44" priority="15" stopIfTrue="1" operator="lessThan">
      <formula>0</formula>
    </cfRule>
  </conditionalFormatting>
  <conditionalFormatting sqref="D29">
    <cfRule type="cellIs" dxfId="43" priority="16" stopIfTrue="1" operator="greaterThan">
      <formula>$D$31</formula>
    </cfRule>
  </conditionalFormatting>
  <conditionalFormatting sqref="C29">
    <cfRule type="cellIs" dxfId="42" priority="17" stopIfTrue="1" operator="greaterThan">
      <formula>$C$31</formula>
    </cfRule>
  </conditionalFormatting>
  <conditionalFormatting sqref="D60">
    <cfRule type="cellIs" dxfId="41" priority="18" stopIfTrue="1" operator="greaterThan">
      <formula>$D$62</formula>
    </cfRule>
  </conditionalFormatting>
  <conditionalFormatting sqref="C60">
    <cfRule type="cellIs" dxfId="40" priority="19" stopIfTrue="1" operator="greaterThan">
      <formula>$C$62</formula>
    </cfRule>
  </conditionalFormatting>
  <conditionalFormatting sqref="D30">
    <cfRule type="cellIs" dxfId="39" priority="2" stopIfTrue="1" operator="lessThan">
      <formula>0</formula>
    </cfRule>
  </conditionalFormatting>
  <conditionalFormatting sqref="D61">
    <cfRule type="cellIs" dxfId="38"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B1:E66"/>
  <sheetViews>
    <sheetView workbookViewId="0">
      <selection activeCell="C13" sqref="C13"/>
    </sheetView>
  </sheetViews>
  <sheetFormatPr defaultColWidth="8.9140625" defaultRowHeight="15.6" x14ac:dyDescent="0.25"/>
  <cols>
    <col min="1" max="1" width="2.4140625" style="25" customWidth="1"/>
    <col min="2" max="2" width="31.08203125" style="25" customWidth="1"/>
    <col min="3" max="4" width="15.75" style="25" customWidth="1"/>
    <col min="5" max="5" width="16.25" style="25" customWidth="1"/>
    <col min="6" max="16384" width="8.9140625" style="25"/>
  </cols>
  <sheetData>
    <row r="1" spans="2:5" x14ac:dyDescent="0.25">
      <c r="B1" s="155" t="str">
        <f>(inputPrYr!C2)</f>
        <v>Edwards County</v>
      </c>
      <c r="C1" s="28"/>
      <c r="D1" s="28"/>
      <c r="E1" s="206">
        <f>inputPrYr!C4</f>
        <v>2015</v>
      </c>
    </row>
    <row r="2" spans="2:5" x14ac:dyDescent="0.25">
      <c r="B2" s="28"/>
      <c r="C2" s="28"/>
      <c r="D2" s="28"/>
      <c r="E2" s="162"/>
    </row>
    <row r="3" spans="2:5" x14ac:dyDescent="0.25">
      <c r="B3" s="93" t="s">
        <v>154</v>
      </c>
      <c r="C3" s="251"/>
      <c r="D3" s="251"/>
      <c r="E3" s="252"/>
    </row>
    <row r="4" spans="2:5" x14ac:dyDescent="0.25">
      <c r="B4" s="28"/>
      <c r="C4" s="246"/>
      <c r="D4" s="246"/>
      <c r="E4" s="246"/>
    </row>
    <row r="5" spans="2:5" x14ac:dyDescent="0.25">
      <c r="B5" s="27" t="s">
        <v>74</v>
      </c>
      <c r="C5" s="242" t="str">
        <f>general!C4</f>
        <v xml:space="preserve">Prior Year </v>
      </c>
      <c r="D5" s="151" t="str">
        <f>general!D4</f>
        <v xml:space="preserve">Current Year </v>
      </c>
      <c r="E5" s="151" t="str">
        <f>general!E4</f>
        <v xml:space="preserve">Proposed Budget </v>
      </c>
    </row>
    <row r="6" spans="2:5" x14ac:dyDescent="0.25">
      <c r="B6" s="347" t="str">
        <f>inputPrYr!B47</f>
        <v>911 Wireless Phone Tax</v>
      </c>
      <c r="C6" s="235" t="str">
        <f>general!C5</f>
        <v>Actual for 2013</v>
      </c>
      <c r="D6" s="235" t="str">
        <f>general!D5</f>
        <v>Estimate for 2014</v>
      </c>
      <c r="E6" s="222" t="str">
        <f>general!E5</f>
        <v>Year for 2015</v>
      </c>
    </row>
    <row r="7" spans="2:5" x14ac:dyDescent="0.25">
      <c r="B7" s="89" t="s">
        <v>186</v>
      </c>
      <c r="C7" s="53">
        <v>6942</v>
      </c>
      <c r="D7" s="185">
        <f>C30</f>
        <v>1736</v>
      </c>
      <c r="E7" s="185">
        <f>D30</f>
        <v>1736</v>
      </c>
    </row>
    <row r="8" spans="2:5" x14ac:dyDescent="0.25">
      <c r="B8" s="253" t="s">
        <v>188</v>
      </c>
      <c r="C8" s="49"/>
      <c r="D8" s="49"/>
      <c r="E8" s="49"/>
    </row>
    <row r="9" spans="2:5" x14ac:dyDescent="0.25">
      <c r="B9" s="623" t="s">
        <v>394</v>
      </c>
      <c r="C9" s="53"/>
      <c r="D9" s="53"/>
      <c r="E9" s="53"/>
    </row>
    <row r="10" spans="2:5" x14ac:dyDescent="0.25">
      <c r="B10" s="237"/>
      <c r="C10" s="53"/>
      <c r="D10" s="53"/>
      <c r="E10" s="53"/>
    </row>
    <row r="11" spans="2:5" x14ac:dyDescent="0.25">
      <c r="B11" s="237"/>
      <c r="C11" s="53"/>
      <c r="D11" s="53"/>
      <c r="E11" s="53"/>
    </row>
    <row r="12" spans="2:5" x14ac:dyDescent="0.25">
      <c r="B12" s="228" t="s">
        <v>80</v>
      </c>
      <c r="C12" s="53">
        <v>4</v>
      </c>
      <c r="D12" s="53"/>
      <c r="E12" s="53"/>
    </row>
    <row r="13" spans="2:5" x14ac:dyDescent="0.25">
      <c r="B13" s="229" t="s">
        <v>37</v>
      </c>
      <c r="C13" s="53"/>
      <c r="D13" s="224"/>
      <c r="E13" s="224"/>
    </row>
    <row r="14" spans="2:5" x14ac:dyDescent="0.25">
      <c r="B14" s="229" t="s">
        <v>262</v>
      </c>
      <c r="C14" s="344" t="str">
        <f>IF(C15*0.1&lt;C13,"Exceed 10% Rule","")</f>
        <v/>
      </c>
      <c r="D14" s="230" t="str">
        <f>IF(D15*0.1&lt;D13,"Exceed 10% Rule","")</f>
        <v/>
      </c>
      <c r="E14" s="230" t="str">
        <f>IF(E15*0.1&lt;E13,"Exceed 10% Rule","")</f>
        <v/>
      </c>
    </row>
    <row r="15" spans="2:5" x14ac:dyDescent="0.25">
      <c r="B15" s="231" t="s">
        <v>81</v>
      </c>
      <c r="C15" s="259">
        <f>SUM(C9:C13)</f>
        <v>4</v>
      </c>
      <c r="D15" s="259">
        <f>SUM(D9:D13)</f>
        <v>0</v>
      </c>
      <c r="E15" s="259">
        <f>SUM(E9:E13)</f>
        <v>0</v>
      </c>
    </row>
    <row r="16" spans="2:5" x14ac:dyDescent="0.25">
      <c r="B16" s="231" t="s">
        <v>82</v>
      </c>
      <c r="C16" s="259">
        <f>C15+C7</f>
        <v>6946</v>
      </c>
      <c r="D16" s="259">
        <f>D15+D7</f>
        <v>1736</v>
      </c>
      <c r="E16" s="259">
        <f>E15+E7</f>
        <v>1736</v>
      </c>
    </row>
    <row r="17" spans="2:5" x14ac:dyDescent="0.25">
      <c r="B17" s="89" t="s">
        <v>85</v>
      </c>
      <c r="C17" s="185"/>
      <c r="D17" s="185"/>
      <c r="E17" s="185"/>
    </row>
    <row r="18" spans="2:5" x14ac:dyDescent="0.25">
      <c r="B18" s="624" t="s">
        <v>417</v>
      </c>
      <c r="C18" s="53"/>
      <c r="D18" s="53"/>
      <c r="E18" s="53"/>
    </row>
    <row r="19" spans="2:5" x14ac:dyDescent="0.25">
      <c r="B19" s="624" t="s">
        <v>418</v>
      </c>
      <c r="C19" s="53">
        <v>5210</v>
      </c>
      <c r="D19" s="53"/>
      <c r="E19" s="53"/>
    </row>
    <row r="20" spans="2:5" x14ac:dyDescent="0.25">
      <c r="B20" s="624" t="s">
        <v>93</v>
      </c>
      <c r="C20" s="53"/>
      <c r="D20" s="53"/>
      <c r="E20" s="53"/>
    </row>
    <row r="21" spans="2:5" x14ac:dyDescent="0.25">
      <c r="B21" s="237"/>
      <c r="C21" s="53"/>
      <c r="D21" s="53"/>
      <c r="E21" s="53"/>
    </row>
    <row r="22" spans="2:5" x14ac:dyDescent="0.25">
      <c r="B22" s="237"/>
      <c r="C22" s="53"/>
      <c r="D22" s="53"/>
      <c r="E22" s="53"/>
    </row>
    <row r="23" spans="2:5" x14ac:dyDescent="0.25">
      <c r="B23" s="237"/>
      <c r="C23" s="53"/>
      <c r="D23" s="53"/>
      <c r="E23" s="53"/>
    </row>
    <row r="24" spans="2:5" x14ac:dyDescent="0.25">
      <c r="B24" s="237"/>
      <c r="C24" s="53"/>
      <c r="D24" s="53"/>
      <c r="E24" s="53"/>
    </row>
    <row r="25" spans="2:5" x14ac:dyDescent="0.25">
      <c r="B25" s="237"/>
      <c r="C25" s="53"/>
      <c r="D25" s="53"/>
      <c r="E25" s="53"/>
    </row>
    <row r="26" spans="2:5" x14ac:dyDescent="0.25">
      <c r="B26" s="237"/>
      <c r="C26" s="53"/>
      <c r="D26" s="53"/>
      <c r="E26" s="53"/>
    </row>
    <row r="27" spans="2:5" x14ac:dyDescent="0.25">
      <c r="B27" s="229" t="s">
        <v>37</v>
      </c>
      <c r="C27" s="53"/>
      <c r="D27" s="224"/>
      <c r="E27" s="224"/>
    </row>
    <row r="28" spans="2:5" x14ac:dyDescent="0.25">
      <c r="B28" s="229" t="s">
        <v>261</v>
      </c>
      <c r="C28" s="344" t="str">
        <f>IF(C29*0.1&lt;C27,"Exceed 10% Rule","")</f>
        <v/>
      </c>
      <c r="D28" s="230" t="str">
        <f>IF(D29*0.1&lt;D27,"Exceed 10% Rule","")</f>
        <v/>
      </c>
      <c r="E28" s="230" t="str">
        <f>IF(E29*0.1&lt;E27,"Exceed 10% Rule","")</f>
        <v/>
      </c>
    </row>
    <row r="29" spans="2:5" x14ac:dyDescent="0.25">
      <c r="B29" s="231" t="s">
        <v>86</v>
      </c>
      <c r="C29" s="259">
        <f>SUM(C18:C27)</f>
        <v>5210</v>
      </c>
      <c r="D29" s="259">
        <f>SUM(D18:D27)</f>
        <v>0</v>
      </c>
      <c r="E29" s="259">
        <f>SUM(E18:E27)</f>
        <v>0</v>
      </c>
    </row>
    <row r="30" spans="2:5" x14ac:dyDescent="0.25">
      <c r="B30" s="89" t="s">
        <v>187</v>
      </c>
      <c r="C30" s="61">
        <f>C16-C29</f>
        <v>1736</v>
      </c>
      <c r="D30" s="61">
        <f>D16-D29</f>
        <v>1736</v>
      </c>
      <c r="E30" s="61">
        <f>E16-E29</f>
        <v>1736</v>
      </c>
    </row>
    <row r="31" spans="2:5" x14ac:dyDescent="0.25">
      <c r="B31" s="221" t="str">
        <f>CONCATENATE("",E1-2,"/",E1-1,"/",E1," Budget Authority Amount:")</f>
        <v>2013/2014/2015 Budget Authority Amount:</v>
      </c>
      <c r="C31" s="255">
        <f>inputOth!B59</f>
        <v>9000</v>
      </c>
      <c r="D31" s="255">
        <f>inputPrYr!D47</f>
        <v>0</v>
      </c>
      <c r="E31" s="485">
        <f>E29</f>
        <v>0</v>
      </c>
    </row>
    <row r="32" spans="2:5" x14ac:dyDescent="0.25">
      <c r="B32" s="207"/>
      <c r="C32" s="240" t="str">
        <f>IF(C29&gt;C31,"See Tab A","")</f>
        <v/>
      </c>
      <c r="D32" s="240" t="str">
        <f>IF(D29&gt;D31,"See Tab C","")</f>
        <v/>
      </c>
      <c r="E32" s="486" t="str">
        <f>IF(E30&lt;0,"See Tab E","")</f>
        <v/>
      </c>
    </row>
    <row r="33" spans="2:5" x14ac:dyDescent="0.25">
      <c r="B33" s="207"/>
      <c r="C33" s="240" t="str">
        <f>IF(C30&lt;0,"See Tab B","")</f>
        <v/>
      </c>
      <c r="D33" s="240" t="str">
        <f>IF(D30&lt;0,"See Tab D","")</f>
        <v/>
      </c>
      <c r="E33" s="86"/>
    </row>
    <row r="34" spans="2:5" x14ac:dyDescent="0.25">
      <c r="B34" s="28"/>
      <c r="C34" s="86"/>
      <c r="D34" s="86"/>
      <c r="E34" s="86"/>
    </row>
    <row r="35" spans="2:5" x14ac:dyDescent="0.25">
      <c r="B35" s="27" t="s">
        <v>74</v>
      </c>
      <c r="C35" s="246"/>
      <c r="D35" s="246"/>
      <c r="E35" s="246"/>
    </row>
    <row r="36" spans="2:5" x14ac:dyDescent="0.25">
      <c r="B36" s="28"/>
      <c r="C36" s="242" t="str">
        <f t="shared" ref="C36:E37" si="0">C5</f>
        <v xml:space="preserve">Prior Year </v>
      </c>
      <c r="D36" s="151" t="str">
        <f t="shared" si="0"/>
        <v xml:space="preserve">Current Year </v>
      </c>
      <c r="E36" s="151" t="str">
        <f t="shared" si="0"/>
        <v xml:space="preserve">Proposed Budget </v>
      </c>
    </row>
    <row r="37" spans="2:5" x14ac:dyDescent="0.25">
      <c r="B37" s="346" t="str">
        <f>inputPrYr!B48</f>
        <v>Edwards Co 911</v>
      </c>
      <c r="C37" s="235" t="str">
        <f t="shared" si="0"/>
        <v>Actual for 2013</v>
      </c>
      <c r="D37" s="235" t="str">
        <f t="shared" si="0"/>
        <v>Estimate for 2014</v>
      </c>
      <c r="E37" s="235" t="str">
        <f t="shared" si="0"/>
        <v>Year for 2015</v>
      </c>
    </row>
    <row r="38" spans="2:5" x14ac:dyDescent="0.25">
      <c r="B38" s="89" t="s">
        <v>186</v>
      </c>
      <c r="C38" s="53">
        <v>39214</v>
      </c>
      <c r="D38" s="185">
        <f>C61</f>
        <v>82565</v>
      </c>
      <c r="E38" s="185">
        <f>D61</f>
        <v>82565</v>
      </c>
    </row>
    <row r="39" spans="2:5" x14ac:dyDescent="0.25">
      <c r="B39" s="89" t="s">
        <v>188</v>
      </c>
      <c r="C39" s="49"/>
      <c r="D39" s="49"/>
      <c r="E39" s="49"/>
    </row>
    <row r="40" spans="2:5" x14ac:dyDescent="0.25">
      <c r="B40" s="625" t="s">
        <v>394</v>
      </c>
      <c r="C40" s="53">
        <v>49744</v>
      </c>
      <c r="D40" s="53">
        <v>50000</v>
      </c>
      <c r="E40" s="53">
        <v>50000</v>
      </c>
    </row>
    <row r="41" spans="2:5" x14ac:dyDescent="0.25">
      <c r="B41" s="237"/>
      <c r="C41" s="53"/>
      <c r="D41" s="53"/>
      <c r="E41" s="53"/>
    </row>
    <row r="42" spans="2:5" x14ac:dyDescent="0.25">
      <c r="B42" s="237"/>
      <c r="C42" s="53"/>
      <c r="D42" s="53"/>
      <c r="E42" s="53"/>
    </row>
    <row r="43" spans="2:5" x14ac:dyDescent="0.25">
      <c r="B43" s="228" t="s">
        <v>80</v>
      </c>
      <c r="C43" s="53">
        <v>19</v>
      </c>
      <c r="D43" s="53"/>
      <c r="E43" s="53"/>
    </row>
    <row r="44" spans="2:5" x14ac:dyDescent="0.25">
      <c r="B44" s="229" t="s">
        <v>37</v>
      </c>
      <c r="C44" s="53"/>
      <c r="D44" s="224"/>
      <c r="E44" s="224"/>
    </row>
    <row r="45" spans="2:5" x14ac:dyDescent="0.25">
      <c r="B45" s="229" t="s">
        <v>262</v>
      </c>
      <c r="C45" s="344" t="str">
        <f>IF(C46*0.1&lt;C44,"Exceed 10% Rule","")</f>
        <v/>
      </c>
      <c r="D45" s="230" t="str">
        <f>IF(D46*0.1&lt;D44,"Exceed 10% Rule","")</f>
        <v/>
      </c>
      <c r="E45" s="230" t="str">
        <f>IF(E46*0.1&lt;E44,"Exceed 10% Rule","")</f>
        <v/>
      </c>
    </row>
    <row r="46" spans="2:5" x14ac:dyDescent="0.25">
      <c r="B46" s="231" t="s">
        <v>81</v>
      </c>
      <c r="C46" s="259">
        <f>SUM(C40:C44)</f>
        <v>49763</v>
      </c>
      <c r="D46" s="259">
        <f>SUM(D40:D44)</f>
        <v>50000</v>
      </c>
      <c r="E46" s="259">
        <f>SUM(E40:E44)</f>
        <v>50000</v>
      </c>
    </row>
    <row r="47" spans="2:5" x14ac:dyDescent="0.25">
      <c r="B47" s="231" t="s">
        <v>82</v>
      </c>
      <c r="C47" s="259">
        <f>C38+C46</f>
        <v>88977</v>
      </c>
      <c r="D47" s="259">
        <f>D38+D46</f>
        <v>132565</v>
      </c>
      <c r="E47" s="259">
        <f>E38+E46</f>
        <v>132565</v>
      </c>
    </row>
    <row r="48" spans="2:5" x14ac:dyDescent="0.25">
      <c r="B48" s="89" t="s">
        <v>85</v>
      </c>
      <c r="C48" s="185"/>
      <c r="D48" s="185"/>
      <c r="E48" s="185"/>
    </row>
    <row r="49" spans="2:5" x14ac:dyDescent="0.25">
      <c r="B49" s="626" t="s">
        <v>419</v>
      </c>
      <c r="C49" s="53"/>
      <c r="D49" s="53"/>
      <c r="E49" s="53"/>
    </row>
    <row r="50" spans="2:5" x14ac:dyDescent="0.25">
      <c r="B50" s="615" t="s">
        <v>92</v>
      </c>
      <c r="C50" s="53"/>
      <c r="D50" s="53"/>
      <c r="E50" s="53"/>
    </row>
    <row r="51" spans="2:5" x14ac:dyDescent="0.25">
      <c r="B51" s="615" t="s">
        <v>91</v>
      </c>
      <c r="C51" s="53">
        <v>6412</v>
      </c>
      <c r="D51" s="53">
        <v>50000</v>
      </c>
      <c r="E51" s="53">
        <v>125000</v>
      </c>
    </row>
    <row r="52" spans="2:5" x14ac:dyDescent="0.25">
      <c r="B52" s="615" t="s">
        <v>93</v>
      </c>
      <c r="C52" s="53"/>
      <c r="D52" s="53"/>
      <c r="E52" s="53"/>
    </row>
    <row r="53" spans="2:5" x14ac:dyDescent="0.25">
      <c r="B53" s="237"/>
      <c r="C53" s="53"/>
      <c r="D53" s="53"/>
      <c r="E53" s="53"/>
    </row>
    <row r="54" spans="2:5" x14ac:dyDescent="0.25">
      <c r="B54" s="237"/>
      <c r="C54" s="53"/>
      <c r="D54" s="53"/>
      <c r="E54" s="53"/>
    </row>
    <row r="55" spans="2:5" x14ac:dyDescent="0.25">
      <c r="B55" s="237"/>
      <c r="C55" s="53"/>
      <c r="D55" s="53"/>
      <c r="E55" s="53"/>
    </row>
    <row r="56" spans="2:5" x14ac:dyDescent="0.25">
      <c r="B56" s="237"/>
      <c r="C56" s="53"/>
      <c r="D56" s="53"/>
      <c r="E56" s="53"/>
    </row>
    <row r="57" spans="2:5" x14ac:dyDescent="0.25">
      <c r="B57" s="237"/>
      <c r="C57" s="53"/>
      <c r="D57" s="53"/>
      <c r="E57" s="53"/>
    </row>
    <row r="58" spans="2:5" x14ac:dyDescent="0.25">
      <c r="B58" s="229" t="s">
        <v>37</v>
      </c>
      <c r="C58" s="53"/>
      <c r="D58" s="224"/>
      <c r="E58" s="224"/>
    </row>
    <row r="59" spans="2:5" x14ac:dyDescent="0.25">
      <c r="B59" s="229" t="s">
        <v>261</v>
      </c>
      <c r="C59" s="344" t="str">
        <f>IF(C60*0.1&lt;C58,"Exceed 10% Rule","")</f>
        <v/>
      </c>
      <c r="D59" s="230" t="str">
        <f>IF(D60*0.1&lt;D58,"Exceed 10% Rule","")</f>
        <v/>
      </c>
      <c r="E59" s="230" t="str">
        <f>IF(E60*0.1&lt;E58,"Exceed 10% Rule","")</f>
        <v/>
      </c>
    </row>
    <row r="60" spans="2:5" x14ac:dyDescent="0.25">
      <c r="B60" s="231" t="s">
        <v>86</v>
      </c>
      <c r="C60" s="259">
        <f>SUM(C49:C58)</f>
        <v>6412</v>
      </c>
      <c r="D60" s="259">
        <f>SUM(D49:D58)</f>
        <v>50000</v>
      </c>
      <c r="E60" s="259">
        <f>SUM(E49:E58)</f>
        <v>125000</v>
      </c>
    </row>
    <row r="61" spans="2:5" x14ac:dyDescent="0.25">
      <c r="B61" s="89" t="s">
        <v>187</v>
      </c>
      <c r="C61" s="61">
        <f>C47-C60</f>
        <v>82565</v>
      </c>
      <c r="D61" s="61">
        <f>D47-D60</f>
        <v>82565</v>
      </c>
      <c r="E61" s="61">
        <f>E47-E60</f>
        <v>7565</v>
      </c>
    </row>
    <row r="62" spans="2:5" x14ac:dyDescent="0.25">
      <c r="B62" s="221" t="str">
        <f>CONCATENATE("",E1-2,"/",E1-1,"/",E1," Budget Authority Amount:")</f>
        <v>2013/2014/2015 Budget Authority Amount:</v>
      </c>
      <c r="C62" s="255">
        <f>inputOth!B60</f>
        <v>50000</v>
      </c>
      <c r="D62" s="255">
        <f>inputPrYr!D48</f>
        <v>70000</v>
      </c>
      <c r="E62" s="485">
        <f>E60</f>
        <v>125000</v>
      </c>
    </row>
    <row r="63" spans="2:5" x14ac:dyDescent="0.25">
      <c r="B63" s="207"/>
      <c r="C63" s="240" t="str">
        <f>IF(C60&gt;C62,"See Tab A","")</f>
        <v/>
      </c>
      <c r="D63" s="240" t="str">
        <f>IF(D60&gt;D62,"See Tab C","")</f>
        <v/>
      </c>
      <c r="E63" s="487" t="str">
        <f>IF(E61&lt;0,"See Tab E","")</f>
        <v/>
      </c>
    </row>
    <row r="64" spans="2:5" x14ac:dyDescent="0.25">
      <c r="B64" s="207"/>
      <c r="C64" s="240" t="str">
        <f>IF(C61&lt;0,"See Tab B","")</f>
        <v/>
      </c>
      <c r="D64" s="240" t="str">
        <f>IF(D61&lt;0,"See Tab D","")</f>
        <v/>
      </c>
      <c r="E64" s="28"/>
    </row>
    <row r="65" spans="2:5" x14ac:dyDescent="0.25">
      <c r="B65" s="28"/>
      <c r="C65" s="28"/>
      <c r="D65" s="28"/>
      <c r="E65" s="28"/>
    </row>
    <row r="66" spans="2:5" x14ac:dyDescent="0.25">
      <c r="B66" s="207" t="s">
        <v>108</v>
      </c>
      <c r="C66" s="258">
        <v>13</v>
      </c>
      <c r="D66" s="28"/>
      <c r="E66" s="28"/>
    </row>
  </sheetData>
  <phoneticPr fontId="0" type="noConversion"/>
  <conditionalFormatting sqref="C27">
    <cfRule type="cellIs" dxfId="37" priority="3" stopIfTrue="1" operator="greaterThan">
      <formula>$C$29*0.1</formula>
    </cfRule>
  </conditionalFormatting>
  <conditionalFormatting sqref="D27">
    <cfRule type="cellIs" dxfId="36" priority="4" stopIfTrue="1" operator="greaterThan">
      <formula>$D$29*0.1</formula>
    </cfRule>
  </conditionalFormatting>
  <conditionalFormatting sqref="E27">
    <cfRule type="cellIs" dxfId="35" priority="5" stopIfTrue="1" operator="greaterThan">
      <formula>$E$29*0.1</formula>
    </cfRule>
  </conditionalFormatting>
  <conditionalFormatting sqref="C13">
    <cfRule type="cellIs" dxfId="34" priority="6" stopIfTrue="1" operator="greaterThan">
      <formula>$C$15*0.1</formula>
    </cfRule>
  </conditionalFormatting>
  <conditionalFormatting sqref="D13">
    <cfRule type="cellIs" dxfId="33" priority="7" stopIfTrue="1" operator="greaterThan">
      <formula>$D$15*0.1</formula>
    </cfRule>
  </conditionalFormatting>
  <conditionalFormatting sqref="E13">
    <cfRule type="cellIs" dxfId="32" priority="8" stopIfTrue="1" operator="greaterThan">
      <formula>$E$15*0.1</formula>
    </cfRule>
  </conditionalFormatting>
  <conditionalFormatting sqref="C44">
    <cfRule type="cellIs" dxfId="31" priority="9" stopIfTrue="1" operator="greaterThan">
      <formula>$C$46*0.1</formula>
    </cfRule>
  </conditionalFormatting>
  <conditionalFormatting sqref="D44">
    <cfRule type="cellIs" dxfId="30" priority="10" stopIfTrue="1" operator="greaterThan">
      <formula>$D$46*0.1</formula>
    </cfRule>
  </conditionalFormatting>
  <conditionalFormatting sqref="E44">
    <cfRule type="cellIs" dxfId="29" priority="11" stopIfTrue="1" operator="greaterThan">
      <formula>$E$46*0.1</formula>
    </cfRule>
  </conditionalFormatting>
  <conditionalFormatting sqref="C58">
    <cfRule type="cellIs" dxfId="28" priority="12" stopIfTrue="1" operator="greaterThan">
      <formula>$C$60*0.1</formula>
    </cfRule>
  </conditionalFormatting>
  <conditionalFormatting sqref="D58">
    <cfRule type="cellIs" dxfId="27" priority="13" stopIfTrue="1" operator="greaterThan">
      <formula>$D$60*0.1</formula>
    </cfRule>
  </conditionalFormatting>
  <conditionalFormatting sqref="E58">
    <cfRule type="cellIs" dxfId="26" priority="14" stopIfTrue="1" operator="greaterThan">
      <formula>$E$60*0.1</formula>
    </cfRule>
  </conditionalFormatting>
  <conditionalFormatting sqref="E30 C30 E61 C61">
    <cfRule type="cellIs" dxfId="25" priority="15" stopIfTrue="1" operator="lessThan">
      <formula>0</formula>
    </cfRule>
  </conditionalFormatting>
  <conditionalFormatting sqref="D29">
    <cfRule type="cellIs" dxfId="24" priority="16" stopIfTrue="1" operator="greaterThan">
      <formula>$D$31</formula>
    </cfRule>
  </conditionalFormatting>
  <conditionalFormatting sqref="C29">
    <cfRule type="cellIs" dxfId="23" priority="17" stopIfTrue="1" operator="greaterThan">
      <formula>$C$31</formula>
    </cfRule>
  </conditionalFormatting>
  <conditionalFormatting sqref="D60">
    <cfRule type="cellIs" dxfId="22" priority="18" stopIfTrue="1" operator="greaterThan">
      <formula>$D$62</formula>
    </cfRule>
  </conditionalFormatting>
  <conditionalFormatting sqref="C60">
    <cfRule type="cellIs" dxfId="21" priority="19" stopIfTrue="1" operator="greaterThan">
      <formula>$C$62</formula>
    </cfRule>
  </conditionalFormatting>
  <conditionalFormatting sqref="D30">
    <cfRule type="cellIs" dxfId="20" priority="2" stopIfTrue="1" operator="lessThan">
      <formula>0</formula>
    </cfRule>
  </conditionalFormatting>
  <conditionalFormatting sqref="D61">
    <cfRule type="cellIs" dxfId="19"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B1:E66"/>
  <sheetViews>
    <sheetView workbookViewId="0">
      <selection activeCell="D29" sqref="D29"/>
    </sheetView>
  </sheetViews>
  <sheetFormatPr defaultColWidth="8.9140625" defaultRowHeight="15.6" x14ac:dyDescent="0.25"/>
  <cols>
    <col min="1" max="1" width="2.4140625" style="25" customWidth="1"/>
    <col min="2" max="2" width="31.08203125" style="25" customWidth="1"/>
    <col min="3" max="4" width="15.75" style="25" customWidth="1"/>
    <col min="5" max="5" width="16.08203125" style="25" customWidth="1"/>
    <col min="6" max="16384" width="8.9140625" style="25"/>
  </cols>
  <sheetData>
    <row r="1" spans="2:5" x14ac:dyDescent="0.25">
      <c r="B1" s="155" t="str">
        <f>(inputPrYr!C2)</f>
        <v>Edwards County</v>
      </c>
      <c r="C1" s="28"/>
      <c r="D1" s="28"/>
      <c r="E1" s="206">
        <f>inputPrYr!C4</f>
        <v>2015</v>
      </c>
    </row>
    <row r="2" spans="2:5" x14ac:dyDescent="0.25">
      <c r="B2" s="28"/>
      <c r="C2" s="28"/>
      <c r="D2" s="28"/>
      <c r="E2" s="162"/>
    </row>
    <row r="3" spans="2:5" x14ac:dyDescent="0.25">
      <c r="B3" s="93" t="s">
        <v>154</v>
      </c>
      <c r="C3" s="251"/>
      <c r="D3" s="251"/>
      <c r="E3" s="252"/>
    </row>
    <row r="4" spans="2:5" x14ac:dyDescent="0.25">
      <c r="B4" s="28"/>
      <c r="C4" s="246"/>
      <c r="D4" s="246"/>
      <c r="E4" s="246"/>
    </row>
    <row r="5" spans="2:5" x14ac:dyDescent="0.25">
      <c r="B5" s="27" t="s">
        <v>74</v>
      </c>
      <c r="C5" s="242" t="str">
        <f>general!C4</f>
        <v xml:space="preserve">Prior Year </v>
      </c>
      <c r="D5" s="151" t="str">
        <f>general!D4</f>
        <v xml:space="preserve">Current Year </v>
      </c>
      <c r="E5" s="151" t="str">
        <f>general!E4</f>
        <v xml:space="preserve">Proposed Budget </v>
      </c>
    </row>
    <row r="6" spans="2:5" x14ac:dyDescent="0.25">
      <c r="B6" s="347">
        <f>inputPrYr!B49</f>
        <v>0</v>
      </c>
      <c r="C6" s="235" t="str">
        <f>general!C5</f>
        <v>Actual for 2013</v>
      </c>
      <c r="D6" s="235" t="str">
        <f>general!D5</f>
        <v>Estimate for 2014</v>
      </c>
      <c r="E6" s="222" t="str">
        <f>general!E5</f>
        <v>Year for 2015</v>
      </c>
    </row>
    <row r="7" spans="2:5" x14ac:dyDescent="0.25">
      <c r="B7" s="89" t="s">
        <v>186</v>
      </c>
      <c r="C7" s="53"/>
      <c r="D7" s="185">
        <f>C30</f>
        <v>0</v>
      </c>
      <c r="E7" s="185">
        <f>D30</f>
        <v>0</v>
      </c>
    </row>
    <row r="8" spans="2:5" x14ac:dyDescent="0.25">
      <c r="B8" s="253" t="s">
        <v>188</v>
      </c>
      <c r="C8" s="49"/>
      <c r="D8" s="49"/>
      <c r="E8" s="49"/>
    </row>
    <row r="9" spans="2:5" x14ac:dyDescent="0.25">
      <c r="B9" s="237"/>
      <c r="C9" s="53"/>
      <c r="D9" s="53"/>
      <c r="E9" s="53"/>
    </row>
    <row r="10" spans="2:5" x14ac:dyDescent="0.25">
      <c r="B10" s="237"/>
      <c r="C10" s="53"/>
      <c r="D10" s="53"/>
      <c r="E10" s="53"/>
    </row>
    <row r="11" spans="2:5" x14ac:dyDescent="0.25">
      <c r="B11" s="237"/>
      <c r="C11" s="53"/>
      <c r="D11" s="53"/>
      <c r="E11" s="53"/>
    </row>
    <row r="12" spans="2:5" x14ac:dyDescent="0.25">
      <c r="B12" s="228" t="s">
        <v>80</v>
      </c>
      <c r="C12" s="53"/>
      <c r="D12" s="53"/>
      <c r="E12" s="53"/>
    </row>
    <row r="13" spans="2:5" x14ac:dyDescent="0.25">
      <c r="B13" s="229" t="s">
        <v>37</v>
      </c>
      <c r="C13" s="53"/>
      <c r="D13" s="224"/>
      <c r="E13" s="224"/>
    </row>
    <row r="14" spans="2:5" x14ac:dyDescent="0.25">
      <c r="B14" s="229" t="s">
        <v>262</v>
      </c>
      <c r="C14" s="344" t="str">
        <f>IF(C15*0.1&lt;C13,"Exceed 10% Rule","")</f>
        <v/>
      </c>
      <c r="D14" s="230" t="str">
        <f>IF(D15*0.1&lt;D13,"Exceed 10% Rule","")</f>
        <v/>
      </c>
      <c r="E14" s="230" t="str">
        <f>IF(E15*0.1&lt;E13,"Exceed 10% Rule","")</f>
        <v/>
      </c>
    </row>
    <row r="15" spans="2:5" x14ac:dyDescent="0.25">
      <c r="B15" s="231" t="s">
        <v>81</v>
      </c>
      <c r="C15" s="259">
        <f>SUM(C9:C13)</f>
        <v>0</v>
      </c>
      <c r="D15" s="259">
        <f>SUM(D9:D13)</f>
        <v>0</v>
      </c>
      <c r="E15" s="259">
        <f>SUM(E9:E13)</f>
        <v>0</v>
      </c>
    </row>
    <row r="16" spans="2:5" x14ac:dyDescent="0.25">
      <c r="B16" s="231" t="s">
        <v>82</v>
      </c>
      <c r="C16" s="259">
        <f>C15+C7</f>
        <v>0</v>
      </c>
      <c r="D16" s="259">
        <f>D15+D7</f>
        <v>0</v>
      </c>
      <c r="E16" s="259">
        <f>E15+E7</f>
        <v>0</v>
      </c>
    </row>
    <row r="17" spans="2:5" x14ac:dyDescent="0.25">
      <c r="B17" s="89" t="s">
        <v>85</v>
      </c>
      <c r="C17" s="185"/>
      <c r="D17" s="185"/>
      <c r="E17" s="185"/>
    </row>
    <row r="18" spans="2:5" x14ac:dyDescent="0.25">
      <c r="B18" s="237"/>
      <c r="C18" s="53"/>
      <c r="D18" s="53"/>
      <c r="E18" s="53"/>
    </row>
    <row r="19" spans="2:5" x14ac:dyDescent="0.25">
      <c r="B19" s="237"/>
      <c r="C19" s="53"/>
      <c r="D19" s="53"/>
      <c r="E19" s="53"/>
    </row>
    <row r="20" spans="2:5" x14ac:dyDescent="0.25">
      <c r="B20" s="237"/>
      <c r="C20" s="53"/>
      <c r="D20" s="53"/>
      <c r="E20" s="53"/>
    </row>
    <row r="21" spans="2:5" x14ac:dyDescent="0.25">
      <c r="B21" s="237"/>
      <c r="C21" s="53"/>
      <c r="D21" s="53"/>
      <c r="E21" s="53"/>
    </row>
    <row r="22" spans="2:5" x14ac:dyDescent="0.25">
      <c r="B22" s="237"/>
      <c r="C22" s="53"/>
      <c r="D22" s="53"/>
      <c r="E22" s="53"/>
    </row>
    <row r="23" spans="2:5" x14ac:dyDescent="0.25">
      <c r="B23" s="237"/>
      <c r="C23" s="53"/>
      <c r="D23" s="53"/>
      <c r="E23" s="53"/>
    </row>
    <row r="24" spans="2:5" x14ac:dyDescent="0.25">
      <c r="B24" s="237"/>
      <c r="C24" s="53"/>
      <c r="D24" s="53"/>
      <c r="E24" s="53"/>
    </row>
    <row r="25" spans="2:5" x14ac:dyDescent="0.25">
      <c r="B25" s="237"/>
      <c r="C25" s="53"/>
      <c r="D25" s="53"/>
      <c r="E25" s="53"/>
    </row>
    <row r="26" spans="2:5" x14ac:dyDescent="0.25">
      <c r="B26" s="237"/>
      <c r="C26" s="53"/>
      <c r="D26" s="53"/>
      <c r="E26" s="53"/>
    </row>
    <row r="27" spans="2:5" x14ac:dyDescent="0.25">
      <c r="B27" s="229" t="s">
        <v>37</v>
      </c>
      <c r="C27" s="53"/>
      <c r="D27" s="224"/>
      <c r="E27" s="224"/>
    </row>
    <row r="28" spans="2:5" x14ac:dyDescent="0.25">
      <c r="B28" s="229" t="s">
        <v>261</v>
      </c>
      <c r="C28" s="344" t="str">
        <f>IF(C29*0.1&lt;C27,"Exceed 10% Rule","")</f>
        <v/>
      </c>
      <c r="D28" s="230" t="str">
        <f>IF(D29*0.1&lt;D27,"Exceed 10% Rule","")</f>
        <v/>
      </c>
      <c r="E28" s="230" t="str">
        <f>IF(E29*0.1&lt;E27,"Exceed 10% Rule","")</f>
        <v/>
      </c>
    </row>
    <row r="29" spans="2:5" x14ac:dyDescent="0.25">
      <c r="B29" s="231" t="s">
        <v>86</v>
      </c>
      <c r="C29" s="259">
        <f>SUM(C18:C27)</f>
        <v>0</v>
      </c>
      <c r="D29" s="259">
        <f>SUM(D18:D27)</f>
        <v>0</v>
      </c>
      <c r="E29" s="259">
        <f>SUM(E18:E27)</f>
        <v>0</v>
      </c>
    </row>
    <row r="30" spans="2:5" x14ac:dyDescent="0.25">
      <c r="B30" s="89" t="s">
        <v>187</v>
      </c>
      <c r="C30" s="61">
        <f>C16-C29</f>
        <v>0</v>
      </c>
      <c r="D30" s="61">
        <f>D16-D29</f>
        <v>0</v>
      </c>
      <c r="E30" s="61">
        <f>E16-E29</f>
        <v>0</v>
      </c>
    </row>
    <row r="31" spans="2:5" x14ac:dyDescent="0.25">
      <c r="B31" s="221" t="str">
        <f>CONCATENATE("",E1-2,"/",E1-1,"/",E1," Budget Authority Amount:")</f>
        <v>2013/2014/2015 Budget Authority Amount:</v>
      </c>
      <c r="C31" s="255">
        <f>inputOth!B61</f>
        <v>0</v>
      </c>
      <c r="D31" s="255">
        <f>inputPrYr!D49</f>
        <v>0</v>
      </c>
      <c r="E31" s="485">
        <f>E29</f>
        <v>0</v>
      </c>
    </row>
    <row r="32" spans="2:5" x14ac:dyDescent="0.25">
      <c r="B32" s="207"/>
      <c r="C32" s="240" t="str">
        <f>IF(C29&gt;C31,"See Tab A","")</f>
        <v/>
      </c>
      <c r="D32" s="240" t="str">
        <f>IF(D29&gt;D31,"See Tab C","")</f>
        <v/>
      </c>
      <c r="E32" s="486" t="str">
        <f>IF(E30&lt;0,"See Tab E","")</f>
        <v/>
      </c>
    </row>
    <row r="33" spans="2:5" x14ac:dyDescent="0.25">
      <c r="B33" s="207"/>
      <c r="C33" s="240" t="str">
        <f>IF(C30&lt;0,"See Tab B","")</f>
        <v/>
      </c>
      <c r="D33" s="240" t="str">
        <f>IF(D30&lt;0,"See Tab D","")</f>
        <v/>
      </c>
      <c r="E33" s="86"/>
    </row>
    <row r="34" spans="2:5" x14ac:dyDescent="0.25">
      <c r="B34" s="28"/>
      <c r="C34" s="86"/>
      <c r="D34" s="86"/>
      <c r="E34" s="86"/>
    </row>
    <row r="35" spans="2:5" x14ac:dyDescent="0.25">
      <c r="B35" s="27" t="s">
        <v>74</v>
      </c>
      <c r="C35" s="246"/>
      <c r="D35" s="246"/>
      <c r="E35" s="246"/>
    </row>
    <row r="36" spans="2:5" x14ac:dyDescent="0.25">
      <c r="B36" s="28"/>
      <c r="C36" s="242" t="str">
        <f t="shared" ref="C36:E37" si="0">C5</f>
        <v xml:space="preserve">Prior Year </v>
      </c>
      <c r="D36" s="151" t="str">
        <f t="shared" si="0"/>
        <v xml:space="preserve">Current Year </v>
      </c>
      <c r="E36" s="151" t="str">
        <f t="shared" si="0"/>
        <v xml:space="preserve">Proposed Budget </v>
      </c>
    </row>
    <row r="37" spans="2:5" x14ac:dyDescent="0.25">
      <c r="B37" s="346">
        <f>inputPrYr!B50</f>
        <v>0</v>
      </c>
      <c r="C37" s="235" t="str">
        <f t="shared" si="0"/>
        <v>Actual for 2013</v>
      </c>
      <c r="D37" s="235" t="str">
        <f t="shared" si="0"/>
        <v>Estimate for 2014</v>
      </c>
      <c r="E37" s="235" t="str">
        <f t="shared" si="0"/>
        <v>Year for 2015</v>
      </c>
    </row>
    <row r="38" spans="2:5" x14ac:dyDescent="0.25">
      <c r="B38" s="89" t="s">
        <v>186</v>
      </c>
      <c r="C38" s="53"/>
      <c r="D38" s="185">
        <f>C61</f>
        <v>0</v>
      </c>
      <c r="E38" s="185">
        <f>D61</f>
        <v>0</v>
      </c>
    </row>
    <row r="39" spans="2:5" x14ac:dyDescent="0.25">
      <c r="B39" s="89" t="s">
        <v>188</v>
      </c>
      <c r="C39" s="49"/>
      <c r="D39" s="49"/>
      <c r="E39" s="49"/>
    </row>
    <row r="40" spans="2:5" x14ac:dyDescent="0.25">
      <c r="B40" s="237"/>
      <c r="C40" s="53"/>
      <c r="D40" s="53"/>
      <c r="E40" s="53"/>
    </row>
    <row r="41" spans="2:5" x14ac:dyDescent="0.25">
      <c r="B41" s="237"/>
      <c r="C41" s="53"/>
      <c r="D41" s="53"/>
      <c r="E41" s="53"/>
    </row>
    <row r="42" spans="2:5" x14ac:dyDescent="0.25">
      <c r="B42" s="237"/>
      <c r="C42" s="53"/>
      <c r="D42" s="53"/>
      <c r="E42" s="53"/>
    </row>
    <row r="43" spans="2:5" x14ac:dyDescent="0.25">
      <c r="B43" s="228" t="s">
        <v>80</v>
      </c>
      <c r="C43" s="53"/>
      <c r="D43" s="53"/>
      <c r="E43" s="53"/>
    </row>
    <row r="44" spans="2:5" x14ac:dyDescent="0.25">
      <c r="B44" s="229" t="s">
        <v>37</v>
      </c>
      <c r="C44" s="53"/>
      <c r="D44" s="224"/>
      <c r="E44" s="224"/>
    </row>
    <row r="45" spans="2:5" x14ac:dyDescent="0.25">
      <c r="B45" s="229" t="s">
        <v>262</v>
      </c>
      <c r="C45" s="344" t="str">
        <f>IF(C46*0.1&lt;C44,"Exceed 10% Rule","")</f>
        <v/>
      </c>
      <c r="D45" s="230" t="str">
        <f>IF(D46*0.1&lt;D44,"Exceed 10% Rule","")</f>
        <v/>
      </c>
      <c r="E45" s="230" t="str">
        <f>IF(E46*0.1&lt;E44,"Exceed 10% Rule","")</f>
        <v/>
      </c>
    </row>
    <row r="46" spans="2:5" x14ac:dyDescent="0.25">
      <c r="B46" s="231" t="s">
        <v>81</v>
      </c>
      <c r="C46" s="259">
        <f>SUM(C40:C44)</f>
        <v>0</v>
      </c>
      <c r="D46" s="259">
        <f>SUM(D40:D44)</f>
        <v>0</v>
      </c>
      <c r="E46" s="259">
        <f>SUM(E40:E44)</f>
        <v>0</v>
      </c>
    </row>
    <row r="47" spans="2:5" x14ac:dyDescent="0.25">
      <c r="B47" s="231" t="s">
        <v>82</v>
      </c>
      <c r="C47" s="259">
        <f>C38+C46</f>
        <v>0</v>
      </c>
      <c r="D47" s="259">
        <f>D38+D46</f>
        <v>0</v>
      </c>
      <c r="E47" s="259">
        <f>E38+E46</f>
        <v>0</v>
      </c>
    </row>
    <row r="48" spans="2:5" x14ac:dyDescent="0.25">
      <c r="B48" s="89" t="s">
        <v>85</v>
      </c>
      <c r="C48" s="185"/>
      <c r="D48" s="185"/>
      <c r="E48" s="185"/>
    </row>
    <row r="49" spans="2:5" x14ac:dyDescent="0.25">
      <c r="B49" s="237"/>
      <c r="C49" s="53"/>
      <c r="D49" s="53"/>
      <c r="E49" s="53"/>
    </row>
    <row r="50" spans="2:5" x14ac:dyDescent="0.25">
      <c r="B50" s="237"/>
      <c r="C50" s="53"/>
      <c r="D50" s="53"/>
      <c r="E50" s="53"/>
    </row>
    <row r="51" spans="2:5" x14ac:dyDescent="0.25">
      <c r="B51" s="237"/>
      <c r="C51" s="53"/>
      <c r="D51" s="53"/>
      <c r="E51" s="53"/>
    </row>
    <row r="52" spans="2:5" x14ac:dyDescent="0.25">
      <c r="B52" s="237"/>
      <c r="C52" s="53"/>
      <c r="D52" s="53"/>
      <c r="E52" s="53"/>
    </row>
    <row r="53" spans="2:5" x14ac:dyDescent="0.25">
      <c r="B53" s="237"/>
      <c r="C53" s="53"/>
      <c r="D53" s="53"/>
      <c r="E53" s="53"/>
    </row>
    <row r="54" spans="2:5" x14ac:dyDescent="0.25">
      <c r="B54" s="237"/>
      <c r="C54" s="53"/>
      <c r="D54" s="53"/>
      <c r="E54" s="53"/>
    </row>
    <row r="55" spans="2:5" x14ac:dyDescent="0.25">
      <c r="B55" s="237"/>
      <c r="C55" s="53"/>
      <c r="D55" s="53"/>
      <c r="E55" s="53"/>
    </row>
    <row r="56" spans="2:5" x14ac:dyDescent="0.25">
      <c r="B56" s="237"/>
      <c r="C56" s="53"/>
      <c r="D56" s="53"/>
      <c r="E56" s="53"/>
    </row>
    <row r="57" spans="2:5" x14ac:dyDescent="0.25">
      <c r="B57" s="237"/>
      <c r="C57" s="53"/>
      <c r="D57" s="53"/>
      <c r="E57" s="53"/>
    </row>
    <row r="58" spans="2:5" x14ac:dyDescent="0.25">
      <c r="B58" s="229" t="s">
        <v>37</v>
      </c>
      <c r="C58" s="53"/>
      <c r="D58" s="224"/>
      <c r="E58" s="224"/>
    </row>
    <row r="59" spans="2:5" x14ac:dyDescent="0.25">
      <c r="B59" s="229" t="s">
        <v>261</v>
      </c>
      <c r="C59" s="344" t="str">
        <f>IF(C60*0.1&lt;C58,"Exceed 10% Rule","")</f>
        <v/>
      </c>
      <c r="D59" s="230" t="str">
        <f>IF(D60*0.1&lt;D58,"Exceed 10% Rule","")</f>
        <v/>
      </c>
      <c r="E59" s="230" t="str">
        <f>IF(E60*0.1&lt;E58,"Exceed 10% Rule","")</f>
        <v/>
      </c>
    </row>
    <row r="60" spans="2:5" x14ac:dyDescent="0.25">
      <c r="B60" s="231" t="s">
        <v>86</v>
      </c>
      <c r="C60" s="259">
        <f>SUM(C49:C58)</f>
        <v>0</v>
      </c>
      <c r="D60" s="259">
        <f>SUM(D49:D58)</f>
        <v>0</v>
      </c>
      <c r="E60" s="259">
        <f>SUM(E49:E58)</f>
        <v>0</v>
      </c>
    </row>
    <row r="61" spans="2:5" x14ac:dyDescent="0.25">
      <c r="B61" s="89" t="s">
        <v>187</v>
      </c>
      <c r="C61" s="61">
        <f>C47-C60</f>
        <v>0</v>
      </c>
      <c r="D61" s="61">
        <f>D47-D60</f>
        <v>0</v>
      </c>
      <c r="E61" s="61">
        <f>E47-E60</f>
        <v>0</v>
      </c>
    </row>
    <row r="62" spans="2:5" x14ac:dyDescent="0.25">
      <c r="B62" s="221" t="str">
        <f>CONCATENATE("",E1-2,"/",E1-1,"/",E1," Budget Authority Amount:")</f>
        <v>2013/2014/2015 Budget Authority Amount:</v>
      </c>
      <c r="C62" s="255">
        <f>inputOth!B62</f>
        <v>0</v>
      </c>
      <c r="D62" s="255">
        <f>inputPrYr!D50</f>
        <v>0</v>
      </c>
      <c r="E62" s="485">
        <f>E60</f>
        <v>0</v>
      </c>
    </row>
    <row r="63" spans="2:5" x14ac:dyDescent="0.25">
      <c r="B63" s="207"/>
      <c r="C63" s="240" t="str">
        <f>IF(C60&gt;C62,"See Tab A","")</f>
        <v/>
      </c>
      <c r="D63" s="240" t="str">
        <f>IF(D60&gt;D62,"See Tab C","")</f>
        <v/>
      </c>
      <c r="E63" s="487" t="str">
        <f>IF(E61&lt;0,"See Tab E","")</f>
        <v/>
      </c>
    </row>
    <row r="64" spans="2:5" x14ac:dyDescent="0.25">
      <c r="B64" s="207"/>
      <c r="C64" s="240" t="str">
        <f>IF(C61&lt;0,"See Tab B","")</f>
        <v/>
      </c>
      <c r="D64" s="240" t="str">
        <f>IF(D61&lt;0,"See Tab D","")</f>
        <v/>
      </c>
      <c r="E64" s="28"/>
    </row>
    <row r="65" spans="2:5" x14ac:dyDescent="0.25">
      <c r="B65" s="28"/>
      <c r="C65" s="28"/>
      <c r="D65" s="28"/>
      <c r="E65" s="28"/>
    </row>
    <row r="66" spans="2:5" x14ac:dyDescent="0.25">
      <c r="B66" s="207" t="s">
        <v>108</v>
      </c>
      <c r="C66" s="258"/>
      <c r="D66" s="28"/>
      <c r="E66" s="28"/>
    </row>
  </sheetData>
  <phoneticPr fontId="0" type="noConversion"/>
  <conditionalFormatting sqref="C27">
    <cfRule type="cellIs" dxfId="18" priority="3" stopIfTrue="1" operator="greaterThan">
      <formula>$C$29*0.1</formula>
    </cfRule>
  </conditionalFormatting>
  <conditionalFormatting sqref="D27">
    <cfRule type="cellIs" dxfId="17" priority="4" stopIfTrue="1" operator="greaterThan">
      <formula>$D$29*0.1</formula>
    </cfRule>
  </conditionalFormatting>
  <conditionalFormatting sqref="E27">
    <cfRule type="cellIs" dxfId="16" priority="5" stopIfTrue="1" operator="greaterThan">
      <formula>$E$29*0.1</formula>
    </cfRule>
  </conditionalFormatting>
  <conditionalFormatting sqref="C13">
    <cfRule type="cellIs" dxfId="15" priority="6" stopIfTrue="1" operator="greaterThan">
      <formula>$C$15*0.1</formula>
    </cfRule>
  </conditionalFormatting>
  <conditionalFormatting sqref="D13">
    <cfRule type="cellIs" dxfId="14" priority="7" stopIfTrue="1" operator="greaterThan">
      <formula>$D$15*0.1</formula>
    </cfRule>
  </conditionalFormatting>
  <conditionalFormatting sqref="E13">
    <cfRule type="cellIs" dxfId="13" priority="8" stopIfTrue="1" operator="greaterThan">
      <formula>$E$15*0.1</formula>
    </cfRule>
  </conditionalFormatting>
  <conditionalFormatting sqref="C44">
    <cfRule type="cellIs" dxfId="12" priority="9" stopIfTrue="1" operator="greaterThan">
      <formula>$C$46*0.1</formula>
    </cfRule>
  </conditionalFormatting>
  <conditionalFormatting sqref="D44">
    <cfRule type="cellIs" dxfId="11" priority="10" stopIfTrue="1" operator="greaterThan">
      <formula>$D$46*0.1</formula>
    </cfRule>
  </conditionalFormatting>
  <conditionalFormatting sqref="E44">
    <cfRule type="cellIs" dxfId="10" priority="11" stopIfTrue="1" operator="greaterThan">
      <formula>$E$46*0.1</formula>
    </cfRule>
  </conditionalFormatting>
  <conditionalFormatting sqref="C58">
    <cfRule type="cellIs" dxfId="9" priority="12" stopIfTrue="1" operator="greaterThan">
      <formula>$C$60*0.1</formula>
    </cfRule>
  </conditionalFormatting>
  <conditionalFormatting sqref="D58">
    <cfRule type="cellIs" dxfId="8" priority="13" stopIfTrue="1" operator="greaterThan">
      <formula>$D$60*0.1</formula>
    </cfRule>
  </conditionalFormatting>
  <conditionalFormatting sqref="E58">
    <cfRule type="cellIs" dxfId="7" priority="14" stopIfTrue="1" operator="greaterThan">
      <formula>$E$60*0.1</formula>
    </cfRule>
  </conditionalFormatting>
  <conditionalFormatting sqref="E30 C30 E61 C61">
    <cfRule type="cellIs" dxfId="6" priority="15" stopIfTrue="1" operator="lessThan">
      <formula>0</formula>
    </cfRule>
  </conditionalFormatting>
  <conditionalFormatting sqref="D29">
    <cfRule type="cellIs" dxfId="5" priority="16" stopIfTrue="1" operator="greaterThan">
      <formula>$D$31</formula>
    </cfRule>
  </conditionalFormatting>
  <conditionalFormatting sqref="C29">
    <cfRule type="cellIs" dxfId="4" priority="17" stopIfTrue="1" operator="greaterThan">
      <formula>$C$31</formula>
    </cfRule>
  </conditionalFormatting>
  <conditionalFormatting sqref="D60">
    <cfRule type="cellIs" dxfId="3" priority="18" stopIfTrue="1" operator="greaterThan">
      <formula>$D$62</formula>
    </cfRule>
  </conditionalFormatting>
  <conditionalFormatting sqref="C60">
    <cfRule type="cellIs" dxfId="2" priority="19" stopIfTrue="1" operator="greaterThan">
      <formula>$C$62</formula>
    </cfRule>
  </conditionalFormatting>
  <conditionalFormatting sqref="D30">
    <cfRule type="cellIs" dxfId="1" priority="2" stopIfTrue="1" operator="lessThan">
      <formula>0</formula>
    </cfRule>
  </conditionalFormatting>
  <conditionalFormatting sqref="D61">
    <cfRule type="cellIs" dxfId="0" priority="1" stopIfTrue="1" operator="lessThan">
      <formula>0</formula>
    </cfRule>
  </conditionalFormatting>
  <pageMargins left="1.1200000000000001" right="0.5" top="0.74" bottom="0.34" header="0.5" footer="0"/>
  <pageSetup scale="70" orientation="portrait" blackAndWhite="1" r:id="rId1"/>
  <headerFooter alignWithMargins="0">
    <oddHeader xml:space="preserve">&amp;RState of Kansas
County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ColWidth="8.9140625" defaultRowHeight="15.6" x14ac:dyDescent="0.25"/>
  <cols>
    <col min="1" max="1" width="11.58203125" style="25" customWidth="1"/>
    <col min="2" max="2" width="7.4140625" style="25" customWidth="1"/>
    <col min="3" max="3" width="11.58203125" style="25" customWidth="1"/>
    <col min="4" max="4" width="7.4140625" style="25" customWidth="1"/>
    <col min="5" max="5" width="11.58203125" style="25" customWidth="1"/>
    <col min="6" max="6" width="7.4140625" style="25" customWidth="1"/>
    <col min="7" max="7" width="11.58203125" style="25" customWidth="1"/>
    <col min="8" max="8" width="7.4140625" style="25" customWidth="1"/>
    <col min="9" max="9" width="11.58203125" style="25" customWidth="1"/>
    <col min="10" max="16384" width="8.9140625" style="25"/>
  </cols>
  <sheetData>
    <row r="1" spans="1:11" x14ac:dyDescent="0.25">
      <c r="A1" s="85" t="str">
        <f>inputPrYr!$C$2</f>
        <v>Edwards County</v>
      </c>
      <c r="B1" s="262"/>
      <c r="C1" s="66"/>
      <c r="D1" s="66"/>
      <c r="E1" s="66"/>
      <c r="F1" s="263" t="s">
        <v>8</v>
      </c>
      <c r="G1" s="66"/>
      <c r="H1" s="66"/>
      <c r="I1" s="66"/>
      <c r="J1" s="66"/>
      <c r="K1" s="66">
        <f>inputPrYr!$C$4</f>
        <v>2015</v>
      </c>
    </row>
    <row r="2" spans="1:11" x14ac:dyDescent="0.25">
      <c r="A2" s="66"/>
      <c r="B2" s="66"/>
      <c r="C2" s="66"/>
      <c r="D2" s="66"/>
      <c r="E2" s="66"/>
      <c r="F2" s="264" t="str">
        <f>CONCATENATE("(Only the actual budget year for ",K1-2," is to be shown)")</f>
        <v>(Only the actual budget year for 2013 is to be shown)</v>
      </c>
      <c r="G2" s="66"/>
      <c r="H2" s="66"/>
      <c r="I2" s="66"/>
      <c r="J2" s="66"/>
      <c r="K2" s="66"/>
    </row>
    <row r="3" spans="1:11" x14ac:dyDescent="0.25">
      <c r="A3" s="66" t="s">
        <v>9</v>
      </c>
      <c r="B3" s="66"/>
      <c r="C3" s="66"/>
      <c r="D3" s="66"/>
      <c r="E3" s="66"/>
      <c r="F3" s="262"/>
      <c r="G3" s="66"/>
      <c r="H3" s="66"/>
      <c r="I3" s="66"/>
      <c r="J3" s="66"/>
      <c r="K3" s="66"/>
    </row>
    <row r="4" spans="1:11" x14ac:dyDescent="0.25">
      <c r="A4" s="66" t="s">
        <v>10</v>
      </c>
      <c r="B4" s="66"/>
      <c r="C4" s="66" t="s">
        <v>11</v>
      </c>
      <c r="D4" s="66"/>
      <c r="E4" s="66" t="s">
        <v>12</v>
      </c>
      <c r="F4" s="262"/>
      <c r="G4" s="66" t="s">
        <v>13</v>
      </c>
      <c r="H4" s="66"/>
      <c r="I4" s="66" t="s">
        <v>14</v>
      </c>
      <c r="J4" s="66"/>
      <c r="K4" s="66"/>
    </row>
    <row r="5" spans="1:11" x14ac:dyDescent="0.25">
      <c r="A5" s="719" t="str">
        <f>IF(inputPrYr!B62&gt;" ",(inputPrYr!B62)," ")</f>
        <v>MV Special</v>
      </c>
      <c r="B5" s="720"/>
      <c r="C5" s="719" t="str">
        <f>IF(inputPrYr!B63&gt;" ",(inputPrYr!B63)," ")</f>
        <v>Economic Development</v>
      </c>
      <c r="D5" s="720"/>
      <c r="E5" s="719" t="str">
        <f>IF(inputPrYr!B64&gt;" ",(inputPrYr!B64)," ")</f>
        <v>Special Drug Enforcement</v>
      </c>
      <c r="F5" s="720"/>
      <c r="G5" s="719" t="str">
        <f>IF(inputPrYr!B65&gt;" ",(inputPrYr!B65)," ")</f>
        <v xml:space="preserve">Micro-Loan </v>
      </c>
      <c r="H5" s="720"/>
      <c r="I5" s="719" t="str">
        <f>IF(inputPrYr!B66&gt;" ",(inputPrYr!B66)," ")</f>
        <v>Start Up Loan</v>
      </c>
      <c r="J5" s="720"/>
      <c r="K5" s="266"/>
    </row>
    <row r="6" spans="1:11" x14ac:dyDescent="0.25">
      <c r="A6" s="267" t="s">
        <v>15</v>
      </c>
      <c r="B6" s="268"/>
      <c r="C6" s="269" t="s">
        <v>15</v>
      </c>
      <c r="D6" s="270"/>
      <c r="E6" s="269" t="s">
        <v>15</v>
      </c>
      <c r="F6" s="265"/>
      <c r="G6" s="269" t="s">
        <v>15</v>
      </c>
      <c r="H6" s="271"/>
      <c r="I6" s="269" t="s">
        <v>15</v>
      </c>
      <c r="J6" s="66"/>
      <c r="K6" s="272" t="s">
        <v>46</v>
      </c>
    </row>
    <row r="7" spans="1:11" x14ac:dyDescent="0.25">
      <c r="A7" s="273" t="s">
        <v>39</v>
      </c>
      <c r="B7" s="274">
        <v>15436</v>
      </c>
      <c r="C7" s="275" t="s">
        <v>39</v>
      </c>
      <c r="D7" s="274">
        <v>-1053</v>
      </c>
      <c r="E7" s="275" t="s">
        <v>39</v>
      </c>
      <c r="F7" s="274">
        <v>15042</v>
      </c>
      <c r="G7" s="275" t="s">
        <v>39</v>
      </c>
      <c r="H7" s="274">
        <v>8559</v>
      </c>
      <c r="I7" s="275" t="s">
        <v>39</v>
      </c>
      <c r="J7" s="274">
        <v>0</v>
      </c>
      <c r="K7" s="276">
        <f>SUM(B7+D7+F7+H7+J7)</f>
        <v>37984</v>
      </c>
    </row>
    <row r="8" spans="1:11" x14ac:dyDescent="0.25">
      <c r="A8" s="277" t="s">
        <v>188</v>
      </c>
      <c r="B8" s="278"/>
      <c r="C8" s="277" t="s">
        <v>188</v>
      </c>
      <c r="D8" s="279"/>
      <c r="E8" s="277" t="s">
        <v>188</v>
      </c>
      <c r="F8" s="262"/>
      <c r="G8" s="277" t="s">
        <v>188</v>
      </c>
      <c r="H8" s="66"/>
      <c r="I8" s="277" t="s">
        <v>188</v>
      </c>
      <c r="J8" s="66"/>
      <c r="K8" s="262"/>
    </row>
    <row r="9" spans="1:11" x14ac:dyDescent="0.25">
      <c r="A9" s="639" t="s">
        <v>422</v>
      </c>
      <c r="B9" s="274"/>
      <c r="C9" s="639" t="s">
        <v>422</v>
      </c>
      <c r="D9" s="274"/>
      <c r="E9" s="639" t="s">
        <v>422</v>
      </c>
      <c r="F9" s="274"/>
      <c r="G9" s="639" t="s">
        <v>422</v>
      </c>
      <c r="H9" s="274"/>
      <c r="I9" s="639" t="s">
        <v>422</v>
      </c>
      <c r="J9" s="274"/>
      <c r="K9" s="262"/>
    </row>
    <row r="10" spans="1:11" x14ac:dyDescent="0.25">
      <c r="A10" s="639" t="s">
        <v>423</v>
      </c>
      <c r="B10" s="274"/>
      <c r="C10" s="639" t="s">
        <v>423</v>
      </c>
      <c r="D10" s="274"/>
      <c r="E10" s="639" t="s">
        <v>423</v>
      </c>
      <c r="F10" s="274"/>
      <c r="G10" s="639" t="s">
        <v>423</v>
      </c>
      <c r="H10" s="274"/>
      <c r="I10" s="639" t="s">
        <v>423</v>
      </c>
      <c r="J10" s="274"/>
      <c r="K10" s="262"/>
    </row>
    <row r="11" spans="1:11" x14ac:dyDescent="0.25">
      <c r="A11" s="639" t="s">
        <v>424</v>
      </c>
      <c r="B11" s="274">
        <v>34790</v>
      </c>
      <c r="C11" s="639" t="s">
        <v>424</v>
      </c>
      <c r="D11" s="274"/>
      <c r="E11" s="639" t="s">
        <v>424</v>
      </c>
      <c r="F11" s="274"/>
      <c r="G11" s="639" t="s">
        <v>424</v>
      </c>
      <c r="H11" s="274"/>
      <c r="I11" s="639" t="s">
        <v>424</v>
      </c>
      <c r="J11" s="274"/>
      <c r="K11" s="262"/>
    </row>
    <row r="12" spans="1:11" x14ac:dyDescent="0.25">
      <c r="A12" s="639" t="s">
        <v>138</v>
      </c>
      <c r="B12" s="274"/>
      <c r="C12" s="639" t="s">
        <v>138</v>
      </c>
      <c r="D12" s="274"/>
      <c r="E12" s="639" t="s">
        <v>138</v>
      </c>
      <c r="F12" s="274"/>
      <c r="G12" s="639" t="s">
        <v>138</v>
      </c>
      <c r="H12" s="274"/>
      <c r="I12" s="639" t="s">
        <v>138</v>
      </c>
      <c r="J12" s="274"/>
      <c r="K12" s="262"/>
    </row>
    <row r="13" spans="1:11" x14ac:dyDescent="0.25">
      <c r="A13" s="640" t="s">
        <v>107</v>
      </c>
      <c r="B13" s="274"/>
      <c r="C13" s="640" t="s">
        <v>107</v>
      </c>
      <c r="D13" s="274"/>
      <c r="E13" s="640" t="s">
        <v>107</v>
      </c>
      <c r="F13" s="274">
        <v>1024</v>
      </c>
      <c r="G13" s="640" t="s">
        <v>107</v>
      </c>
      <c r="H13" s="274">
        <v>17005</v>
      </c>
      <c r="I13" s="640" t="s">
        <v>107</v>
      </c>
      <c r="J13" s="274">
        <v>5424</v>
      </c>
      <c r="K13" s="262"/>
    </row>
    <row r="14" spans="1:11" x14ac:dyDescent="0.25">
      <c r="A14" s="639" t="s">
        <v>425</v>
      </c>
      <c r="B14" s="274"/>
      <c r="C14" s="639" t="s">
        <v>425</v>
      </c>
      <c r="D14" s="274"/>
      <c r="E14" s="639" t="s">
        <v>425</v>
      </c>
      <c r="F14" s="274"/>
      <c r="G14" s="639" t="s">
        <v>425</v>
      </c>
      <c r="H14" s="274"/>
      <c r="I14" s="639" t="s">
        <v>425</v>
      </c>
      <c r="J14" s="274"/>
      <c r="K14" s="262"/>
    </row>
    <row r="15" spans="1:11" x14ac:dyDescent="0.25">
      <c r="A15" s="639"/>
      <c r="B15" s="274"/>
      <c r="C15" s="639" t="s">
        <v>426</v>
      </c>
      <c r="D15" s="274">
        <v>40000</v>
      </c>
      <c r="E15" s="639"/>
      <c r="F15" s="274"/>
      <c r="G15" s="639"/>
      <c r="H15" s="274"/>
      <c r="I15" s="639"/>
      <c r="J15" s="274"/>
      <c r="K15" s="262"/>
    </row>
    <row r="16" spans="1:11" x14ac:dyDescent="0.25">
      <c r="A16" s="639"/>
      <c r="B16" s="274"/>
      <c r="C16" s="639"/>
      <c r="D16" s="274"/>
      <c r="E16" s="639"/>
      <c r="F16" s="274"/>
      <c r="G16" s="639"/>
      <c r="H16" s="274"/>
      <c r="I16" s="639"/>
      <c r="J16" s="274"/>
      <c r="K16" s="262"/>
    </row>
    <row r="17" spans="1:12" x14ac:dyDescent="0.25">
      <c r="A17" s="638" t="s">
        <v>81</v>
      </c>
      <c r="B17" s="285">
        <f>SUM(B9:B16)</f>
        <v>34790</v>
      </c>
      <c r="C17" s="638" t="s">
        <v>81</v>
      </c>
      <c r="D17" s="276">
        <f>SUM(D9:D16)</f>
        <v>40000</v>
      </c>
      <c r="E17" s="638" t="s">
        <v>81</v>
      </c>
      <c r="F17" s="325">
        <f>SUM(F9:F16)</f>
        <v>1024</v>
      </c>
      <c r="G17" s="638" t="s">
        <v>81</v>
      </c>
      <c r="H17" s="276">
        <f>SUM(H9:H16)</f>
        <v>17005</v>
      </c>
      <c r="I17" s="638" t="s">
        <v>81</v>
      </c>
      <c r="J17" s="276">
        <f>SUM(J9:J16)</f>
        <v>5424</v>
      </c>
      <c r="K17" s="276">
        <f>SUM(B17+D17+F17+H17+J17)</f>
        <v>98243</v>
      </c>
    </row>
    <row r="18" spans="1:12" x14ac:dyDescent="0.25">
      <c r="A18" s="638" t="s">
        <v>82</v>
      </c>
      <c r="B18" s="285">
        <f>SUM(B7+B17)</f>
        <v>50226</v>
      </c>
      <c r="C18" s="638" t="s">
        <v>82</v>
      </c>
      <c r="D18" s="276">
        <f>SUM(D7+D17)</f>
        <v>38947</v>
      </c>
      <c r="E18" s="638" t="s">
        <v>82</v>
      </c>
      <c r="F18" s="276">
        <f>SUM(F7+F17)</f>
        <v>16066</v>
      </c>
      <c r="G18" s="638" t="s">
        <v>82</v>
      </c>
      <c r="H18" s="276">
        <f>SUM(H7+H17)</f>
        <v>25564</v>
      </c>
      <c r="I18" s="638" t="s">
        <v>82</v>
      </c>
      <c r="J18" s="276">
        <f>SUM(J7+J17)</f>
        <v>5424</v>
      </c>
      <c r="K18" s="276">
        <f>SUM(B18+D18+F18+H18+J18)</f>
        <v>136227</v>
      </c>
    </row>
    <row r="19" spans="1:12" x14ac:dyDescent="0.25">
      <c r="A19" s="638" t="s">
        <v>85</v>
      </c>
      <c r="B19" s="278"/>
      <c r="C19" s="638" t="s">
        <v>85</v>
      </c>
      <c r="D19" s="279"/>
      <c r="E19" s="638" t="s">
        <v>85</v>
      </c>
      <c r="F19" s="262"/>
      <c r="G19" s="638" t="s">
        <v>85</v>
      </c>
      <c r="H19" s="66"/>
      <c r="I19" s="638" t="s">
        <v>85</v>
      </c>
      <c r="J19" s="66"/>
      <c r="K19" s="262"/>
    </row>
    <row r="20" spans="1:12" x14ac:dyDescent="0.25">
      <c r="A20" s="639" t="s">
        <v>427</v>
      </c>
      <c r="B20" s="274">
        <v>9673</v>
      </c>
      <c r="C20" s="639" t="s">
        <v>427</v>
      </c>
      <c r="D20" s="274">
        <v>40144</v>
      </c>
      <c r="E20" s="639" t="s">
        <v>427</v>
      </c>
      <c r="F20" s="274"/>
      <c r="G20" s="639" t="s">
        <v>427</v>
      </c>
      <c r="H20" s="274"/>
      <c r="I20" s="639" t="s">
        <v>427</v>
      </c>
      <c r="J20" s="274"/>
      <c r="K20" s="262"/>
    </row>
    <row r="21" spans="1:12" x14ac:dyDescent="0.25">
      <c r="A21" s="639" t="s">
        <v>420</v>
      </c>
      <c r="B21" s="274">
        <v>4903</v>
      </c>
      <c r="C21" s="639" t="s">
        <v>420</v>
      </c>
      <c r="D21" s="274"/>
      <c r="E21" s="639" t="s">
        <v>420</v>
      </c>
      <c r="F21" s="274"/>
      <c r="G21" s="639" t="s">
        <v>420</v>
      </c>
      <c r="H21" s="274"/>
      <c r="I21" s="639" t="s">
        <v>420</v>
      </c>
      <c r="J21" s="274"/>
      <c r="K21" s="262"/>
    </row>
    <row r="22" spans="1:12" x14ac:dyDescent="0.25">
      <c r="A22" s="639" t="s">
        <v>378</v>
      </c>
      <c r="B22" s="274">
        <v>6696</v>
      </c>
      <c r="C22" s="639" t="s">
        <v>378</v>
      </c>
      <c r="D22" s="274"/>
      <c r="E22" s="639" t="s">
        <v>378</v>
      </c>
      <c r="F22" s="274">
        <v>6145</v>
      </c>
      <c r="G22" s="639" t="s">
        <v>378</v>
      </c>
      <c r="H22" s="274">
        <v>21782</v>
      </c>
      <c r="I22" s="639" t="s">
        <v>378</v>
      </c>
      <c r="J22" s="274">
        <v>5424</v>
      </c>
      <c r="K22" s="262"/>
    </row>
    <row r="23" spans="1:12" x14ac:dyDescent="0.25">
      <c r="A23" s="639" t="s">
        <v>421</v>
      </c>
      <c r="B23" s="274">
        <v>945</v>
      </c>
      <c r="C23" s="639" t="s">
        <v>421</v>
      </c>
      <c r="D23" s="274"/>
      <c r="E23" s="639" t="s">
        <v>421</v>
      </c>
      <c r="F23" s="274"/>
      <c r="G23" s="639" t="s">
        <v>421</v>
      </c>
      <c r="H23" s="274"/>
      <c r="I23" s="639" t="s">
        <v>421</v>
      </c>
      <c r="J23" s="274"/>
      <c r="K23" s="262"/>
    </row>
    <row r="24" spans="1:12" x14ac:dyDescent="0.25">
      <c r="A24" s="639" t="s">
        <v>428</v>
      </c>
      <c r="B24" s="274"/>
      <c r="C24" s="639" t="s">
        <v>428</v>
      </c>
      <c r="D24" s="274"/>
      <c r="E24" s="639" t="s">
        <v>428</v>
      </c>
      <c r="F24" s="274"/>
      <c r="G24" s="639" t="s">
        <v>428</v>
      </c>
      <c r="H24" s="274"/>
      <c r="I24" s="639" t="s">
        <v>428</v>
      </c>
      <c r="J24" s="274"/>
      <c r="K24" s="262"/>
    </row>
    <row r="25" spans="1:12" x14ac:dyDescent="0.25">
      <c r="A25" s="639" t="s">
        <v>426</v>
      </c>
      <c r="B25" s="274">
        <v>16894</v>
      </c>
      <c r="C25" s="639"/>
      <c r="D25" s="274"/>
      <c r="E25" s="639"/>
      <c r="F25" s="274"/>
      <c r="G25" s="639"/>
      <c r="H25" s="274"/>
      <c r="I25" s="639"/>
      <c r="J25" s="274"/>
      <c r="K25" s="262"/>
    </row>
    <row r="26" spans="1:12" x14ac:dyDescent="0.25">
      <c r="A26" s="639" t="s">
        <v>429</v>
      </c>
      <c r="B26" s="274"/>
      <c r="C26" s="639" t="s">
        <v>429</v>
      </c>
      <c r="D26" s="274"/>
      <c r="E26" s="639" t="s">
        <v>429</v>
      </c>
      <c r="F26" s="274"/>
      <c r="G26" s="639" t="s">
        <v>429</v>
      </c>
      <c r="H26" s="274"/>
      <c r="I26" s="639" t="s">
        <v>429</v>
      </c>
      <c r="J26" s="274"/>
      <c r="K26" s="262"/>
    </row>
    <row r="27" spans="1:12" x14ac:dyDescent="0.25">
      <c r="A27" s="280"/>
      <c r="B27" s="274"/>
      <c r="C27" s="280"/>
      <c r="D27" s="274"/>
      <c r="E27" s="280"/>
      <c r="F27" s="274"/>
      <c r="G27" s="283"/>
      <c r="H27" s="274"/>
      <c r="I27" s="283"/>
      <c r="J27" s="274"/>
      <c r="K27" s="262"/>
    </row>
    <row r="28" spans="1:12" x14ac:dyDescent="0.25">
      <c r="A28" s="277" t="s">
        <v>86</v>
      </c>
      <c r="B28" s="276">
        <f>SUM(B20:B27)</f>
        <v>39111</v>
      </c>
      <c r="C28" s="277" t="s">
        <v>86</v>
      </c>
      <c r="D28" s="276">
        <f>SUM(D20:D27)</f>
        <v>40144</v>
      </c>
      <c r="E28" s="277" t="s">
        <v>86</v>
      </c>
      <c r="F28" s="325">
        <f>SUM(F20:F27)</f>
        <v>6145</v>
      </c>
      <c r="G28" s="277" t="s">
        <v>86</v>
      </c>
      <c r="H28" s="325">
        <f>SUM(H20:H27)</f>
        <v>21782</v>
      </c>
      <c r="I28" s="277" t="s">
        <v>86</v>
      </c>
      <c r="J28" s="276">
        <f>SUM(J20:J27)</f>
        <v>5424</v>
      </c>
      <c r="K28" s="276">
        <f>SUM(B28+D28+F28+H28+J28)</f>
        <v>112606</v>
      </c>
    </row>
    <row r="29" spans="1:12" x14ac:dyDescent="0.25">
      <c r="A29" s="277" t="s">
        <v>16</v>
      </c>
      <c r="B29" s="276">
        <f>B18-B28</f>
        <v>11115</v>
      </c>
      <c r="C29" s="277" t="s">
        <v>16</v>
      </c>
      <c r="D29" s="276">
        <f>D18-D28</f>
        <v>-1197</v>
      </c>
      <c r="E29" s="277" t="s">
        <v>16</v>
      </c>
      <c r="F29" s="276">
        <f>F18-F28</f>
        <v>9921</v>
      </c>
      <c r="G29" s="277" t="s">
        <v>16</v>
      </c>
      <c r="H29" s="276">
        <f>H18-H28</f>
        <v>3782</v>
      </c>
      <c r="I29" s="277" t="s">
        <v>16</v>
      </c>
      <c r="J29" s="276">
        <f>J18-J28</f>
        <v>0</v>
      </c>
      <c r="K29" s="286">
        <f>SUM(B29+D29+F29+H29+J29)</f>
        <v>23621</v>
      </c>
      <c r="L29" s="25" t="s">
        <v>30</v>
      </c>
    </row>
    <row r="30" spans="1:12" x14ac:dyDescent="0.25">
      <c r="A30" s="277"/>
      <c r="B30" s="314" t="str">
        <f>IF(B29&lt;0,"See Tab B","")</f>
        <v/>
      </c>
      <c r="C30" s="277"/>
      <c r="D30" s="314" t="str">
        <f>IF(D29&lt;0,"See Tab B","")</f>
        <v>See Tab B</v>
      </c>
      <c r="E30" s="277"/>
      <c r="F30" s="314" t="str">
        <f>IF(F29&lt;0,"See Tab B","")</f>
        <v/>
      </c>
      <c r="G30" s="66"/>
      <c r="H30" s="314" t="str">
        <f>IF(H29&lt;0,"See Tab B","")</f>
        <v/>
      </c>
      <c r="I30" s="66"/>
      <c r="J30" s="314" t="str">
        <f>IF(J29&lt;0,"See Tab B","")</f>
        <v/>
      </c>
      <c r="K30" s="286">
        <f>SUM(K7+K17-K28)</f>
        <v>23621</v>
      </c>
      <c r="L30" s="25" t="s">
        <v>30</v>
      </c>
    </row>
    <row r="31" spans="1:12" x14ac:dyDescent="0.25">
      <c r="A31" s="66"/>
      <c r="B31" s="287"/>
      <c r="C31" s="66"/>
      <c r="D31" s="262"/>
      <c r="E31" s="66"/>
      <c r="F31" s="66"/>
      <c r="G31" s="26" t="s">
        <v>31</v>
      </c>
      <c r="H31" s="26"/>
      <c r="I31" s="26"/>
      <c r="J31" s="26"/>
      <c r="K31" s="66"/>
    </row>
    <row r="32" spans="1:12" x14ac:dyDescent="0.25">
      <c r="A32" s="66"/>
      <c r="B32" s="287"/>
      <c r="C32" s="66"/>
      <c r="D32" s="66"/>
      <c r="E32" s="66"/>
      <c r="F32" s="66"/>
      <c r="G32" s="66"/>
      <c r="H32" s="66"/>
      <c r="I32" s="66"/>
      <c r="J32" s="66"/>
      <c r="K32" s="66"/>
    </row>
    <row r="33" spans="1:11" x14ac:dyDescent="0.25">
      <c r="A33" s="66"/>
      <c r="B33" s="287"/>
      <c r="C33" s="66"/>
      <c r="D33" s="66"/>
      <c r="E33" s="241" t="s">
        <v>108</v>
      </c>
      <c r="F33" s="258">
        <v>14</v>
      </c>
      <c r="G33" s="66"/>
      <c r="H33" s="66"/>
      <c r="I33" s="66"/>
      <c r="J33" s="66"/>
      <c r="K33" s="66"/>
    </row>
    <row r="34" spans="1:11" x14ac:dyDescent="0.25">
      <c r="B34" s="288"/>
    </row>
    <row r="35" spans="1:11" x14ac:dyDescent="0.25">
      <c r="B35" s="288"/>
    </row>
    <row r="36" spans="1:11" x14ac:dyDescent="0.25">
      <c r="B36" s="288"/>
    </row>
    <row r="37" spans="1:11" x14ac:dyDescent="0.25">
      <c r="B37" s="288"/>
    </row>
    <row r="38" spans="1:11" x14ac:dyDescent="0.25">
      <c r="B38" s="288"/>
    </row>
    <row r="39" spans="1:11" x14ac:dyDescent="0.25">
      <c r="B39" s="288"/>
    </row>
    <row r="40" spans="1:11" x14ac:dyDescent="0.25">
      <c r="B40" s="288"/>
    </row>
    <row r="41" spans="1:11" x14ac:dyDescent="0.25">
      <c r="B41" s="288"/>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0"/>
  <sheetViews>
    <sheetView zoomScaleNormal="100" workbookViewId="0">
      <selection activeCell="D30" sqref="D30"/>
    </sheetView>
  </sheetViews>
  <sheetFormatPr defaultColWidth="8.9140625" defaultRowHeight="15.6" x14ac:dyDescent="0.25"/>
  <cols>
    <col min="1" max="1" width="15.75" style="25" customWidth="1"/>
    <col min="2" max="2" width="20.75" style="25" customWidth="1"/>
    <col min="3" max="3" width="9.75" style="25" customWidth="1"/>
    <col min="4" max="4" width="15.33203125" style="25" customWidth="1"/>
    <col min="5" max="5" width="15.75" style="25" customWidth="1"/>
    <col min="6" max="16384" width="8.9140625" style="25"/>
  </cols>
  <sheetData>
    <row r="1" spans="1:5" x14ac:dyDescent="0.25">
      <c r="A1" s="85" t="str">
        <f>inputPrYr!C2</f>
        <v>Edwards County</v>
      </c>
      <c r="B1" s="66"/>
      <c r="C1" s="66"/>
      <c r="D1" s="66"/>
      <c r="E1" s="66">
        <f>inputPrYr!C4</f>
        <v>2015</v>
      </c>
    </row>
    <row r="2" spans="1:5" x14ac:dyDescent="0.25">
      <c r="A2" s="85"/>
      <c r="B2" s="66"/>
      <c r="C2" s="66"/>
      <c r="D2" s="66"/>
      <c r="E2" s="66"/>
    </row>
    <row r="3" spans="1:5" x14ac:dyDescent="0.25">
      <c r="A3" s="657" t="s">
        <v>29</v>
      </c>
      <c r="B3" s="658"/>
      <c r="C3" s="658"/>
      <c r="D3" s="658"/>
      <c r="E3" s="658"/>
    </row>
    <row r="4" spans="1:5" x14ac:dyDescent="0.25">
      <c r="A4" s="66"/>
      <c r="B4" s="66"/>
      <c r="C4" s="66"/>
      <c r="D4" s="66"/>
      <c r="E4" s="66"/>
    </row>
    <row r="5" spans="1:5" x14ac:dyDescent="0.25">
      <c r="A5" s="65" t="str">
        <f>CONCATENATE("From the County Clerks ",E1," Budget Information:")</f>
        <v>From the County Clerks 2015 Budget Information:</v>
      </c>
      <c r="B5" s="67"/>
      <c r="C5" s="36"/>
      <c r="D5" s="28"/>
      <c r="E5" s="86"/>
    </row>
    <row r="6" spans="1:5" x14ac:dyDescent="0.25">
      <c r="A6" s="87" t="str">
        <f>CONCATENATE("Total Assessed Valuation for ",E1-1,"")</f>
        <v>Total Assessed Valuation for 2014</v>
      </c>
      <c r="B6" s="73"/>
      <c r="C6" s="73"/>
      <c r="D6" s="73"/>
      <c r="E6" s="53">
        <v>47048856</v>
      </c>
    </row>
    <row r="7" spans="1:5" x14ac:dyDescent="0.25">
      <c r="A7" s="87" t="str">
        <f>CONCATENATE("New Improvements for ",E1-1,"")</f>
        <v>New Improvements for 2014</v>
      </c>
      <c r="B7" s="73"/>
      <c r="C7" s="73"/>
      <c r="D7" s="73"/>
      <c r="E7" s="88">
        <v>250131</v>
      </c>
    </row>
    <row r="8" spans="1:5" x14ac:dyDescent="0.25">
      <c r="A8" s="87" t="str">
        <f>CONCATENATE("Personal Property excluding oil, gas, and mobile homes- ",E1-1,"")</f>
        <v>Personal Property excluding oil, gas, and mobile homes- 2014</v>
      </c>
      <c r="B8" s="73"/>
      <c r="C8" s="73"/>
      <c r="D8" s="73"/>
      <c r="E8" s="88">
        <v>1055718</v>
      </c>
    </row>
    <row r="9" spans="1:5" x14ac:dyDescent="0.25">
      <c r="A9" s="87" t="str">
        <f>CONCATENATE("Property that has changed in use for ",E1-1,"")</f>
        <v>Property that has changed in use for 2014</v>
      </c>
      <c r="B9" s="73"/>
      <c r="C9" s="73"/>
      <c r="D9" s="73"/>
      <c r="E9" s="88">
        <v>185780</v>
      </c>
    </row>
    <row r="10" spans="1:5" x14ac:dyDescent="0.25">
      <c r="A10" s="87" t="str">
        <f>CONCATENATE("Personal Property excluding oil, gas, and mobile homes- ",E1-2,"")</f>
        <v>Personal Property excluding oil, gas, and mobile homes- 2013</v>
      </c>
      <c r="B10" s="73"/>
      <c r="C10" s="73"/>
      <c r="D10" s="73"/>
      <c r="E10" s="88">
        <v>1449396</v>
      </c>
    </row>
    <row r="11" spans="1:5" x14ac:dyDescent="0.25">
      <c r="A11" s="87" t="str">
        <f>CONCATENATE("Gross earnings (intangible) tax esitmate for ",E1,"")</f>
        <v>Gross earnings (intangible) tax esitmate for 2015</v>
      </c>
      <c r="B11" s="73"/>
      <c r="C11" s="73"/>
      <c r="D11" s="73"/>
      <c r="E11" s="53"/>
    </row>
    <row r="12" spans="1:5" x14ac:dyDescent="0.25">
      <c r="A12" s="89" t="s">
        <v>220</v>
      </c>
      <c r="B12" s="73"/>
      <c r="C12" s="73"/>
      <c r="D12" s="56"/>
      <c r="E12" s="53">
        <v>396134</v>
      </c>
    </row>
    <row r="13" spans="1:5" x14ac:dyDescent="0.25">
      <c r="A13" s="28"/>
      <c r="B13" s="28"/>
      <c r="C13" s="28"/>
      <c r="D13" s="42"/>
      <c r="E13" s="42"/>
    </row>
    <row r="14" spans="1:5" x14ac:dyDescent="0.25">
      <c r="A14" s="65" t="str">
        <f>CONCATENATE("From the County Treasurer's ",E1," Budget Information:")</f>
        <v>From the County Treasurer's 2015 Budget Information:</v>
      </c>
      <c r="B14" s="67"/>
      <c r="C14" s="67"/>
      <c r="D14" s="86"/>
      <c r="E14" s="86"/>
    </row>
    <row r="15" spans="1:5" x14ac:dyDescent="0.25">
      <c r="A15" s="54" t="s">
        <v>47</v>
      </c>
      <c r="B15" s="55"/>
      <c r="C15" s="55"/>
      <c r="D15" s="90"/>
      <c r="E15" s="53">
        <v>303719</v>
      </c>
    </row>
    <row r="16" spans="1:5" x14ac:dyDescent="0.25">
      <c r="A16" s="87" t="s">
        <v>48</v>
      </c>
      <c r="B16" s="73"/>
      <c r="C16" s="73"/>
      <c r="D16" s="91"/>
      <c r="E16" s="53">
        <v>4465</v>
      </c>
    </row>
    <row r="17" spans="1:5" x14ac:dyDescent="0.25">
      <c r="A17" s="87" t="s">
        <v>158</v>
      </c>
      <c r="B17" s="73"/>
      <c r="C17" s="73"/>
      <c r="D17" s="91"/>
      <c r="E17" s="53">
        <v>44232</v>
      </c>
    </row>
    <row r="18" spans="1:5" x14ac:dyDescent="0.25">
      <c r="A18" s="87" t="s">
        <v>221</v>
      </c>
      <c r="B18" s="73"/>
      <c r="C18" s="73"/>
      <c r="D18" s="92"/>
      <c r="E18" s="53"/>
    </row>
    <row r="19" spans="1:5" x14ac:dyDescent="0.25">
      <c r="A19" s="87" t="s">
        <v>222</v>
      </c>
      <c r="B19" s="73"/>
      <c r="C19" s="73"/>
      <c r="D19" s="92"/>
      <c r="E19" s="53"/>
    </row>
    <row r="20" spans="1:5" x14ac:dyDescent="0.25">
      <c r="A20" s="28"/>
      <c r="B20" s="28"/>
      <c r="C20" s="28"/>
      <c r="D20" s="28"/>
      <c r="E20" s="28"/>
    </row>
    <row r="21" spans="1:5" x14ac:dyDescent="0.25">
      <c r="A21" s="93" t="s">
        <v>223</v>
      </c>
      <c r="B21" s="28"/>
      <c r="C21" s="28"/>
      <c r="D21" s="28"/>
      <c r="E21" s="28"/>
    </row>
    <row r="22" spans="1:5" x14ac:dyDescent="0.25">
      <c r="A22" s="458" t="str">
        <f>CONCATENATE("Actual Delinquency for ",E1-3," Tax - (rate .01213 = 1.213%, key in 1.2)")</f>
        <v>Actual Delinquency for 2012 Tax - (rate .01213 = 1.213%, key in 1.2)</v>
      </c>
      <c r="B22" s="55"/>
      <c r="C22" s="55"/>
      <c r="D22" s="60"/>
      <c r="E22" s="457">
        <v>8.9999999999999993E-3</v>
      </c>
    </row>
    <row r="23" spans="1:5" x14ac:dyDescent="0.25">
      <c r="A23" s="460" t="s">
        <v>291</v>
      </c>
      <c r="B23" s="55"/>
      <c r="C23" s="55"/>
      <c r="D23" s="55"/>
      <c r="E23" s="459">
        <v>0.01</v>
      </c>
    </row>
    <row r="24" spans="1:5" x14ac:dyDescent="0.25">
      <c r="A24" s="26" t="s">
        <v>224</v>
      </c>
      <c r="B24" s="26"/>
      <c r="C24" s="26"/>
      <c r="D24" s="26"/>
      <c r="E24" s="26"/>
    </row>
    <row r="25" spans="1:5" x14ac:dyDescent="0.25">
      <c r="A25" s="94"/>
      <c r="B25" s="94"/>
      <c r="C25" s="94"/>
      <c r="D25" s="94"/>
      <c r="E25" s="94"/>
    </row>
    <row r="26" spans="1:5" x14ac:dyDescent="0.25">
      <c r="A26" s="662" t="str">
        <f>CONCATENATE("From the ",E1-2," Budget Certificate Page")</f>
        <v>From the 2013 Budget Certificate Page</v>
      </c>
      <c r="B26" s="663"/>
      <c r="C26" s="94"/>
      <c r="D26" s="94"/>
      <c r="E26" s="94"/>
    </row>
    <row r="27" spans="1:5" x14ac:dyDescent="0.25">
      <c r="A27" s="95"/>
      <c r="B27" s="664" t="str">
        <f>CONCATENATE("",E1-2,"                         Expenditure Amt Budget Authority")</f>
        <v>2013                         Expenditure Amt Budget Authority</v>
      </c>
      <c r="C27" s="667" t="str">
        <f>CONCATENATE("Note: If the ",E1-2," budget was amended, then the")</f>
        <v>Note: If the 2013 budget was amended, then the</v>
      </c>
      <c r="D27" s="668"/>
      <c r="E27" s="668"/>
    </row>
    <row r="28" spans="1:5" x14ac:dyDescent="0.25">
      <c r="A28" s="96" t="s">
        <v>33</v>
      </c>
      <c r="B28" s="665"/>
      <c r="C28" s="97" t="s">
        <v>34</v>
      </c>
      <c r="D28" s="98"/>
      <c r="E28" s="98"/>
    </row>
    <row r="29" spans="1:5" x14ac:dyDescent="0.25">
      <c r="A29" s="99"/>
      <c r="B29" s="666"/>
      <c r="C29" s="97" t="s">
        <v>35</v>
      </c>
      <c r="D29" s="98"/>
      <c r="E29" s="98"/>
    </row>
    <row r="30" spans="1:5" x14ac:dyDescent="0.25">
      <c r="A30" s="100" t="str">
        <f>inputPrYr!B16</f>
        <v>General</v>
      </c>
      <c r="B30" s="541">
        <v>1986036</v>
      </c>
      <c r="C30" s="97"/>
      <c r="D30" s="98"/>
      <c r="E30" s="98"/>
    </row>
    <row r="31" spans="1:5" x14ac:dyDescent="0.25">
      <c r="A31" s="100">
        <f>inputPrYr!B17</f>
        <v>0</v>
      </c>
      <c r="B31" s="541"/>
      <c r="C31" s="97"/>
      <c r="D31" s="98"/>
      <c r="E31" s="98"/>
    </row>
    <row r="32" spans="1:5" x14ac:dyDescent="0.25">
      <c r="A32" s="100" t="str">
        <f>inputPrYr!B18</f>
        <v>Road &amp; Bridge</v>
      </c>
      <c r="B32" s="541">
        <v>1142117</v>
      </c>
      <c r="C32" s="94"/>
      <c r="D32" s="94"/>
      <c r="E32" s="94"/>
    </row>
    <row r="33" spans="1:5" x14ac:dyDescent="0.25">
      <c r="A33" s="100" t="str">
        <f>inputPrYr!B19</f>
        <v>Noxious Weed</v>
      </c>
      <c r="B33" s="541">
        <v>86146</v>
      </c>
      <c r="C33" s="94"/>
      <c r="D33" s="94"/>
      <c r="E33" s="94"/>
    </row>
    <row r="34" spans="1:5" x14ac:dyDescent="0.25">
      <c r="A34" s="100" t="str">
        <f>inputPrYr!B20</f>
        <v>Employee Benefits</v>
      </c>
      <c r="B34" s="541">
        <v>914831</v>
      </c>
      <c r="C34" s="94"/>
      <c r="D34" s="94"/>
      <c r="E34" s="94"/>
    </row>
    <row r="35" spans="1:5" x14ac:dyDescent="0.25">
      <c r="A35" s="100" t="str">
        <f>inputPrYr!B21</f>
        <v>County Health</v>
      </c>
      <c r="B35" s="541">
        <v>181112</v>
      </c>
      <c r="C35" s="94"/>
      <c r="D35" s="94"/>
      <c r="E35" s="94"/>
    </row>
    <row r="36" spans="1:5" x14ac:dyDescent="0.25">
      <c r="A36" s="100" t="str">
        <f>inputPrYr!B22</f>
        <v>Hospital Maintenance</v>
      </c>
      <c r="B36" s="541">
        <v>231889</v>
      </c>
      <c r="C36" s="94"/>
      <c r="D36" s="94"/>
      <c r="E36" s="94"/>
    </row>
    <row r="37" spans="1:5" x14ac:dyDescent="0.25">
      <c r="A37" s="100">
        <f>inputPrYr!B23</f>
        <v>0</v>
      </c>
      <c r="B37" s="46"/>
      <c r="C37" s="94"/>
      <c r="D37" s="94"/>
      <c r="E37" s="94"/>
    </row>
    <row r="38" spans="1:5" x14ac:dyDescent="0.25">
      <c r="A38" s="100">
        <f>inputPrYr!B24</f>
        <v>0</v>
      </c>
      <c r="B38" s="46"/>
      <c r="C38" s="94"/>
      <c r="D38" s="94"/>
      <c r="E38" s="94"/>
    </row>
    <row r="39" spans="1:5" x14ac:dyDescent="0.25">
      <c r="A39" s="100">
        <f>inputPrYr!B25</f>
        <v>0</v>
      </c>
      <c r="B39" s="46"/>
      <c r="C39" s="94"/>
      <c r="D39" s="94"/>
      <c r="E39" s="94"/>
    </row>
    <row r="40" spans="1:5" x14ac:dyDescent="0.25">
      <c r="A40" s="100">
        <f>inputPrYr!B26</f>
        <v>0</v>
      </c>
      <c r="B40" s="46"/>
      <c r="C40" s="94"/>
      <c r="D40" s="94"/>
      <c r="E40" s="94"/>
    </row>
    <row r="41" spans="1:5" x14ac:dyDescent="0.25">
      <c r="A41" s="100">
        <f>inputPrYr!B27</f>
        <v>0</v>
      </c>
      <c r="B41" s="46"/>
      <c r="C41" s="94"/>
      <c r="D41" s="94"/>
      <c r="E41" s="94"/>
    </row>
    <row r="42" spans="1:5" x14ac:dyDescent="0.25">
      <c r="A42" s="100">
        <f>inputPrYr!B28</f>
        <v>0</v>
      </c>
      <c r="B42" s="46"/>
      <c r="C42" s="94"/>
      <c r="D42" s="94"/>
      <c r="E42" s="94"/>
    </row>
    <row r="43" spans="1:5" x14ac:dyDescent="0.25">
      <c r="A43" s="100">
        <f>inputPrYr!B29</f>
        <v>0</v>
      </c>
      <c r="B43" s="46"/>
      <c r="C43" s="94"/>
      <c r="D43" s="94"/>
      <c r="E43" s="94"/>
    </row>
    <row r="44" spans="1:5" x14ac:dyDescent="0.25">
      <c r="A44" s="100">
        <f>inputPrYr!B30</f>
        <v>0</v>
      </c>
      <c r="B44" s="46"/>
      <c r="C44" s="94"/>
      <c r="D44" s="94"/>
      <c r="E44" s="94"/>
    </row>
    <row r="45" spans="1:5" x14ac:dyDescent="0.25">
      <c r="A45" s="100">
        <f>inputPrYr!B31</f>
        <v>0</v>
      </c>
      <c r="B45" s="46"/>
      <c r="C45" s="94"/>
      <c r="D45" s="94"/>
      <c r="E45" s="94"/>
    </row>
    <row r="46" spans="1:5" x14ac:dyDescent="0.25">
      <c r="A46" s="100">
        <f>inputPrYr!B32</f>
        <v>0</v>
      </c>
      <c r="B46" s="46"/>
      <c r="C46" s="94"/>
      <c r="D46" s="94"/>
      <c r="E46" s="94"/>
    </row>
    <row r="47" spans="1:5" x14ac:dyDescent="0.25">
      <c r="A47" s="100">
        <f>inputPrYr!B33</f>
        <v>0</v>
      </c>
      <c r="B47" s="46"/>
      <c r="C47" s="94"/>
      <c r="D47" s="94"/>
      <c r="E47" s="94"/>
    </row>
    <row r="48" spans="1:5" x14ac:dyDescent="0.25">
      <c r="A48" s="100">
        <f>inputPrYr!B34</f>
        <v>0</v>
      </c>
      <c r="B48" s="46"/>
      <c r="C48" s="94"/>
      <c r="D48" s="94"/>
      <c r="E48" s="94"/>
    </row>
    <row r="49" spans="1:5" x14ac:dyDescent="0.25">
      <c r="A49" s="100">
        <f>inputPrYr!B35</f>
        <v>0</v>
      </c>
      <c r="B49" s="46"/>
      <c r="C49" s="94"/>
      <c r="D49" s="94"/>
      <c r="E49" s="94"/>
    </row>
    <row r="50" spans="1:5" x14ac:dyDescent="0.25">
      <c r="A50" s="100">
        <f>inputPrYr!B36</f>
        <v>0</v>
      </c>
      <c r="B50" s="46"/>
      <c r="C50" s="94"/>
      <c r="D50" s="94"/>
      <c r="E50" s="94"/>
    </row>
    <row r="51" spans="1:5" x14ac:dyDescent="0.25">
      <c r="A51" s="100">
        <f>inputPrYr!B37</f>
        <v>0</v>
      </c>
      <c r="B51" s="46"/>
      <c r="C51" s="94"/>
      <c r="D51" s="94"/>
      <c r="E51" s="94"/>
    </row>
    <row r="52" spans="1:5" x14ac:dyDescent="0.25">
      <c r="A52" s="100">
        <f>inputPrYr!B38</f>
        <v>0</v>
      </c>
      <c r="B52" s="46"/>
      <c r="C52" s="94"/>
      <c r="D52" s="94"/>
      <c r="E52" s="94"/>
    </row>
    <row r="53" spans="1:5" x14ac:dyDescent="0.25">
      <c r="A53" s="100">
        <f>inputPrYr!B39</f>
        <v>0</v>
      </c>
      <c r="B53" s="46"/>
      <c r="C53" s="94"/>
      <c r="D53" s="94"/>
      <c r="E53" s="94"/>
    </row>
    <row r="54" spans="1:5" x14ac:dyDescent="0.25">
      <c r="A54" s="100">
        <f>inputPrYr!B40</f>
        <v>0</v>
      </c>
      <c r="B54" s="46"/>
      <c r="C54" s="94"/>
      <c r="D54" s="94"/>
      <c r="E54" s="94"/>
    </row>
    <row r="55" spans="1:5" x14ac:dyDescent="0.25">
      <c r="A55" s="100" t="str">
        <f>inputPrYr!B43</f>
        <v>Special Drug and Alcohol</v>
      </c>
      <c r="B55" s="542">
        <v>13000</v>
      </c>
      <c r="C55" s="94"/>
      <c r="D55" s="94"/>
      <c r="E55" s="94"/>
    </row>
    <row r="56" spans="1:5" x14ac:dyDescent="0.25">
      <c r="A56" s="100" t="str">
        <f>inputPrYr!B44</f>
        <v>Special Parks and Recreation</v>
      </c>
      <c r="B56" s="542">
        <v>8000</v>
      </c>
      <c r="C56" s="94"/>
      <c r="D56" s="94"/>
      <c r="E56" s="94"/>
    </row>
    <row r="57" spans="1:5" x14ac:dyDescent="0.25">
      <c r="A57" s="100" t="str">
        <f>inputPrYr!B45</f>
        <v>Noxious Weed Capital Outlay</v>
      </c>
      <c r="B57" s="542">
        <v>31709</v>
      </c>
      <c r="C57" s="94"/>
      <c r="D57" s="94"/>
      <c r="E57" s="94"/>
    </row>
    <row r="58" spans="1:5" x14ac:dyDescent="0.25">
      <c r="A58" s="100" t="str">
        <f>inputPrYr!B46</f>
        <v>911 Emergency Telephone Tax</v>
      </c>
      <c r="B58" s="542">
        <v>10000</v>
      </c>
      <c r="C58" s="94"/>
      <c r="D58" s="94"/>
      <c r="E58" s="94"/>
    </row>
    <row r="59" spans="1:5" x14ac:dyDescent="0.25">
      <c r="A59" s="100" t="str">
        <f>inputPrYr!B47</f>
        <v>911 Wireless Phone Tax</v>
      </c>
      <c r="B59" s="542">
        <v>9000</v>
      </c>
      <c r="C59" s="94"/>
      <c r="D59" s="94"/>
      <c r="E59" s="94"/>
    </row>
    <row r="60" spans="1:5" x14ac:dyDescent="0.25">
      <c r="A60" s="100" t="str">
        <f>inputPrYr!B48</f>
        <v>Edwards Co 911</v>
      </c>
      <c r="B60" s="542">
        <v>50000</v>
      </c>
      <c r="C60" s="94"/>
      <c r="D60" s="94"/>
      <c r="E60" s="94"/>
    </row>
    <row r="61" spans="1:5" x14ac:dyDescent="0.25">
      <c r="A61" s="100">
        <f>inputPrYr!B49</f>
        <v>0</v>
      </c>
      <c r="B61" s="46"/>
      <c r="C61" s="94"/>
      <c r="D61" s="94"/>
      <c r="E61" s="94"/>
    </row>
    <row r="62" spans="1:5" x14ac:dyDescent="0.25">
      <c r="A62" s="100">
        <f>inputPrYr!B50</f>
        <v>0</v>
      </c>
      <c r="B62" s="46"/>
      <c r="C62" s="94"/>
      <c r="D62" s="94"/>
      <c r="E62" s="94"/>
    </row>
    <row r="63" spans="1:5" x14ac:dyDescent="0.25">
      <c r="A63" s="100">
        <f>inputPrYr!B51</f>
        <v>0</v>
      </c>
      <c r="B63" s="46"/>
      <c r="C63" s="94"/>
      <c r="D63" s="94"/>
      <c r="E63" s="94"/>
    </row>
    <row r="64" spans="1:5" x14ac:dyDescent="0.25">
      <c r="A64" s="100">
        <f>inputPrYr!B52</f>
        <v>0</v>
      </c>
      <c r="B64" s="46"/>
      <c r="C64" s="94"/>
      <c r="D64" s="94"/>
      <c r="E64" s="94"/>
    </row>
    <row r="65" spans="1:5" x14ac:dyDescent="0.25">
      <c r="A65" s="100">
        <f>inputPrYr!B53</f>
        <v>0</v>
      </c>
      <c r="B65" s="46"/>
      <c r="C65" s="94"/>
      <c r="D65" s="94"/>
      <c r="E65" s="94"/>
    </row>
    <row r="66" spans="1:5" x14ac:dyDescent="0.25">
      <c r="A66" s="100">
        <f>inputPrYr!B54</f>
        <v>0</v>
      </c>
      <c r="B66" s="46"/>
      <c r="C66" s="94"/>
      <c r="D66" s="94"/>
      <c r="E66" s="94"/>
    </row>
    <row r="67" spans="1:5" x14ac:dyDescent="0.25">
      <c r="A67" s="100">
        <f>inputPrYr!B55</f>
        <v>0</v>
      </c>
      <c r="B67" s="46"/>
      <c r="C67" s="94"/>
      <c r="D67" s="94"/>
      <c r="E67" s="94"/>
    </row>
    <row r="68" spans="1:5" x14ac:dyDescent="0.25">
      <c r="A68" s="100">
        <f>inputPrYr!B56</f>
        <v>0</v>
      </c>
      <c r="B68" s="46"/>
      <c r="C68" s="94"/>
      <c r="D68" s="94"/>
      <c r="E68" s="94"/>
    </row>
    <row r="69" spans="1:5" x14ac:dyDescent="0.25">
      <c r="A69" s="100">
        <f>inputPrYr!B57</f>
        <v>0</v>
      </c>
      <c r="B69" s="46"/>
      <c r="C69" s="94"/>
      <c r="D69" s="94"/>
      <c r="E69" s="94"/>
    </row>
    <row r="70" spans="1:5" x14ac:dyDescent="0.25">
      <c r="A70" s="100">
        <f>inputPrYr!B58</f>
        <v>0</v>
      </c>
      <c r="B70" s="46"/>
      <c r="C70" s="94"/>
      <c r="D70" s="94"/>
      <c r="E70" s="94"/>
    </row>
  </sheetData>
  <mergeCells count="4">
    <mergeCell ref="A3:E3"/>
    <mergeCell ref="A26:B26"/>
    <mergeCell ref="B27:B29"/>
    <mergeCell ref="C27:E27"/>
  </mergeCells>
  <phoneticPr fontId="8" type="noConversion"/>
  <pageMargins left="0.75" right="0.75" top="1" bottom="1" header="0.5" footer="0.5"/>
  <pageSetup scale="6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ColWidth="8.9140625" defaultRowHeight="15.6" x14ac:dyDescent="0.25"/>
  <cols>
    <col min="1" max="1" width="11.58203125" style="25" customWidth="1"/>
    <col min="2" max="2" width="7.4140625" style="25" customWidth="1"/>
    <col min="3" max="3" width="11.58203125" style="25" customWidth="1"/>
    <col min="4" max="4" width="7.4140625" style="25" customWidth="1"/>
    <col min="5" max="5" width="11.58203125" style="25" customWidth="1"/>
    <col min="6" max="6" width="7.4140625" style="25" customWidth="1"/>
    <col min="7" max="7" width="11.58203125" style="25" customWidth="1"/>
    <col min="8" max="8" width="7.4140625" style="25" customWidth="1"/>
    <col min="9" max="9" width="11.58203125" style="25" customWidth="1"/>
    <col min="10" max="16384" width="8.9140625" style="25"/>
  </cols>
  <sheetData>
    <row r="1" spans="1:11" x14ac:dyDescent="0.25">
      <c r="A1" s="85" t="str">
        <f>inputPrYr!$C$2</f>
        <v>Edwards County</v>
      </c>
      <c r="B1" s="262"/>
      <c r="C1" s="66"/>
      <c r="D1" s="66"/>
      <c r="E1" s="66"/>
      <c r="F1" s="263" t="s">
        <v>17</v>
      </c>
      <c r="G1" s="66"/>
      <c r="H1" s="66"/>
      <c r="I1" s="66"/>
      <c r="J1" s="66"/>
      <c r="K1" s="66">
        <f>inputPrYr!$C$4</f>
        <v>2015</v>
      </c>
    </row>
    <row r="2" spans="1:11" x14ac:dyDescent="0.25">
      <c r="A2" s="66"/>
      <c r="B2" s="66"/>
      <c r="C2" s="66"/>
      <c r="D2" s="66"/>
      <c r="E2" s="66"/>
      <c r="F2" s="264" t="str">
        <f>CONCATENATE("(Only the actual budget year for ",K1-2," is to be shown)")</f>
        <v>(Only the actual budget year for 2013 is to be shown)</v>
      </c>
      <c r="G2" s="66"/>
      <c r="H2" s="66"/>
      <c r="I2" s="66"/>
      <c r="J2" s="66"/>
      <c r="K2" s="66"/>
    </row>
    <row r="3" spans="1:11" x14ac:dyDescent="0.25">
      <c r="A3" s="66" t="s">
        <v>18</v>
      </c>
      <c r="B3" s="66"/>
      <c r="C3" s="66"/>
      <c r="D3" s="66"/>
      <c r="E3" s="66"/>
      <c r="F3" s="262"/>
      <c r="G3" s="66"/>
      <c r="H3" s="66"/>
      <c r="I3" s="66"/>
      <c r="J3" s="66"/>
      <c r="K3" s="66"/>
    </row>
    <row r="4" spans="1:11" x14ac:dyDescent="0.25">
      <c r="A4" s="66" t="s">
        <v>10</v>
      </c>
      <c r="B4" s="66"/>
      <c r="C4" s="66" t="s">
        <v>11</v>
      </c>
      <c r="D4" s="66"/>
      <c r="E4" s="66" t="s">
        <v>12</v>
      </c>
      <c r="F4" s="262"/>
      <c r="G4" s="66" t="s">
        <v>13</v>
      </c>
      <c r="H4" s="66"/>
      <c r="I4" s="66" t="s">
        <v>14</v>
      </c>
      <c r="J4" s="66"/>
      <c r="K4" s="66"/>
    </row>
    <row r="5" spans="1:11" x14ac:dyDescent="0.25">
      <c r="A5" s="721" t="str">
        <f>IF(inputPrYr!B68&gt;" ",(inputPrYr!B68)," ")</f>
        <v>Special Highwary Improvement</v>
      </c>
      <c r="B5" s="722"/>
      <c r="C5" s="719" t="str">
        <f>IF(inputPrYr!B69&gt;" ",(inputPrYr!B69)," ")</f>
        <v xml:space="preserve">Special Machinery </v>
      </c>
      <c r="D5" s="720"/>
      <c r="E5" s="719" t="str">
        <f>IF(inputPrYr!B70&gt;" ",(inputPrYr!B70)," ")</f>
        <v>Capital Improvements</v>
      </c>
      <c r="F5" s="720"/>
      <c r="G5" s="719" t="str">
        <f>IF(inputPrYr!B71&gt;" ",(inputPrYr!B71)," ")</f>
        <v>Equipment Reserve</v>
      </c>
      <c r="H5" s="720"/>
      <c r="I5" s="719" t="str">
        <f>IF(inputPrYr!B72&gt;" ",(inputPrYr!B72)," ")</f>
        <v>Retainage Contracts</v>
      </c>
      <c r="J5" s="720"/>
      <c r="K5" s="266"/>
    </row>
    <row r="6" spans="1:11" x14ac:dyDescent="0.25">
      <c r="A6" s="267" t="s">
        <v>15</v>
      </c>
      <c r="B6" s="268"/>
      <c r="C6" s="269" t="s">
        <v>15</v>
      </c>
      <c r="D6" s="270"/>
      <c r="E6" s="269" t="s">
        <v>15</v>
      </c>
      <c r="F6" s="265"/>
      <c r="G6" s="269" t="s">
        <v>15</v>
      </c>
      <c r="H6" s="271"/>
      <c r="I6" s="269" t="s">
        <v>15</v>
      </c>
      <c r="J6" s="66"/>
      <c r="K6" s="272" t="s">
        <v>46</v>
      </c>
    </row>
    <row r="7" spans="1:11" x14ac:dyDescent="0.25">
      <c r="A7" s="273" t="s">
        <v>39</v>
      </c>
      <c r="B7" s="274">
        <v>66779</v>
      </c>
      <c r="C7" s="275" t="s">
        <v>39</v>
      </c>
      <c r="D7" s="274">
        <v>190534</v>
      </c>
      <c r="E7" s="275" t="s">
        <v>39</v>
      </c>
      <c r="F7" s="274">
        <v>555803</v>
      </c>
      <c r="G7" s="275" t="s">
        <v>39</v>
      </c>
      <c r="H7" s="274">
        <v>525970</v>
      </c>
      <c r="I7" s="275" t="s">
        <v>39</v>
      </c>
      <c r="J7" s="274">
        <v>608</v>
      </c>
      <c r="K7" s="276">
        <f>SUM(B7+D7+F7+H7+J7)</f>
        <v>1339694</v>
      </c>
    </row>
    <row r="8" spans="1:11" x14ac:dyDescent="0.25">
      <c r="A8" s="277" t="s">
        <v>188</v>
      </c>
      <c r="B8" s="278"/>
      <c r="C8" s="277" t="s">
        <v>188</v>
      </c>
      <c r="D8" s="279"/>
      <c r="E8" s="277" t="s">
        <v>188</v>
      </c>
      <c r="F8" s="262"/>
      <c r="G8" s="277" t="s">
        <v>188</v>
      </c>
      <c r="H8" s="66"/>
      <c r="I8" s="277" t="s">
        <v>188</v>
      </c>
      <c r="J8" s="66"/>
      <c r="K8" s="262"/>
    </row>
    <row r="9" spans="1:11" x14ac:dyDescent="0.25">
      <c r="A9" s="639" t="s">
        <v>433</v>
      </c>
      <c r="B9" s="274">
        <v>106644</v>
      </c>
      <c r="C9" s="639" t="s">
        <v>422</v>
      </c>
      <c r="D9" s="274"/>
      <c r="E9" s="639" t="s">
        <v>422</v>
      </c>
      <c r="F9" s="274"/>
      <c r="G9" s="639" t="s">
        <v>422</v>
      </c>
      <c r="H9" s="274"/>
      <c r="I9" s="639" t="s">
        <v>422</v>
      </c>
      <c r="J9" s="274"/>
      <c r="K9" s="262"/>
    </row>
    <row r="10" spans="1:11" x14ac:dyDescent="0.25">
      <c r="A10" s="639" t="s">
        <v>423</v>
      </c>
      <c r="B10" s="274"/>
      <c r="C10" s="639" t="s">
        <v>423</v>
      </c>
      <c r="D10" s="274"/>
      <c r="E10" s="639" t="s">
        <v>423</v>
      </c>
      <c r="F10" s="274"/>
      <c r="G10" s="639" t="s">
        <v>423</v>
      </c>
      <c r="H10" s="274"/>
      <c r="I10" s="639" t="s">
        <v>423</v>
      </c>
      <c r="J10" s="274"/>
      <c r="K10" s="262"/>
    </row>
    <row r="11" spans="1:11" x14ac:dyDescent="0.25">
      <c r="A11" s="639" t="s">
        <v>424</v>
      </c>
      <c r="B11" s="274"/>
      <c r="C11" s="639" t="s">
        <v>424</v>
      </c>
      <c r="D11" s="274"/>
      <c r="E11" s="639" t="s">
        <v>424</v>
      </c>
      <c r="F11" s="274"/>
      <c r="G11" s="639" t="s">
        <v>424</v>
      </c>
      <c r="H11" s="274"/>
      <c r="I11" s="639" t="s">
        <v>424</v>
      </c>
      <c r="J11" s="274"/>
      <c r="K11" s="262"/>
    </row>
    <row r="12" spans="1:11" x14ac:dyDescent="0.25">
      <c r="A12" s="639" t="s">
        <v>138</v>
      </c>
      <c r="B12" s="274"/>
      <c r="C12" s="639" t="s">
        <v>138</v>
      </c>
      <c r="D12" s="274"/>
      <c r="E12" s="639" t="s">
        <v>138</v>
      </c>
      <c r="F12" s="274"/>
      <c r="G12" s="639" t="s">
        <v>138</v>
      </c>
      <c r="H12" s="274"/>
      <c r="I12" s="639" t="s">
        <v>138</v>
      </c>
      <c r="J12" s="274">
        <v>1</v>
      </c>
      <c r="K12" s="262"/>
    </row>
    <row r="13" spans="1:11" x14ac:dyDescent="0.25">
      <c r="A13" s="640" t="s">
        <v>107</v>
      </c>
      <c r="B13" s="274"/>
      <c r="C13" s="640" t="s">
        <v>107</v>
      </c>
      <c r="D13" s="274"/>
      <c r="E13" s="640" t="s">
        <v>107</v>
      </c>
      <c r="F13" s="274">
        <v>25809</v>
      </c>
      <c r="G13" s="640" t="s">
        <v>107</v>
      </c>
      <c r="H13" s="274">
        <v>36878</v>
      </c>
      <c r="I13" s="640" t="s">
        <v>107</v>
      </c>
      <c r="J13" s="274">
        <v>1521</v>
      </c>
      <c r="K13" s="262"/>
    </row>
    <row r="14" spans="1:11" x14ac:dyDescent="0.25">
      <c r="A14" s="639" t="s">
        <v>425</v>
      </c>
      <c r="B14" s="274"/>
      <c r="C14" s="639" t="s">
        <v>425</v>
      </c>
      <c r="D14" s="274"/>
      <c r="E14" s="639" t="s">
        <v>435</v>
      </c>
      <c r="F14" s="274">
        <v>68995</v>
      </c>
      <c r="G14" s="639" t="s">
        <v>435</v>
      </c>
      <c r="H14" s="274">
        <v>50000</v>
      </c>
      <c r="I14" s="639" t="s">
        <v>425</v>
      </c>
      <c r="J14" s="274"/>
      <c r="K14" s="262"/>
    </row>
    <row r="15" spans="1:11" x14ac:dyDescent="0.25">
      <c r="A15" s="639" t="s">
        <v>434</v>
      </c>
      <c r="B15" s="274">
        <v>20000</v>
      </c>
      <c r="C15" s="639" t="s">
        <v>434</v>
      </c>
      <c r="D15" s="274">
        <v>80000</v>
      </c>
      <c r="E15" s="639"/>
      <c r="F15" s="274"/>
      <c r="G15" s="639"/>
      <c r="H15" s="274"/>
      <c r="I15" s="639"/>
      <c r="J15" s="274"/>
      <c r="K15" s="262"/>
    </row>
    <row r="16" spans="1:11" x14ac:dyDescent="0.25">
      <c r="A16" s="639"/>
      <c r="B16" s="274"/>
      <c r="C16" s="639"/>
      <c r="D16" s="274"/>
      <c r="E16" s="639"/>
      <c r="F16" s="274"/>
      <c r="G16" s="639"/>
      <c r="H16" s="274"/>
      <c r="I16" s="639"/>
      <c r="J16" s="274"/>
      <c r="K16" s="262"/>
    </row>
    <row r="17" spans="1:12" x14ac:dyDescent="0.25">
      <c r="A17" s="638" t="s">
        <v>81</v>
      </c>
      <c r="B17" s="276">
        <f>SUM(B9:B16)</f>
        <v>126644</v>
      </c>
      <c r="C17" s="638" t="s">
        <v>81</v>
      </c>
      <c r="D17" s="276">
        <f>SUM(D9:D16)</f>
        <v>80000</v>
      </c>
      <c r="E17" s="638" t="s">
        <v>81</v>
      </c>
      <c r="F17" s="325">
        <f>SUM(F9:F16)</f>
        <v>94804</v>
      </c>
      <c r="G17" s="638" t="s">
        <v>81</v>
      </c>
      <c r="H17" s="276">
        <f>SUM(H9:H16)</f>
        <v>86878</v>
      </c>
      <c r="I17" s="638" t="s">
        <v>81</v>
      </c>
      <c r="J17" s="276">
        <f>SUM(J9:J16)</f>
        <v>1522</v>
      </c>
      <c r="K17" s="276">
        <f>SUM(B17+D17+F17+H17+J17)</f>
        <v>389848</v>
      </c>
    </row>
    <row r="18" spans="1:12" x14ac:dyDescent="0.25">
      <c r="A18" s="638" t="s">
        <v>82</v>
      </c>
      <c r="B18" s="276">
        <f>SUM(B7+B17)</f>
        <v>193423</v>
      </c>
      <c r="C18" s="638" t="s">
        <v>82</v>
      </c>
      <c r="D18" s="276">
        <f>SUM(D7+D17)</f>
        <v>270534</v>
      </c>
      <c r="E18" s="638" t="s">
        <v>82</v>
      </c>
      <c r="F18" s="276">
        <f>SUM(F7+F17)</f>
        <v>650607</v>
      </c>
      <c r="G18" s="638" t="s">
        <v>82</v>
      </c>
      <c r="H18" s="276">
        <f>SUM(H7+H17)</f>
        <v>612848</v>
      </c>
      <c r="I18" s="638" t="s">
        <v>82</v>
      </c>
      <c r="J18" s="276">
        <f>SUM(J7+J17)</f>
        <v>2130</v>
      </c>
      <c r="K18" s="276">
        <f>SUM(B18+D18+F18+H18+J18)</f>
        <v>1729542</v>
      </c>
    </row>
    <row r="19" spans="1:12" x14ac:dyDescent="0.25">
      <c r="A19" s="638" t="s">
        <v>85</v>
      </c>
      <c r="B19" s="278"/>
      <c r="C19" s="638" t="s">
        <v>85</v>
      </c>
      <c r="D19" s="279"/>
      <c r="E19" s="638" t="s">
        <v>85</v>
      </c>
      <c r="F19" s="262"/>
      <c r="G19" s="638" t="s">
        <v>85</v>
      </c>
      <c r="H19" s="66"/>
      <c r="I19" s="638" t="s">
        <v>85</v>
      </c>
      <c r="J19" s="66"/>
      <c r="K19" s="262"/>
    </row>
    <row r="20" spans="1:12" x14ac:dyDescent="0.25">
      <c r="A20" s="639" t="s">
        <v>427</v>
      </c>
      <c r="B20" s="274"/>
      <c r="C20" s="639" t="s">
        <v>427</v>
      </c>
      <c r="D20" s="274"/>
      <c r="E20" s="639" t="s">
        <v>427</v>
      </c>
      <c r="F20" s="274"/>
      <c r="G20" s="639" t="s">
        <v>427</v>
      </c>
      <c r="H20" s="274"/>
      <c r="I20" s="639" t="s">
        <v>427</v>
      </c>
      <c r="J20" s="274"/>
      <c r="K20" s="262"/>
    </row>
    <row r="21" spans="1:12" x14ac:dyDescent="0.25">
      <c r="A21" s="639" t="s">
        <v>420</v>
      </c>
      <c r="B21" s="274">
        <v>130158</v>
      </c>
      <c r="C21" s="639" t="s">
        <v>420</v>
      </c>
      <c r="D21" s="274"/>
      <c r="E21" s="639" t="s">
        <v>420</v>
      </c>
      <c r="F21" s="274"/>
      <c r="G21" s="639" t="s">
        <v>420</v>
      </c>
      <c r="H21" s="274"/>
      <c r="I21" s="639" t="s">
        <v>420</v>
      </c>
      <c r="J21" s="274"/>
      <c r="K21" s="262"/>
    </row>
    <row r="22" spans="1:12" x14ac:dyDescent="0.25">
      <c r="A22" s="639" t="s">
        <v>378</v>
      </c>
      <c r="B22" s="274">
        <v>14743</v>
      </c>
      <c r="C22" s="639" t="s">
        <v>378</v>
      </c>
      <c r="D22" s="274"/>
      <c r="E22" s="639" t="s">
        <v>378</v>
      </c>
      <c r="F22" s="274"/>
      <c r="G22" s="639" t="s">
        <v>378</v>
      </c>
      <c r="H22" s="274"/>
      <c r="I22" s="639" t="s">
        <v>378</v>
      </c>
      <c r="J22" s="274">
        <v>1430</v>
      </c>
      <c r="K22" s="262"/>
    </row>
    <row r="23" spans="1:12" x14ac:dyDescent="0.25">
      <c r="A23" s="639" t="s">
        <v>421</v>
      </c>
      <c r="B23" s="274">
        <v>10</v>
      </c>
      <c r="C23" s="639" t="s">
        <v>421</v>
      </c>
      <c r="D23" s="274">
        <v>148971</v>
      </c>
      <c r="E23" s="639" t="s">
        <v>421</v>
      </c>
      <c r="F23" s="274">
        <v>191882</v>
      </c>
      <c r="G23" s="639" t="s">
        <v>421</v>
      </c>
      <c r="H23" s="274">
        <v>160503</v>
      </c>
      <c r="I23" s="639" t="s">
        <v>421</v>
      </c>
      <c r="J23" s="274"/>
      <c r="K23" s="262"/>
    </row>
    <row r="24" spans="1:12" x14ac:dyDescent="0.25">
      <c r="A24" s="639" t="s">
        <v>428</v>
      </c>
      <c r="B24" s="274"/>
      <c r="C24" s="639" t="s">
        <v>428</v>
      </c>
      <c r="D24" s="274"/>
      <c r="E24" s="639" t="s">
        <v>428</v>
      </c>
      <c r="F24" s="274"/>
      <c r="G24" s="639" t="s">
        <v>428</v>
      </c>
      <c r="H24" s="274"/>
      <c r="I24" s="639" t="s">
        <v>428</v>
      </c>
      <c r="J24" s="274"/>
      <c r="K24" s="262"/>
    </row>
    <row r="25" spans="1:12" x14ac:dyDescent="0.25">
      <c r="A25" s="639"/>
      <c r="B25" s="274"/>
      <c r="C25" s="639"/>
      <c r="D25" s="274"/>
      <c r="E25" s="639"/>
      <c r="F25" s="274"/>
      <c r="G25" s="639"/>
      <c r="H25" s="274"/>
      <c r="I25" s="639"/>
      <c r="J25" s="274"/>
      <c r="K25" s="262"/>
    </row>
    <row r="26" spans="1:12" x14ac:dyDescent="0.25">
      <c r="A26" s="639" t="s">
        <v>429</v>
      </c>
      <c r="B26" s="274"/>
      <c r="C26" s="639" t="s">
        <v>429</v>
      </c>
      <c r="D26" s="274"/>
      <c r="E26" s="639" t="s">
        <v>429</v>
      </c>
      <c r="F26" s="274"/>
      <c r="G26" s="639" t="s">
        <v>429</v>
      </c>
      <c r="H26" s="274"/>
      <c r="I26" s="639" t="s">
        <v>429</v>
      </c>
      <c r="J26" s="274"/>
      <c r="K26" s="262"/>
    </row>
    <row r="27" spans="1:12" x14ac:dyDescent="0.25">
      <c r="A27" s="280"/>
      <c r="B27" s="274"/>
      <c r="C27" s="280"/>
      <c r="D27" s="274"/>
      <c r="E27" s="280"/>
      <c r="F27" s="274"/>
      <c r="G27" s="283"/>
      <c r="H27" s="274"/>
      <c r="I27" s="283"/>
      <c r="J27" s="274"/>
      <c r="K27" s="262"/>
    </row>
    <row r="28" spans="1:12" x14ac:dyDescent="0.25">
      <c r="A28" s="277" t="s">
        <v>86</v>
      </c>
      <c r="B28" s="276">
        <f>SUM(B20:B27)</f>
        <v>144911</v>
      </c>
      <c r="C28" s="277" t="s">
        <v>86</v>
      </c>
      <c r="D28" s="276">
        <f>SUM(D20:D27)</f>
        <v>148971</v>
      </c>
      <c r="E28" s="277" t="s">
        <v>86</v>
      </c>
      <c r="F28" s="325">
        <f>SUM(F20:F27)</f>
        <v>191882</v>
      </c>
      <c r="G28" s="277" t="s">
        <v>86</v>
      </c>
      <c r="H28" s="325">
        <f>SUM(H20:H27)</f>
        <v>160503</v>
      </c>
      <c r="I28" s="277" t="s">
        <v>86</v>
      </c>
      <c r="J28" s="276">
        <f>SUM(J20:J27)</f>
        <v>1430</v>
      </c>
      <c r="K28" s="276">
        <f>SUM(B28+D28+F28+H28+J28)</f>
        <v>647697</v>
      </c>
    </row>
    <row r="29" spans="1:12" x14ac:dyDescent="0.25">
      <c r="A29" s="277" t="s">
        <v>16</v>
      </c>
      <c r="B29" s="276">
        <f>B18-B28</f>
        <v>48512</v>
      </c>
      <c r="C29" s="277" t="s">
        <v>16</v>
      </c>
      <c r="D29" s="276">
        <f>D18-D28</f>
        <v>121563</v>
      </c>
      <c r="E29" s="277" t="s">
        <v>16</v>
      </c>
      <c r="F29" s="276">
        <f>F18-F28</f>
        <v>458725</v>
      </c>
      <c r="G29" s="277" t="s">
        <v>16</v>
      </c>
      <c r="H29" s="276">
        <f>H18-H28</f>
        <v>452345</v>
      </c>
      <c r="I29" s="277" t="s">
        <v>16</v>
      </c>
      <c r="J29" s="276">
        <f>J18-J28</f>
        <v>700</v>
      </c>
      <c r="K29" s="286">
        <f>SUM(B29+D29+F29+H29+J29)</f>
        <v>1081845</v>
      </c>
      <c r="L29" s="25" t="s">
        <v>30</v>
      </c>
    </row>
    <row r="30" spans="1:12" x14ac:dyDescent="0.25">
      <c r="A30" s="277"/>
      <c r="B30" s="314" t="str">
        <f>IF(B29&lt;0,"See Tab B","")</f>
        <v/>
      </c>
      <c r="C30" s="277"/>
      <c r="D30" s="314" t="str">
        <f>IF(D29&lt;0,"See Tab B","")</f>
        <v/>
      </c>
      <c r="E30" s="277"/>
      <c r="F30" s="314" t="str">
        <f>IF(F29&lt;0,"See Tab B","")</f>
        <v/>
      </c>
      <c r="G30" s="66"/>
      <c r="H30" s="314" t="str">
        <f>IF(H29&lt;0,"See Tab B","")</f>
        <v/>
      </c>
      <c r="I30" s="66"/>
      <c r="J30" s="314" t="str">
        <f>IF(J29&lt;0,"See Tab B","")</f>
        <v/>
      </c>
      <c r="K30" s="286">
        <f>SUM(K7+K17-K28)</f>
        <v>1081845</v>
      </c>
      <c r="L30" s="25" t="s">
        <v>30</v>
      </c>
    </row>
    <row r="31" spans="1:12" x14ac:dyDescent="0.25">
      <c r="A31" s="66"/>
      <c r="B31" s="287"/>
      <c r="C31" s="66"/>
      <c r="D31" s="262"/>
      <c r="E31" s="66"/>
      <c r="F31" s="66"/>
      <c r="G31" s="26" t="s">
        <v>31</v>
      </c>
      <c r="H31" s="26"/>
      <c r="I31" s="26"/>
      <c r="J31" s="26"/>
      <c r="K31" s="66"/>
    </row>
    <row r="32" spans="1:12" x14ac:dyDescent="0.25">
      <c r="A32" s="66"/>
      <c r="B32" s="287"/>
      <c r="C32" s="66"/>
      <c r="D32" s="66"/>
      <c r="E32" s="66"/>
      <c r="F32" s="66"/>
      <c r="G32" s="66"/>
      <c r="H32" s="66"/>
      <c r="I32" s="66"/>
      <c r="J32" s="66"/>
      <c r="K32" s="66"/>
    </row>
    <row r="33" spans="1:11" x14ac:dyDescent="0.25">
      <c r="A33" s="66"/>
      <c r="B33" s="287"/>
      <c r="C33" s="66"/>
      <c r="D33" s="66"/>
      <c r="E33" s="241" t="s">
        <v>108</v>
      </c>
      <c r="F33" s="258">
        <v>15</v>
      </c>
      <c r="G33" s="66"/>
      <c r="H33" s="66"/>
      <c r="I33" s="66"/>
      <c r="J33" s="66"/>
      <c r="K33" s="66"/>
    </row>
    <row r="34" spans="1:11" x14ac:dyDescent="0.25">
      <c r="B34" s="288"/>
    </row>
    <row r="35" spans="1:11" x14ac:dyDescent="0.25">
      <c r="B35" s="288"/>
    </row>
    <row r="36" spans="1:11" x14ac:dyDescent="0.25">
      <c r="B36" s="288"/>
    </row>
    <row r="37" spans="1:11" x14ac:dyDescent="0.25">
      <c r="B37" s="288"/>
    </row>
    <row r="38" spans="1:11" x14ac:dyDescent="0.25">
      <c r="B38" s="288"/>
    </row>
    <row r="39" spans="1:11" x14ac:dyDescent="0.25">
      <c r="B39" s="288"/>
    </row>
    <row r="40" spans="1:11" x14ac:dyDescent="0.25">
      <c r="B40" s="288"/>
    </row>
    <row r="41" spans="1:11" x14ac:dyDescent="0.25">
      <c r="B41" s="288"/>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ColWidth="8.9140625" defaultRowHeight="15.6" x14ac:dyDescent="0.25"/>
  <cols>
    <col min="1" max="1" width="11.58203125" style="25" customWidth="1"/>
    <col min="2" max="2" width="7.4140625" style="25" customWidth="1"/>
    <col min="3" max="3" width="11.58203125" style="25" customWidth="1"/>
    <col min="4" max="4" width="7.4140625" style="25" customWidth="1"/>
    <col min="5" max="5" width="11.58203125" style="25" customWidth="1"/>
    <col min="6" max="6" width="7.4140625" style="25" customWidth="1"/>
    <col min="7" max="7" width="11.58203125" style="25" customWidth="1"/>
    <col min="8" max="8" width="7.4140625" style="25" customWidth="1"/>
    <col min="9" max="9" width="11.58203125" style="25" customWidth="1"/>
    <col min="10" max="16384" width="8.9140625" style="25"/>
  </cols>
  <sheetData>
    <row r="1" spans="1:11" x14ac:dyDescent="0.25">
      <c r="A1" s="85" t="str">
        <f>inputPrYr!$C$2</f>
        <v>Edwards County</v>
      </c>
      <c r="B1" s="262"/>
      <c r="C1" s="66"/>
      <c r="D1" s="66"/>
      <c r="E1" s="66"/>
      <c r="F1" s="263" t="s">
        <v>19</v>
      </c>
      <c r="G1" s="66"/>
      <c r="H1" s="66"/>
      <c r="I1" s="66"/>
      <c r="J1" s="66"/>
      <c r="K1" s="66">
        <f>inputPrYr!$C$4</f>
        <v>2015</v>
      </c>
    </row>
    <row r="2" spans="1:11" x14ac:dyDescent="0.25">
      <c r="A2" s="66"/>
      <c r="B2" s="66"/>
      <c r="C2" s="66"/>
      <c r="D2" s="66"/>
      <c r="E2" s="66"/>
      <c r="F2" s="264" t="str">
        <f>CONCATENATE("(Only the actual budget year for ",K1-2," is to be shown)")</f>
        <v>(Only the actual budget year for 2013 is to be shown)</v>
      </c>
      <c r="G2" s="66"/>
      <c r="H2" s="66"/>
      <c r="I2" s="66"/>
      <c r="J2" s="66"/>
      <c r="K2" s="66"/>
    </row>
    <row r="3" spans="1:11" x14ac:dyDescent="0.25">
      <c r="A3" s="66" t="s">
        <v>20</v>
      </c>
      <c r="B3" s="66"/>
      <c r="C3" s="66"/>
      <c r="D3" s="66"/>
      <c r="E3" s="66"/>
      <c r="F3" s="262"/>
      <c r="G3" s="66"/>
      <c r="H3" s="66"/>
      <c r="I3" s="66"/>
      <c r="J3" s="66"/>
      <c r="K3" s="66"/>
    </row>
    <row r="4" spans="1:11" x14ac:dyDescent="0.25">
      <c r="A4" s="66" t="s">
        <v>10</v>
      </c>
      <c r="B4" s="66"/>
      <c r="C4" s="66" t="s">
        <v>11</v>
      </c>
      <c r="D4" s="66"/>
      <c r="E4" s="66" t="s">
        <v>12</v>
      </c>
      <c r="F4" s="262"/>
      <c r="G4" s="66" t="s">
        <v>13</v>
      </c>
      <c r="H4" s="66"/>
      <c r="I4" s="66" t="s">
        <v>14</v>
      </c>
      <c r="J4" s="66"/>
      <c r="K4" s="66"/>
    </row>
    <row r="5" spans="1:11" x14ac:dyDescent="0.25">
      <c r="A5" s="719" t="str">
        <f>IF(inputPrYr!B74&gt;" ",(inputPrYr!B74)," ")</f>
        <v>Deeds Technology</v>
      </c>
      <c r="B5" s="720"/>
      <c r="C5" s="719" t="str">
        <f>IF(inputPrYr!B75&gt;" ",(inputPrYr!B75)," ")</f>
        <v>Concealed Carry Handgun</v>
      </c>
      <c r="D5" s="720"/>
      <c r="E5" s="719" t="str">
        <f>IF(inputPrYr!B76&gt;" ",(inputPrYr!B76)," ")</f>
        <v>Bioterroism Grants</v>
      </c>
      <c r="F5" s="720"/>
      <c r="G5" s="719" t="str">
        <f>IF(inputPrYr!B77&gt;" ",(inputPrYr!B77)," ")</f>
        <v>Emergency Preparedness</v>
      </c>
      <c r="H5" s="720"/>
      <c r="I5" s="719" t="str">
        <f>IF(inputPrYr!B78&gt;" ",(inputPrYr!B78)," ")</f>
        <v>Offender Registration</v>
      </c>
      <c r="J5" s="720"/>
      <c r="K5" s="266"/>
    </row>
    <row r="6" spans="1:11" x14ac:dyDescent="0.25">
      <c r="A6" s="267" t="s">
        <v>15</v>
      </c>
      <c r="B6" s="268"/>
      <c r="C6" s="269" t="s">
        <v>15</v>
      </c>
      <c r="D6" s="270"/>
      <c r="E6" s="269" t="s">
        <v>15</v>
      </c>
      <c r="F6" s="265"/>
      <c r="G6" s="269" t="s">
        <v>15</v>
      </c>
      <c r="H6" s="271"/>
      <c r="I6" s="269" t="s">
        <v>15</v>
      </c>
      <c r="J6" s="66"/>
      <c r="K6" s="272" t="s">
        <v>46</v>
      </c>
    </row>
    <row r="7" spans="1:11" x14ac:dyDescent="0.25">
      <c r="A7" s="273" t="s">
        <v>39</v>
      </c>
      <c r="B7" s="274">
        <v>26574</v>
      </c>
      <c r="C7" s="275" t="s">
        <v>39</v>
      </c>
      <c r="D7" s="274">
        <v>2900</v>
      </c>
      <c r="E7" s="275" t="s">
        <v>39</v>
      </c>
      <c r="F7" s="274">
        <v>9581</v>
      </c>
      <c r="G7" s="275" t="s">
        <v>39</v>
      </c>
      <c r="H7" s="274">
        <v>15838</v>
      </c>
      <c r="I7" s="275" t="s">
        <v>39</v>
      </c>
      <c r="J7" s="274">
        <v>3180</v>
      </c>
      <c r="K7" s="276">
        <f>SUM(B7+D7+F7+H7+J7)</f>
        <v>58073</v>
      </c>
    </row>
    <row r="8" spans="1:11" x14ac:dyDescent="0.25">
      <c r="A8" s="277" t="s">
        <v>188</v>
      </c>
      <c r="B8" s="278"/>
      <c r="C8" s="277" t="s">
        <v>188</v>
      </c>
      <c r="D8" s="279"/>
      <c r="E8" s="277" t="s">
        <v>188</v>
      </c>
      <c r="F8" s="262"/>
      <c r="G8" s="277" t="s">
        <v>188</v>
      </c>
      <c r="H8" s="66"/>
      <c r="I8" s="277" t="s">
        <v>188</v>
      </c>
      <c r="J8" s="66"/>
      <c r="K8" s="262"/>
    </row>
    <row r="9" spans="1:11" x14ac:dyDescent="0.25">
      <c r="A9" s="639" t="s">
        <v>422</v>
      </c>
      <c r="B9" s="274"/>
      <c r="C9" s="639" t="s">
        <v>422</v>
      </c>
      <c r="D9" s="274"/>
      <c r="E9" s="639" t="s">
        <v>422</v>
      </c>
      <c r="F9" s="274">
        <v>3858</v>
      </c>
      <c r="G9" s="639" t="s">
        <v>422</v>
      </c>
      <c r="H9" s="274">
        <v>210</v>
      </c>
      <c r="I9" s="639" t="s">
        <v>422</v>
      </c>
      <c r="J9" s="274"/>
      <c r="K9" s="262"/>
    </row>
    <row r="10" spans="1:11" x14ac:dyDescent="0.25">
      <c r="A10" s="639" t="s">
        <v>423</v>
      </c>
      <c r="B10" s="274"/>
      <c r="C10" s="639" t="s">
        <v>423</v>
      </c>
      <c r="D10" s="274"/>
      <c r="E10" s="639" t="s">
        <v>423</v>
      </c>
      <c r="F10" s="274"/>
      <c r="G10" s="639" t="s">
        <v>423</v>
      </c>
      <c r="H10" s="274"/>
      <c r="I10" s="639" t="s">
        <v>423</v>
      </c>
      <c r="J10" s="274"/>
      <c r="K10" s="262"/>
    </row>
    <row r="11" spans="1:11" x14ac:dyDescent="0.25">
      <c r="A11" s="639" t="s">
        <v>424</v>
      </c>
      <c r="B11" s="274">
        <v>6456</v>
      </c>
      <c r="C11" s="639" t="s">
        <v>424</v>
      </c>
      <c r="D11" s="274">
        <v>1236</v>
      </c>
      <c r="E11" s="639" t="s">
        <v>424</v>
      </c>
      <c r="F11" s="274"/>
      <c r="G11" s="639" t="s">
        <v>424</v>
      </c>
      <c r="H11" s="274"/>
      <c r="I11" s="639" t="s">
        <v>424</v>
      </c>
      <c r="J11" s="274">
        <v>1120</v>
      </c>
      <c r="K11" s="262"/>
    </row>
    <row r="12" spans="1:11" x14ac:dyDescent="0.25">
      <c r="A12" s="639" t="s">
        <v>138</v>
      </c>
      <c r="B12" s="274">
        <v>10</v>
      </c>
      <c r="C12" s="639" t="s">
        <v>138</v>
      </c>
      <c r="D12" s="274"/>
      <c r="E12" s="639" t="s">
        <v>138</v>
      </c>
      <c r="F12" s="274"/>
      <c r="G12" s="639" t="s">
        <v>138</v>
      </c>
      <c r="H12" s="274"/>
      <c r="I12" s="639" t="s">
        <v>138</v>
      </c>
      <c r="J12" s="274"/>
      <c r="K12" s="262"/>
    </row>
    <row r="13" spans="1:11" x14ac:dyDescent="0.25">
      <c r="A13" s="640" t="s">
        <v>107</v>
      </c>
      <c r="B13" s="274"/>
      <c r="C13" s="640" t="s">
        <v>107</v>
      </c>
      <c r="D13" s="274"/>
      <c r="E13" s="640" t="s">
        <v>107</v>
      </c>
      <c r="F13" s="274"/>
      <c r="G13" s="640" t="s">
        <v>107</v>
      </c>
      <c r="H13" s="274"/>
      <c r="I13" s="640" t="s">
        <v>107</v>
      </c>
      <c r="J13" s="274"/>
      <c r="K13" s="262"/>
    </row>
    <row r="14" spans="1:11" x14ac:dyDescent="0.25">
      <c r="A14" s="639" t="s">
        <v>425</v>
      </c>
      <c r="B14" s="274"/>
      <c r="C14" s="639" t="s">
        <v>425</v>
      </c>
      <c r="D14" s="274"/>
      <c r="E14" s="639" t="s">
        <v>425</v>
      </c>
      <c r="F14" s="274"/>
      <c r="G14" s="639" t="s">
        <v>425</v>
      </c>
      <c r="H14" s="274"/>
      <c r="I14" s="639" t="s">
        <v>425</v>
      </c>
      <c r="J14" s="274"/>
      <c r="K14" s="262"/>
    </row>
    <row r="15" spans="1:11" x14ac:dyDescent="0.25">
      <c r="A15" s="639"/>
      <c r="B15" s="274"/>
      <c r="C15" s="639"/>
      <c r="D15" s="274"/>
      <c r="E15" s="639"/>
      <c r="F15" s="274"/>
      <c r="G15" s="639"/>
      <c r="H15" s="274"/>
      <c r="I15" s="639"/>
      <c r="J15" s="274"/>
      <c r="K15" s="262"/>
    </row>
    <row r="16" spans="1:11" x14ac:dyDescent="0.25">
      <c r="A16" s="639"/>
      <c r="B16" s="274"/>
      <c r="C16" s="639"/>
      <c r="D16" s="274"/>
      <c r="E16" s="639"/>
      <c r="F16" s="274"/>
      <c r="G16" s="639"/>
      <c r="H16" s="274"/>
      <c r="I16" s="639"/>
      <c r="J16" s="274"/>
      <c r="K16" s="262"/>
    </row>
    <row r="17" spans="1:12" x14ac:dyDescent="0.25">
      <c r="A17" s="638" t="s">
        <v>81</v>
      </c>
      <c r="B17" s="276">
        <f>SUM(B9:B16)</f>
        <v>6466</v>
      </c>
      <c r="C17" s="638" t="s">
        <v>81</v>
      </c>
      <c r="D17" s="276">
        <f>SUM(D9:D16)</f>
        <v>1236</v>
      </c>
      <c r="E17" s="638" t="s">
        <v>81</v>
      </c>
      <c r="F17" s="325">
        <f>SUM(F9:F16)</f>
        <v>3858</v>
      </c>
      <c r="G17" s="638" t="s">
        <v>81</v>
      </c>
      <c r="H17" s="276">
        <f>SUM(H9:H16)</f>
        <v>210</v>
      </c>
      <c r="I17" s="638" t="s">
        <v>81</v>
      </c>
      <c r="J17" s="276">
        <f>SUM(J9:J16)</f>
        <v>1120</v>
      </c>
      <c r="K17" s="276">
        <f>SUM(B17+D17+F17+H17+J17)</f>
        <v>12890</v>
      </c>
    </row>
    <row r="18" spans="1:12" x14ac:dyDescent="0.25">
      <c r="A18" s="638" t="s">
        <v>82</v>
      </c>
      <c r="B18" s="276">
        <f>SUM(B7+B17)</f>
        <v>33040</v>
      </c>
      <c r="C18" s="638" t="s">
        <v>82</v>
      </c>
      <c r="D18" s="276">
        <f>SUM(D7+D17)</f>
        <v>4136</v>
      </c>
      <c r="E18" s="638" t="s">
        <v>82</v>
      </c>
      <c r="F18" s="276">
        <f>SUM(F7+F17)</f>
        <v>13439</v>
      </c>
      <c r="G18" s="638" t="s">
        <v>82</v>
      </c>
      <c r="H18" s="276">
        <f>SUM(H7+H17)</f>
        <v>16048</v>
      </c>
      <c r="I18" s="638" t="s">
        <v>82</v>
      </c>
      <c r="J18" s="276">
        <f>SUM(J7+J17)</f>
        <v>4300</v>
      </c>
      <c r="K18" s="276">
        <f>SUM(B18+D18+F18+H18+J18)</f>
        <v>70963</v>
      </c>
    </row>
    <row r="19" spans="1:12" x14ac:dyDescent="0.25">
      <c r="A19" s="638" t="s">
        <v>85</v>
      </c>
      <c r="B19" s="278"/>
      <c r="C19" s="638" t="s">
        <v>85</v>
      </c>
      <c r="D19" s="279"/>
      <c r="E19" s="638" t="s">
        <v>85</v>
      </c>
      <c r="F19" s="262"/>
      <c r="G19" s="638" t="s">
        <v>85</v>
      </c>
      <c r="H19" s="66"/>
      <c r="I19" s="638" t="s">
        <v>85</v>
      </c>
      <c r="J19" s="66"/>
      <c r="K19" s="262"/>
    </row>
    <row r="20" spans="1:12" x14ac:dyDescent="0.25">
      <c r="A20" s="639" t="s">
        <v>427</v>
      </c>
      <c r="B20" s="274"/>
      <c r="C20" s="639" t="s">
        <v>427</v>
      </c>
      <c r="D20" s="274"/>
      <c r="E20" s="639" t="s">
        <v>427</v>
      </c>
      <c r="F20" s="274">
        <v>3880</v>
      </c>
      <c r="G20" s="639" t="s">
        <v>427</v>
      </c>
      <c r="H20" s="274"/>
      <c r="I20" s="639" t="s">
        <v>427</v>
      </c>
      <c r="J20" s="274">
        <v>500</v>
      </c>
      <c r="K20" s="262"/>
    </row>
    <row r="21" spans="1:12" x14ac:dyDescent="0.25">
      <c r="A21" s="639" t="s">
        <v>420</v>
      </c>
      <c r="B21" s="274"/>
      <c r="C21" s="639" t="s">
        <v>420</v>
      </c>
      <c r="D21" s="274"/>
      <c r="E21" s="639" t="s">
        <v>420</v>
      </c>
      <c r="F21" s="274"/>
      <c r="G21" s="639" t="s">
        <v>420</v>
      </c>
      <c r="H21" s="274"/>
      <c r="I21" s="639" t="s">
        <v>420</v>
      </c>
      <c r="J21" s="274"/>
      <c r="K21" s="262"/>
    </row>
    <row r="22" spans="1:12" x14ac:dyDescent="0.25">
      <c r="A22" s="639" t="s">
        <v>378</v>
      </c>
      <c r="B22" s="274">
        <v>732</v>
      </c>
      <c r="C22" s="639" t="s">
        <v>378</v>
      </c>
      <c r="D22" s="274"/>
      <c r="E22" s="639" t="s">
        <v>378</v>
      </c>
      <c r="F22" s="274">
        <v>2250</v>
      </c>
      <c r="G22" s="639" t="s">
        <v>378</v>
      </c>
      <c r="H22" s="274">
        <v>1714</v>
      </c>
      <c r="I22" s="639" t="s">
        <v>378</v>
      </c>
      <c r="J22" s="274"/>
      <c r="K22" s="262"/>
    </row>
    <row r="23" spans="1:12" x14ac:dyDescent="0.25">
      <c r="A23" s="639" t="s">
        <v>421</v>
      </c>
      <c r="B23" s="274">
        <v>377</v>
      </c>
      <c r="C23" s="639" t="s">
        <v>421</v>
      </c>
      <c r="D23" s="274"/>
      <c r="E23" s="639" t="s">
        <v>421</v>
      </c>
      <c r="F23" s="274"/>
      <c r="G23" s="639" t="s">
        <v>421</v>
      </c>
      <c r="H23" s="274">
        <v>6287</v>
      </c>
      <c r="I23" s="639" t="s">
        <v>421</v>
      </c>
      <c r="J23" s="274"/>
      <c r="K23" s="262"/>
    </row>
    <row r="24" spans="1:12" x14ac:dyDescent="0.25">
      <c r="A24" s="639" t="s">
        <v>428</v>
      </c>
      <c r="B24" s="274"/>
      <c r="C24" s="639" t="s">
        <v>428</v>
      </c>
      <c r="D24" s="274"/>
      <c r="E24" s="639" t="s">
        <v>428</v>
      </c>
      <c r="F24" s="274"/>
      <c r="G24" s="639" t="s">
        <v>428</v>
      </c>
      <c r="H24" s="274"/>
      <c r="I24" s="639" t="s">
        <v>428</v>
      </c>
      <c r="J24" s="274"/>
      <c r="K24" s="262"/>
    </row>
    <row r="25" spans="1:12" x14ac:dyDescent="0.25">
      <c r="A25" s="639"/>
      <c r="B25" s="274"/>
      <c r="C25" s="639"/>
      <c r="D25" s="274"/>
      <c r="E25" s="639" t="s">
        <v>436</v>
      </c>
      <c r="F25" s="274">
        <v>7309</v>
      </c>
      <c r="G25" s="639"/>
      <c r="H25" s="274"/>
      <c r="I25" s="639"/>
      <c r="J25" s="274"/>
      <c r="K25" s="262"/>
    </row>
    <row r="26" spans="1:12" x14ac:dyDescent="0.25">
      <c r="A26" s="639" t="s">
        <v>429</v>
      </c>
      <c r="B26" s="274"/>
      <c r="C26" s="639" t="s">
        <v>429</v>
      </c>
      <c r="D26" s="274"/>
      <c r="E26" s="639" t="s">
        <v>429</v>
      </c>
      <c r="F26" s="274"/>
      <c r="G26" s="639" t="s">
        <v>429</v>
      </c>
      <c r="H26" s="274"/>
      <c r="I26" s="639" t="s">
        <v>429</v>
      </c>
      <c r="J26" s="274"/>
      <c r="K26" s="262"/>
    </row>
    <row r="27" spans="1:12" x14ac:dyDescent="0.25">
      <c r="A27" s="280"/>
      <c r="B27" s="274"/>
      <c r="C27" s="280"/>
      <c r="D27" s="274"/>
      <c r="E27" s="280"/>
      <c r="F27" s="274"/>
      <c r="G27" s="283"/>
      <c r="H27" s="274"/>
      <c r="I27" s="283"/>
      <c r="J27" s="274"/>
      <c r="K27" s="262"/>
    </row>
    <row r="28" spans="1:12" x14ac:dyDescent="0.25">
      <c r="A28" s="277" t="s">
        <v>86</v>
      </c>
      <c r="B28" s="276">
        <f>SUM(B20:B27)</f>
        <v>1109</v>
      </c>
      <c r="C28" s="277" t="s">
        <v>86</v>
      </c>
      <c r="D28" s="276">
        <f>SUM(D20:D27)</f>
        <v>0</v>
      </c>
      <c r="E28" s="277" t="s">
        <v>86</v>
      </c>
      <c r="F28" s="325">
        <f>SUM(F20:F27)</f>
        <v>13439</v>
      </c>
      <c r="G28" s="277" t="s">
        <v>86</v>
      </c>
      <c r="H28" s="325">
        <f>SUM(H20:H27)</f>
        <v>8001</v>
      </c>
      <c r="I28" s="277" t="s">
        <v>86</v>
      </c>
      <c r="J28" s="276">
        <f>SUM(J20:J27)</f>
        <v>500</v>
      </c>
      <c r="K28" s="276">
        <f>SUM(B28+D28+F28+H28+J28)</f>
        <v>23049</v>
      </c>
    </row>
    <row r="29" spans="1:12" x14ac:dyDescent="0.25">
      <c r="A29" s="277" t="s">
        <v>16</v>
      </c>
      <c r="B29" s="276">
        <f>B18-B28</f>
        <v>31931</v>
      </c>
      <c r="C29" s="277" t="s">
        <v>16</v>
      </c>
      <c r="D29" s="276">
        <f>D18-D28</f>
        <v>4136</v>
      </c>
      <c r="E29" s="277" t="s">
        <v>16</v>
      </c>
      <c r="F29" s="276">
        <f>F18-F28</f>
        <v>0</v>
      </c>
      <c r="G29" s="277" t="s">
        <v>16</v>
      </c>
      <c r="H29" s="276">
        <f>H18-H28</f>
        <v>8047</v>
      </c>
      <c r="I29" s="277" t="s">
        <v>16</v>
      </c>
      <c r="J29" s="276">
        <f>J18-J28</f>
        <v>3800</v>
      </c>
      <c r="K29" s="286">
        <f>SUM(B29+D29+F29+H29+J29)</f>
        <v>47914</v>
      </c>
      <c r="L29" s="25" t="s">
        <v>30</v>
      </c>
    </row>
    <row r="30" spans="1:12" x14ac:dyDescent="0.25">
      <c r="A30" s="277"/>
      <c r="B30" s="314" t="str">
        <f>IF(B29&lt;0,"See Tab B","")</f>
        <v/>
      </c>
      <c r="C30" s="277"/>
      <c r="D30" s="314" t="str">
        <f>IF(D29&lt;0,"See Tab B","")</f>
        <v/>
      </c>
      <c r="E30" s="277"/>
      <c r="F30" s="314" t="str">
        <f>IF(F29&lt;0,"See Tab B","")</f>
        <v/>
      </c>
      <c r="G30" s="66"/>
      <c r="H30" s="314" t="str">
        <f>IF(H29&lt;0,"See Tab B","")</f>
        <v/>
      </c>
      <c r="I30" s="66"/>
      <c r="J30" s="314" t="str">
        <f>IF(J29&lt;0,"See Tab B","")</f>
        <v/>
      </c>
      <c r="K30" s="286">
        <f>SUM(K7+K17-K28)</f>
        <v>47914</v>
      </c>
      <c r="L30" s="25" t="s">
        <v>30</v>
      </c>
    </row>
    <row r="31" spans="1:12" x14ac:dyDescent="0.25">
      <c r="A31" s="66"/>
      <c r="B31" s="287"/>
      <c r="C31" s="66"/>
      <c r="D31" s="262"/>
      <c r="E31" s="66"/>
      <c r="F31" s="66"/>
      <c r="G31" s="26" t="s">
        <v>31</v>
      </c>
      <c r="H31" s="26"/>
      <c r="I31" s="26"/>
      <c r="J31" s="26"/>
      <c r="K31" s="66"/>
    </row>
    <row r="32" spans="1:12" x14ac:dyDescent="0.25">
      <c r="A32" s="66"/>
      <c r="B32" s="287"/>
      <c r="C32" s="66"/>
      <c r="D32" s="66"/>
      <c r="E32" s="66"/>
      <c r="F32" s="66"/>
      <c r="G32" s="66"/>
      <c r="H32" s="66"/>
      <c r="I32" s="66"/>
      <c r="J32" s="66"/>
      <c r="K32" s="66"/>
    </row>
    <row r="33" spans="1:11" x14ac:dyDescent="0.25">
      <c r="A33" s="66"/>
      <c r="B33" s="287"/>
      <c r="C33" s="66"/>
      <c r="D33" s="66"/>
      <c r="E33" s="241" t="s">
        <v>108</v>
      </c>
      <c r="F33" s="258">
        <v>16</v>
      </c>
      <c r="G33" s="66"/>
      <c r="H33" s="66"/>
      <c r="I33" s="66"/>
      <c r="J33" s="66"/>
      <c r="K33" s="66"/>
    </row>
    <row r="34" spans="1:11" x14ac:dyDescent="0.25">
      <c r="B34" s="288"/>
    </row>
    <row r="35" spans="1:11" x14ac:dyDescent="0.25">
      <c r="B35" s="288"/>
    </row>
    <row r="36" spans="1:11" x14ac:dyDescent="0.25">
      <c r="B36" s="288"/>
    </row>
    <row r="37" spans="1:11" x14ac:dyDescent="0.25">
      <c r="B37" s="288"/>
    </row>
    <row r="38" spans="1:11" x14ac:dyDescent="0.25">
      <c r="B38" s="288"/>
    </row>
    <row r="39" spans="1:11" x14ac:dyDescent="0.25">
      <c r="B39" s="288"/>
    </row>
    <row r="40" spans="1:11" x14ac:dyDescent="0.25">
      <c r="B40" s="288"/>
    </row>
    <row r="41" spans="1:11" x14ac:dyDescent="0.25">
      <c r="B41" s="288"/>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ColWidth="8.9140625" defaultRowHeight="15.6" x14ac:dyDescent="0.25"/>
  <cols>
    <col min="1" max="1" width="11.58203125" style="25" customWidth="1"/>
    <col min="2" max="2" width="7.4140625" style="25" customWidth="1"/>
    <col min="3" max="3" width="11.58203125" style="25" customWidth="1"/>
    <col min="4" max="4" width="7.4140625" style="25" customWidth="1"/>
    <col min="5" max="5" width="11.58203125" style="25" customWidth="1"/>
    <col min="6" max="6" width="7.4140625" style="25" customWidth="1"/>
    <col min="7" max="7" width="11.58203125" style="25" customWidth="1"/>
    <col min="8" max="8" width="7.4140625" style="25" customWidth="1"/>
    <col min="9" max="9" width="11.58203125" style="25" customWidth="1"/>
    <col min="10" max="16384" width="8.9140625" style="25"/>
  </cols>
  <sheetData>
    <row r="1" spans="1:11" x14ac:dyDescent="0.25">
      <c r="A1" s="85" t="str">
        <f>inputPrYr!$C$2</f>
        <v>Edwards County</v>
      </c>
      <c r="B1" s="262"/>
      <c r="C1" s="66"/>
      <c r="D1" s="66"/>
      <c r="E1" s="66"/>
      <c r="F1" s="263" t="s">
        <v>21</v>
      </c>
      <c r="G1" s="66"/>
      <c r="H1" s="66"/>
      <c r="I1" s="66"/>
      <c r="J1" s="66"/>
      <c r="K1" s="66">
        <f>inputPrYr!$C$4</f>
        <v>2015</v>
      </c>
    </row>
    <row r="2" spans="1:11" x14ac:dyDescent="0.25">
      <c r="A2" s="66"/>
      <c r="B2" s="66"/>
      <c r="C2" s="66"/>
      <c r="D2" s="66"/>
      <c r="E2" s="66"/>
      <c r="F2" s="264" t="str">
        <f>CONCATENATE("(Only the actual budget year for ",K1-2," is to be shown)")</f>
        <v>(Only the actual budget year for 2013 is to be shown)</v>
      </c>
      <c r="G2" s="66"/>
      <c r="H2" s="66"/>
      <c r="I2" s="66"/>
      <c r="J2" s="66"/>
      <c r="K2" s="66"/>
    </row>
    <row r="3" spans="1:11" x14ac:dyDescent="0.25">
      <c r="A3" s="66" t="s">
        <v>22</v>
      </c>
      <c r="B3" s="66"/>
      <c r="C3" s="66"/>
      <c r="D3" s="66"/>
      <c r="E3" s="66"/>
      <c r="F3" s="262"/>
      <c r="G3" s="66"/>
      <c r="H3" s="66"/>
      <c r="I3" s="66"/>
      <c r="J3" s="66"/>
      <c r="K3" s="66"/>
    </row>
    <row r="4" spans="1:11" x14ac:dyDescent="0.25">
      <c r="A4" s="66" t="s">
        <v>10</v>
      </c>
      <c r="B4" s="66"/>
      <c r="C4" s="66" t="s">
        <v>11</v>
      </c>
      <c r="D4" s="66"/>
      <c r="E4" s="66" t="s">
        <v>12</v>
      </c>
      <c r="F4" s="262"/>
      <c r="G4" s="66" t="s">
        <v>13</v>
      </c>
      <c r="H4" s="66"/>
      <c r="I4" s="66" t="s">
        <v>14</v>
      </c>
      <c r="J4" s="66"/>
      <c r="K4" s="66"/>
    </row>
    <row r="5" spans="1:11" x14ac:dyDescent="0.25">
      <c r="A5" s="719" t="str">
        <f>IF(inputPrYr!B80&gt;" ",(inputPrYr!B80)," ")</f>
        <v>Prosecuting Attorney</v>
      </c>
      <c r="B5" s="720"/>
      <c r="C5" s="719" t="str">
        <f>IF(inputPrYr!B81&gt;" ",(inputPrYr!B81)," ")</f>
        <v xml:space="preserve"> </v>
      </c>
      <c r="D5" s="720"/>
      <c r="E5" s="719" t="str">
        <f>IF(inputPrYr!B82&gt;" ",(inputPrYr!B82)," ")</f>
        <v xml:space="preserve"> </v>
      </c>
      <c r="F5" s="720"/>
      <c r="G5" s="719" t="str">
        <f>IF(inputPrYr!B83&gt;" ",(inputPrYr!B83)," ")</f>
        <v xml:space="preserve"> </v>
      </c>
      <c r="H5" s="720"/>
      <c r="I5" s="719" t="str">
        <f>IF(inputPrYr!B84&gt;" ",(inputPrYr!B84)," ")</f>
        <v xml:space="preserve"> </v>
      </c>
      <c r="J5" s="720"/>
      <c r="K5" s="266"/>
    </row>
    <row r="6" spans="1:11" x14ac:dyDescent="0.25">
      <c r="A6" s="267" t="s">
        <v>15</v>
      </c>
      <c r="B6" s="268"/>
      <c r="C6" s="269" t="s">
        <v>15</v>
      </c>
      <c r="D6" s="270"/>
      <c r="E6" s="269" t="s">
        <v>15</v>
      </c>
      <c r="F6" s="265"/>
      <c r="G6" s="269" t="s">
        <v>15</v>
      </c>
      <c r="H6" s="271"/>
      <c r="I6" s="269" t="s">
        <v>15</v>
      </c>
      <c r="J6" s="66"/>
      <c r="K6" s="272" t="s">
        <v>46</v>
      </c>
    </row>
    <row r="7" spans="1:11" x14ac:dyDescent="0.25">
      <c r="A7" s="273" t="s">
        <v>39</v>
      </c>
      <c r="B7" s="274">
        <v>1216</v>
      </c>
      <c r="C7" s="275" t="s">
        <v>39</v>
      </c>
      <c r="D7" s="274"/>
      <c r="E7" s="275" t="s">
        <v>39</v>
      </c>
      <c r="F7" s="274"/>
      <c r="G7" s="275" t="s">
        <v>39</v>
      </c>
      <c r="H7" s="274"/>
      <c r="I7" s="275" t="s">
        <v>39</v>
      </c>
      <c r="J7" s="274"/>
      <c r="K7" s="276">
        <f>SUM(B7+D7+F7+H7+J7)</f>
        <v>1216</v>
      </c>
    </row>
    <row r="8" spans="1:11" x14ac:dyDescent="0.25">
      <c r="A8" s="277" t="s">
        <v>188</v>
      </c>
      <c r="B8" s="278"/>
      <c r="C8" s="277" t="s">
        <v>188</v>
      </c>
      <c r="D8" s="279"/>
      <c r="E8" s="277" t="s">
        <v>188</v>
      </c>
      <c r="F8" s="262"/>
      <c r="G8" s="277" t="s">
        <v>188</v>
      </c>
      <c r="H8" s="66"/>
      <c r="I8" s="277" t="s">
        <v>188</v>
      </c>
      <c r="J8" s="66"/>
      <c r="K8" s="262"/>
    </row>
    <row r="9" spans="1:11" x14ac:dyDescent="0.25">
      <c r="A9" s="639" t="s">
        <v>422</v>
      </c>
      <c r="B9" s="274"/>
      <c r="C9" s="280"/>
      <c r="D9" s="274"/>
      <c r="E9" s="280"/>
      <c r="F9" s="274"/>
      <c r="G9" s="280"/>
      <c r="H9" s="274"/>
      <c r="I9" s="280"/>
      <c r="J9" s="274"/>
      <c r="K9" s="262"/>
    </row>
    <row r="10" spans="1:11" x14ac:dyDescent="0.25">
      <c r="A10" s="639" t="s">
        <v>423</v>
      </c>
      <c r="B10" s="274"/>
      <c r="C10" s="280"/>
      <c r="D10" s="274"/>
      <c r="E10" s="280"/>
      <c r="F10" s="274"/>
      <c r="G10" s="280"/>
      <c r="H10" s="274"/>
      <c r="I10" s="280"/>
      <c r="J10" s="274"/>
      <c r="K10" s="262"/>
    </row>
    <row r="11" spans="1:11" x14ac:dyDescent="0.25">
      <c r="A11" s="639" t="s">
        <v>424</v>
      </c>
      <c r="B11" s="274">
        <v>790</v>
      </c>
      <c r="C11" s="281"/>
      <c r="D11" s="274"/>
      <c r="E11" s="281"/>
      <c r="F11" s="274"/>
      <c r="G11" s="281"/>
      <c r="H11" s="274"/>
      <c r="I11" s="282"/>
      <c r="J11" s="274"/>
      <c r="K11" s="262"/>
    </row>
    <row r="12" spans="1:11" x14ac:dyDescent="0.25">
      <c r="A12" s="639" t="s">
        <v>138</v>
      </c>
      <c r="B12" s="274"/>
      <c r="C12" s="280"/>
      <c r="D12" s="274"/>
      <c r="E12" s="283"/>
      <c r="F12" s="274"/>
      <c r="G12" s="283"/>
      <c r="H12" s="274"/>
      <c r="I12" s="283"/>
      <c r="J12" s="274"/>
      <c r="K12" s="262"/>
    </row>
    <row r="13" spans="1:11" x14ac:dyDescent="0.25">
      <c r="A13" s="640" t="s">
        <v>107</v>
      </c>
      <c r="B13" s="274"/>
      <c r="C13" s="284"/>
      <c r="D13" s="274"/>
      <c r="E13" s="284"/>
      <c r="F13" s="274"/>
      <c r="G13" s="284"/>
      <c r="H13" s="274"/>
      <c r="I13" s="282"/>
      <c r="J13" s="274"/>
      <c r="K13" s="262"/>
    </row>
    <row r="14" spans="1:11" x14ac:dyDescent="0.25">
      <c r="A14" s="639" t="s">
        <v>425</v>
      </c>
      <c r="B14" s="274"/>
      <c r="C14" s="283"/>
      <c r="D14" s="274"/>
      <c r="E14" s="283"/>
      <c r="F14" s="274"/>
      <c r="G14" s="283"/>
      <c r="H14" s="274"/>
      <c r="I14" s="283"/>
      <c r="J14" s="274"/>
      <c r="K14" s="262"/>
    </row>
    <row r="15" spans="1:11" x14ac:dyDescent="0.25">
      <c r="A15" s="639"/>
      <c r="B15" s="274"/>
      <c r="C15" s="283"/>
      <c r="D15" s="274"/>
      <c r="E15" s="283"/>
      <c r="F15" s="274"/>
      <c r="G15" s="283"/>
      <c r="H15" s="274"/>
      <c r="I15" s="283"/>
      <c r="J15" s="274"/>
      <c r="K15" s="262"/>
    </row>
    <row r="16" spans="1:11" x14ac:dyDescent="0.25">
      <c r="A16" s="639"/>
      <c r="B16" s="274"/>
      <c r="C16" s="280"/>
      <c r="D16" s="274"/>
      <c r="E16" s="280"/>
      <c r="F16" s="274"/>
      <c r="G16" s="283"/>
      <c r="H16" s="274"/>
      <c r="I16" s="280"/>
      <c r="J16" s="274"/>
      <c r="K16" s="262"/>
    </row>
    <row r="17" spans="1:12" x14ac:dyDescent="0.25">
      <c r="A17" s="638" t="s">
        <v>81</v>
      </c>
      <c r="B17" s="276">
        <f>SUM(B9:B16)</f>
        <v>790</v>
      </c>
      <c r="C17" s="277" t="s">
        <v>81</v>
      </c>
      <c r="D17" s="276">
        <f>SUM(D9:D16)</f>
        <v>0</v>
      </c>
      <c r="E17" s="277" t="s">
        <v>81</v>
      </c>
      <c r="F17" s="325">
        <f>SUM(F9:F16)</f>
        <v>0</v>
      </c>
      <c r="G17" s="277" t="s">
        <v>81</v>
      </c>
      <c r="H17" s="276">
        <f>SUM(H9:H16)</f>
        <v>0</v>
      </c>
      <c r="I17" s="277" t="s">
        <v>81</v>
      </c>
      <c r="J17" s="276">
        <f>SUM(J9:J16)</f>
        <v>0</v>
      </c>
      <c r="K17" s="276">
        <f>SUM(B17+D17+F17+H17+J17)</f>
        <v>790</v>
      </c>
    </row>
    <row r="18" spans="1:12" x14ac:dyDescent="0.25">
      <c r="A18" s="638" t="s">
        <v>82</v>
      </c>
      <c r="B18" s="276">
        <f>SUM(B7+B17)</f>
        <v>2006</v>
      </c>
      <c r="C18" s="277" t="s">
        <v>82</v>
      </c>
      <c r="D18" s="276">
        <f>SUM(D7+D17)</f>
        <v>0</v>
      </c>
      <c r="E18" s="277" t="s">
        <v>82</v>
      </c>
      <c r="F18" s="276">
        <f>SUM(F7+F17)</f>
        <v>0</v>
      </c>
      <c r="G18" s="277" t="s">
        <v>82</v>
      </c>
      <c r="H18" s="276">
        <f>SUM(H7+H17)</f>
        <v>0</v>
      </c>
      <c r="I18" s="277" t="s">
        <v>82</v>
      </c>
      <c r="J18" s="276">
        <f>SUM(J7+J17)</f>
        <v>0</v>
      </c>
      <c r="K18" s="276">
        <f>SUM(B18+D18+F18+H18+J18)</f>
        <v>2006</v>
      </c>
    </row>
    <row r="19" spans="1:12" x14ac:dyDescent="0.25">
      <c r="A19" s="638" t="s">
        <v>85</v>
      </c>
      <c r="B19" s="278"/>
      <c r="C19" s="277" t="s">
        <v>85</v>
      </c>
      <c r="D19" s="279"/>
      <c r="E19" s="277" t="s">
        <v>85</v>
      </c>
      <c r="F19" s="262"/>
      <c r="G19" s="277" t="s">
        <v>85</v>
      </c>
      <c r="H19" s="66"/>
      <c r="I19" s="277" t="s">
        <v>85</v>
      </c>
      <c r="J19" s="66"/>
      <c r="K19" s="262"/>
    </row>
    <row r="20" spans="1:12" x14ac:dyDescent="0.25">
      <c r="A20" s="639" t="s">
        <v>427</v>
      </c>
      <c r="B20" s="274"/>
      <c r="C20" s="283"/>
      <c r="D20" s="274"/>
      <c r="E20" s="283"/>
      <c r="F20" s="274"/>
      <c r="G20" s="283"/>
      <c r="H20" s="274"/>
      <c r="I20" s="283"/>
      <c r="J20" s="274"/>
      <c r="K20" s="262"/>
    </row>
    <row r="21" spans="1:12" x14ac:dyDescent="0.25">
      <c r="A21" s="639" t="s">
        <v>420</v>
      </c>
      <c r="B21" s="274"/>
      <c r="C21" s="283"/>
      <c r="D21" s="274"/>
      <c r="E21" s="283"/>
      <c r="F21" s="274"/>
      <c r="G21" s="283"/>
      <c r="H21" s="274"/>
      <c r="I21" s="283"/>
      <c r="J21" s="274"/>
      <c r="K21" s="262"/>
    </row>
    <row r="22" spans="1:12" x14ac:dyDescent="0.25">
      <c r="A22" s="639" t="s">
        <v>378</v>
      </c>
      <c r="B22" s="274">
        <v>370</v>
      </c>
      <c r="C22" s="284"/>
      <c r="D22" s="274"/>
      <c r="E22" s="284"/>
      <c r="F22" s="274"/>
      <c r="G22" s="284"/>
      <c r="H22" s="274"/>
      <c r="I22" s="282"/>
      <c r="J22" s="274"/>
      <c r="K22" s="262"/>
    </row>
    <row r="23" spans="1:12" x14ac:dyDescent="0.25">
      <c r="A23" s="639" t="s">
        <v>421</v>
      </c>
      <c r="B23" s="274"/>
      <c r="C23" s="283"/>
      <c r="D23" s="274"/>
      <c r="E23" s="283"/>
      <c r="F23" s="274"/>
      <c r="G23" s="283"/>
      <c r="H23" s="274"/>
      <c r="I23" s="283"/>
      <c r="J23" s="274"/>
      <c r="K23" s="262"/>
    </row>
    <row r="24" spans="1:12" x14ac:dyDescent="0.25">
      <c r="A24" s="639" t="s">
        <v>428</v>
      </c>
      <c r="B24" s="274"/>
      <c r="C24" s="284"/>
      <c r="D24" s="274"/>
      <c r="E24" s="284"/>
      <c r="F24" s="274"/>
      <c r="G24" s="284"/>
      <c r="H24" s="274"/>
      <c r="I24" s="282"/>
      <c r="J24" s="274"/>
      <c r="K24" s="262"/>
    </row>
    <row r="25" spans="1:12" x14ac:dyDescent="0.25">
      <c r="A25" s="639"/>
      <c r="B25" s="274"/>
      <c r="C25" s="283"/>
      <c r="D25" s="274"/>
      <c r="E25" s="283"/>
      <c r="F25" s="274"/>
      <c r="G25" s="283"/>
      <c r="H25" s="274"/>
      <c r="I25" s="283"/>
      <c r="J25" s="274"/>
      <c r="K25" s="262"/>
    </row>
    <row r="26" spans="1:12" x14ac:dyDescent="0.25">
      <c r="A26" s="639" t="s">
        <v>429</v>
      </c>
      <c r="B26" s="274"/>
      <c r="C26" s="283"/>
      <c r="D26" s="274"/>
      <c r="E26" s="283"/>
      <c r="F26" s="274"/>
      <c r="G26" s="283"/>
      <c r="H26" s="274"/>
      <c r="I26" s="283"/>
      <c r="J26" s="274"/>
      <c r="K26" s="262"/>
    </row>
    <row r="27" spans="1:12" x14ac:dyDescent="0.25">
      <c r="A27" s="280"/>
      <c r="B27" s="274"/>
      <c r="C27" s="280"/>
      <c r="D27" s="274"/>
      <c r="E27" s="280"/>
      <c r="F27" s="274"/>
      <c r="G27" s="283"/>
      <c r="H27" s="274"/>
      <c r="I27" s="283"/>
      <c r="J27" s="274"/>
      <c r="K27" s="262"/>
    </row>
    <row r="28" spans="1:12" x14ac:dyDescent="0.25">
      <c r="A28" s="277" t="s">
        <v>86</v>
      </c>
      <c r="B28" s="276">
        <f>SUM(B20:B27)</f>
        <v>370</v>
      </c>
      <c r="C28" s="277" t="s">
        <v>86</v>
      </c>
      <c r="D28" s="276">
        <f>SUM(D20:D27)</f>
        <v>0</v>
      </c>
      <c r="E28" s="277" t="s">
        <v>86</v>
      </c>
      <c r="F28" s="325">
        <f>SUM(F20:F27)</f>
        <v>0</v>
      </c>
      <c r="G28" s="277" t="s">
        <v>86</v>
      </c>
      <c r="H28" s="325">
        <f>SUM(H20:H27)</f>
        <v>0</v>
      </c>
      <c r="I28" s="277" t="s">
        <v>86</v>
      </c>
      <c r="J28" s="276">
        <f>SUM(J20:J27)</f>
        <v>0</v>
      </c>
      <c r="K28" s="276">
        <f>SUM(B28+D28+F28+H28+J28)</f>
        <v>370</v>
      </c>
    </row>
    <row r="29" spans="1:12" x14ac:dyDescent="0.25">
      <c r="A29" s="277" t="s">
        <v>16</v>
      </c>
      <c r="B29" s="276">
        <f>B18-B28</f>
        <v>1636</v>
      </c>
      <c r="C29" s="277" t="s">
        <v>16</v>
      </c>
      <c r="D29" s="276">
        <f>D18-D28</f>
        <v>0</v>
      </c>
      <c r="E29" s="277" t="s">
        <v>16</v>
      </c>
      <c r="F29" s="276">
        <f>F18-F28</f>
        <v>0</v>
      </c>
      <c r="G29" s="277" t="s">
        <v>16</v>
      </c>
      <c r="H29" s="276">
        <f>H18-H28</f>
        <v>0</v>
      </c>
      <c r="I29" s="277" t="s">
        <v>16</v>
      </c>
      <c r="J29" s="276">
        <f>J18-J28</f>
        <v>0</v>
      </c>
      <c r="K29" s="289">
        <f>SUM(B29+D29+F29+H29+J29)</f>
        <v>1636</v>
      </c>
      <c r="L29" s="25" t="s">
        <v>30</v>
      </c>
    </row>
    <row r="30" spans="1:12" x14ac:dyDescent="0.25">
      <c r="A30" s="277"/>
      <c r="B30" s="314" t="str">
        <f>IF(B29&lt;0,"See Tab B","")</f>
        <v/>
      </c>
      <c r="C30" s="277"/>
      <c r="D30" s="314" t="str">
        <f>IF(D29&lt;0,"See Tab B","")</f>
        <v/>
      </c>
      <c r="E30" s="277"/>
      <c r="F30" s="314" t="str">
        <f>IF(F29&lt;0,"See Tab B","")</f>
        <v/>
      </c>
      <c r="G30" s="66"/>
      <c r="H30" s="314" t="str">
        <f>IF(H29&lt;0,"See Tab B","")</f>
        <v/>
      </c>
      <c r="I30" s="66"/>
      <c r="J30" s="314" t="str">
        <f>IF(J29&lt;0,"See Tab B","")</f>
        <v/>
      </c>
      <c r="K30" s="286">
        <f>SUM(K7+K17-K28)</f>
        <v>1636</v>
      </c>
      <c r="L30" s="25" t="s">
        <v>30</v>
      </c>
    </row>
    <row r="31" spans="1:12" x14ac:dyDescent="0.25">
      <c r="A31" s="66"/>
      <c r="B31" s="287"/>
      <c r="C31" s="66"/>
      <c r="D31" s="262"/>
      <c r="E31" s="66"/>
      <c r="F31" s="66"/>
      <c r="G31" s="26" t="s">
        <v>31</v>
      </c>
      <c r="H31" s="26"/>
      <c r="I31" s="26"/>
      <c r="J31" s="26"/>
      <c r="K31" s="66"/>
    </row>
    <row r="32" spans="1:12" x14ac:dyDescent="0.25">
      <c r="A32" s="66"/>
      <c r="B32" s="287"/>
      <c r="C32" s="66"/>
      <c r="D32" s="66"/>
      <c r="E32" s="66"/>
      <c r="F32" s="66"/>
      <c r="G32" s="66"/>
      <c r="H32" s="66"/>
      <c r="I32" s="66"/>
      <c r="J32" s="66"/>
      <c r="K32" s="66"/>
    </row>
    <row r="33" spans="1:11" x14ac:dyDescent="0.25">
      <c r="A33" s="66"/>
      <c r="B33" s="287"/>
      <c r="C33" s="66"/>
      <c r="D33" s="66"/>
      <c r="E33" s="241" t="s">
        <v>108</v>
      </c>
      <c r="F33" s="258">
        <v>17</v>
      </c>
      <c r="G33" s="66"/>
      <c r="H33" s="66"/>
      <c r="I33" s="66"/>
      <c r="J33" s="66"/>
      <c r="K33" s="66"/>
    </row>
    <row r="34" spans="1:11" x14ac:dyDescent="0.25">
      <c r="B34" s="288"/>
    </row>
    <row r="35" spans="1:11" x14ac:dyDescent="0.25">
      <c r="B35" s="288"/>
    </row>
    <row r="36" spans="1:11" x14ac:dyDescent="0.25">
      <c r="B36" s="288"/>
    </row>
    <row r="37" spans="1:11" x14ac:dyDescent="0.25">
      <c r="B37" s="288"/>
    </row>
    <row r="38" spans="1:11" x14ac:dyDescent="0.25">
      <c r="B38" s="288"/>
    </row>
    <row r="39" spans="1:11" x14ac:dyDescent="0.25">
      <c r="B39" s="288"/>
    </row>
    <row r="40" spans="1:11" x14ac:dyDescent="0.25">
      <c r="B40" s="288"/>
    </row>
    <row r="41" spans="1:11" x14ac:dyDescent="0.25">
      <c r="B41" s="288"/>
    </row>
  </sheetData>
  <mergeCells count="5">
    <mergeCell ref="I5:J5"/>
    <mergeCell ref="A5:B5"/>
    <mergeCell ref="C5:D5"/>
    <mergeCell ref="E5:F5"/>
    <mergeCell ref="G5:H5"/>
  </mergeCells>
  <phoneticPr fontId="8" type="noConversion"/>
  <pageMargins left="0.75" right="0.75" top="1" bottom="1" header="0.5" footer="0.5"/>
  <pageSetup scale="88" orientation="landscape" blackAndWhite="1" r:id="rId1"/>
  <headerFooter alignWithMargins="0">
    <oddHeader>&amp;RState of Kansas
County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M55"/>
  <sheetViews>
    <sheetView zoomScaleNormal="100" workbookViewId="0"/>
  </sheetViews>
  <sheetFormatPr defaultColWidth="8.9140625" defaultRowHeight="15.6" x14ac:dyDescent="0.25"/>
  <cols>
    <col min="1" max="1" width="23.75" style="25" bestFit="1" customWidth="1"/>
    <col min="2" max="2" width="15.6640625" style="25" customWidth="1"/>
    <col min="3" max="3" width="9.4140625" style="25" customWidth="1"/>
    <col min="4" max="4" width="16.75" style="25" customWidth="1"/>
    <col min="5" max="5" width="9.75" style="25" customWidth="1"/>
    <col min="6" max="6" width="15.75" style="25" customWidth="1"/>
    <col min="7" max="7" width="13.6640625" style="25" customWidth="1"/>
    <col min="8" max="8" width="9.75" style="25" customWidth="1"/>
    <col min="9" max="9" width="8.9140625" style="25"/>
    <col min="10" max="10" width="12.4140625" style="25" customWidth="1"/>
    <col min="11" max="11" width="12.33203125" style="25" customWidth="1"/>
    <col min="12" max="12" width="10.58203125" style="25" customWidth="1"/>
    <col min="13" max="13" width="12.08203125" style="25" customWidth="1"/>
    <col min="14" max="16384" width="8.9140625" style="25"/>
  </cols>
  <sheetData>
    <row r="1" spans="1:9" x14ac:dyDescent="0.25">
      <c r="A1" s="28"/>
      <c r="B1" s="28"/>
      <c r="C1" s="28"/>
      <c r="D1" s="28"/>
      <c r="E1" s="28"/>
      <c r="F1" s="28"/>
      <c r="G1" s="28"/>
      <c r="H1" s="206">
        <f>inputPrYr!C4</f>
        <v>2015</v>
      </c>
    </row>
    <row r="2" spans="1:9" x14ac:dyDescent="0.25">
      <c r="A2" s="659" t="s">
        <v>149</v>
      </c>
      <c r="B2" s="659"/>
      <c r="C2" s="659"/>
      <c r="D2" s="659"/>
      <c r="E2" s="659"/>
      <c r="F2" s="659"/>
      <c r="G2" s="659"/>
      <c r="H2" s="659"/>
      <c r="I2" s="290"/>
    </row>
    <row r="3" spans="1:9" x14ac:dyDescent="0.25">
      <c r="A3" s="28"/>
      <c r="B3" s="28"/>
      <c r="C3" s="28"/>
      <c r="D3" s="28"/>
      <c r="E3" s="28"/>
      <c r="F3" s="28"/>
      <c r="G3" s="28"/>
      <c r="H3" s="28"/>
    </row>
    <row r="4" spans="1:9" x14ac:dyDescent="0.25">
      <c r="A4" s="715" t="s">
        <v>178</v>
      </c>
      <c r="B4" s="715"/>
      <c r="C4" s="715"/>
      <c r="D4" s="715"/>
      <c r="E4" s="715"/>
      <c r="F4" s="715"/>
      <c r="G4" s="715"/>
      <c r="H4" s="715"/>
    </row>
    <row r="5" spans="1:9" x14ac:dyDescent="0.25">
      <c r="A5" s="729" t="str">
        <f>inputPrYr!C2</f>
        <v>Edwards County</v>
      </c>
      <c r="B5" s="729"/>
      <c r="C5" s="729"/>
      <c r="D5" s="729"/>
      <c r="E5" s="729"/>
      <c r="F5" s="729"/>
      <c r="G5" s="729"/>
      <c r="H5" s="729"/>
    </row>
    <row r="6" spans="1:9" x14ac:dyDescent="0.25">
      <c r="A6" s="723" t="str">
        <f>CONCATENATE("will meet on ",inputBudSum!B5," at ",inputBudSum!B7," at ",inputBudSum!B9," for the purpose of hearing and")</f>
        <v>will meet on September 8, 2014 at 10:00 a.m. at Edwards County Courthouse for the purpose of hearing and</v>
      </c>
      <c r="B6" s="723"/>
      <c r="C6" s="723"/>
      <c r="D6" s="723"/>
      <c r="E6" s="723"/>
      <c r="F6" s="723"/>
      <c r="G6" s="723"/>
      <c r="H6" s="723"/>
    </row>
    <row r="7" spans="1:9" x14ac:dyDescent="0.25">
      <c r="A7" s="715" t="s">
        <v>249</v>
      </c>
      <c r="B7" s="715"/>
      <c r="C7" s="715"/>
      <c r="D7" s="715"/>
      <c r="E7" s="715"/>
      <c r="F7" s="715"/>
      <c r="G7" s="715"/>
      <c r="H7" s="715"/>
    </row>
    <row r="8" spans="1:9" x14ac:dyDescent="0.25">
      <c r="A8" s="723" t="str">
        <f>CONCATENATE("Detailed budget information is available at ",inputBudSum!B12," and will be available at this hearing.")</f>
        <v>Detailed budget information is available at Edwards County Clerk's Office and will be available at this hearing.</v>
      </c>
      <c r="B8" s="723"/>
      <c r="C8" s="723"/>
      <c r="D8" s="723"/>
      <c r="E8" s="723"/>
      <c r="F8" s="723"/>
      <c r="G8" s="723"/>
      <c r="H8" s="723"/>
    </row>
    <row r="9" spans="1:9" x14ac:dyDescent="0.25">
      <c r="A9" s="33" t="s">
        <v>150</v>
      </c>
      <c r="B9" s="34"/>
      <c r="C9" s="34"/>
      <c r="D9" s="147"/>
      <c r="E9" s="34"/>
      <c r="F9" s="34"/>
      <c r="G9" s="34"/>
      <c r="H9" s="34"/>
    </row>
    <row r="10" spans="1:9" x14ac:dyDescent="0.25">
      <c r="A10" s="715" t="str">
        <f>CONCATENATE("Proposed Budget ",H1," Expenditures and Amount of ",H1-1," Ad Valorem Tax establish the maximum limits of the ",H1," budget.")</f>
        <v>Proposed Budget 2015 Expenditures and Amount of 2014 Ad Valorem Tax establish the maximum limits of the 2015 budget.</v>
      </c>
      <c r="B10" s="715"/>
      <c r="C10" s="715"/>
      <c r="D10" s="715"/>
      <c r="E10" s="715"/>
      <c r="F10" s="715"/>
      <c r="G10" s="715"/>
      <c r="H10" s="715"/>
    </row>
    <row r="11" spans="1:9" x14ac:dyDescent="0.25">
      <c r="A11" s="715" t="s">
        <v>193</v>
      </c>
      <c r="B11" s="715"/>
      <c r="C11" s="715"/>
      <c r="D11" s="715"/>
      <c r="E11" s="715"/>
      <c r="F11" s="715"/>
      <c r="G11" s="715"/>
      <c r="H11" s="715"/>
    </row>
    <row r="12" spans="1:9" x14ac:dyDescent="0.25">
      <c r="A12" s="28"/>
      <c r="B12" s="28"/>
      <c r="C12" s="28"/>
      <c r="D12" s="28"/>
      <c r="E12" s="28"/>
      <c r="F12" s="28"/>
      <c r="G12" s="28"/>
      <c r="H12" s="28"/>
      <c r="I12" s="84"/>
    </row>
    <row r="13" spans="1:9" x14ac:dyDescent="0.25">
      <c r="A13" s="28"/>
      <c r="B13" s="291" t="str">
        <f>CONCATENATE("Prior Year Actual for ",H1-2,"")</f>
        <v>Prior Year Actual for 2013</v>
      </c>
      <c r="C13" s="150"/>
      <c r="D13" s="292" t="str">
        <f>CONCATENATE("Current Year Estimate for ",H1-1,"")</f>
        <v>Current Year Estimate for 2014</v>
      </c>
      <c r="E13" s="150"/>
      <c r="F13" s="148" t="str">
        <f>CONCATENATE("Proposed Budget Year for ",H1,"")</f>
        <v>Proposed Budget Year for 2015</v>
      </c>
      <c r="G13" s="149"/>
      <c r="H13" s="150"/>
    </row>
    <row r="14" spans="1:9" ht="18.75" customHeight="1" x14ac:dyDescent="0.3">
      <c r="A14" s="27"/>
      <c r="B14" s="242"/>
      <c r="C14" s="151" t="s">
        <v>109</v>
      </c>
      <c r="D14" s="151"/>
      <c r="E14" s="151" t="s">
        <v>109</v>
      </c>
      <c r="F14" s="368" t="s">
        <v>259</v>
      </c>
      <c r="G14" s="689" t="str">
        <f>CONCATENATE("Amount of ",H1-1,"       Ad Valorem Tax")</f>
        <v>Amount of 2014       Ad Valorem Tax</v>
      </c>
      <c r="H14" s="151" t="s">
        <v>110</v>
      </c>
    </row>
    <row r="15" spans="1:9" x14ac:dyDescent="0.3">
      <c r="A15" s="54" t="s">
        <v>111</v>
      </c>
      <c r="B15" s="183" t="s">
        <v>55</v>
      </c>
      <c r="C15" s="183" t="s">
        <v>112</v>
      </c>
      <c r="D15" s="183" t="s">
        <v>55</v>
      </c>
      <c r="E15" s="183" t="s">
        <v>112</v>
      </c>
      <c r="F15" s="369" t="s">
        <v>260</v>
      </c>
      <c r="G15" s="666"/>
      <c r="H15" s="183" t="s">
        <v>112</v>
      </c>
    </row>
    <row r="16" spans="1:9" x14ac:dyDescent="0.25">
      <c r="A16" s="68" t="str">
        <f>inputPrYr!B16</f>
        <v>General</v>
      </c>
      <c r="B16" s="68">
        <f>IF(general!$C$101&lt;&gt;0,general!$C$101,"  ")</f>
        <v>1894274</v>
      </c>
      <c r="C16" s="293">
        <f>IF(inputPrYr!D90&lt;&gt;0,inputPrYr!D90,"  ")</f>
        <v>31.303000000000001</v>
      </c>
      <c r="D16" s="68">
        <f>IF(general!$D$101&lt;&gt;0,general!$D$101,"  ")</f>
        <v>2084952</v>
      </c>
      <c r="E16" s="293">
        <f>IF(inputPrYr!F16&lt;&gt;0,inputPrYr!F16,"  ")</f>
        <v>33.615000000000002</v>
      </c>
      <c r="F16" s="68">
        <f>IF(general!$E$101&lt;&gt;0,general!$E$101,"  ")</f>
        <v>2219852</v>
      </c>
      <c r="G16" s="68">
        <f>IF(general!$E$108&lt;&gt;0,general!$E$108,"  ")</f>
        <v>1546563.51</v>
      </c>
      <c r="H16" s="293">
        <f>IF(general!E108&lt;&gt;0,ROUND(G16/$F$38*1000,3),"  ")</f>
        <v>32.871000000000002</v>
      </c>
    </row>
    <row r="17" spans="1:8" x14ac:dyDescent="0.25">
      <c r="A17" s="68" t="str">
        <f>inputPrYr!B18</f>
        <v>Road &amp; Bridge</v>
      </c>
      <c r="B17" s="68">
        <f>IF(road!$C$41&lt;&gt;0,road!$C$41,"  ")</f>
        <v>1081995</v>
      </c>
      <c r="C17" s="293">
        <f>IF(inputPrYr!D92&lt;&gt;0,inputPrYr!D92,"  ")</f>
        <v>18.443000000000001</v>
      </c>
      <c r="D17" s="68">
        <f>IF(road!$D$41&lt;&gt;0,road!$D$41,"  ")</f>
        <v>1151317</v>
      </c>
      <c r="E17" s="293">
        <f>IF(inputPrYr!F18&lt;&gt;0,inputPrYr!F18,"  ")</f>
        <v>17.695</v>
      </c>
      <c r="F17" s="68">
        <f>IF(road!$E$41&lt;&gt;0,road!$E$41,"  ")</f>
        <v>1191887</v>
      </c>
      <c r="G17" s="68">
        <f>IF(road!$E$48&lt;&gt;0,road!$E$48,"  ")</f>
        <v>812895.47</v>
      </c>
      <c r="H17" s="293">
        <f>IF(road!E48&lt;&gt;0,ROUND(G17/$F$38*1000,3),"  ")</f>
        <v>17.277999999999999</v>
      </c>
    </row>
    <row r="18" spans="1:8" x14ac:dyDescent="0.25">
      <c r="A18" s="68" t="str">
        <f>IF((inputPrYr!$B19&gt;" "),(inputPrYr!$B19),"  ")</f>
        <v>Noxious Weed</v>
      </c>
      <c r="B18" s="68">
        <f>IF('NoxWeed EmpBenefits'!$C$33&lt;&gt;0,'NoxWeed EmpBenefits'!$C$33,"  ")</f>
        <v>73235</v>
      </c>
      <c r="C18" s="293">
        <f>IF(inputPrYr!D93&lt;&gt;0,inputPrYr!D93,"  ")</f>
        <v>1.5069999999999999</v>
      </c>
      <c r="D18" s="68">
        <f>IF('NoxWeed EmpBenefits'!$D$33&lt;&gt;0,'NoxWeed EmpBenefits'!$D$33,"  ")</f>
        <v>75666</v>
      </c>
      <c r="E18" s="293">
        <f>IF(inputPrYr!F19&lt;&gt;0,inputPrYr!F19,"  ")</f>
        <v>1.5</v>
      </c>
      <c r="F18" s="68">
        <f>IF('NoxWeed EmpBenefits'!$E$33&lt;&gt;0,'NoxWeed EmpBenefits'!$E$33,"  ")</f>
        <v>92445</v>
      </c>
      <c r="G18" s="68">
        <f>IF('NoxWeed EmpBenefits'!$E$40&lt;&gt;0,'NoxWeed EmpBenefits'!$E$40,"  ")</f>
        <v>71225</v>
      </c>
      <c r="H18" s="293">
        <f>IF('NoxWeed EmpBenefits'!E40&lt;&gt;0,ROUND(G18/$F$38*1000,3),"  ")</f>
        <v>1.514</v>
      </c>
    </row>
    <row r="19" spans="1:8" x14ac:dyDescent="0.25">
      <c r="A19" s="68" t="str">
        <f>IF((inputPrYr!$B20&gt;" "),(inputPrYr!$B20),"  ")</f>
        <v>Employee Benefits</v>
      </c>
      <c r="B19" s="68">
        <f>IF('NoxWeed EmpBenefits'!$C$76&lt;&gt;0,'NoxWeed EmpBenefits'!$C$76,"  ")</f>
        <v>845411</v>
      </c>
      <c r="C19" s="293">
        <f>IF(inputPrYr!D94&lt;&gt;0,inputPrYr!D94,"  ")</f>
        <v>18.484999999999999</v>
      </c>
      <c r="D19" s="68">
        <f>IF('NoxWeed EmpBenefits'!$D$76&lt;&gt;0,'NoxWeed EmpBenefits'!$D$76,"  ")</f>
        <v>943557</v>
      </c>
      <c r="E19" s="293">
        <f>IF(inputPrYr!F20&lt;&gt;0,inputPrYr!F20,"  ")</f>
        <v>18.28</v>
      </c>
      <c r="F19" s="68">
        <f>IF('NoxWeed EmpBenefits'!$E$76&lt;&gt;0,'NoxWeed EmpBenefits'!$E$76,"  ")</f>
        <v>1052531</v>
      </c>
      <c r="G19" s="68">
        <f>IF('NoxWeed EmpBenefits'!$E$83&lt;&gt;0,'NoxWeed EmpBenefits'!$E$83,"  ")</f>
        <v>902109</v>
      </c>
      <c r="H19" s="293">
        <f>IF('NoxWeed EmpBenefits'!E83&lt;&gt;0,ROUND(G19/$F$38*1000,3),"  ")</f>
        <v>19.173999999999999</v>
      </c>
    </row>
    <row r="20" spans="1:8" x14ac:dyDescent="0.25">
      <c r="A20" s="68" t="str">
        <f>IF((inputPrYr!$B21&gt;" "),(inputPrYr!$B21),"  ")</f>
        <v>County Health</v>
      </c>
      <c r="B20" s="68">
        <f>IF('Health Hospital'!$C$35&lt;&gt;0,'Health Hospital'!$C$35,"  ")</f>
        <v>162685</v>
      </c>
      <c r="C20" s="293">
        <f>IF(inputPrYr!D95&lt;&gt;0,inputPrYr!D95,"  ")</f>
        <v>3.0150000000000001</v>
      </c>
      <c r="D20" s="68">
        <f>IF('Health Hospital'!$D$35&lt;&gt;0,'Health Hospital'!$D$35,"  ")</f>
        <v>184816</v>
      </c>
      <c r="E20" s="293">
        <f>IF(inputPrYr!F21&lt;&gt;0,inputPrYr!F21,"  ")</f>
        <v>2.88</v>
      </c>
      <c r="F20" s="68">
        <f>IF('Health Hospital'!$E$35&lt;&gt;0,'Health Hospital'!$E$35,"  ")</f>
        <v>190049</v>
      </c>
      <c r="G20" s="68">
        <f>IF('Health Hospital'!$E$42&lt;&gt;0,'Health Hospital'!$E$42,"  ")</f>
        <v>131643</v>
      </c>
      <c r="H20" s="293">
        <f>IF('Health Hospital'!$E$42&lt;&gt;0,ROUND(G20/$F$38*1000,3),"  ")</f>
        <v>2.798</v>
      </c>
    </row>
    <row r="21" spans="1:8" x14ac:dyDescent="0.25">
      <c r="A21" s="68" t="str">
        <f>IF((inputPrYr!$B22&gt;" "),(inputPrYr!$B22),"  ")</f>
        <v>Hospital Maintenance</v>
      </c>
      <c r="B21" s="68">
        <f>IF('Health Hospital'!$C$71&lt;&gt;0,'Health Hospital'!$C$71,"  ")</f>
        <v>231902</v>
      </c>
      <c r="C21" s="293">
        <f>IF(inputPrYr!D96&lt;&gt;0,inputPrYr!D96,"  ")</f>
        <v>4.8380000000000001</v>
      </c>
      <c r="D21" s="68">
        <f>IF('Health Hospital'!$D$71&lt;&gt;0,'Health Hospital'!$D$71,"  ")</f>
        <v>232210</v>
      </c>
      <c r="E21" s="293">
        <f>IF(inputPrYr!F22&lt;&gt;0,inputPrYr!F22,"  ")</f>
        <v>4.6230000000000002</v>
      </c>
      <c r="F21" s="68">
        <f>IF('Health Hospital'!$E$71&lt;&gt;0,'Health Hospital'!$E$71,"  ")</f>
        <v>302342</v>
      </c>
      <c r="G21" s="68">
        <f>IF('Health Hospital'!$E$78&lt;&gt;0,'Health Hospital'!$E$78,"  ")</f>
        <v>280471</v>
      </c>
      <c r="H21" s="293">
        <f>IF('Health Hospital'!$E$78&lt;&gt;0,ROUND(G21/$F$38*1000,3),"  ")</f>
        <v>5.9610000000000003</v>
      </c>
    </row>
    <row r="22" spans="1:8" x14ac:dyDescent="0.25">
      <c r="A22" s="68" t="str">
        <f>IF((inputPrYr!$B43&gt;" "),(inputPrYr!$B43),"  ")</f>
        <v>Special Drug and Alcohol</v>
      </c>
      <c r="B22" s="68">
        <f>IF('SpDrug SpParks'!$C$29&lt;&gt;0,'SpDrug SpParks'!$C$29,"  ")</f>
        <v>3259</v>
      </c>
      <c r="C22" s="49"/>
      <c r="D22" s="68">
        <f>IF('SpDrug SpParks'!$D$29&lt;&gt;0,'SpDrug SpParks'!$D$29,"  ")</f>
        <v>4957</v>
      </c>
      <c r="E22" s="49"/>
      <c r="F22" s="68">
        <f>IF('SpDrug SpParks'!$E$29&lt;&gt;0,'SpDrug SpParks'!$E$29,"  ")</f>
        <v>12000</v>
      </c>
      <c r="G22" s="68"/>
      <c r="H22" s="45"/>
    </row>
    <row r="23" spans="1:8" x14ac:dyDescent="0.25">
      <c r="A23" s="68" t="str">
        <f>IF((inputPrYr!$B44&gt;" "),(inputPrYr!$B44),"  ")</f>
        <v>Special Parks and Recreation</v>
      </c>
      <c r="B23" s="68" t="str">
        <f>IF('SpDrug SpParks'!$C$60&lt;&gt;0,'SpDrug SpParks'!$C$60,"  ")</f>
        <v xml:space="preserve">  </v>
      </c>
      <c r="C23" s="49"/>
      <c r="D23" s="68" t="str">
        <f>IF('SpDrug SpParks'!$D$60&lt;&gt;0,'SpDrug SpParks'!$D$60,"  ")</f>
        <v xml:space="preserve">  </v>
      </c>
      <c r="E23" s="49"/>
      <c r="F23" s="68">
        <f>IF('SpDrug SpParks'!$E$60&lt;&gt;0,'SpDrug SpParks'!$E$60,"  ")</f>
        <v>10000</v>
      </c>
      <c r="G23" s="68"/>
      <c r="H23" s="45"/>
    </row>
    <row r="24" spans="1:8" x14ac:dyDescent="0.25">
      <c r="A24" s="68" t="str">
        <f>IF((inputPrYr!$B45&gt;" "),(inputPrYr!$B45),"  ")</f>
        <v>Noxious Weed Capital Outlay</v>
      </c>
      <c r="B24" s="68">
        <f>IF('NoxWeedCO 911Emergency'!$C$29&lt;&gt;0,'NoxWeedCO 911Emergency'!$C$29,"  ")</f>
        <v>1000</v>
      </c>
      <c r="C24" s="49"/>
      <c r="D24" s="68" t="str">
        <f>IF('NoxWeedCO 911Emergency'!$D$29&lt;&gt;0,'NoxWeedCO 911Emergency'!$D$29,"  ")</f>
        <v xml:space="preserve">  </v>
      </c>
      <c r="E24" s="49"/>
      <c r="F24" s="68">
        <f>IF('NoxWeedCO 911Emergency'!$E$29&lt;&gt;0,'NoxWeedCO 911Emergency'!$E$29,"  ")</f>
        <v>8664</v>
      </c>
      <c r="G24" s="68"/>
      <c r="H24" s="45"/>
    </row>
    <row r="25" spans="1:8" x14ac:dyDescent="0.25">
      <c r="A25" s="68" t="str">
        <f>IF((inputPrYr!$B46&gt;" "),(inputPrYr!$B46),"  ")</f>
        <v>911 Emergency Telephone Tax</v>
      </c>
      <c r="B25" s="68">
        <f>IF('NoxWeedCO 911Emergency'!$C$60&lt;&gt;0,'NoxWeedCO 911Emergency'!$C$60,"  ")</f>
        <v>1442</v>
      </c>
      <c r="C25" s="49"/>
      <c r="D25" s="68" t="str">
        <f>IF('NoxWeedCO 911Emergency'!$D$60&lt;&gt;0,'NoxWeedCO 911Emergency'!$D$60,"  ")</f>
        <v xml:space="preserve">  </v>
      </c>
      <c r="E25" s="49"/>
      <c r="F25" s="68" t="str">
        <f>IF('NoxWeedCO 911Emergency'!$E$60&lt;&gt;0,'NoxWeedCO 911Emergency'!$E$60,"  ")</f>
        <v xml:space="preserve">  </v>
      </c>
      <c r="G25" s="68"/>
      <c r="H25" s="45"/>
    </row>
    <row r="26" spans="1:8" x14ac:dyDescent="0.25">
      <c r="A26" s="68" t="str">
        <f>IF((inputPrYr!$B47&gt;" "),(inputPrYr!$B47),"  ")</f>
        <v>911 Wireless Phone Tax</v>
      </c>
      <c r="B26" s="68">
        <f>IF('911Wireless EdwardsCo911'!$C$29&lt;&gt;0,'911Wireless EdwardsCo911'!$C$29,"  ")</f>
        <v>5210</v>
      </c>
      <c r="C26" s="49"/>
      <c r="D26" s="68" t="str">
        <f>IF('911Wireless EdwardsCo911'!$D$29&lt;&gt;0,'911Wireless EdwardsCo911'!$D$29,"  ")</f>
        <v xml:space="preserve">  </v>
      </c>
      <c r="E26" s="49"/>
      <c r="F26" s="68" t="str">
        <f>IF('911Wireless EdwardsCo911'!$E$29&lt;&gt;0,'911Wireless EdwardsCo911'!$E$29,"  ")</f>
        <v xml:space="preserve">  </v>
      </c>
      <c r="G26" s="68"/>
      <c r="H26" s="45"/>
    </row>
    <row r="27" spans="1:8" x14ac:dyDescent="0.25">
      <c r="A27" s="68" t="str">
        <f>IF((inputPrYr!$B48&gt;" "),(inputPrYr!$B48),"  ")</f>
        <v>Edwards Co 911</v>
      </c>
      <c r="B27" s="68">
        <f>IF('911Wireless EdwardsCo911'!$C$60&lt;&gt;0,'911Wireless EdwardsCo911'!$C$60,"  ")</f>
        <v>6412</v>
      </c>
      <c r="C27" s="49"/>
      <c r="D27" s="68">
        <f>IF('911Wireless EdwardsCo911'!$D$60&lt;&gt;0,'911Wireless EdwardsCo911'!$D$60,"  ")</f>
        <v>50000</v>
      </c>
      <c r="E27" s="49"/>
      <c r="F27" s="68">
        <f>IF('911Wireless EdwardsCo911'!$E$60&lt;&gt;0,'911Wireless EdwardsCo911'!$E$60,"  ")</f>
        <v>125000</v>
      </c>
      <c r="G27" s="68"/>
      <c r="H27" s="45"/>
    </row>
    <row r="28" spans="1:8" x14ac:dyDescent="0.25">
      <c r="A28" s="68" t="str">
        <f>IF((inputPrYr!$B49&gt;" "),(inputPrYr!$B49),"  ")</f>
        <v xml:space="preserve">  </v>
      </c>
      <c r="B28" s="68" t="str">
        <f>IF(BlankPage!$C$29&lt;&gt;0,BlankPage!$C$29,"  ")</f>
        <v xml:space="preserve">  </v>
      </c>
      <c r="C28" s="49"/>
      <c r="D28" s="68" t="str">
        <f>IF(BlankPage!$D$29&lt;&gt;0,BlankPage!$D$29,"  ")</f>
        <v xml:space="preserve">  </v>
      </c>
      <c r="E28" s="49"/>
      <c r="F28" s="68" t="str">
        <f>IF(BlankPage!$E$29&lt;&gt;0,BlankPage!$E$29,"  ")</f>
        <v xml:space="preserve">  </v>
      </c>
      <c r="G28" s="68"/>
      <c r="H28" s="45"/>
    </row>
    <row r="29" spans="1:8" x14ac:dyDescent="0.25">
      <c r="A29" s="68" t="str">
        <f>IF((inputPrYr!$B50&gt;" "),(inputPrYr!$B50),"  ")</f>
        <v xml:space="preserve">  </v>
      </c>
      <c r="B29" s="68" t="str">
        <f>IF(BlankPage!$C$60&lt;&gt;0,BlankPage!$C$60,"  ")</f>
        <v xml:space="preserve">  </v>
      </c>
      <c r="C29" s="49"/>
      <c r="D29" s="68" t="str">
        <f>IF(BlankPage!$D$60&lt;&gt;0,BlankPage!$D$60,"  ")</f>
        <v xml:space="preserve">  </v>
      </c>
      <c r="E29" s="49"/>
      <c r="F29" s="68" t="str">
        <f>IF(BlankPage!$E$60&lt;&gt;0,BlankPage!$E$60,"  ")</f>
        <v xml:space="preserve">  </v>
      </c>
      <c r="G29" s="68"/>
      <c r="H29" s="45"/>
    </row>
    <row r="30" spans="1:8" x14ac:dyDescent="0.25">
      <c r="A30" s="130" t="str">
        <f>IF((inputPrYr!$B62&gt;"  "),(nonbudA!$A3),"  ")</f>
        <v>Non-Budgeted Funds-A</v>
      </c>
      <c r="B30" s="68">
        <f>IF(nonbudA!$K$28&lt;&gt;0,nonbudA!$K$28,"  ")</f>
        <v>112606</v>
      </c>
      <c r="C30" s="49"/>
      <c r="D30" s="68"/>
      <c r="E30" s="49"/>
      <c r="F30" s="68"/>
      <c r="G30" s="68"/>
      <c r="H30" s="45"/>
    </row>
    <row r="31" spans="1:8" x14ac:dyDescent="0.25">
      <c r="A31" s="130" t="str">
        <f>IF((inputPrYr!$B68&gt;"  "),(nonbudB!$A3),"  ")</f>
        <v>Non-Budgeted Funds-B</v>
      </c>
      <c r="B31" s="68">
        <f>IF(nonbudB!$K$28&lt;&gt;0,nonbudB!$K$28,"  ")</f>
        <v>647697</v>
      </c>
      <c r="C31" s="49"/>
      <c r="D31" s="68"/>
      <c r="E31" s="49"/>
      <c r="F31" s="68"/>
      <c r="G31" s="68"/>
      <c r="H31" s="45"/>
    </row>
    <row r="32" spans="1:8" x14ac:dyDescent="0.25">
      <c r="A32" s="130" t="str">
        <f>IF((inputPrYr!$B74&gt;"  "),(nonbudC!$A3),"  ")</f>
        <v>Non-Budgeted Funds-C</v>
      </c>
      <c r="B32" s="68">
        <f>IF(nonbudC!$K$28&lt;&gt;0,nonbudC!$K$28,"  ")</f>
        <v>23049</v>
      </c>
      <c r="C32" s="49"/>
      <c r="D32" s="68"/>
      <c r="E32" s="49"/>
      <c r="F32" s="68"/>
      <c r="G32" s="68"/>
      <c r="H32" s="45"/>
    </row>
    <row r="33" spans="1:13" ht="16.2" thickBot="1" x14ac:dyDescent="0.35">
      <c r="A33" s="130" t="str">
        <f>IF((inputPrYr!$B80&gt;"  "),(nonbudD!$A3),"  ")</f>
        <v>Non-Budgeted Funds-D</v>
      </c>
      <c r="B33" s="363">
        <f>IF(nonbudD!$K$28&lt;&gt;0,nonbudD!$K$28,"  ")</f>
        <v>370</v>
      </c>
      <c r="C33" s="362"/>
      <c r="D33" s="363"/>
      <c r="E33" s="362"/>
      <c r="F33" s="363"/>
      <c r="G33" s="363"/>
      <c r="H33" s="361"/>
      <c r="J33" s="724" t="str">
        <f>CONCATENATE("Estimated Value Of One Mill For ",H1,"")</f>
        <v>Estimated Value Of One Mill For 2015</v>
      </c>
      <c r="K33" s="731"/>
      <c r="L33" s="731"/>
      <c r="M33" s="732"/>
    </row>
    <row r="34" spans="1:13" x14ac:dyDescent="0.3">
      <c r="A34" s="44" t="s">
        <v>72</v>
      </c>
      <c r="B34" s="366">
        <f>SUM(B16:B33)</f>
        <v>5090547</v>
      </c>
      <c r="C34" s="364">
        <f>SUM(C16:C21)</f>
        <v>77.590999999999994</v>
      </c>
      <c r="D34" s="366">
        <f>SUM(D16:D33)</f>
        <v>4727475</v>
      </c>
      <c r="E34" s="364">
        <f>SUM(E16:E21)</f>
        <v>78.593000000000004</v>
      </c>
      <c r="F34" s="366">
        <f>SUM(F16:F33)</f>
        <v>5204770</v>
      </c>
      <c r="G34" s="366">
        <f>SUM(G16:G21)</f>
        <v>3744906.98</v>
      </c>
      <c r="H34" s="364">
        <f>SUM(H16:H21)</f>
        <v>79.596000000000004</v>
      </c>
      <c r="J34" s="374"/>
      <c r="K34" s="375"/>
      <c r="L34" s="375"/>
      <c r="M34" s="376"/>
    </row>
    <row r="35" spans="1:13" x14ac:dyDescent="0.3">
      <c r="A35" s="27" t="s">
        <v>113</v>
      </c>
      <c r="B35" s="294">
        <f>transfers!C29</f>
        <v>275431</v>
      </c>
      <c r="C35" s="295"/>
      <c r="D35" s="294">
        <f>transfers!D29</f>
        <v>137000</v>
      </c>
      <c r="E35" s="251"/>
      <c r="F35" s="294">
        <f>transfers!E29</f>
        <v>50000</v>
      </c>
      <c r="G35" s="28"/>
      <c r="H35" s="66"/>
      <c r="J35" s="377" t="s">
        <v>269</v>
      </c>
      <c r="K35" s="378"/>
      <c r="L35" s="378"/>
      <c r="M35" s="379">
        <f>ROUND(F38/1000,0)</f>
        <v>47049</v>
      </c>
    </row>
    <row r="36" spans="1:13" ht="16.2" thickBot="1" x14ac:dyDescent="0.3">
      <c r="A36" s="27" t="s">
        <v>114</v>
      </c>
      <c r="B36" s="297">
        <f>B34-B35</f>
        <v>4815116</v>
      </c>
      <c r="C36" s="28"/>
      <c r="D36" s="297">
        <f>D34-D35</f>
        <v>4590475</v>
      </c>
      <c r="E36" s="295"/>
      <c r="F36" s="297">
        <f>F34-F35</f>
        <v>5154770</v>
      </c>
      <c r="G36" s="28"/>
      <c r="H36" s="66"/>
    </row>
    <row r="37" spans="1:13" ht="16.2" thickTop="1" x14ac:dyDescent="0.3">
      <c r="A37" s="27" t="s">
        <v>115</v>
      </c>
      <c r="B37" s="366">
        <f>inputPrYr!F117</f>
        <v>3360698</v>
      </c>
      <c r="C37" s="28"/>
      <c r="D37" s="366">
        <f>inputPrYr!E41</f>
        <v>3562898</v>
      </c>
      <c r="E37" s="28"/>
      <c r="F37" s="365" t="s">
        <v>32</v>
      </c>
      <c r="G37" s="28"/>
      <c r="H37" s="66"/>
      <c r="J37" s="724" t="str">
        <f>CONCATENATE("Want The Mill Rate The Same As For ",H1-1,"?")</f>
        <v>Want The Mill Rate The Same As For 2014?</v>
      </c>
      <c r="K37" s="731"/>
      <c r="L37" s="731"/>
      <c r="M37" s="732"/>
    </row>
    <row r="38" spans="1:13" x14ac:dyDescent="0.3">
      <c r="A38" s="27" t="s">
        <v>116</v>
      </c>
      <c r="B38" s="68">
        <f>inputPrYr!F118</f>
        <v>43313105</v>
      </c>
      <c r="C38" s="28"/>
      <c r="D38" s="68">
        <f>inputPrYr!F85</f>
        <v>45333828</v>
      </c>
      <c r="E38" s="28"/>
      <c r="F38" s="68">
        <f>inputOth!E6</f>
        <v>47048856</v>
      </c>
      <c r="G38" s="28"/>
      <c r="H38" s="66"/>
      <c r="J38" s="381"/>
      <c r="K38" s="375"/>
      <c r="L38" s="375"/>
      <c r="M38" s="382"/>
    </row>
    <row r="39" spans="1:13" x14ac:dyDescent="0.3">
      <c r="A39" s="28"/>
      <c r="B39" s="28"/>
      <c r="C39" s="28"/>
      <c r="D39" s="28"/>
      <c r="E39" s="28"/>
      <c r="F39" s="28"/>
      <c r="G39" s="28"/>
      <c r="H39" s="66"/>
      <c r="J39" s="381" t="str">
        <f>CONCATENATE("",H1-1," Mill Rate Was:")</f>
        <v>2014 Mill Rate Was:</v>
      </c>
      <c r="K39" s="375"/>
      <c r="L39" s="375"/>
      <c r="M39" s="383">
        <f>E34</f>
        <v>78.593000000000004</v>
      </c>
    </row>
    <row r="40" spans="1:13" x14ac:dyDescent="0.3">
      <c r="A40" s="27" t="s">
        <v>117</v>
      </c>
      <c r="B40" s="28"/>
      <c r="C40" s="28"/>
      <c r="D40" s="28"/>
      <c r="E40" s="28"/>
      <c r="F40" s="28"/>
      <c r="G40" s="28"/>
      <c r="H40" s="78"/>
      <c r="J40" s="384" t="str">
        <f>CONCATENATE("",H1," Tax Levy Fund Expenditures Must Be")</f>
        <v>2015 Tax Levy Fund Expenditures Must Be</v>
      </c>
      <c r="K40" s="385"/>
      <c r="L40" s="385"/>
      <c r="M40" s="382"/>
    </row>
    <row r="41" spans="1:13" x14ac:dyDescent="0.3">
      <c r="A41" s="27" t="s">
        <v>118</v>
      </c>
      <c r="B41" s="296">
        <f>H1-3</f>
        <v>2012</v>
      </c>
      <c r="C41" s="28"/>
      <c r="D41" s="296">
        <f>H1-2</f>
        <v>2013</v>
      </c>
      <c r="E41" s="28"/>
      <c r="F41" s="296">
        <f>H1-1</f>
        <v>2014</v>
      </c>
      <c r="G41" s="28"/>
      <c r="H41" s="78"/>
      <c r="J41" s="384" t="str">
        <f>IF(M41&gt;0,"Increased By:","")</f>
        <v/>
      </c>
      <c r="K41" s="385"/>
      <c r="L41" s="385"/>
      <c r="M41" s="392">
        <f>IF(M48&lt;0,M48*-1,0)</f>
        <v>0</v>
      </c>
    </row>
    <row r="42" spans="1:13" x14ac:dyDescent="0.25">
      <c r="A42" s="27" t="s">
        <v>119</v>
      </c>
      <c r="B42" s="68">
        <f>inputPrYr!D122</f>
        <v>0</v>
      </c>
      <c r="C42" s="28"/>
      <c r="D42" s="68">
        <f>inputPrYr!E122</f>
        <v>0</v>
      </c>
      <c r="E42" s="28"/>
      <c r="F42" s="68">
        <f>debt!G19</f>
        <v>0</v>
      </c>
      <c r="G42" s="28"/>
      <c r="H42" s="78"/>
      <c r="J42" s="393" t="str">
        <f>IF(M42&lt;0,"Reduced By:","")</f>
        <v>Reduced By:</v>
      </c>
      <c r="K42" s="394"/>
      <c r="L42" s="394"/>
      <c r="M42" s="395">
        <f>IF(M48&gt;0,M48*-1,0)</f>
        <v>-47195.979999999981</v>
      </c>
    </row>
    <row r="43" spans="1:13" x14ac:dyDescent="0.3">
      <c r="A43" s="27" t="s">
        <v>120</v>
      </c>
      <c r="B43" s="68">
        <f>inputPrYr!D123</f>
        <v>0</v>
      </c>
      <c r="C43" s="28"/>
      <c r="D43" s="68">
        <f>inputPrYr!E123</f>
        <v>0</v>
      </c>
      <c r="E43" s="28"/>
      <c r="F43" s="68">
        <f>debt!G27</f>
        <v>0</v>
      </c>
      <c r="G43" s="28"/>
      <c r="H43" s="78"/>
      <c r="J43" s="388"/>
      <c r="K43" s="388"/>
      <c r="L43" s="388"/>
      <c r="M43" s="388"/>
    </row>
    <row r="44" spans="1:13" x14ac:dyDescent="0.3">
      <c r="A44" s="27" t="s">
        <v>107</v>
      </c>
      <c r="B44" s="68">
        <f>inputPrYr!D124</f>
        <v>0</v>
      </c>
      <c r="C44" s="28"/>
      <c r="D44" s="68">
        <f>inputPrYr!E124</f>
        <v>0</v>
      </c>
      <c r="E44" s="28"/>
      <c r="F44" s="68">
        <f>debt!G36</f>
        <v>0</v>
      </c>
      <c r="G44" s="28"/>
      <c r="H44" s="78"/>
      <c r="J44" s="724" t="str">
        <f>CONCATENATE("Impact On Keeping The Same Mill Rate As For ",H1-1,"")</f>
        <v>Impact On Keeping The Same Mill Rate As For 2014</v>
      </c>
      <c r="K44" s="725"/>
      <c r="L44" s="725"/>
      <c r="M44" s="726"/>
    </row>
    <row r="45" spans="1:13" x14ac:dyDescent="0.3">
      <c r="A45" s="27" t="s">
        <v>194</v>
      </c>
      <c r="B45" s="68">
        <f>inputPrYr!D125</f>
        <v>107584</v>
      </c>
      <c r="C45" s="28"/>
      <c r="D45" s="68">
        <f>inputPrYr!E125</f>
        <v>238090</v>
      </c>
      <c r="E45" s="28"/>
      <c r="F45" s="68">
        <f>lpform!G37</f>
        <v>155019</v>
      </c>
      <c r="G45" s="28"/>
      <c r="H45" s="78"/>
      <c r="J45" s="381"/>
      <c r="K45" s="375"/>
      <c r="L45" s="375"/>
      <c r="M45" s="382"/>
    </row>
    <row r="46" spans="1:13" ht="16.2" thickBot="1" x14ac:dyDescent="0.35">
      <c r="A46" s="27" t="s">
        <v>121</v>
      </c>
      <c r="B46" s="391">
        <f>SUM(B42:B45)</f>
        <v>107584</v>
      </c>
      <c r="C46" s="28"/>
      <c r="D46" s="391">
        <f>SUM(D42:D45)</f>
        <v>238090</v>
      </c>
      <c r="E46" s="28"/>
      <c r="F46" s="391">
        <f>SUM(F42:F45)</f>
        <v>155019</v>
      </c>
      <c r="G46" s="28"/>
      <c r="H46" s="78"/>
      <c r="J46" s="381" t="str">
        <f>CONCATENATE("",H1," Ad Valorem Tax Revenue:")</f>
        <v>2015 Ad Valorem Tax Revenue:</v>
      </c>
      <c r="K46" s="375"/>
      <c r="L46" s="375"/>
      <c r="M46" s="376">
        <f>G34</f>
        <v>3744906.98</v>
      </c>
    </row>
    <row r="47" spans="1:13" ht="16.2" thickTop="1" x14ac:dyDescent="0.3">
      <c r="A47" s="27" t="s">
        <v>122</v>
      </c>
      <c r="B47" s="28"/>
      <c r="C47" s="28"/>
      <c r="D47" s="28"/>
      <c r="E47" s="28"/>
      <c r="F47" s="28"/>
      <c r="G47" s="28"/>
      <c r="H47" s="78"/>
      <c r="J47" s="381" t="str">
        <f>CONCATENATE("",H1-1," Ad Valorem Tax Revenue:")</f>
        <v>2014 Ad Valorem Tax Revenue:</v>
      </c>
      <c r="K47" s="375"/>
      <c r="L47" s="375"/>
      <c r="M47" s="389">
        <f>ROUND(F38*M39/1000,0)</f>
        <v>3697711</v>
      </c>
    </row>
    <row r="48" spans="1:13" x14ac:dyDescent="0.3">
      <c r="A48" s="28"/>
      <c r="B48" s="28"/>
      <c r="C48" s="28"/>
      <c r="D48" s="28"/>
      <c r="E48" s="28"/>
      <c r="F48" s="28"/>
      <c r="G48" s="28"/>
      <c r="H48" s="78"/>
      <c r="J48" s="386" t="s">
        <v>270</v>
      </c>
      <c r="K48" s="387"/>
      <c r="L48" s="387"/>
      <c r="M48" s="379">
        <f>SUM(M46-M47)</f>
        <v>47195.979999999981</v>
      </c>
    </row>
    <row r="49" spans="1:13" x14ac:dyDescent="0.3">
      <c r="A49" s="730" t="str">
        <f>inputBudSum!B3</f>
        <v>Gina Schuette</v>
      </c>
      <c r="B49" s="730"/>
      <c r="C49" s="28"/>
      <c r="D49" s="28"/>
      <c r="E49" s="28"/>
      <c r="F49" s="28"/>
      <c r="G49" s="28"/>
      <c r="H49" s="78"/>
      <c r="J49" s="380"/>
      <c r="K49" s="380"/>
      <c r="L49" s="380"/>
      <c r="M49" s="388"/>
    </row>
    <row r="50" spans="1:13" x14ac:dyDescent="0.3">
      <c r="A50" s="147" t="s">
        <v>123</v>
      </c>
      <c r="B50" s="34"/>
      <c r="C50" s="28"/>
      <c r="D50" s="28"/>
      <c r="E50" s="28"/>
      <c r="F50" s="28"/>
      <c r="G50" s="28"/>
      <c r="H50" s="78"/>
      <c r="J50" s="724" t="s">
        <v>271</v>
      </c>
      <c r="K50" s="727"/>
      <c r="L50" s="727"/>
      <c r="M50" s="728"/>
    </row>
    <row r="51" spans="1:13" x14ac:dyDescent="0.3">
      <c r="A51" s="28"/>
      <c r="B51" s="28"/>
      <c r="C51" s="28"/>
      <c r="D51" s="207" t="s">
        <v>83</v>
      </c>
      <c r="E51" s="298">
        <v>18</v>
      </c>
      <c r="F51" s="28"/>
      <c r="G51" s="28"/>
      <c r="H51" s="78"/>
      <c r="J51" s="381"/>
      <c r="K51" s="375"/>
      <c r="L51" s="375"/>
      <c r="M51" s="382"/>
    </row>
    <row r="52" spans="1:13" x14ac:dyDescent="0.3">
      <c r="A52" s="84"/>
      <c r="D52" s="84"/>
      <c r="E52" s="84"/>
      <c r="F52" s="84"/>
      <c r="G52" s="84"/>
      <c r="H52" s="84"/>
      <c r="J52" s="381" t="str">
        <f>CONCATENATE("Current ",H1," Estimated Mill Rate:")</f>
        <v>Current 2015 Estimated Mill Rate:</v>
      </c>
      <c r="K52" s="375"/>
      <c r="L52" s="375"/>
      <c r="M52" s="383">
        <f>H34</f>
        <v>79.596000000000004</v>
      </c>
    </row>
    <row r="53" spans="1:13" x14ac:dyDescent="0.3">
      <c r="J53" s="381" t="str">
        <f>CONCATENATE("Desired ",H1," Mill Rate:")</f>
        <v>Desired 2015 Mill Rate:</v>
      </c>
      <c r="K53" s="375"/>
      <c r="L53" s="375"/>
      <c r="M53" s="390">
        <v>79.593000000000004</v>
      </c>
    </row>
    <row r="54" spans="1:13" x14ac:dyDescent="0.3">
      <c r="J54" s="381" t="str">
        <f>CONCATENATE("",H1," Ad Valorem Tax:")</f>
        <v>2015 Ad Valorem Tax:</v>
      </c>
      <c r="K54" s="375"/>
      <c r="L54" s="375"/>
      <c r="M54" s="389">
        <f>ROUND(F38*M53/1000,0)</f>
        <v>3744760</v>
      </c>
    </row>
    <row r="55" spans="1:13" x14ac:dyDescent="0.3">
      <c r="J55" s="386" t="str">
        <f>CONCATENATE("",H1," Tax Levy Fund Exp. Changed By:")</f>
        <v>2015 Tax Levy Fund Exp. Changed By:</v>
      </c>
      <c r="K55" s="387"/>
      <c r="L55" s="387"/>
      <c r="M55" s="379">
        <f>IF(M53=0,0,(M54-G34))</f>
        <v>-146.97999999998137</v>
      </c>
    </row>
  </sheetData>
  <mergeCells count="14">
    <mergeCell ref="A7:H7"/>
    <mergeCell ref="A8:H8"/>
    <mergeCell ref="J44:M44"/>
    <mergeCell ref="J50:M50"/>
    <mergeCell ref="A2:H2"/>
    <mergeCell ref="A4:H4"/>
    <mergeCell ref="A5:H5"/>
    <mergeCell ref="A6:H6"/>
    <mergeCell ref="A10:H10"/>
    <mergeCell ref="A49:B49"/>
    <mergeCell ref="G14:G15"/>
    <mergeCell ref="J33:M33"/>
    <mergeCell ref="J37:M37"/>
    <mergeCell ref="A11:H11"/>
  </mergeCells>
  <phoneticPr fontId="0" type="noConversion"/>
  <pageMargins left="1.1200000000000001" right="0.5" top="0.74" bottom="0.34" header="0.5" footer="0"/>
  <pageSetup scale="55" orientation="portrait" blackAndWhite="1" r:id="rId1"/>
  <headerFooter alignWithMargins="0">
    <oddHeader xml:space="preserve">&amp;RState of Kansas
County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topLeftCell="A10" workbookViewId="0">
      <selection activeCell="D18" sqref="D18"/>
    </sheetView>
  </sheetViews>
  <sheetFormatPr defaultColWidth="8.9140625" defaultRowHeight="15" x14ac:dyDescent="0.25"/>
  <cols>
    <col min="1" max="1" width="9.25" style="104" customWidth="1"/>
    <col min="2" max="2" width="18.58203125" style="104" customWidth="1"/>
    <col min="3" max="3" width="11.75" style="104" customWidth="1"/>
    <col min="4" max="4" width="12.75" style="104" customWidth="1"/>
    <col min="5" max="5" width="11.75" style="104" customWidth="1"/>
    <col min="6" max="16384" width="8.9140625" style="104"/>
  </cols>
  <sheetData>
    <row r="1" spans="1:6" ht="15.6" x14ac:dyDescent="0.25">
      <c r="A1" s="155" t="str">
        <f>inputPrYr!C2</f>
        <v>Edwards County</v>
      </c>
      <c r="B1" s="28"/>
      <c r="C1" s="28"/>
      <c r="D1" s="28"/>
      <c r="E1" s="28"/>
      <c r="F1" s="245">
        <f>inputPrYr!C4</f>
        <v>2015</v>
      </c>
    </row>
    <row r="2" spans="1:6" ht="15.6" x14ac:dyDescent="0.25">
      <c r="A2" s="28"/>
      <c r="B2" s="28"/>
      <c r="C2" s="28"/>
      <c r="D2" s="28"/>
      <c r="E2" s="28"/>
      <c r="F2" s="28"/>
    </row>
    <row r="3" spans="1:6" ht="15.6" x14ac:dyDescent="0.25">
      <c r="A3" s="28"/>
      <c r="B3" s="686" t="str">
        <f>CONCATENATE("",F1," Neighborhood Revitalization Rebate")</f>
        <v>2015 Neighborhood Revitalization Rebate</v>
      </c>
      <c r="C3" s="734"/>
      <c r="D3" s="734"/>
      <c r="E3" s="734"/>
      <c r="F3" s="28"/>
    </row>
    <row r="4" spans="1:6" ht="15.6" x14ac:dyDescent="0.25">
      <c r="A4" s="28"/>
      <c r="B4" s="28"/>
      <c r="C4" s="28"/>
      <c r="D4" s="28"/>
      <c r="E4" s="28"/>
      <c r="F4" s="28"/>
    </row>
    <row r="5" spans="1:6" ht="51" customHeight="1" x14ac:dyDescent="0.25">
      <c r="A5" s="28"/>
      <c r="B5" s="299" t="str">
        <f>CONCATENATE("Budgeted Funds                       for ",F1,"")</f>
        <v>Budgeted Funds                       for 2015</v>
      </c>
      <c r="C5" s="299" t="str">
        <f>CONCATENATE("",F1-1," Ad Valorem before Rebate**")</f>
        <v>2014 Ad Valorem before Rebate**</v>
      </c>
      <c r="D5" s="300" t="str">
        <f>CONCATENATE("",F1-1," Mil Rate before Rebate")</f>
        <v>2014 Mil Rate before Rebate</v>
      </c>
      <c r="E5" s="301" t="str">
        <f>CONCATENATE("Estimate ",F1," NR Rebate")</f>
        <v>Estimate 2015 NR Rebate</v>
      </c>
      <c r="F5" s="78"/>
    </row>
    <row r="6" spans="1:6" ht="15.6" x14ac:dyDescent="0.25">
      <c r="A6" s="28"/>
      <c r="B6" s="44" t="str">
        <f>inputPrYr!B16</f>
        <v>General</v>
      </c>
      <c r="C6" s="302">
        <v>1533522.39</v>
      </c>
      <c r="D6" s="303">
        <f>IF(C6&gt;0,C6/$D$36,"")</f>
        <v>32.594254576561859</v>
      </c>
      <c r="E6" s="199">
        <f t="shared" ref="E6:E30" si="0">IF(C6&gt;0,ROUND(D6*$D$40,0),"")</f>
        <v>12912</v>
      </c>
      <c r="F6" s="78"/>
    </row>
    <row r="7" spans="1:6" ht="15.6" x14ac:dyDescent="0.25">
      <c r="A7" s="28"/>
      <c r="B7" s="44">
        <f>inputPrYr!B17</f>
        <v>0</v>
      </c>
      <c r="C7" s="302"/>
      <c r="D7" s="303" t="str">
        <f t="shared" ref="D7:D30" si="1">IF(C7&gt;0,C7/$D$36,"")</f>
        <v/>
      </c>
      <c r="E7" s="199" t="str">
        <f t="shared" si="0"/>
        <v/>
      </c>
      <c r="F7" s="78"/>
    </row>
    <row r="8" spans="1:6" ht="15.6" x14ac:dyDescent="0.25">
      <c r="A8" s="28"/>
      <c r="B8" s="44" t="str">
        <f>inputPrYr!B18</f>
        <v>Road &amp; Bridge</v>
      </c>
      <c r="C8" s="302">
        <v>806040.6</v>
      </c>
      <c r="D8" s="303">
        <f t="shared" si="1"/>
        <v>17.131991477114767</v>
      </c>
      <c r="E8" s="199">
        <f t="shared" si="0"/>
        <v>6787</v>
      </c>
      <c r="F8" s="78"/>
    </row>
    <row r="9" spans="1:6" ht="15.6" x14ac:dyDescent="0.25">
      <c r="A9" s="28"/>
      <c r="B9" s="44" t="str">
        <f>inputPrYr!B19</f>
        <v>Noxious Weed</v>
      </c>
      <c r="C9" s="302">
        <v>70624</v>
      </c>
      <c r="D9" s="303">
        <f t="shared" si="1"/>
        <v>1.5010779433191745</v>
      </c>
      <c r="E9" s="199">
        <f t="shared" si="0"/>
        <v>595</v>
      </c>
      <c r="F9" s="78"/>
    </row>
    <row r="10" spans="1:6" ht="15.6" x14ac:dyDescent="0.25">
      <c r="A10" s="28"/>
      <c r="B10" s="44" t="str">
        <f>inputPrYr!B20</f>
        <v>Employee Benefits</v>
      </c>
      <c r="C10" s="302">
        <v>894502</v>
      </c>
      <c r="D10" s="303">
        <f t="shared" si="1"/>
        <v>19.012194472911307</v>
      </c>
      <c r="E10" s="199">
        <f t="shared" si="0"/>
        <v>7531</v>
      </c>
      <c r="F10" s="78"/>
    </row>
    <row r="11" spans="1:6" ht="15.6" x14ac:dyDescent="0.25">
      <c r="A11" s="28"/>
      <c r="B11" s="44" t="str">
        <f>inputPrYr!B21</f>
        <v>County Health</v>
      </c>
      <c r="C11" s="302">
        <v>130533</v>
      </c>
      <c r="D11" s="303">
        <f t="shared" si="1"/>
        <v>2.7744138986078641</v>
      </c>
      <c r="E11" s="199">
        <f t="shared" si="0"/>
        <v>1099</v>
      </c>
      <c r="F11" s="78"/>
    </row>
    <row r="12" spans="1:6" ht="15.6" x14ac:dyDescent="0.25">
      <c r="A12" s="28"/>
      <c r="B12" s="44" t="str">
        <f>inputPrYr!B22</f>
        <v>Hospital Maintenance</v>
      </c>
      <c r="C12" s="304">
        <v>278106</v>
      </c>
      <c r="D12" s="303">
        <f t="shared" si="1"/>
        <v>5.9110045098652346</v>
      </c>
      <c r="E12" s="199">
        <f t="shared" si="0"/>
        <v>2342</v>
      </c>
      <c r="F12" s="78"/>
    </row>
    <row r="13" spans="1:6" ht="15.6" x14ac:dyDescent="0.25">
      <c r="A13" s="28"/>
      <c r="B13" s="44">
        <f>inputPrYr!B23</f>
        <v>0</v>
      </c>
      <c r="C13" s="304"/>
      <c r="D13" s="303" t="str">
        <f t="shared" si="1"/>
        <v/>
      </c>
      <c r="E13" s="199" t="str">
        <f t="shared" si="0"/>
        <v/>
      </c>
      <c r="F13" s="78"/>
    </row>
    <row r="14" spans="1:6" ht="15.6" x14ac:dyDescent="0.25">
      <c r="A14" s="28"/>
      <c r="B14" s="44">
        <f>inputPrYr!B24</f>
        <v>0</v>
      </c>
      <c r="C14" s="304"/>
      <c r="D14" s="303" t="str">
        <f t="shared" si="1"/>
        <v/>
      </c>
      <c r="E14" s="199" t="str">
        <f t="shared" si="0"/>
        <v/>
      </c>
      <c r="F14" s="78"/>
    </row>
    <row r="15" spans="1:6" ht="15.6" x14ac:dyDescent="0.25">
      <c r="A15" s="28"/>
      <c r="B15" s="44">
        <f>inputPrYr!B25</f>
        <v>0</v>
      </c>
      <c r="C15" s="304"/>
      <c r="D15" s="303" t="str">
        <f t="shared" si="1"/>
        <v/>
      </c>
      <c r="E15" s="199" t="str">
        <f t="shared" si="0"/>
        <v/>
      </c>
      <c r="F15" s="78"/>
    </row>
    <row r="16" spans="1:6" ht="15.6" x14ac:dyDescent="0.25">
      <c r="A16" s="28"/>
      <c r="B16" s="44">
        <f>inputPrYr!B26</f>
        <v>0</v>
      </c>
      <c r="C16" s="304"/>
      <c r="D16" s="303" t="str">
        <f t="shared" si="1"/>
        <v/>
      </c>
      <c r="E16" s="199" t="str">
        <f t="shared" si="0"/>
        <v/>
      </c>
      <c r="F16" s="78"/>
    </row>
    <row r="17" spans="1:6" ht="15.6" x14ac:dyDescent="0.25">
      <c r="A17" s="28"/>
      <c r="B17" s="44">
        <f>inputPrYr!B27</f>
        <v>0</v>
      </c>
      <c r="C17" s="304"/>
      <c r="D17" s="303" t="str">
        <f t="shared" si="1"/>
        <v/>
      </c>
      <c r="E17" s="199" t="str">
        <f t="shared" si="0"/>
        <v/>
      </c>
      <c r="F17" s="78"/>
    </row>
    <row r="18" spans="1:6" ht="15.6" x14ac:dyDescent="0.25">
      <c r="A18" s="28"/>
      <c r="B18" s="44">
        <f>inputPrYr!B28</f>
        <v>0</v>
      </c>
      <c r="C18" s="304"/>
      <c r="D18" s="303" t="str">
        <f t="shared" si="1"/>
        <v/>
      </c>
      <c r="E18" s="199" t="str">
        <f t="shared" si="0"/>
        <v/>
      </c>
      <c r="F18" s="78"/>
    </row>
    <row r="19" spans="1:6" ht="15.6" x14ac:dyDescent="0.25">
      <c r="A19" s="28"/>
      <c r="B19" s="44">
        <f>inputPrYr!B29</f>
        <v>0</v>
      </c>
      <c r="C19" s="304"/>
      <c r="D19" s="303" t="str">
        <f t="shared" si="1"/>
        <v/>
      </c>
      <c r="E19" s="199" t="str">
        <f t="shared" si="0"/>
        <v/>
      </c>
      <c r="F19" s="78"/>
    </row>
    <row r="20" spans="1:6" ht="15.6" x14ac:dyDescent="0.25">
      <c r="A20" s="28"/>
      <c r="B20" s="44">
        <f>inputPrYr!B30</f>
        <v>0</v>
      </c>
      <c r="C20" s="304"/>
      <c r="D20" s="303" t="str">
        <f t="shared" si="1"/>
        <v/>
      </c>
      <c r="E20" s="199" t="str">
        <f t="shared" si="0"/>
        <v/>
      </c>
      <c r="F20" s="78"/>
    </row>
    <row r="21" spans="1:6" ht="15.6" x14ac:dyDescent="0.25">
      <c r="A21" s="28"/>
      <c r="B21" s="44">
        <f>inputPrYr!B31</f>
        <v>0</v>
      </c>
      <c r="C21" s="304"/>
      <c r="D21" s="303" t="str">
        <f t="shared" si="1"/>
        <v/>
      </c>
      <c r="E21" s="199" t="str">
        <f t="shared" si="0"/>
        <v/>
      </c>
      <c r="F21" s="78"/>
    </row>
    <row r="22" spans="1:6" ht="15.6" x14ac:dyDescent="0.25">
      <c r="A22" s="28"/>
      <c r="B22" s="44">
        <f>inputPrYr!B32</f>
        <v>0</v>
      </c>
      <c r="C22" s="304"/>
      <c r="D22" s="303" t="str">
        <f t="shared" si="1"/>
        <v/>
      </c>
      <c r="E22" s="199" t="str">
        <f t="shared" si="0"/>
        <v/>
      </c>
      <c r="F22" s="78"/>
    </row>
    <row r="23" spans="1:6" ht="15.6" x14ac:dyDescent="0.25">
      <c r="A23" s="28"/>
      <c r="B23" s="44">
        <f>inputPrYr!B33</f>
        <v>0</v>
      </c>
      <c r="C23" s="304"/>
      <c r="D23" s="303" t="str">
        <f t="shared" si="1"/>
        <v/>
      </c>
      <c r="E23" s="199" t="str">
        <f t="shared" si="0"/>
        <v/>
      </c>
      <c r="F23" s="78"/>
    </row>
    <row r="24" spans="1:6" ht="15.6" x14ac:dyDescent="0.25">
      <c r="A24" s="28"/>
      <c r="B24" s="44">
        <f>inputPrYr!B34</f>
        <v>0</v>
      </c>
      <c r="C24" s="304"/>
      <c r="D24" s="303" t="str">
        <f t="shared" si="1"/>
        <v/>
      </c>
      <c r="E24" s="199" t="str">
        <f t="shared" si="0"/>
        <v/>
      </c>
      <c r="F24" s="78"/>
    </row>
    <row r="25" spans="1:6" ht="15.6" x14ac:dyDescent="0.25">
      <c r="A25" s="28"/>
      <c r="B25" s="44">
        <f>inputPrYr!B35</f>
        <v>0</v>
      </c>
      <c r="C25" s="304"/>
      <c r="D25" s="303" t="str">
        <f t="shared" si="1"/>
        <v/>
      </c>
      <c r="E25" s="199" t="str">
        <f t="shared" si="0"/>
        <v/>
      </c>
      <c r="F25" s="78"/>
    </row>
    <row r="26" spans="1:6" ht="15.6" x14ac:dyDescent="0.25">
      <c r="A26" s="28"/>
      <c r="B26" s="44">
        <f>inputPrYr!B36</f>
        <v>0</v>
      </c>
      <c r="C26" s="304"/>
      <c r="D26" s="303" t="str">
        <f t="shared" si="1"/>
        <v/>
      </c>
      <c r="E26" s="199" t="str">
        <f t="shared" si="0"/>
        <v/>
      </c>
      <c r="F26" s="78"/>
    </row>
    <row r="27" spans="1:6" ht="15.6" x14ac:dyDescent="0.25">
      <c r="A27" s="28"/>
      <c r="B27" s="44">
        <f>inputPrYr!B37</f>
        <v>0</v>
      </c>
      <c r="C27" s="304"/>
      <c r="D27" s="303" t="str">
        <f t="shared" si="1"/>
        <v/>
      </c>
      <c r="E27" s="199" t="str">
        <f t="shared" si="0"/>
        <v/>
      </c>
      <c r="F27" s="78"/>
    </row>
    <row r="28" spans="1:6" ht="15.6" x14ac:dyDescent="0.25">
      <c r="A28" s="28"/>
      <c r="B28" s="44">
        <f>inputPrYr!B38</f>
        <v>0</v>
      </c>
      <c r="C28" s="304"/>
      <c r="D28" s="303" t="str">
        <f t="shared" si="1"/>
        <v/>
      </c>
      <c r="E28" s="199" t="str">
        <f t="shared" si="0"/>
        <v/>
      </c>
      <c r="F28" s="78"/>
    </row>
    <row r="29" spans="1:6" ht="15.6" x14ac:dyDescent="0.25">
      <c r="A29" s="28"/>
      <c r="B29" s="44">
        <f>inputPrYr!B39</f>
        <v>0</v>
      </c>
      <c r="C29" s="304"/>
      <c r="D29" s="303" t="str">
        <f t="shared" si="1"/>
        <v/>
      </c>
      <c r="E29" s="199" t="str">
        <f t="shared" si="0"/>
        <v/>
      </c>
      <c r="F29" s="78"/>
    </row>
    <row r="30" spans="1:6" ht="15.6" x14ac:dyDescent="0.25">
      <c r="A30" s="28"/>
      <c r="B30" s="44">
        <f>inputPrYr!B40</f>
        <v>0</v>
      </c>
      <c r="C30" s="304"/>
      <c r="D30" s="303" t="str">
        <f t="shared" si="1"/>
        <v/>
      </c>
      <c r="E30" s="199" t="str">
        <f t="shared" si="0"/>
        <v/>
      </c>
      <c r="F30" s="78"/>
    </row>
    <row r="31" spans="1:6" ht="16.2" thickBot="1" x14ac:dyDescent="0.3">
      <c r="A31" s="28"/>
      <c r="B31" s="49" t="s">
        <v>67</v>
      </c>
      <c r="C31" s="305">
        <f>SUM(C6:C30)</f>
        <v>3713327.9899999998</v>
      </c>
      <c r="D31" s="306">
        <f>SUM(D6:D30)</f>
        <v>78.924936878380208</v>
      </c>
      <c r="E31" s="305">
        <f>SUM(E6:E30)</f>
        <v>31266</v>
      </c>
      <c r="F31" s="78"/>
    </row>
    <row r="32" spans="1:6" ht="16.2" thickTop="1" x14ac:dyDescent="0.25">
      <c r="A32" s="28"/>
      <c r="B32" s="28"/>
      <c r="C32" s="28"/>
      <c r="D32" s="28"/>
      <c r="E32" s="28"/>
      <c r="F32" s="78"/>
    </row>
    <row r="33" spans="1:6" ht="15.6" x14ac:dyDescent="0.25">
      <c r="A33" s="28"/>
      <c r="B33" s="28"/>
      <c r="C33" s="28"/>
      <c r="D33" s="28"/>
      <c r="E33" s="28"/>
      <c r="F33" s="78"/>
    </row>
    <row r="34" spans="1:6" ht="15.6" x14ac:dyDescent="0.25">
      <c r="A34" s="735" t="str">
        <f>CONCATENATE("",F1-1," July 1 Valuation:")</f>
        <v>2014 July 1 Valuation:</v>
      </c>
      <c r="B34" s="702"/>
      <c r="C34" s="735"/>
      <c r="D34" s="307">
        <f>inputOth!E6</f>
        <v>47048856</v>
      </c>
      <c r="E34" s="28"/>
      <c r="F34" s="78"/>
    </row>
    <row r="35" spans="1:6" ht="15.6" x14ac:dyDescent="0.25">
      <c r="A35" s="28"/>
      <c r="B35" s="28"/>
      <c r="C35" s="28"/>
      <c r="D35" s="28"/>
      <c r="E35" s="28"/>
      <c r="F35" s="78"/>
    </row>
    <row r="36" spans="1:6" ht="15.6" x14ac:dyDescent="0.25">
      <c r="A36" s="28"/>
      <c r="B36" s="735" t="s">
        <v>237</v>
      </c>
      <c r="C36" s="735"/>
      <c r="D36" s="308">
        <f>IF(D34&gt;0,(D34*0.001),"")</f>
        <v>47048.856</v>
      </c>
      <c r="E36" s="28"/>
      <c r="F36" s="78"/>
    </row>
    <row r="37" spans="1:6" ht="15.6" x14ac:dyDescent="0.25">
      <c r="A37" s="28"/>
      <c r="B37" s="207"/>
      <c r="C37" s="207"/>
      <c r="D37" s="309"/>
      <c r="E37" s="28"/>
      <c r="F37" s="78"/>
    </row>
    <row r="38" spans="1:6" ht="15.6" x14ac:dyDescent="0.25">
      <c r="A38" s="733" t="s">
        <v>238</v>
      </c>
      <c r="B38" s="680"/>
      <c r="C38" s="680"/>
      <c r="D38" s="310">
        <f>inputOth!E12</f>
        <v>396134</v>
      </c>
      <c r="E38" s="94"/>
      <c r="F38" s="94"/>
    </row>
    <row r="39" spans="1:6" x14ac:dyDescent="0.25">
      <c r="A39" s="94"/>
      <c r="B39" s="94"/>
      <c r="C39" s="94"/>
      <c r="D39" s="311"/>
      <c r="E39" s="94"/>
      <c r="F39" s="94"/>
    </row>
    <row r="40" spans="1:6" ht="15.6" x14ac:dyDescent="0.25">
      <c r="A40" s="94"/>
      <c r="B40" s="733" t="s">
        <v>239</v>
      </c>
      <c r="C40" s="702"/>
      <c r="D40" s="312">
        <f>IF(D38&gt;0,(D38*0.001),"")</f>
        <v>396.13400000000001</v>
      </c>
      <c r="E40" s="94"/>
      <c r="F40" s="94"/>
    </row>
    <row r="41" spans="1:6" x14ac:dyDescent="0.25">
      <c r="A41" s="94"/>
      <c r="B41" s="94"/>
      <c r="C41" s="94"/>
      <c r="D41" s="94"/>
      <c r="E41" s="94"/>
      <c r="F41" s="94"/>
    </row>
    <row r="42" spans="1:6" x14ac:dyDescent="0.25">
      <c r="A42" s="94"/>
      <c r="B42" s="94"/>
      <c r="C42" s="94"/>
      <c r="D42" s="94"/>
      <c r="E42" s="94"/>
      <c r="F42" s="94"/>
    </row>
    <row r="43" spans="1:6" ht="15.6" x14ac:dyDescent="0.3">
      <c r="A43" s="11" t="str">
        <f>CONCATENATE("**This information comes from the ",F1," Budget Summary page.  See instructions tab #11 for completing")</f>
        <v>**This information comes from the 2015 Budget Summary page.  See instructions tab #11 for completing</v>
      </c>
      <c r="B43" s="94"/>
      <c r="C43" s="94"/>
      <c r="D43" s="94"/>
      <c r="E43" s="94"/>
      <c r="F43" s="94"/>
    </row>
    <row r="44" spans="1:6" ht="15.6" x14ac:dyDescent="0.3">
      <c r="A44" s="11" t="s">
        <v>250</v>
      </c>
      <c r="B44" s="94"/>
      <c r="C44" s="94"/>
      <c r="D44" s="94"/>
      <c r="E44" s="94"/>
      <c r="F44" s="94"/>
    </row>
    <row r="45" spans="1:6" ht="15.6" x14ac:dyDescent="0.3">
      <c r="A45" s="11"/>
      <c r="B45" s="94"/>
      <c r="C45" s="94"/>
      <c r="D45" s="94"/>
      <c r="E45" s="94"/>
      <c r="F45" s="94"/>
    </row>
    <row r="46" spans="1:6" ht="15.6" x14ac:dyDescent="0.3">
      <c r="A46" s="11"/>
      <c r="B46" s="94"/>
      <c r="C46" s="94"/>
      <c r="D46" s="94"/>
      <c r="E46" s="94"/>
      <c r="F46" s="94"/>
    </row>
    <row r="47" spans="1:6" ht="15.6" x14ac:dyDescent="0.3">
      <c r="A47" s="11"/>
      <c r="B47" s="94"/>
      <c r="C47" s="94"/>
      <c r="D47" s="94"/>
      <c r="E47" s="94"/>
      <c r="F47" s="94"/>
    </row>
    <row r="48" spans="1:6" ht="15.6" x14ac:dyDescent="0.3">
      <c r="A48" s="11"/>
      <c r="B48" s="94"/>
      <c r="C48" s="94"/>
      <c r="D48" s="94"/>
      <c r="E48" s="94"/>
      <c r="F48" s="94"/>
    </row>
    <row r="49" spans="1:6" x14ac:dyDescent="0.25">
      <c r="A49" s="94"/>
      <c r="B49" s="94"/>
      <c r="C49" s="94"/>
      <c r="D49" s="94"/>
      <c r="E49" s="94"/>
      <c r="F49" s="94"/>
    </row>
    <row r="50" spans="1:6" x14ac:dyDescent="0.25">
      <c r="A50" s="94"/>
      <c r="B50" s="94"/>
      <c r="C50" s="94"/>
      <c r="D50" s="94"/>
      <c r="E50" s="94"/>
      <c r="F50" s="94"/>
    </row>
    <row r="51" spans="1:6" ht="15.6" x14ac:dyDescent="0.25">
      <c r="A51" s="94"/>
      <c r="B51" s="241" t="s">
        <v>108</v>
      </c>
      <c r="C51" s="258"/>
      <c r="D51" s="94"/>
      <c r="E51" s="94"/>
      <c r="F51" s="94"/>
    </row>
    <row r="52" spans="1:6" ht="15.6" x14ac:dyDescent="0.25">
      <c r="A52" s="78"/>
      <c r="B52" s="28"/>
      <c r="C52" s="28"/>
      <c r="D52" s="313"/>
      <c r="E52" s="78"/>
      <c r="F52" s="78"/>
    </row>
  </sheetData>
  <mergeCells count="5">
    <mergeCell ref="B40:C40"/>
    <mergeCell ref="B3:E3"/>
    <mergeCell ref="A34:C34"/>
    <mergeCell ref="B36:C36"/>
    <mergeCell ref="A38:C38"/>
  </mergeCells>
  <phoneticPr fontId="8" type="noConversion"/>
  <pageMargins left="0.75" right="0.75" top="1" bottom="1" header="0.5" footer="0.5"/>
  <pageSetup scale="77" orientation="portrait" blackAndWhite="1" r:id="rId1"/>
  <headerFooter alignWithMargins="0">
    <oddHeader>&amp;RState of Kansas
County</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7"/>
  <sheetViews>
    <sheetView workbookViewId="0"/>
  </sheetViews>
  <sheetFormatPr defaultRowHeight="15" x14ac:dyDescent="0.25"/>
  <sheetData>
    <row r="2" spans="2:8" ht="15.6" x14ac:dyDescent="0.3">
      <c r="B2" s="513"/>
      <c r="C2" s="513"/>
      <c r="D2" s="513"/>
      <c r="E2" s="513"/>
      <c r="F2" s="513"/>
      <c r="G2" s="513"/>
      <c r="H2" s="517">
        <f>inputPrYr!C4</f>
        <v>2015</v>
      </c>
    </row>
    <row r="3" spans="2:8" ht="15.6" thickBot="1" x14ac:dyDescent="0.3">
      <c r="B3" s="513"/>
      <c r="C3" s="513"/>
      <c r="D3" s="513"/>
      <c r="E3" s="513"/>
      <c r="F3" s="513"/>
      <c r="G3" s="513"/>
      <c r="H3" s="513"/>
    </row>
    <row r="4" spans="2:8" ht="18.600000000000001" thickBot="1" x14ac:dyDescent="0.4">
      <c r="B4" s="739" t="s">
        <v>314</v>
      </c>
      <c r="C4" s="740"/>
      <c r="D4" s="740"/>
      <c r="E4" s="740"/>
      <c r="F4" s="740"/>
      <c r="G4" s="740"/>
      <c r="H4" s="741"/>
    </row>
    <row r="5" spans="2:8" ht="16.2" thickBot="1" x14ac:dyDescent="0.35">
      <c r="B5" s="514"/>
      <c r="C5" s="514"/>
      <c r="D5" s="515"/>
      <c r="E5" s="516"/>
      <c r="F5" s="514"/>
      <c r="G5" s="514"/>
      <c r="H5" s="514"/>
    </row>
    <row r="6" spans="2:8" ht="15.6" x14ac:dyDescent="0.3">
      <c r="B6" s="742" t="str">
        <f>CONCATENATE("Notice of Vote - ",inputPrYr!C2)</f>
        <v>Notice of Vote - Edwards County</v>
      </c>
      <c r="C6" s="743"/>
      <c r="D6" s="743"/>
      <c r="E6" s="743"/>
      <c r="F6" s="743"/>
      <c r="G6" s="743"/>
      <c r="H6" s="744"/>
    </row>
    <row r="7" spans="2:8" ht="60.75" customHeight="1" thickBot="1" x14ac:dyDescent="0.3">
      <c r="B7" s="736" t="str">
        <f>CONCATENATE("In adopting the ",H2," budget the governing body voted to increase property taxes in an amount greater than the amount levied for the ",H2-1," budget, adjusted by the ",H2-2,"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C7" s="737"/>
      <c r="D7" s="737"/>
      <c r="E7" s="737"/>
      <c r="F7" s="737"/>
      <c r="G7" s="737"/>
      <c r="H7" s="738"/>
    </row>
  </sheetData>
  <mergeCells count="3">
    <mergeCell ref="B7:H7"/>
    <mergeCell ref="B4:H4"/>
    <mergeCell ref="B6:H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2"/>
  <sheetViews>
    <sheetView workbookViewId="0">
      <selection activeCell="U79" sqref="U79"/>
    </sheetView>
  </sheetViews>
  <sheetFormatPr defaultRowHeight="15" x14ac:dyDescent="0.25"/>
  <cols>
    <col min="5" max="5" width="12.25" customWidth="1"/>
    <col min="7" max="7" width="3.33203125" customWidth="1"/>
  </cols>
  <sheetData>
    <row r="2" spans="3:8" ht="15.6" x14ac:dyDescent="0.3">
      <c r="C2" s="513"/>
      <c r="D2" s="513"/>
      <c r="E2" s="513"/>
      <c r="F2" s="513"/>
      <c r="G2" s="513"/>
      <c r="H2" s="517">
        <f>inputPrYr!C4</f>
        <v>2015</v>
      </c>
    </row>
    <row r="3" spans="3:8" ht="15.6" thickBot="1" x14ac:dyDescent="0.3">
      <c r="C3" s="513"/>
      <c r="D3" s="513"/>
      <c r="E3" s="513"/>
      <c r="F3" s="513"/>
      <c r="G3" s="513"/>
      <c r="H3" s="513"/>
    </row>
    <row r="4" spans="3:8" ht="18.600000000000001" thickBot="1" x14ac:dyDescent="0.4">
      <c r="C4" s="745" t="s">
        <v>315</v>
      </c>
      <c r="D4" s="746"/>
      <c r="E4" s="746"/>
      <c r="F4" s="746"/>
      <c r="G4" s="746"/>
      <c r="H4" s="747"/>
    </row>
    <row r="5" spans="3:8" ht="16.2" thickBot="1" x14ac:dyDescent="0.35">
      <c r="C5" s="518"/>
      <c r="D5" s="518"/>
      <c r="E5" s="518"/>
      <c r="F5" s="518"/>
      <c r="G5" s="518"/>
      <c r="H5" s="518"/>
    </row>
    <row r="6" spans="3:8" ht="15.6" x14ac:dyDescent="0.3">
      <c r="C6" s="742" t="str">
        <f>CONCATENATE("Notice of Vote - ",inputPrYr!C2)</f>
        <v>Notice of Vote - Edwards County</v>
      </c>
      <c r="D6" s="743"/>
      <c r="E6" s="743"/>
      <c r="F6" s="743"/>
      <c r="G6" s="743"/>
      <c r="H6" s="744"/>
    </row>
    <row r="7" spans="3:8" ht="15.6" x14ac:dyDescent="0.3">
      <c r="C7" s="748" t="s">
        <v>316</v>
      </c>
      <c r="D7" s="749"/>
      <c r="E7" s="749"/>
      <c r="F7" s="749"/>
      <c r="G7" s="749"/>
      <c r="H7" s="750"/>
    </row>
    <row r="8" spans="3:8" ht="15.6" x14ac:dyDescent="0.3">
      <c r="C8" s="748" t="s">
        <v>317</v>
      </c>
      <c r="D8" s="749"/>
      <c r="E8" s="749"/>
      <c r="F8" s="749"/>
      <c r="G8" s="749"/>
      <c r="H8" s="750"/>
    </row>
    <row r="9" spans="3:8" ht="15.6" x14ac:dyDescent="0.3">
      <c r="C9" s="521" t="str">
        <f>CONCATENATE(H2-1," Budget")</f>
        <v>2014 Budget</v>
      </c>
      <c r="D9" s="523" t="s">
        <v>162</v>
      </c>
      <c r="E9" s="524">
        <f>inputPrYr!E41</f>
        <v>3562898</v>
      </c>
      <c r="F9" s="519"/>
      <c r="G9" s="519"/>
      <c r="H9" s="520"/>
    </row>
    <row r="10" spans="3:8" ht="15.6" x14ac:dyDescent="0.3">
      <c r="C10" s="521" t="str">
        <f>CONCATENATE(H2," Budget")</f>
        <v>2015 Budget</v>
      </c>
      <c r="D10" s="523" t="s">
        <v>162</v>
      </c>
      <c r="E10" s="525">
        <f>cert!E47</f>
        <v>3744906.98</v>
      </c>
      <c r="F10" s="519"/>
      <c r="G10" s="519"/>
      <c r="H10" s="520"/>
    </row>
    <row r="11" spans="3:8" ht="15.6" x14ac:dyDescent="0.3">
      <c r="C11" s="521"/>
      <c r="D11" s="519"/>
      <c r="E11" s="519" t="s">
        <v>318</v>
      </c>
      <c r="F11" s="526"/>
      <c r="G11" s="522" t="s">
        <v>319</v>
      </c>
      <c r="H11" s="527"/>
    </row>
    <row r="12" spans="3:8" ht="16.2" thickBot="1" x14ac:dyDescent="0.35">
      <c r="C12" s="528"/>
      <c r="D12" s="529"/>
      <c r="E12" s="529"/>
      <c r="F12" s="529"/>
      <c r="G12" s="529"/>
      <c r="H12" s="530"/>
    </row>
  </sheetData>
  <mergeCells count="4">
    <mergeCell ref="C4:H4"/>
    <mergeCell ref="C6:H6"/>
    <mergeCell ref="C7:H7"/>
    <mergeCell ref="C8:H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workbookViewId="0">
      <selection activeCell="B6" sqref="B6"/>
    </sheetView>
  </sheetViews>
  <sheetFormatPr defaultRowHeight="15" x14ac:dyDescent="0.25"/>
  <cols>
    <col min="1" max="1" width="13.75" customWidth="1"/>
    <col min="2" max="2" width="16.08203125" customWidth="1"/>
  </cols>
  <sheetData>
    <row r="1" spans="1:10" x14ac:dyDescent="0.25">
      <c r="J1" s="400" t="s">
        <v>277</v>
      </c>
    </row>
    <row r="2" spans="1:10" ht="54" customHeight="1" x14ac:dyDescent="0.25">
      <c r="A2" s="669" t="s">
        <v>240</v>
      </c>
      <c r="B2" s="670"/>
      <c r="C2" s="670"/>
      <c r="D2" s="670"/>
      <c r="E2" s="670"/>
      <c r="F2" s="670"/>
      <c r="J2" s="400" t="s">
        <v>278</v>
      </c>
    </row>
    <row r="3" spans="1:10" ht="15.6" x14ac:dyDescent="0.3">
      <c r="A3" s="2" t="s">
        <v>276</v>
      </c>
      <c r="B3" s="548" t="s">
        <v>351</v>
      </c>
      <c r="J3" s="400" t="s">
        <v>279</v>
      </c>
    </row>
    <row r="4" spans="1:10" ht="15.6" x14ac:dyDescent="0.3">
      <c r="A4" s="317"/>
      <c r="B4" s="543"/>
      <c r="C4" s="317"/>
      <c r="D4" s="399"/>
      <c r="E4" s="317"/>
      <c r="F4" s="317"/>
      <c r="J4" s="400" t="s">
        <v>280</v>
      </c>
    </row>
    <row r="5" spans="1:10" ht="15.6" x14ac:dyDescent="0.3">
      <c r="A5" s="318" t="s">
        <v>241</v>
      </c>
      <c r="B5" s="545" t="s">
        <v>452</v>
      </c>
      <c r="C5" s="319"/>
      <c r="D5" s="399"/>
      <c r="E5" s="317"/>
      <c r="F5" s="317"/>
      <c r="J5" s="400" t="s">
        <v>281</v>
      </c>
    </row>
    <row r="6" spans="1:10" ht="15.6" x14ac:dyDescent="0.3">
      <c r="A6" s="318"/>
      <c r="B6" s="546"/>
      <c r="C6" s="321"/>
      <c r="D6" s="318"/>
      <c r="E6" s="317"/>
      <c r="F6" s="317"/>
      <c r="J6" s="400" t="s">
        <v>282</v>
      </c>
    </row>
    <row r="7" spans="1:10" ht="15.6" x14ac:dyDescent="0.3">
      <c r="A7" s="318" t="s">
        <v>242</v>
      </c>
      <c r="B7" s="545" t="s">
        <v>352</v>
      </c>
      <c r="C7" s="322"/>
      <c r="D7" s="318"/>
      <c r="E7" s="317"/>
      <c r="F7" s="317"/>
      <c r="J7" s="400" t="s">
        <v>283</v>
      </c>
    </row>
    <row r="8" spans="1:10" ht="15.6" x14ac:dyDescent="0.3">
      <c r="A8" s="318"/>
      <c r="B8" s="544"/>
      <c r="C8" s="318"/>
      <c r="D8" s="318"/>
      <c r="E8" s="317"/>
      <c r="F8" s="317"/>
      <c r="J8" s="400" t="s">
        <v>284</v>
      </c>
    </row>
    <row r="9" spans="1:10" ht="15.6" x14ac:dyDescent="0.3">
      <c r="A9" s="318" t="s">
        <v>243</v>
      </c>
      <c r="B9" s="547" t="s">
        <v>353</v>
      </c>
      <c r="C9" s="488"/>
      <c r="D9" s="488"/>
      <c r="E9" s="489"/>
      <c r="F9" s="317"/>
      <c r="J9" s="400" t="s">
        <v>285</v>
      </c>
    </row>
    <row r="10" spans="1:10" ht="15.6" x14ac:dyDescent="0.3">
      <c r="A10" s="318"/>
      <c r="B10" s="544"/>
      <c r="C10" s="318"/>
      <c r="D10" s="318"/>
      <c r="E10" s="317"/>
      <c r="F10" s="317"/>
      <c r="J10" s="400" t="s">
        <v>286</v>
      </c>
    </row>
    <row r="11" spans="1:10" ht="15.6" x14ac:dyDescent="0.3">
      <c r="A11" s="318"/>
      <c r="B11" s="544"/>
      <c r="C11" s="318"/>
      <c r="D11" s="318"/>
      <c r="E11" s="317"/>
      <c r="F11" s="317"/>
      <c r="J11" s="400" t="s">
        <v>287</v>
      </c>
    </row>
    <row r="12" spans="1:10" ht="15.6" x14ac:dyDescent="0.3">
      <c r="A12" s="318" t="s">
        <v>245</v>
      </c>
      <c r="B12" s="547" t="s">
        <v>354</v>
      </c>
      <c r="C12" s="488"/>
      <c r="D12" s="488"/>
      <c r="E12" s="489"/>
      <c r="F12" s="317"/>
      <c r="J12" s="400" t="s">
        <v>288</v>
      </c>
    </row>
    <row r="15" spans="1:10" ht="15.6" x14ac:dyDescent="0.3">
      <c r="A15" s="671" t="s">
        <v>246</v>
      </c>
      <c r="B15" s="671"/>
      <c r="C15" s="318"/>
      <c r="D15" s="318"/>
      <c r="E15" s="318"/>
      <c r="F15" s="317"/>
    </row>
    <row r="16" spans="1:10" ht="15.6" x14ac:dyDescent="0.3">
      <c r="A16" s="318"/>
      <c r="B16" s="318"/>
      <c r="C16" s="318"/>
      <c r="D16" s="318"/>
      <c r="E16" s="318"/>
      <c r="F16" s="317"/>
    </row>
    <row r="17" spans="1:7" ht="15.6" x14ac:dyDescent="0.25">
      <c r="A17" s="318" t="s">
        <v>241</v>
      </c>
      <c r="B17" s="320" t="s">
        <v>247</v>
      </c>
      <c r="C17" s="318"/>
      <c r="D17" s="318"/>
      <c r="E17" s="318"/>
    </row>
    <row r="18" spans="1:7" ht="15.6" x14ac:dyDescent="0.25">
      <c r="A18" s="318"/>
      <c r="B18" s="318"/>
      <c r="C18" s="318"/>
      <c r="D18" s="318"/>
      <c r="E18" s="318"/>
      <c r="G18" s="400" t="str">
        <f ca="1">IF(B5="","",INDIRECT(G19))</f>
        <v>August</v>
      </c>
    </row>
    <row r="19" spans="1:7" ht="15.6" x14ac:dyDescent="0.3">
      <c r="A19" s="318" t="s">
        <v>242</v>
      </c>
      <c r="B19" s="318" t="s">
        <v>248</v>
      </c>
      <c r="C19" s="318"/>
      <c r="D19" s="318"/>
      <c r="E19" s="318"/>
      <c r="G19" s="401" t="str">
        <f>IF(B5="","",CONCATENATE("J",G21))</f>
        <v>J8</v>
      </c>
    </row>
    <row r="20" spans="1:7" ht="15.6" x14ac:dyDescent="0.25">
      <c r="A20" s="318"/>
      <c r="B20" s="318"/>
      <c r="C20" s="318"/>
      <c r="D20" s="318"/>
      <c r="E20" s="318"/>
      <c r="G20" s="402">
        <f>B5-10</f>
        <v>41880</v>
      </c>
    </row>
    <row r="21" spans="1:7" ht="15.6" x14ac:dyDescent="0.25">
      <c r="A21" s="318" t="s">
        <v>243</v>
      </c>
      <c r="B21" s="318" t="s">
        <v>244</v>
      </c>
      <c r="C21" s="318"/>
      <c r="D21" s="318"/>
      <c r="E21" s="318"/>
      <c r="G21" s="403">
        <f>IF(B5="","",MONTH(G20))</f>
        <v>8</v>
      </c>
    </row>
    <row r="22" spans="1:7" ht="15.6" x14ac:dyDescent="0.25">
      <c r="A22" s="318"/>
      <c r="B22" s="318"/>
      <c r="C22" s="318"/>
      <c r="D22" s="318"/>
      <c r="E22" s="318"/>
      <c r="G22" s="404">
        <f>IF(B5="","",DAY(G20))</f>
        <v>29</v>
      </c>
    </row>
    <row r="23" spans="1:7" ht="15.6" x14ac:dyDescent="0.25">
      <c r="A23" s="318" t="s">
        <v>245</v>
      </c>
      <c r="B23" s="318" t="s">
        <v>244</v>
      </c>
      <c r="C23" s="318"/>
      <c r="D23" s="318"/>
      <c r="E23" s="318"/>
      <c r="G23" s="405">
        <f>IF(B5="","",YEAR(G20))</f>
        <v>2014</v>
      </c>
    </row>
  </sheetData>
  <mergeCells count="2">
    <mergeCell ref="A2:F2"/>
    <mergeCell ref="A15:B15"/>
  </mergeCells>
  <pageMargins left="0.7" right="0.7" top="0.75" bottom="0.75" header="0.3" footer="0.3"/>
  <pageSetup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69"/>
  <sheetViews>
    <sheetView tabSelected="1" topLeftCell="A10" zoomScale="90" workbookViewId="0"/>
  </sheetViews>
  <sheetFormatPr defaultColWidth="8.9140625" defaultRowHeight="13.2" x14ac:dyDescent="0.25"/>
  <cols>
    <col min="1" max="1" width="20.75" style="102" customWidth="1"/>
    <col min="2" max="2" width="9.75" style="102" customWidth="1"/>
    <col min="3" max="3" width="5.75" style="102" customWidth="1"/>
    <col min="4" max="6" width="15.75" style="102" customWidth="1"/>
    <col min="7" max="16384" width="8.9140625" style="102"/>
  </cols>
  <sheetData>
    <row r="1" spans="1:6" x14ac:dyDescent="0.25">
      <c r="A1" s="101"/>
      <c r="B1" s="101"/>
      <c r="C1" s="101"/>
      <c r="D1" s="101"/>
      <c r="E1" s="101"/>
      <c r="F1" s="101"/>
    </row>
    <row r="2" spans="1:6" x14ac:dyDescent="0.25">
      <c r="A2" s="673" t="s">
        <v>147</v>
      </c>
      <c r="B2" s="673"/>
      <c r="C2" s="673"/>
      <c r="D2" s="673"/>
      <c r="E2" s="673"/>
      <c r="F2" s="673"/>
    </row>
    <row r="3" spans="1:6" ht="15" customHeight="1" x14ac:dyDescent="0.25">
      <c r="A3" s="103"/>
      <c r="B3" s="103"/>
      <c r="C3" s="103"/>
      <c r="D3" s="103"/>
      <c r="E3" s="103"/>
      <c r="F3" s="101">
        <f>inputPrYr!C4</f>
        <v>2015</v>
      </c>
    </row>
    <row r="4" spans="1:6" ht="15" x14ac:dyDescent="0.25">
      <c r="A4" s="678" t="str">
        <f>CONCATENATE("To the Clerk of ",inputPrYr!C2,", State of Kansas")</f>
        <v>To the Clerk of Edwards County, State of Kansas</v>
      </c>
      <c r="B4" s="679"/>
      <c r="C4" s="679"/>
      <c r="D4" s="679"/>
      <c r="E4" s="679"/>
      <c r="F4" s="679"/>
    </row>
    <row r="5" spans="1:6" ht="15" x14ac:dyDescent="0.25">
      <c r="A5" s="678" t="s">
        <v>5</v>
      </c>
      <c r="B5" s="680"/>
      <c r="C5" s="680"/>
      <c r="D5" s="680"/>
      <c r="E5" s="680"/>
      <c r="F5" s="680"/>
    </row>
    <row r="6" spans="1:6" ht="15" x14ac:dyDescent="0.25">
      <c r="A6" s="676" t="str">
        <f>(inputPrYr!C2)</f>
        <v>Edwards County</v>
      </c>
      <c r="B6" s="677"/>
      <c r="C6" s="677"/>
      <c r="D6" s="677"/>
      <c r="E6" s="677"/>
      <c r="F6" s="677"/>
    </row>
    <row r="7" spans="1:6" x14ac:dyDescent="0.25">
      <c r="A7" s="105" t="s">
        <v>49</v>
      </c>
      <c r="B7" s="106"/>
      <c r="C7" s="106"/>
      <c r="D7" s="106"/>
      <c r="E7" s="106"/>
      <c r="F7" s="106"/>
    </row>
    <row r="8" spans="1:6" x14ac:dyDescent="0.25">
      <c r="A8" s="105" t="s">
        <v>50</v>
      </c>
      <c r="B8" s="106"/>
      <c r="C8" s="106"/>
      <c r="D8" s="106"/>
      <c r="E8" s="106"/>
      <c r="F8" s="106"/>
    </row>
    <row r="9" spans="1:6" x14ac:dyDescent="0.25">
      <c r="A9" s="105" t="str">
        <f>CONCATENATE("maximum expenditure for the various funds for the year ",F3,"; and")</f>
        <v>maximum expenditure for the various funds for the year 2015; and</v>
      </c>
      <c r="B9" s="106"/>
      <c r="C9" s="106"/>
      <c r="D9" s="106"/>
      <c r="E9" s="106"/>
      <c r="F9" s="106"/>
    </row>
    <row r="10" spans="1:6" x14ac:dyDescent="0.25">
      <c r="A10" s="105" t="str">
        <f>CONCATENATE("(3) the Amount(s) of ",F3-1," Ad Valorem Tax are within statutory limitations.")</f>
        <v>(3) the Amount(s) of 2014 Ad Valorem Tax are within statutory limitations.</v>
      </c>
      <c r="B10" s="106"/>
      <c r="C10" s="106"/>
      <c r="D10" s="106"/>
      <c r="E10" s="106"/>
      <c r="F10" s="106"/>
    </row>
    <row r="11" spans="1:6" ht="8.25" customHeight="1" x14ac:dyDescent="0.25">
      <c r="A11" s="107"/>
      <c r="B11" s="103"/>
      <c r="C11" s="103"/>
      <c r="D11" s="108"/>
      <c r="E11" s="108"/>
      <c r="F11" s="108"/>
    </row>
    <row r="12" spans="1:6" x14ac:dyDescent="0.25">
      <c r="A12" s="103"/>
      <c r="B12" s="103"/>
      <c r="C12" s="103"/>
      <c r="D12" s="109" t="str">
        <f>CONCATENATE("",F3," Adopted Budget")</f>
        <v>2015 Adopted Budget</v>
      </c>
      <c r="E12" s="110"/>
      <c r="F12" s="111"/>
    </row>
    <row r="13" spans="1:6" ht="13.5" customHeight="1" x14ac:dyDescent="0.25">
      <c r="A13" s="103"/>
      <c r="B13" s="103"/>
      <c r="C13" s="112" t="s">
        <v>51</v>
      </c>
      <c r="D13" s="343" t="s">
        <v>259</v>
      </c>
      <c r="E13" s="674" t="str">
        <f>CONCATENATE("Amount of ",F3-1,"               Ad Valorem Tax")</f>
        <v>Amount of 2014               Ad Valorem Tax</v>
      </c>
      <c r="F13" s="112" t="s">
        <v>52</v>
      </c>
    </row>
    <row r="14" spans="1:6" ht="12.75" customHeight="1" x14ac:dyDescent="0.25">
      <c r="A14" s="113" t="s">
        <v>53</v>
      </c>
      <c r="B14" s="114"/>
      <c r="C14" s="115" t="s">
        <v>54</v>
      </c>
      <c r="D14" s="342" t="s">
        <v>260</v>
      </c>
      <c r="E14" s="675"/>
      <c r="F14" s="115" t="s">
        <v>56</v>
      </c>
    </row>
    <row r="15" spans="1:6" x14ac:dyDescent="0.25">
      <c r="A15" s="116" t="str">
        <f>CONCATENATE("Computation to Determine Limit for ",F3,"")</f>
        <v>Computation to Determine Limit for 2015</v>
      </c>
      <c r="B15" s="120"/>
      <c r="C15" s="115">
        <v>2</v>
      </c>
      <c r="D15" s="117"/>
      <c r="E15" s="117"/>
      <c r="F15" s="117"/>
    </row>
    <row r="16" spans="1:6" x14ac:dyDescent="0.25">
      <c r="A16" s="119" t="s">
        <v>299</v>
      </c>
      <c r="B16" s="120"/>
      <c r="C16" s="121">
        <v>3</v>
      </c>
      <c r="D16" s="117"/>
      <c r="E16" s="117"/>
      <c r="F16" s="117"/>
    </row>
    <row r="17" spans="1:6" x14ac:dyDescent="0.25">
      <c r="A17" s="424" t="s">
        <v>190</v>
      </c>
      <c r="B17" s="463"/>
      <c r="C17" s="121">
        <v>4</v>
      </c>
      <c r="D17" s="117"/>
      <c r="E17" s="117"/>
      <c r="F17" s="117"/>
    </row>
    <row r="18" spans="1:6" x14ac:dyDescent="0.25">
      <c r="A18" s="119" t="s">
        <v>57</v>
      </c>
      <c r="B18" s="120"/>
      <c r="C18" s="122">
        <v>5</v>
      </c>
      <c r="D18" s="123"/>
      <c r="E18" s="123"/>
      <c r="F18" s="123"/>
    </row>
    <row r="19" spans="1:6" x14ac:dyDescent="0.25">
      <c r="A19" s="119" t="s">
        <v>58</v>
      </c>
      <c r="B19" s="120"/>
      <c r="C19" s="124">
        <v>6</v>
      </c>
      <c r="D19" s="123"/>
      <c r="E19" s="123"/>
      <c r="F19" s="123"/>
    </row>
    <row r="20" spans="1:6" x14ac:dyDescent="0.25">
      <c r="A20" s="125" t="s">
        <v>59</v>
      </c>
      <c r="B20" s="126" t="s">
        <v>60</v>
      </c>
      <c r="C20" s="127"/>
      <c r="D20" s="128"/>
      <c r="E20" s="128"/>
      <c r="F20" s="128"/>
    </row>
    <row r="21" spans="1:6" ht="15.6" x14ac:dyDescent="0.25">
      <c r="A21" s="116" t="str">
        <f>inputPrYr!B16</f>
        <v>General</v>
      </c>
      <c r="B21" s="129" t="str">
        <f>inputPrYr!C16</f>
        <v>79-1946</v>
      </c>
      <c r="C21" s="122">
        <v>7</v>
      </c>
      <c r="D21" s="467">
        <f>IF(general!$E$101&lt;&gt;0,general!$E$101,"  ")</f>
        <v>2219852</v>
      </c>
      <c r="E21" s="468">
        <f>IF(general!$E$108&lt;&gt;0,general!$E$108,0)</f>
        <v>1546563.51</v>
      </c>
      <c r="F21" s="469" t="str">
        <f>IF(AND(general!E108=0,$F$50&gt;=0)," ",IF(AND(E21&gt;0,$F$50=0)," ",IF(AND(E21&gt;0,$F$50&gt;0),ROUND(E21/$F$50*1000,3))))</f>
        <v xml:space="preserve"> </v>
      </c>
    </row>
    <row r="22" spans="1:6" ht="15.6" x14ac:dyDescent="0.25">
      <c r="A22" s="116" t="str">
        <f>inputPrYr!B18</f>
        <v>Road &amp; Bridge</v>
      </c>
      <c r="B22" s="129" t="str">
        <f>inputPrYr!C18</f>
        <v>79-1946</v>
      </c>
      <c r="C22" s="122">
        <v>8</v>
      </c>
      <c r="D22" s="467">
        <f>IF(road!$E$41&lt;&gt;0,road!$E$41,"  ")</f>
        <v>1191887</v>
      </c>
      <c r="E22" s="468">
        <f>IF(road!$E$48&lt;&gt;0,road!$E$48,0)</f>
        <v>812895.47</v>
      </c>
      <c r="F22" s="469" t="str">
        <f>IF(AND(road!E48=0,$F$50&gt;=0)," ",IF(AND(E22&gt;0,$F$50=0)," ",IF(AND(E22&gt;0,$F$50&gt;0),ROUND(E22/$F$50*1000,3))))</f>
        <v xml:space="preserve"> </v>
      </c>
    </row>
    <row r="23" spans="1:6" ht="15.6" x14ac:dyDescent="0.25">
      <c r="A23" s="130" t="str">
        <f>IF((inputPrYr!$B19&gt;"  "),(inputPrYr!$B19),"  ")</f>
        <v>Noxious Weed</v>
      </c>
      <c r="B23" s="129" t="str">
        <f>IF((inputPrYr!C19&gt;0),(inputPrYr!C19),"  ")</f>
        <v>2-1318</v>
      </c>
      <c r="C23" s="122">
        <f>IF('NoxWeed EmpBenefits'!C84&gt;0,'NoxWeed EmpBenefits'!C84,"  ")</f>
        <v>9</v>
      </c>
      <c r="D23" s="467">
        <f>IF('NoxWeed EmpBenefits'!$E$33&lt;&gt;0,'NoxWeed EmpBenefits'!$E$33,"  ")</f>
        <v>92445</v>
      </c>
      <c r="E23" s="468">
        <f>IF('NoxWeed EmpBenefits'!$E$40&lt;&gt;0,'NoxWeed EmpBenefits'!$E$40,0)</f>
        <v>71225</v>
      </c>
      <c r="F23" s="469" t="str">
        <f>IF(AND('NoxWeed EmpBenefits'!E40=0,$F$50&gt;=0)," ",IF(AND(E23&gt;0,$F$50=0)," ",IF(AND(E23&gt;0,$F$50&gt;0),ROUND(E23/$F$50*1000,3))))</f>
        <v xml:space="preserve"> </v>
      </c>
    </row>
    <row r="24" spans="1:6" ht="15.6" x14ac:dyDescent="0.25">
      <c r="A24" s="130" t="str">
        <f>IF((inputPrYr!$B20&gt;"  "),(inputPrYr!$B20),"  ")</f>
        <v>Employee Benefits</v>
      </c>
      <c r="B24" s="129" t="str">
        <f>IF((inputPrYr!C20&gt;0),(inputPrYr!C20),"  ")</f>
        <v>12-16,102</v>
      </c>
      <c r="C24" s="122">
        <f>IF('NoxWeed EmpBenefits'!C84&gt;0,'NoxWeed EmpBenefits'!C84,"  ")</f>
        <v>9</v>
      </c>
      <c r="D24" s="467">
        <f>IF('NoxWeed EmpBenefits'!$E$76&lt;&gt;0,'NoxWeed EmpBenefits'!$E$76,"  ")</f>
        <v>1052531</v>
      </c>
      <c r="E24" s="468">
        <f>IF('NoxWeed EmpBenefits'!$E$83&lt;&gt;0,'NoxWeed EmpBenefits'!$E$83,0)</f>
        <v>902109</v>
      </c>
      <c r="F24" s="469" t="str">
        <f>IF(AND('NoxWeed EmpBenefits'!E83=0,$F$50&gt;=0)," ",IF(AND(E24&gt;0,$F$50=0)," ",IF(AND(E24&gt;0,$F$50&gt;0),ROUND(E24/$F$50*1000,3))))</f>
        <v xml:space="preserve"> </v>
      </c>
    </row>
    <row r="25" spans="1:6" ht="15.6" x14ac:dyDescent="0.25">
      <c r="A25" s="130" t="str">
        <f>IF((inputPrYr!$B21&gt;"  "),(inputPrYr!$B21),"  ")</f>
        <v>County Health</v>
      </c>
      <c r="B25" s="129" t="str">
        <f>IF((inputPrYr!C21&gt;0),(inputPrYr!C21),"  ")</f>
        <v>65-204</v>
      </c>
      <c r="C25" s="122">
        <f>IF('Health Hospital'!C79&gt;0,'Health Hospital'!C79,"  ")</f>
        <v>10</v>
      </c>
      <c r="D25" s="467">
        <f>IF('Health Hospital'!$E$35&lt;&gt;0,'Health Hospital'!$E$35,"  ")</f>
        <v>190049</v>
      </c>
      <c r="E25" s="468">
        <f>IF('Health Hospital'!$E$42&lt;&gt;0,'Health Hospital'!$E$42,0)</f>
        <v>131643</v>
      </c>
      <c r="F25" s="469" t="str">
        <f>IF(AND('Health Hospital'!E42=0,$F$50&gt;=0)," ",IF(AND(E25&gt;0,$F$50=0)," ",IF(AND(E25&gt;0,$F$50&gt;0),ROUND(E25/$F$50*1000,3))))</f>
        <v xml:space="preserve"> </v>
      </c>
    </row>
    <row r="26" spans="1:6" ht="15.6" x14ac:dyDescent="0.25">
      <c r="A26" s="130" t="str">
        <f>IF((inputPrYr!$B22&gt;"  "),(inputPrYr!$B22),"  ")</f>
        <v>Hospital Maintenance</v>
      </c>
      <c r="B26" s="129" t="str">
        <f>IF((inputPrYr!C22&gt;0),(inputPrYr!C22),"  ")</f>
        <v>19-4606</v>
      </c>
      <c r="C26" s="122">
        <f>IF('Health Hospital'!C79&gt;0,'Health Hospital'!C79,"  ")</f>
        <v>10</v>
      </c>
      <c r="D26" s="467">
        <f>IF('Health Hospital'!$E$71&lt;&gt;0,'Health Hospital'!$E$71,"  ")</f>
        <v>302342</v>
      </c>
      <c r="E26" s="468">
        <f>IF('Health Hospital'!$E$78&lt;&gt;0,'Health Hospital'!$E$78,0)</f>
        <v>280471</v>
      </c>
      <c r="F26" s="469" t="str">
        <f>IF(AND('Health Hospital'!E78=0,$F$50&gt;=0)," ",IF(AND(E26&gt;0,$F$50=0)," ",IF(AND(E26&gt;0,$F$50&gt;0),ROUND(E26/$F$50*1000,3))))</f>
        <v xml:space="preserve"> </v>
      </c>
    </row>
    <row r="27" spans="1:6" x14ac:dyDescent="0.25">
      <c r="A27" s="130" t="str">
        <f>IF((inputPrYr!$B43&gt;"  "),(inputPrYr!$B43),"  ")</f>
        <v>Special Drug and Alcohol</v>
      </c>
      <c r="B27" s="132"/>
      <c r="C27" s="122">
        <f>IF('SpDrug SpParks'!C66&gt;0,'SpDrug SpParks'!C66,"  ")</f>
        <v>11</v>
      </c>
      <c r="D27" s="467">
        <f>IF('SpDrug SpParks'!$E$29&lt;&gt;0,'SpDrug SpParks'!$E$29,"  ")</f>
        <v>12000</v>
      </c>
      <c r="E27" s="470"/>
      <c r="F27" s="470"/>
    </row>
    <row r="28" spans="1:6" x14ac:dyDescent="0.25">
      <c r="A28" s="130" t="str">
        <f>IF((inputPrYr!$B44&gt;"  "),(inputPrYr!$B44),"  ")</f>
        <v>Special Parks and Recreation</v>
      </c>
      <c r="B28" s="132"/>
      <c r="C28" s="122">
        <f>IF('SpDrug SpParks'!C66&gt;0,'SpDrug SpParks'!C66,"  ")</f>
        <v>11</v>
      </c>
      <c r="D28" s="467">
        <f>IF('SpDrug SpParks'!$E$60&lt;&gt;0,'SpDrug SpParks'!$E$60,"  ")</f>
        <v>10000</v>
      </c>
      <c r="E28" s="470"/>
      <c r="F28" s="470"/>
    </row>
    <row r="29" spans="1:6" x14ac:dyDescent="0.25">
      <c r="A29" s="130" t="str">
        <f>IF((inputPrYr!$B45&gt;"  "),(inputPrYr!$B45),"  ")</f>
        <v>Noxious Weed Capital Outlay</v>
      </c>
      <c r="B29" s="132"/>
      <c r="C29" s="122">
        <f>IF('NoxWeedCO 911Emergency'!C66&gt;0,'NoxWeedCO 911Emergency'!C66,"  ")</f>
        <v>12</v>
      </c>
      <c r="D29" s="467">
        <f>IF('NoxWeedCO 911Emergency'!$E$29&lt;&gt;0,'NoxWeedCO 911Emergency'!$E$29,"  ")</f>
        <v>8664</v>
      </c>
      <c r="E29" s="470"/>
      <c r="F29" s="470"/>
    </row>
    <row r="30" spans="1:6" x14ac:dyDescent="0.25">
      <c r="A30" s="130" t="str">
        <f>IF((inputPrYr!$B46&gt;"  "),(inputPrYr!$B46),"  ")</f>
        <v>911 Emergency Telephone Tax</v>
      </c>
      <c r="B30" s="132"/>
      <c r="C30" s="122">
        <f>IF('NoxWeedCO 911Emergency'!C66&gt;0,'NoxWeedCO 911Emergency'!C66,"  ")</f>
        <v>12</v>
      </c>
      <c r="D30" s="467" t="str">
        <f>IF('NoxWeedCO 911Emergency'!$E$60&lt;&gt;0,'NoxWeedCO 911Emergency'!$E$60,"  ")</f>
        <v xml:space="preserve">  </v>
      </c>
      <c r="E30" s="470"/>
      <c r="F30" s="470"/>
    </row>
    <row r="31" spans="1:6" x14ac:dyDescent="0.25">
      <c r="A31" s="130" t="str">
        <f>IF((inputPrYr!$B47&gt;"  "),(inputPrYr!$B47),"  ")</f>
        <v>911 Wireless Phone Tax</v>
      </c>
      <c r="B31" s="132"/>
      <c r="C31" s="122">
        <f>IF('911Wireless EdwardsCo911'!C66&gt;0,'911Wireless EdwardsCo911'!C66,"  ")</f>
        <v>13</v>
      </c>
      <c r="D31" s="467" t="str">
        <f>IF('911Wireless EdwardsCo911'!$E$29&lt;&gt;0,'911Wireless EdwardsCo911'!$E$29,"  ")</f>
        <v xml:space="preserve">  </v>
      </c>
      <c r="E31" s="470"/>
      <c r="F31" s="470"/>
    </row>
    <row r="32" spans="1:6" x14ac:dyDescent="0.25">
      <c r="A32" s="130" t="str">
        <f>IF((inputPrYr!$B48&gt;"  "),(inputPrYr!$B48),"  ")</f>
        <v>Edwards Co 911</v>
      </c>
      <c r="B32" s="132"/>
      <c r="C32" s="122">
        <f>IF('911Wireless EdwardsCo911'!C66&gt;0,'911Wireless EdwardsCo911'!C66,"  ")</f>
        <v>13</v>
      </c>
      <c r="D32" s="467">
        <f>IF('911Wireless EdwardsCo911'!$E$60&lt;&gt;0,'911Wireless EdwardsCo911'!$E$60,"  ")</f>
        <v>125000</v>
      </c>
      <c r="E32" s="470"/>
      <c r="F32" s="470"/>
    </row>
    <row r="33" spans="1:6" x14ac:dyDescent="0.25">
      <c r="A33" s="130" t="str">
        <f>IF((inputPrYr!$B49&gt;"  "),(inputPrYr!$B49),"  ")</f>
        <v xml:space="preserve">  </v>
      </c>
      <c r="B33" s="132"/>
      <c r="C33" s="122" t="str">
        <f>IF(BlankPage!C66&gt;0,BlankPage!C66,"  ")</f>
        <v xml:space="preserve">  </v>
      </c>
      <c r="D33" s="467" t="str">
        <f>IF(BlankPage!$E$29&lt;&gt;0,BlankPage!$E$29,"  ")</f>
        <v xml:space="preserve">  </v>
      </c>
      <c r="E33" s="470"/>
      <c r="F33" s="470"/>
    </row>
    <row r="34" spans="1:6" x14ac:dyDescent="0.25">
      <c r="A34" s="130" t="str">
        <f>IF((inputPrYr!$B50&gt;"  "),(inputPrYr!$B50),"  ")</f>
        <v xml:space="preserve">  </v>
      </c>
      <c r="B34" s="132"/>
      <c r="C34" s="122" t="str">
        <f>IF(BlankPage!C66&gt;0,BlankPage!C66,"  ")</f>
        <v xml:space="preserve">  </v>
      </c>
      <c r="D34" s="467" t="str">
        <f>IF(BlankPage!$E$60&lt;&gt;0,BlankPage!$E$60,"  ")</f>
        <v xml:space="preserve">  </v>
      </c>
      <c r="E34" s="470"/>
      <c r="F34" s="470"/>
    </row>
    <row r="35" spans="1:6" x14ac:dyDescent="0.25">
      <c r="A35" s="130"/>
      <c r="B35" s="132"/>
      <c r="C35" s="122"/>
      <c r="D35" s="467"/>
      <c r="E35" s="470"/>
      <c r="F35" s="470"/>
    </row>
    <row r="36" spans="1:6" x14ac:dyDescent="0.25">
      <c r="A36" s="130"/>
      <c r="B36" s="132"/>
      <c r="C36" s="122"/>
      <c r="D36" s="467"/>
      <c r="E36" s="470"/>
      <c r="F36" s="470"/>
    </row>
    <row r="37" spans="1:6" x14ac:dyDescent="0.25">
      <c r="A37" s="130"/>
      <c r="B37" s="132"/>
      <c r="C37" s="122"/>
      <c r="D37" s="467"/>
      <c r="E37" s="470"/>
      <c r="F37" s="470"/>
    </row>
    <row r="38" spans="1:6" x14ac:dyDescent="0.25">
      <c r="A38" s="130"/>
      <c r="B38" s="132"/>
      <c r="C38" s="122"/>
      <c r="D38" s="467"/>
      <c r="E38" s="471"/>
      <c r="F38" s="471"/>
    </row>
    <row r="39" spans="1:6" x14ac:dyDescent="0.25">
      <c r="A39" s="130"/>
      <c r="B39" s="132"/>
      <c r="C39" s="122"/>
      <c r="D39" s="467"/>
      <c r="E39" s="471"/>
      <c r="F39" s="471"/>
    </row>
    <row r="40" spans="1:6" x14ac:dyDescent="0.25">
      <c r="A40" s="130"/>
      <c r="B40" s="132"/>
      <c r="C40" s="122"/>
      <c r="D40" s="467"/>
      <c r="E40" s="471"/>
      <c r="F40" s="471"/>
    </row>
    <row r="41" spans="1:6" x14ac:dyDescent="0.25">
      <c r="A41" s="130"/>
      <c r="B41" s="132"/>
      <c r="C41" s="122"/>
      <c r="D41" s="467"/>
      <c r="E41" s="471"/>
      <c r="F41" s="471"/>
    </row>
    <row r="42" spans="1:6" x14ac:dyDescent="0.25">
      <c r="A42" s="130"/>
      <c r="B42" s="127"/>
      <c r="C42" s="122"/>
      <c r="D42" s="467"/>
      <c r="E42" s="471"/>
      <c r="F42" s="471"/>
    </row>
    <row r="43" spans="1:6" x14ac:dyDescent="0.25">
      <c r="A43" s="130" t="str">
        <f>IF((inputPrYr!$B62&gt;"  "),(nonbudA!$A3),"  ")</f>
        <v>Non-Budgeted Funds-A</v>
      </c>
      <c r="B43" s="127"/>
      <c r="C43" s="122">
        <f>IF(nonbudA!$F$33&gt;0,nonbudA!$F$33,"  ")</f>
        <v>14</v>
      </c>
      <c r="D43" s="467"/>
      <c r="E43" s="471"/>
      <c r="F43" s="471"/>
    </row>
    <row r="44" spans="1:6" x14ac:dyDescent="0.25">
      <c r="A44" s="130" t="str">
        <f>IF((inputPrYr!$B68&gt;"  "),(nonbudB!$A3),"  ")</f>
        <v>Non-Budgeted Funds-B</v>
      </c>
      <c r="B44" s="127"/>
      <c r="C44" s="122">
        <f>IF(nonbudB!$F$33&gt;0,nonbudB!$F$33,"  ")</f>
        <v>15</v>
      </c>
      <c r="D44" s="467"/>
      <c r="E44" s="471"/>
      <c r="F44" s="471"/>
    </row>
    <row r="45" spans="1:6" x14ac:dyDescent="0.25">
      <c r="A45" s="130" t="str">
        <f>IF((inputPrYr!$B74&gt;"  "),(nonbudC!$A3),"  ")</f>
        <v>Non-Budgeted Funds-C</v>
      </c>
      <c r="B45" s="127"/>
      <c r="C45" s="122">
        <f>IF(nonbudC!$F$33&gt;0,nonbudC!$F$33,"  ")</f>
        <v>16</v>
      </c>
      <c r="D45" s="467"/>
      <c r="E45" s="471"/>
      <c r="F45" s="471"/>
    </row>
    <row r="46" spans="1:6" x14ac:dyDescent="0.25">
      <c r="A46" s="130" t="str">
        <f>IF((inputPrYr!$B80&gt;"  "),(nonbudD!$A3),"  ")</f>
        <v>Non-Budgeted Funds-D</v>
      </c>
      <c r="B46" s="127"/>
      <c r="C46" s="122">
        <f>IF(nonbudD!$F$33&gt;0,nonbudD!$F$33,"  ")</f>
        <v>17</v>
      </c>
      <c r="D46" s="467"/>
      <c r="E46" s="471"/>
      <c r="F46" s="471"/>
    </row>
    <row r="47" spans="1:6" ht="13.8" thickBot="1" x14ac:dyDescent="0.3">
      <c r="A47" s="134" t="s">
        <v>72</v>
      </c>
      <c r="B47" s="133"/>
      <c r="C47" s="122" t="s">
        <v>28</v>
      </c>
      <c r="D47" s="472">
        <f>SUM(D21:D46)</f>
        <v>5204770</v>
      </c>
      <c r="E47" s="472">
        <f>SUM(E21:E26)</f>
        <v>3744906.98</v>
      </c>
      <c r="F47" s="473" t="str">
        <f>IF(SUM(F21:F26)=0,"",SUM(F21:F26))</f>
        <v/>
      </c>
    </row>
    <row r="48" spans="1:6" ht="13.8" thickTop="1" x14ac:dyDescent="0.25">
      <c r="A48" s="135" t="s">
        <v>27</v>
      </c>
      <c r="B48" s="136"/>
      <c r="C48" s="122">
        <f>summ!E51</f>
        <v>18</v>
      </c>
      <c r="D48" s="137"/>
      <c r="E48" s="137"/>
      <c r="F48" s="118"/>
    </row>
    <row r="49" spans="1:6" x14ac:dyDescent="0.25">
      <c r="A49" s="119" t="s">
        <v>40</v>
      </c>
      <c r="B49" s="120"/>
      <c r="C49" s="122" t="e">
        <f>IF(#REF!&gt;0,#REF!,"")</f>
        <v>#REF!</v>
      </c>
      <c r="D49" s="138"/>
      <c r="E49" s="103"/>
      <c r="F49" s="338" t="s">
        <v>213</v>
      </c>
    </row>
    <row r="50" spans="1:6" ht="15.6" x14ac:dyDescent="0.25">
      <c r="A50" s="681" t="s">
        <v>38</v>
      </c>
      <c r="B50" s="682"/>
      <c r="C50" s="151" t="str">
        <f>IF(Nhood!C51&gt;0,Nhood!C51,"")</f>
        <v/>
      </c>
      <c r="D50" s="506" t="s">
        <v>313</v>
      </c>
      <c r="E50" s="139" t="str">
        <f>IF(E47&gt;computation!J42,"Yes","No")</f>
        <v>Yes</v>
      </c>
      <c r="F50" s="140"/>
    </row>
    <row r="51" spans="1:6" ht="15.6" x14ac:dyDescent="0.25">
      <c r="A51" s="531"/>
      <c r="B51" s="532"/>
      <c r="C51" s="533"/>
      <c r="D51" s="138"/>
      <c r="E51" s="118"/>
      <c r="F51" s="684" t="str">
        <f>CONCATENATE("Nov 1, ",F3-1," Total Assessed Valuation")</f>
        <v>Nov 1, 2014 Total Assessed Valuation</v>
      </c>
    </row>
    <row r="52" spans="1:6" x14ac:dyDescent="0.25">
      <c r="A52" s="101" t="s">
        <v>62</v>
      </c>
      <c r="B52" s="103"/>
      <c r="C52" s="107"/>
      <c r="D52" s="103"/>
      <c r="E52" s="103"/>
      <c r="F52" s="685"/>
    </row>
    <row r="53" spans="1:6" x14ac:dyDescent="0.25">
      <c r="A53" s="629" t="s">
        <v>439</v>
      </c>
      <c r="B53" s="103"/>
      <c r="C53" s="103"/>
      <c r="D53" s="103"/>
      <c r="E53" s="316"/>
      <c r="F53" s="316"/>
    </row>
    <row r="54" spans="1:6" x14ac:dyDescent="0.25">
      <c r="A54" s="143"/>
      <c r="B54" s="141"/>
      <c r="C54" s="118"/>
      <c r="D54" s="118"/>
      <c r="E54" s="475"/>
      <c r="F54" s="475"/>
    </row>
    <row r="55" spans="1:6" x14ac:dyDescent="0.25">
      <c r="A55" s="315" t="s">
        <v>214</v>
      </c>
      <c r="B55" s="141"/>
      <c r="C55" s="118"/>
      <c r="D55" s="118"/>
      <c r="E55" s="475"/>
      <c r="F55" s="475"/>
    </row>
    <row r="56" spans="1:6" x14ac:dyDescent="0.25">
      <c r="A56" s="629" t="s">
        <v>440</v>
      </c>
      <c r="B56" s="103"/>
      <c r="C56" s="118" t="s">
        <v>301</v>
      </c>
      <c r="D56" s="118"/>
      <c r="E56" s="474"/>
      <c r="F56" s="474"/>
    </row>
    <row r="57" spans="1:6" x14ac:dyDescent="0.25">
      <c r="A57" s="630" t="s">
        <v>441</v>
      </c>
      <c r="B57" s="144"/>
      <c r="C57" s="118"/>
      <c r="D57" s="118"/>
      <c r="E57" s="475"/>
      <c r="F57" s="476"/>
    </row>
    <row r="58" spans="1:6" x14ac:dyDescent="0.25">
      <c r="A58" s="315" t="s">
        <v>300</v>
      </c>
      <c r="B58" s="103"/>
      <c r="C58" s="118" t="s">
        <v>301</v>
      </c>
      <c r="D58" s="118"/>
      <c r="E58" s="474"/>
      <c r="F58" s="475"/>
    </row>
    <row r="59" spans="1:6" x14ac:dyDescent="0.25">
      <c r="A59" s="142"/>
      <c r="B59" s="103"/>
      <c r="C59" s="118"/>
      <c r="D59" s="118"/>
      <c r="E59" s="474"/>
      <c r="F59" s="475"/>
    </row>
    <row r="60" spans="1:6" x14ac:dyDescent="0.25">
      <c r="A60" s="315"/>
      <c r="B60" s="103"/>
      <c r="C60" s="118" t="s">
        <v>301</v>
      </c>
      <c r="D60" s="118"/>
      <c r="E60" s="474"/>
      <c r="F60" s="475"/>
    </row>
    <row r="61" spans="1:6" x14ac:dyDescent="0.25">
      <c r="A61" s="337" t="s">
        <v>6</v>
      </c>
      <c r="B61" s="145">
        <f>F3-1</f>
        <v>2014</v>
      </c>
      <c r="C61" s="118"/>
      <c r="D61" s="118"/>
      <c r="E61" s="477"/>
      <c r="F61" s="118"/>
    </row>
    <row r="62" spans="1:6" x14ac:dyDescent="0.25">
      <c r="A62" s="336"/>
      <c r="B62" s="103"/>
      <c r="C62" s="118" t="s">
        <v>301</v>
      </c>
      <c r="D62" s="118"/>
      <c r="E62" s="118"/>
      <c r="F62" s="118"/>
    </row>
    <row r="63" spans="1:6" ht="15" x14ac:dyDescent="0.25">
      <c r="A63" s="339" t="s">
        <v>64</v>
      </c>
      <c r="B63" s="103"/>
      <c r="C63" s="683" t="s">
        <v>63</v>
      </c>
      <c r="D63" s="680"/>
      <c r="E63" s="680"/>
      <c r="F63" s="680"/>
    </row>
    <row r="64" spans="1:6" x14ac:dyDescent="0.25">
      <c r="A64" s="672"/>
      <c r="B64" s="672"/>
      <c r="C64" s="672"/>
      <c r="D64" s="672"/>
      <c r="E64" s="672"/>
      <c r="F64" s="672"/>
    </row>
    <row r="65" spans="3:6" ht="14.25" customHeight="1" x14ac:dyDescent="0.25">
      <c r="C65" s="146"/>
      <c r="E65" s="146"/>
      <c r="F65" s="146"/>
    </row>
    <row r="66" spans="3:6" ht="14.25" customHeight="1" x14ac:dyDescent="0.25"/>
    <row r="69" spans="3:6" ht="14.25" customHeight="1" x14ac:dyDescent="0.25"/>
  </sheetData>
  <mergeCells count="9">
    <mergeCell ref="A64:F64"/>
    <mergeCell ref="A2:F2"/>
    <mergeCell ref="E13:E14"/>
    <mergeCell ref="A6:F6"/>
    <mergeCell ref="A4:F4"/>
    <mergeCell ref="A5:F5"/>
    <mergeCell ref="A50:B50"/>
    <mergeCell ref="C63:F63"/>
    <mergeCell ref="F51:F52"/>
  </mergeCells>
  <phoneticPr fontId="0" type="noConversion"/>
  <pageMargins left="0.5" right="0.5" top="0" bottom="0.23" header="0" footer="0"/>
  <pageSetup scale="86" orientation="portrait" blackAndWhite="1" r:id="rId1"/>
  <headerFooter alignWithMargins="0">
    <oddHeader xml:space="preserve">&amp;RState of Kansas
County
</oddHeader>
    <oddFooter>&amp;CPage No. 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7"/>
  <sheetViews>
    <sheetView topLeftCell="A16" zoomScale="85" workbookViewId="0">
      <selection activeCell="J39" sqref="J39"/>
    </sheetView>
  </sheetViews>
  <sheetFormatPr defaultColWidth="8.9140625" defaultRowHeight="15.9" customHeight="1" x14ac:dyDescent="0.25"/>
  <cols>
    <col min="1" max="2" width="3.33203125" style="25" customWidth="1"/>
    <col min="3" max="3" width="31.33203125" style="25" customWidth="1"/>
    <col min="4" max="4" width="2.33203125" style="25" customWidth="1"/>
    <col min="5" max="5" width="15.75" style="25" customWidth="1"/>
    <col min="6" max="6" width="2" style="25" customWidth="1"/>
    <col min="7" max="7" width="15.75" style="25" customWidth="1"/>
    <col min="8" max="8" width="1.9140625" style="25" customWidth="1"/>
    <col min="9" max="9" width="1.75" style="25" customWidth="1"/>
    <col min="10" max="10" width="15.75" style="25" customWidth="1"/>
    <col min="11" max="11" width="8.9140625" style="25"/>
    <col min="12" max="12" width="10.58203125" style="25" bestFit="1" customWidth="1"/>
    <col min="13" max="16384" width="8.9140625" style="25"/>
  </cols>
  <sheetData>
    <row r="1" spans="1:10" ht="15.9" customHeight="1" x14ac:dyDescent="0.25">
      <c r="A1" s="28"/>
      <c r="B1" s="28"/>
      <c r="C1" s="155" t="str">
        <f>inputPrYr!C2</f>
        <v>Edwards County</v>
      </c>
      <c r="D1" s="28"/>
      <c r="E1" s="28"/>
      <c r="F1" s="28"/>
      <c r="G1" s="28"/>
      <c r="H1" s="28"/>
      <c r="I1" s="28"/>
      <c r="J1" s="28">
        <f>inputPrYr!C4</f>
        <v>2015</v>
      </c>
    </row>
    <row r="2" spans="1:10" ht="15.9" customHeight="1" x14ac:dyDescent="0.25">
      <c r="A2" s="28"/>
      <c r="B2" s="28"/>
      <c r="C2" s="28"/>
      <c r="D2" s="28"/>
      <c r="E2" s="28"/>
      <c r="F2" s="28"/>
      <c r="G2" s="28"/>
      <c r="H2" s="28"/>
      <c r="I2" s="28"/>
      <c r="J2" s="28"/>
    </row>
    <row r="3" spans="1:10" ht="15.6" x14ac:dyDescent="0.25">
      <c r="A3" s="659" t="str">
        <f>CONCATENATE("Computation to Determine Limit for ",J1,"")</f>
        <v>Computation to Determine Limit for 2015</v>
      </c>
      <c r="B3" s="686"/>
      <c r="C3" s="686"/>
      <c r="D3" s="686"/>
      <c r="E3" s="686"/>
      <c r="F3" s="686"/>
      <c r="G3" s="686"/>
      <c r="H3" s="686"/>
      <c r="I3" s="686"/>
      <c r="J3" s="686"/>
    </row>
    <row r="4" spans="1:10" ht="15.6" x14ac:dyDescent="0.25">
      <c r="A4" s="28"/>
      <c r="B4" s="28"/>
      <c r="C4" s="28"/>
      <c r="D4" s="28"/>
      <c r="E4" s="686"/>
      <c r="F4" s="686"/>
      <c r="G4" s="686"/>
      <c r="H4" s="156"/>
      <c r="I4" s="28"/>
      <c r="J4" s="157" t="s">
        <v>159</v>
      </c>
    </row>
    <row r="5" spans="1:10" ht="15.6" x14ac:dyDescent="0.25">
      <c r="A5" s="158" t="s">
        <v>160</v>
      </c>
      <c r="B5" s="28" t="str">
        <f>CONCATENATE("Total tax levy amount in ",J1-1," budget")</f>
        <v>Total tax levy amount in 2014 budget</v>
      </c>
      <c r="C5" s="28"/>
      <c r="D5" s="28"/>
      <c r="E5" s="86"/>
      <c r="F5" s="86"/>
      <c r="G5" s="86"/>
      <c r="H5" s="159" t="s">
        <v>161</v>
      </c>
      <c r="I5" s="86" t="s">
        <v>162</v>
      </c>
      <c r="J5" s="160">
        <f>inputPrYr!E41</f>
        <v>3562898</v>
      </c>
    </row>
    <row r="6" spans="1:10" ht="15.6" x14ac:dyDescent="0.25">
      <c r="A6" s="158" t="s">
        <v>163</v>
      </c>
      <c r="B6" s="28" t="str">
        <f>CONCATENATE("Debt service levy in ",J1-1," budget")</f>
        <v>Debt service levy in 2014 budget</v>
      </c>
      <c r="C6" s="28"/>
      <c r="D6" s="28"/>
      <c r="E6" s="86"/>
      <c r="F6" s="86"/>
      <c r="G6" s="86"/>
      <c r="H6" s="159" t="s">
        <v>164</v>
      </c>
      <c r="I6" s="86" t="s">
        <v>162</v>
      </c>
      <c r="J6" s="92">
        <f>inputPrYr!E17</f>
        <v>0</v>
      </c>
    </row>
    <row r="7" spans="1:10" ht="15.6" x14ac:dyDescent="0.25">
      <c r="A7" s="158" t="s">
        <v>165</v>
      </c>
      <c r="B7" s="28" t="s">
        <v>307</v>
      </c>
      <c r="C7" s="28"/>
      <c r="D7" s="28"/>
      <c r="E7" s="86"/>
      <c r="F7" s="86"/>
      <c r="G7" s="86"/>
      <c r="H7" s="86"/>
      <c r="I7" s="86" t="s">
        <v>162</v>
      </c>
      <c r="J7" s="92">
        <f>J5-J6</f>
        <v>3562898</v>
      </c>
    </row>
    <row r="8" spans="1:10" ht="15.6" x14ac:dyDescent="0.25">
      <c r="A8" s="28"/>
      <c r="B8" s="28"/>
      <c r="C8" s="28"/>
      <c r="D8" s="28"/>
      <c r="E8" s="86"/>
      <c r="F8" s="86"/>
      <c r="G8" s="86"/>
      <c r="H8" s="86"/>
      <c r="I8" s="86"/>
      <c r="J8" s="86"/>
    </row>
    <row r="9" spans="1:10" ht="15.6" x14ac:dyDescent="0.25">
      <c r="A9" s="686" t="str">
        <f>CONCATENATE("",J1-1," Valuation Information for Valuation Adjustments")</f>
        <v>2014 Valuation Information for Valuation Adjustments</v>
      </c>
      <c r="B9" s="679"/>
      <c r="C9" s="679"/>
      <c r="D9" s="679"/>
      <c r="E9" s="679"/>
      <c r="F9" s="679"/>
      <c r="G9" s="679"/>
      <c r="H9" s="679"/>
      <c r="I9" s="679"/>
      <c r="J9" s="679"/>
    </row>
    <row r="10" spans="1:10" ht="15.6" x14ac:dyDescent="0.25">
      <c r="A10" s="28"/>
      <c r="B10" s="28"/>
      <c r="C10" s="28"/>
      <c r="D10" s="28"/>
      <c r="E10" s="86"/>
      <c r="F10" s="86"/>
      <c r="G10" s="86"/>
      <c r="H10" s="86"/>
      <c r="I10" s="86"/>
      <c r="J10" s="86"/>
    </row>
    <row r="11" spans="1:10" ht="15.6" x14ac:dyDescent="0.25">
      <c r="A11" s="158" t="s">
        <v>166</v>
      </c>
      <c r="B11" s="28" t="str">
        <f>CONCATENATE("New improvements for ",J1-1,":")</f>
        <v>New improvements for 2014:</v>
      </c>
      <c r="C11" s="28"/>
      <c r="D11" s="28"/>
      <c r="E11" s="159"/>
      <c r="F11" s="159" t="s">
        <v>161</v>
      </c>
      <c r="G11" s="160">
        <f>inputOth!E7</f>
        <v>250131</v>
      </c>
      <c r="H11" s="64"/>
      <c r="I11" s="86"/>
      <c r="J11" s="86"/>
    </row>
    <row r="12" spans="1:10" ht="15.6" x14ac:dyDescent="0.25">
      <c r="A12" s="158"/>
      <c r="B12" s="158"/>
      <c r="C12" s="28"/>
      <c r="D12" s="28"/>
      <c r="E12" s="159"/>
      <c r="F12" s="159"/>
      <c r="G12" s="64"/>
      <c r="H12" s="64"/>
      <c r="I12" s="86"/>
      <c r="J12" s="86"/>
    </row>
    <row r="13" spans="1:10" ht="15.6" x14ac:dyDescent="0.25">
      <c r="A13" s="158" t="s">
        <v>167</v>
      </c>
      <c r="B13" s="28" t="str">
        <f>CONCATENATE("Increase in personal property for ",J1-1,":")</f>
        <v>Increase in personal property for 2014:</v>
      </c>
      <c r="C13" s="28"/>
      <c r="D13" s="28"/>
      <c r="E13" s="159"/>
      <c r="F13" s="159"/>
      <c r="G13" s="64"/>
      <c r="H13" s="64"/>
      <c r="I13" s="86"/>
      <c r="J13" s="86"/>
    </row>
    <row r="14" spans="1:10" ht="15.6" x14ac:dyDescent="0.25">
      <c r="A14" s="28"/>
      <c r="B14" s="28" t="s">
        <v>168</v>
      </c>
      <c r="C14" s="28" t="str">
        <f>CONCATENATE("Personal property ",J1-1,"")</f>
        <v>Personal property 2014</v>
      </c>
      <c r="D14" s="158" t="s">
        <v>161</v>
      </c>
      <c r="E14" s="160">
        <f>inputOth!E8</f>
        <v>1055718</v>
      </c>
      <c r="F14" s="159"/>
      <c r="G14" s="86"/>
      <c r="H14" s="86"/>
      <c r="I14" s="64"/>
      <c r="J14" s="86"/>
    </row>
    <row r="15" spans="1:10" ht="15.6" x14ac:dyDescent="0.25">
      <c r="A15" s="158"/>
      <c r="B15" s="28" t="s">
        <v>169</v>
      </c>
      <c r="C15" s="28" t="str">
        <f>CONCATENATE("Personal property ",J1-2,"")</f>
        <v>Personal property 2013</v>
      </c>
      <c r="D15" s="158" t="s">
        <v>164</v>
      </c>
      <c r="E15" s="92">
        <f>inputOth!E10</f>
        <v>1449396</v>
      </c>
      <c r="F15" s="159"/>
      <c r="G15" s="64"/>
      <c r="H15" s="64"/>
      <c r="I15" s="86"/>
      <c r="J15" s="86"/>
    </row>
    <row r="16" spans="1:10" ht="15.6" x14ac:dyDescent="0.25">
      <c r="A16" s="158"/>
      <c r="B16" s="28" t="s">
        <v>170</v>
      </c>
      <c r="C16" s="28" t="s">
        <v>308</v>
      </c>
      <c r="D16" s="28"/>
      <c r="E16" s="86"/>
      <c r="F16" s="86" t="s">
        <v>161</v>
      </c>
      <c r="G16" s="160">
        <f>IF(E14&gt;E15,E14-E15,0)</f>
        <v>0</v>
      </c>
      <c r="H16" s="64"/>
      <c r="I16" s="86"/>
      <c r="J16" s="86"/>
    </row>
    <row r="17" spans="1:10" ht="15.6" x14ac:dyDescent="0.25">
      <c r="A17" s="158"/>
      <c r="B17" s="158"/>
      <c r="C17" s="28"/>
      <c r="D17" s="28"/>
      <c r="E17" s="86"/>
      <c r="F17" s="86"/>
      <c r="G17" s="64" t="s">
        <v>176</v>
      </c>
      <c r="H17" s="64"/>
      <c r="I17" s="86"/>
      <c r="J17" s="86"/>
    </row>
    <row r="18" spans="1:10" ht="15.6" x14ac:dyDescent="0.25">
      <c r="A18" s="158"/>
      <c r="B18" s="158"/>
      <c r="C18" s="28"/>
      <c r="D18" s="158"/>
      <c r="E18" s="64"/>
      <c r="F18" s="86"/>
      <c r="G18" s="64"/>
      <c r="H18" s="64"/>
      <c r="I18" s="86"/>
      <c r="J18" s="86"/>
    </row>
    <row r="19" spans="1:10" ht="15.6" x14ac:dyDescent="0.25">
      <c r="A19" s="158" t="s">
        <v>171</v>
      </c>
      <c r="B19" s="28" t="str">
        <f>CONCATENATE("Valuation of property that has changed in use during ",J1-1,":")</f>
        <v>Valuation of property that has changed in use during 2014:</v>
      </c>
      <c r="C19" s="28"/>
      <c r="D19" s="28"/>
      <c r="E19" s="86"/>
      <c r="F19" s="86"/>
      <c r="G19" s="86">
        <f>inputOth!E9</f>
        <v>185780</v>
      </c>
      <c r="H19" s="86"/>
      <c r="I19" s="86"/>
      <c r="J19" s="86"/>
    </row>
    <row r="20" spans="1:10" ht="15.6" x14ac:dyDescent="0.25">
      <c r="A20" s="158"/>
      <c r="B20" s="28"/>
      <c r="C20" s="28"/>
      <c r="D20" s="158"/>
      <c r="E20" s="64"/>
      <c r="F20" s="86"/>
      <c r="G20" s="491"/>
      <c r="H20" s="64"/>
      <c r="I20" s="86"/>
      <c r="J20" s="86"/>
    </row>
    <row r="21" spans="1:10" ht="15.6" x14ac:dyDescent="0.25">
      <c r="A21" s="158" t="s">
        <v>180</v>
      </c>
      <c r="B21" s="28" t="s">
        <v>309</v>
      </c>
      <c r="C21" s="28"/>
      <c r="D21" s="28"/>
      <c r="E21" s="86"/>
      <c r="F21" s="86"/>
      <c r="G21" s="160">
        <f>G11+G16+G19</f>
        <v>435911</v>
      </c>
      <c r="H21" s="64"/>
      <c r="I21" s="86"/>
      <c r="J21" s="86"/>
    </row>
    <row r="22" spans="1:10" ht="15.6" x14ac:dyDescent="0.25">
      <c r="A22" s="158"/>
      <c r="B22" s="158"/>
      <c r="C22" s="28"/>
      <c r="D22" s="28"/>
      <c r="E22" s="86"/>
      <c r="F22" s="86"/>
      <c r="G22" s="64"/>
      <c r="H22" s="64"/>
      <c r="I22" s="86"/>
      <c r="J22" s="86"/>
    </row>
    <row r="23" spans="1:10" ht="15.6" x14ac:dyDescent="0.25">
      <c r="A23" s="158" t="s">
        <v>181</v>
      </c>
      <c r="B23" s="28" t="str">
        <f>CONCATENATE("Total estimated valuation July 1,",J1-1,"")</f>
        <v>Total estimated valuation July 1,2014</v>
      </c>
      <c r="C23" s="28"/>
      <c r="D23" s="28"/>
      <c r="E23" s="160">
        <f>inputOth!E6</f>
        <v>47048856</v>
      </c>
      <c r="F23" s="86"/>
      <c r="G23" s="86"/>
      <c r="H23" s="86"/>
      <c r="I23" s="159"/>
      <c r="J23" s="86"/>
    </row>
    <row r="24" spans="1:10" ht="15.6" x14ac:dyDescent="0.25">
      <c r="A24" s="158"/>
      <c r="B24" s="158"/>
      <c r="C24" s="28"/>
      <c r="D24" s="28"/>
      <c r="E24" s="64"/>
      <c r="F24" s="86"/>
      <c r="G24" s="86"/>
      <c r="H24" s="86"/>
      <c r="I24" s="159"/>
      <c r="J24" s="86"/>
    </row>
    <row r="25" spans="1:10" ht="15.6" x14ac:dyDescent="0.25">
      <c r="A25" s="158" t="s">
        <v>172</v>
      </c>
      <c r="B25" s="28" t="s">
        <v>310</v>
      </c>
      <c r="C25" s="28"/>
      <c r="D25" s="28"/>
      <c r="E25" s="86"/>
      <c r="F25" s="86"/>
      <c r="G25" s="160">
        <f>E23-G21</f>
        <v>46612945</v>
      </c>
      <c r="H25" s="64"/>
      <c r="I25" s="159"/>
      <c r="J25" s="86"/>
    </row>
    <row r="26" spans="1:10" ht="15.6" x14ac:dyDescent="0.25">
      <c r="A26" s="158"/>
      <c r="B26" s="158"/>
      <c r="C26" s="28"/>
      <c r="D26" s="28"/>
      <c r="E26" s="28"/>
      <c r="F26" s="28"/>
      <c r="G26" s="494"/>
      <c r="H26" s="414"/>
      <c r="I26" s="158"/>
      <c r="J26" s="28"/>
    </row>
    <row r="27" spans="1:10" ht="15.6" x14ac:dyDescent="0.25">
      <c r="A27" s="158" t="s">
        <v>173</v>
      </c>
      <c r="B27" s="28" t="s">
        <v>311</v>
      </c>
      <c r="C27" s="28"/>
      <c r="D27" s="28"/>
      <c r="E27" s="28"/>
      <c r="F27" s="28"/>
      <c r="G27" s="492">
        <f>IF(G21&gt;0,G21/G25,0)</f>
        <v>9.3517154944833449E-3</v>
      </c>
      <c r="H27" s="414"/>
      <c r="I27" s="28"/>
      <c r="J27" s="28"/>
    </row>
    <row r="28" spans="1:10" ht="15.6" x14ac:dyDescent="0.25">
      <c r="A28" s="158"/>
      <c r="B28" s="158"/>
      <c r="C28" s="28"/>
      <c r="D28" s="28"/>
      <c r="E28" s="28"/>
      <c r="F28" s="28"/>
      <c r="G28" s="414"/>
      <c r="H28" s="414"/>
      <c r="I28" s="28"/>
      <c r="J28" s="28"/>
    </row>
    <row r="29" spans="1:10" ht="15.6" x14ac:dyDescent="0.25">
      <c r="A29" s="158" t="s">
        <v>174</v>
      </c>
      <c r="B29" s="28" t="s">
        <v>312</v>
      </c>
      <c r="C29" s="28"/>
      <c r="D29" s="28"/>
      <c r="E29" s="28"/>
      <c r="F29" s="28"/>
      <c r="G29" s="414"/>
      <c r="H29" s="161" t="s">
        <v>161</v>
      </c>
      <c r="I29" s="28" t="s">
        <v>162</v>
      </c>
      <c r="J29" s="160">
        <f>ROUND(G27*J7,0)</f>
        <v>33319</v>
      </c>
    </row>
    <row r="30" spans="1:10" ht="15.6" x14ac:dyDescent="0.25">
      <c r="A30" s="158"/>
      <c r="B30" s="158"/>
      <c r="C30" s="28"/>
      <c r="D30" s="28"/>
      <c r="E30" s="28"/>
      <c r="F30" s="28"/>
      <c r="G30" s="414"/>
      <c r="H30" s="161"/>
      <c r="I30" s="28"/>
      <c r="J30" s="64"/>
    </row>
    <row r="31" spans="1:10" ht="16.2" thickBot="1" x14ac:dyDescent="0.3">
      <c r="A31" s="158" t="s">
        <v>175</v>
      </c>
      <c r="B31" s="28" t="str">
        <f>CONCATENATE(J1," budget tax levy, excluding debt service, prior to CPI adjustment (3 plus 11)")</f>
        <v>2015 budget tax levy, excluding debt service, prior to CPI adjustment (3 plus 11)</v>
      </c>
      <c r="C31" s="28"/>
      <c r="D31" s="28"/>
      <c r="E31" s="28"/>
      <c r="F31" s="28"/>
      <c r="G31" s="28"/>
      <c r="H31" s="28"/>
      <c r="I31" s="28" t="s">
        <v>162</v>
      </c>
      <c r="J31" s="493">
        <f>J7+J29</f>
        <v>3596217</v>
      </c>
    </row>
    <row r="32" spans="1:10" ht="16.2" thickTop="1" x14ac:dyDescent="0.25">
      <c r="A32" s="28"/>
      <c r="B32" s="28"/>
      <c r="C32" s="28"/>
      <c r="D32" s="28"/>
      <c r="E32" s="28"/>
      <c r="F32" s="28"/>
      <c r="G32" s="28"/>
      <c r="H32" s="28"/>
      <c r="I32" s="28"/>
      <c r="J32" s="28"/>
    </row>
    <row r="33" spans="1:12" ht="15.6" x14ac:dyDescent="0.25">
      <c r="A33" s="158" t="s">
        <v>184</v>
      </c>
      <c r="B33" s="28" t="str">
        <f>CONCATENATE("Debt service levy in this ",J1," budget")</f>
        <v>Debt service levy in this 2015 budget</v>
      </c>
      <c r="C33" s="28"/>
      <c r="D33" s="28"/>
      <c r="E33" s="28"/>
      <c r="F33" s="28"/>
      <c r="G33" s="28"/>
      <c r="H33" s="28"/>
      <c r="I33" s="28"/>
      <c r="J33" s="160"/>
    </row>
    <row r="34" spans="1:12" ht="15.6" x14ac:dyDescent="0.25">
      <c r="A34" s="158"/>
      <c r="B34" s="28"/>
      <c r="C34" s="28"/>
      <c r="D34" s="28"/>
      <c r="E34" s="28"/>
      <c r="F34" s="28"/>
      <c r="G34" s="28"/>
      <c r="H34" s="28"/>
      <c r="I34" s="28"/>
      <c r="J34" s="414"/>
    </row>
    <row r="35" spans="1:12" ht="16.2" thickBot="1" x14ac:dyDescent="0.3">
      <c r="A35" s="158" t="s">
        <v>185</v>
      </c>
      <c r="B35" s="28" t="str">
        <f>CONCATENATE(J1," budget tax levy, including debt service, prior to CPI adjustment (12 plus 13)")</f>
        <v>2015 budget tax levy, including debt service, prior to CPI adjustment (12 plus 13)</v>
      </c>
      <c r="C35" s="28"/>
      <c r="D35" s="28"/>
      <c r="E35" s="28"/>
      <c r="F35" s="28"/>
      <c r="G35" s="28"/>
      <c r="H35" s="28"/>
      <c r="I35" s="28"/>
      <c r="J35" s="493">
        <f>J31+J33</f>
        <v>3596217</v>
      </c>
    </row>
    <row r="36" spans="1:12" ht="16.2" thickTop="1" x14ac:dyDescent="0.25">
      <c r="A36" s="500"/>
      <c r="B36" s="499"/>
      <c r="C36" s="499"/>
      <c r="D36" s="499"/>
      <c r="E36" s="499"/>
      <c r="F36" s="499"/>
      <c r="G36" s="499"/>
      <c r="H36" s="499"/>
      <c r="I36" s="499"/>
      <c r="J36" s="497"/>
    </row>
    <row r="37" spans="1:12" ht="15.6" x14ac:dyDescent="0.25">
      <c r="A37" s="502" t="s">
        <v>302</v>
      </c>
      <c r="B37" s="499" t="str">
        <f>CONCATENATE("Consumer Price Index for all urban consumers for calendar year ",J1-2)</f>
        <v>Consumer Price Index for all urban consumers for calendar year 2013</v>
      </c>
      <c r="C37" s="499"/>
      <c r="D37" s="499"/>
      <c r="E37" s="499"/>
      <c r="F37" s="499"/>
      <c r="G37" s="499"/>
      <c r="H37" s="499"/>
      <c r="I37" s="499"/>
      <c r="J37" s="503">
        <v>1.4999999999999999E-2</v>
      </c>
    </row>
    <row r="38" spans="1:12" ht="15.6" x14ac:dyDescent="0.25">
      <c r="A38" s="502"/>
      <c r="B38" s="499"/>
      <c r="C38" s="499"/>
      <c r="D38" s="499"/>
      <c r="E38" s="499"/>
      <c r="F38" s="499"/>
      <c r="G38" s="499"/>
      <c r="H38" s="499"/>
      <c r="I38" s="499"/>
      <c r="J38" s="504"/>
    </row>
    <row r="39" spans="1:12" ht="15.6" x14ac:dyDescent="0.25">
      <c r="A39" s="502" t="s">
        <v>303</v>
      </c>
      <c r="B39" s="499" t="s">
        <v>320</v>
      </c>
      <c r="C39" s="499"/>
      <c r="D39" s="499"/>
      <c r="E39" s="499"/>
      <c r="F39" s="499"/>
      <c r="G39" s="499"/>
      <c r="H39" s="499"/>
      <c r="I39" s="498" t="s">
        <v>162</v>
      </c>
      <c r="J39" s="496">
        <f>J7*J37</f>
        <v>53443.47</v>
      </c>
    </row>
    <row r="40" spans="1:12" ht="15.6" x14ac:dyDescent="0.25">
      <c r="A40" s="500"/>
      <c r="B40" s="499"/>
      <c r="C40" s="499"/>
      <c r="D40" s="499"/>
      <c r="E40" s="499"/>
      <c r="F40" s="499"/>
      <c r="G40" s="499"/>
      <c r="H40" s="499"/>
      <c r="I40" s="499"/>
      <c r="J40" s="497"/>
    </row>
    <row r="41" spans="1:12" ht="15.6" x14ac:dyDescent="0.25">
      <c r="A41" s="500" t="s">
        <v>304</v>
      </c>
      <c r="B41" s="499" t="str">
        <f>CONCATENATE("Maximum levy for budget year ",J1,", including debt service, not requiring 'notice of vote publication.'")</f>
        <v>Maximum levy for budget year 2015, including debt service, not requiring 'notice of vote publication.'</v>
      </c>
      <c r="C41" s="499"/>
      <c r="D41" s="499"/>
      <c r="E41" s="499"/>
      <c r="F41" s="499"/>
      <c r="G41" s="499"/>
      <c r="H41" s="499"/>
      <c r="I41" s="499"/>
      <c r="J41" s="495"/>
    </row>
    <row r="42" spans="1:12" ht="18.600000000000001" thickBot="1" x14ac:dyDescent="0.3">
      <c r="A42" s="490"/>
      <c r="B42" s="498" t="s">
        <v>321</v>
      </c>
      <c r="C42" s="490"/>
      <c r="D42" s="490"/>
      <c r="E42" s="490"/>
      <c r="F42" s="490"/>
      <c r="G42" s="490"/>
      <c r="H42" s="490"/>
      <c r="I42" s="498" t="s">
        <v>162</v>
      </c>
      <c r="J42" s="501">
        <f>J35+J39</f>
        <v>3649660.47</v>
      </c>
      <c r="L42" s="649">
        <f>+J42-cert!E47</f>
        <v>-95246.509999999776</v>
      </c>
    </row>
    <row r="43" spans="1:12" ht="18.600000000000001" thickTop="1" x14ac:dyDescent="0.25">
      <c r="A43" s="490"/>
      <c r="B43" s="505"/>
      <c r="C43" s="490"/>
      <c r="D43" s="490"/>
      <c r="E43" s="490"/>
      <c r="F43" s="490"/>
      <c r="G43" s="490"/>
      <c r="H43" s="490"/>
      <c r="I43" s="498"/>
      <c r="J43" s="497"/>
    </row>
    <row r="44" spans="1:12" ht="18" x14ac:dyDescent="0.25">
      <c r="A44" s="490"/>
      <c r="B44" s="505"/>
      <c r="C44" s="490"/>
      <c r="D44" s="490"/>
      <c r="E44" s="490"/>
      <c r="F44" s="490"/>
      <c r="G44" s="490"/>
      <c r="H44" s="490"/>
      <c r="I44" s="498"/>
      <c r="J44" s="497"/>
    </row>
    <row r="45" spans="1:12" ht="18" x14ac:dyDescent="0.25">
      <c r="A45" s="688" t="str">
        <f>CONCATENATE("If the ",J1," adopted budget includes a total property tax levy exceeding the dollar amount in line 17")</f>
        <v>If the 2015 adopted budget includes a total property tax levy exceeding the dollar amount in line 17</v>
      </c>
      <c r="B45" s="688"/>
      <c r="C45" s="688"/>
      <c r="D45" s="688"/>
      <c r="E45" s="688"/>
      <c r="F45" s="688"/>
      <c r="G45" s="688"/>
      <c r="H45" s="688"/>
      <c r="I45" s="688"/>
      <c r="J45" s="688"/>
    </row>
    <row r="46" spans="1:12" ht="18" x14ac:dyDescent="0.25">
      <c r="A46" s="688" t="s">
        <v>305</v>
      </c>
      <c r="B46" s="688"/>
      <c r="C46" s="688"/>
      <c r="D46" s="688"/>
      <c r="E46" s="688"/>
      <c r="F46" s="688"/>
      <c r="G46" s="688"/>
      <c r="H46" s="688"/>
      <c r="I46" s="688"/>
      <c r="J46" s="688"/>
    </row>
    <row r="47" spans="1:12" ht="15.6" x14ac:dyDescent="0.25">
      <c r="A47" s="687" t="s">
        <v>306</v>
      </c>
      <c r="B47" s="687"/>
      <c r="C47" s="687"/>
      <c r="D47" s="687"/>
      <c r="E47" s="687"/>
      <c r="F47" s="687"/>
      <c r="G47" s="687"/>
      <c r="H47" s="687"/>
      <c r="I47" s="687"/>
      <c r="J47" s="687"/>
    </row>
  </sheetData>
  <mergeCells count="6">
    <mergeCell ref="A3:J3"/>
    <mergeCell ref="E4:G4"/>
    <mergeCell ref="A47:J47"/>
    <mergeCell ref="A46:J46"/>
    <mergeCell ref="A45:J45"/>
    <mergeCell ref="A9:J9"/>
  </mergeCells>
  <phoneticPr fontId="0" type="noConversion"/>
  <pageMargins left="0.5" right="0.5" top="0.72" bottom="0.23" header="0.5" footer="0"/>
  <pageSetup scale="71" orientation="portrait" blackAndWhite="1" r:id="rId1"/>
  <headerFooter alignWithMargins="0">
    <oddHeader xml:space="preserve">&amp;RState of Kansas
County
</oddHeader>
    <oddFooter>&amp;CPage No. 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47"/>
  <sheetViews>
    <sheetView workbookViewId="0"/>
  </sheetViews>
  <sheetFormatPr defaultColWidth="8.9140625" defaultRowHeight="15.6" x14ac:dyDescent="0.3"/>
  <cols>
    <col min="1" max="1" width="6.9140625" style="2" customWidth="1"/>
    <col min="2" max="2" width="18.75" style="2" customWidth="1"/>
    <col min="3" max="3" width="12.75" style="2" customWidth="1"/>
    <col min="4" max="4" width="0.25" style="2" customWidth="1"/>
    <col min="5" max="9" width="11.75" style="2" customWidth="1"/>
    <col min="10" max="16384" width="8.9140625" style="2"/>
  </cols>
  <sheetData>
    <row r="1" spans="1:9" x14ac:dyDescent="0.3">
      <c r="A1" s="23"/>
      <c r="B1" s="10" t="str">
        <f>inputPrYr!C2</f>
        <v>Edwards County</v>
      </c>
      <c r="C1" s="5"/>
      <c r="D1" s="5"/>
      <c r="E1" s="5"/>
      <c r="F1" s="5"/>
      <c r="G1" s="4"/>
      <c r="H1" s="4"/>
      <c r="I1" s="20">
        <f>inputPrYr!C4</f>
        <v>2015</v>
      </c>
    </row>
    <row r="2" spans="1:9" x14ac:dyDescent="0.3">
      <c r="A2" s="23"/>
      <c r="B2" s="5"/>
      <c r="C2" s="5"/>
      <c r="D2" s="5"/>
      <c r="E2" s="5"/>
      <c r="F2" s="5"/>
      <c r="G2" s="4"/>
      <c r="H2" s="4"/>
      <c r="I2" s="11"/>
    </row>
    <row r="3" spans="1:9" x14ac:dyDescent="0.3">
      <c r="A3" s="23"/>
      <c r="B3" s="695" t="s">
        <v>292</v>
      </c>
      <c r="C3" s="695"/>
      <c r="D3" s="695"/>
      <c r="E3" s="695"/>
      <c r="F3" s="695"/>
      <c r="G3" s="695"/>
      <c r="H3" s="21"/>
      <c r="I3" s="22"/>
    </row>
    <row r="4" spans="1:9" x14ac:dyDescent="0.3">
      <c r="A4" s="23"/>
      <c r="B4" s="7"/>
      <c r="C4" s="8"/>
      <c r="D4" s="8"/>
      <c r="E4" s="8"/>
      <c r="F4" s="8"/>
      <c r="G4" s="5"/>
      <c r="H4" s="5"/>
      <c r="I4" s="11"/>
    </row>
    <row r="5" spans="1:9" ht="21.75" customHeight="1" x14ac:dyDescent="0.3">
      <c r="A5" s="23"/>
      <c r="B5" s="408" t="s">
        <v>293</v>
      </c>
      <c r="C5" s="689" t="str">
        <f>CONCATENATE("Budget Tax Levy Amount for ",I1-2,"")</f>
        <v>Budget Tax Levy Amount for 2013</v>
      </c>
      <c r="D5" s="690" t="str">
        <f>CONCATENATE("Budget Tax Levy Rate for ",I1-1,"")</f>
        <v>Budget Tax Levy Rate for 2014</v>
      </c>
      <c r="E5" s="692" t="str">
        <f>CONCATENATE("Allocation for Year ",I1,"")</f>
        <v>Allocation for Year 2015</v>
      </c>
      <c r="F5" s="693"/>
      <c r="G5" s="694"/>
      <c r="H5" s="22"/>
      <c r="I5" s="22"/>
    </row>
    <row r="6" spans="1:9" x14ac:dyDescent="0.3">
      <c r="A6" s="23"/>
      <c r="B6" s="3" t="str">
        <f>CONCATENATE("for ",I1-1,"")</f>
        <v>for 2014</v>
      </c>
      <c r="C6" s="666"/>
      <c r="D6" s="691"/>
      <c r="E6" s="152" t="s">
        <v>71</v>
      </c>
      <c r="F6" s="152" t="s">
        <v>156</v>
      </c>
      <c r="G6" s="131" t="s">
        <v>183</v>
      </c>
      <c r="H6" s="17"/>
      <c r="I6" s="22"/>
    </row>
    <row r="7" spans="1:9" x14ac:dyDescent="0.3">
      <c r="A7" s="23"/>
      <c r="B7" s="9" t="str">
        <f>(inputPrYr!B16)</f>
        <v>General</v>
      </c>
      <c r="C7" s="131">
        <f>(inputPrYr!E16)</f>
        <v>1523875</v>
      </c>
      <c r="D7" s="411">
        <f>IF(inputPrYr!F16&gt;0,(inputPrYr!F16),"  ")</f>
        <v>33.615000000000002</v>
      </c>
      <c r="E7" s="131">
        <f>IF(inputPrYr!E16&gt;0,E34-SUM(E8:E31),0)</f>
        <v>129903</v>
      </c>
      <c r="F7" s="131">
        <f>IF(inputPrYr!E16=0,0,F36-SUM(F8:F31))</f>
        <v>1909</v>
      </c>
      <c r="G7" s="131">
        <f>IF(inputPrYr!E16=0,0,G38-SUM(G8:G31))</f>
        <v>18918</v>
      </c>
      <c r="H7" s="17"/>
      <c r="I7" s="22"/>
    </row>
    <row r="8" spans="1:9" x14ac:dyDescent="0.3">
      <c r="A8" s="23"/>
      <c r="B8" s="9">
        <f>(inputPrYr!B17)</f>
        <v>0</v>
      </c>
      <c r="C8" s="131" t="str">
        <f>IF(inputPrYr!E17&gt;0,inputPrYr!E17," ")</f>
        <v xml:space="preserve"> </v>
      </c>
      <c r="D8" s="411" t="str">
        <f>IF(inputPrYr!F17&gt;0,(inputPrYr!F17),"  ")</f>
        <v xml:space="preserve">  </v>
      </c>
      <c r="E8" s="131" t="str">
        <f>IF(inputPrYr!$E$17&gt;0,ROUND(+C8*E$41,0)," ")</f>
        <v xml:space="preserve"> </v>
      </c>
      <c r="F8" s="131" t="str">
        <f>IF(inputPrYr!$E$17&gt;0,ROUND(+C8*F$43,0)," ")</f>
        <v xml:space="preserve"> </v>
      </c>
      <c r="G8" s="131" t="str">
        <f>IF(inputPrYr!$E$17&gt;0,ROUND(+C8*G$45,0)," ")</f>
        <v xml:space="preserve"> </v>
      </c>
      <c r="H8" s="17"/>
      <c r="I8" s="22"/>
    </row>
    <row r="9" spans="1:9" x14ac:dyDescent="0.3">
      <c r="A9" s="23"/>
      <c r="B9" s="9" t="str">
        <f>(inputPrYr!B18)</f>
        <v>Road &amp; Bridge</v>
      </c>
      <c r="C9" s="131">
        <f>IF(inputPrYr!E18&gt;0,inputPrYr!E18," ")</f>
        <v>802183</v>
      </c>
      <c r="D9" s="411">
        <f>IF(inputPrYr!F18&gt;0,(inputPrYr!F18),"  ")</f>
        <v>17.695</v>
      </c>
      <c r="E9" s="131">
        <f>IF(inputPrYr!$E$18&gt;0,ROUND(+C9*E$41,0)," ")</f>
        <v>68382</v>
      </c>
      <c r="F9" s="131">
        <f>IF(inputPrYr!$E$18&gt;0,ROUND(+C9*F$43,0)," ")</f>
        <v>1005</v>
      </c>
      <c r="G9" s="131">
        <f>IF(inputPrYr!$E$18&gt;0,ROUND(+C9*G$45,0)," ")</f>
        <v>9959</v>
      </c>
      <c r="H9" s="17"/>
      <c r="I9" s="22"/>
    </row>
    <row r="10" spans="1:9" x14ac:dyDescent="0.3">
      <c r="A10" s="23"/>
      <c r="B10" s="9" t="str">
        <f>IF((inputPrYr!$B19&gt;" "),(inputPrYr!$B19),"  ")</f>
        <v>Noxious Weed</v>
      </c>
      <c r="C10" s="131">
        <f>IF(inputPrYr!E19&gt;0,inputPrYr!E19,"  ")</f>
        <v>67992</v>
      </c>
      <c r="D10" s="411">
        <f>IF(inputPrYr!F19&gt;0,(inputPrYr!F19),"  ")</f>
        <v>1.5</v>
      </c>
      <c r="E10" s="131">
        <f>IF(inputPrYr!$E$19&gt;0,ROUND(+C10*E$41,0)," ")</f>
        <v>5796</v>
      </c>
      <c r="F10" s="131">
        <f>IF(inputPrYr!$E$19&gt;0,ROUND(+C10*F$43,0)," ")</f>
        <v>85</v>
      </c>
      <c r="G10" s="131">
        <f>IF(inputPrYr!$E$19&gt;0,ROUND(+C10*G$45,0)," ")</f>
        <v>844</v>
      </c>
      <c r="H10" s="17"/>
      <c r="I10" s="22"/>
    </row>
    <row r="11" spans="1:9" x14ac:dyDescent="0.3">
      <c r="A11" s="23"/>
      <c r="B11" s="9" t="str">
        <f>IF((inputPrYr!$B20&gt;" "),(inputPrYr!$B20),"  ")</f>
        <v>Employee Benefits</v>
      </c>
      <c r="C11" s="131">
        <f>IF(inputPrYr!E20&gt;0,inputPrYr!E20,"  ")</f>
        <v>828687</v>
      </c>
      <c r="D11" s="411">
        <f>IF(inputPrYr!F20&gt;0,(inputPrYr!F20),"  ")</f>
        <v>18.28</v>
      </c>
      <c r="E11" s="131">
        <f>IF(inputPrYr!E20&gt;0,ROUND(+C11*E$41,0),"  ")</f>
        <v>70641</v>
      </c>
      <c r="F11" s="131">
        <f>IF(inputPrYr!E20&gt;0,ROUND(+C11*F$43,0),"  ")</f>
        <v>1039</v>
      </c>
      <c r="G11" s="131">
        <f>IF(inputPrYr!E20&gt;0,ROUND(+C11*G$45,0),"  ")</f>
        <v>10288</v>
      </c>
      <c r="H11" s="17"/>
      <c r="I11" s="22"/>
    </row>
    <row r="12" spans="1:9" x14ac:dyDescent="0.3">
      <c r="A12" s="23"/>
      <c r="B12" s="9" t="str">
        <f>IF((inputPrYr!$B21&gt;" "),(inputPrYr!$B21),"  ")</f>
        <v>County Health</v>
      </c>
      <c r="C12" s="131">
        <f>IF(inputPrYr!E21&gt;0,inputPrYr!E21,"  ")</f>
        <v>130570</v>
      </c>
      <c r="D12" s="411">
        <f>IF(inputPrYr!F21&gt;0,(inputPrYr!F21),"  ")</f>
        <v>2.88</v>
      </c>
      <c r="E12" s="131">
        <f>IF(inputPrYr!E21&gt;0,ROUND(+C12*E$41,0),"  ")</f>
        <v>11130</v>
      </c>
      <c r="F12" s="131">
        <f>IF(inputPrYr!E21&gt;0,ROUND(+C12*F$43,0),"  ")</f>
        <v>164</v>
      </c>
      <c r="G12" s="131">
        <f>IF(inputPrYr!E21&gt;0,ROUND(+C12*G$45,0),"  ")</f>
        <v>1621</v>
      </c>
      <c r="H12" s="17"/>
      <c r="I12" s="22"/>
    </row>
    <row r="13" spans="1:9" x14ac:dyDescent="0.3">
      <c r="A13" s="23"/>
      <c r="B13" s="9" t="str">
        <f>IF((inputPrYr!$B22&gt;" "),(inputPrYr!$B22),"  ")</f>
        <v>Hospital Maintenance</v>
      </c>
      <c r="C13" s="131">
        <f>IF(inputPrYr!E22&gt;0,inputPrYr!E22,"  ")</f>
        <v>209591</v>
      </c>
      <c r="D13" s="411">
        <f>IF(inputPrYr!F22&gt;0,(inputPrYr!F22),"  ")</f>
        <v>4.6230000000000002</v>
      </c>
      <c r="E13" s="131">
        <f>IF(inputPrYr!E22&gt;0,ROUND(+C13*E$41,0),"  ")</f>
        <v>17867</v>
      </c>
      <c r="F13" s="131">
        <f>IF(inputPrYr!E22&gt;0,ROUND(+C13*F$43,0),"  ")</f>
        <v>263</v>
      </c>
      <c r="G13" s="131">
        <f>IF(inputPrYr!E22&gt;0,ROUND(+C13*G$45,0),"  ")</f>
        <v>2602</v>
      </c>
      <c r="H13" s="17"/>
      <c r="I13" s="22"/>
    </row>
    <row r="14" spans="1:9" x14ac:dyDescent="0.3">
      <c r="A14" s="23"/>
      <c r="B14" s="9" t="str">
        <f>IF((inputPrYr!$B23&gt;" "),(inputPrYr!$B23),"  ")</f>
        <v xml:space="preserve">  </v>
      </c>
      <c r="C14" s="131" t="str">
        <f>IF(inputPrYr!E23&gt;0,inputPrYr!E23,"  ")</f>
        <v xml:space="preserve">  </v>
      </c>
      <c r="D14" s="411" t="str">
        <f>IF(inputPrYr!F23&gt;0,(inputPrYr!F23),"  ")</f>
        <v xml:space="preserve">  </v>
      </c>
      <c r="E14" s="131" t="str">
        <f>IF(inputPrYr!E23&gt;0,ROUND(+C14*E$41,0),"  ")</f>
        <v xml:space="preserve">  </v>
      </c>
      <c r="F14" s="131" t="str">
        <f>IF(inputPrYr!E23&gt;0,ROUND(+C14*F$43,0),"  ")</f>
        <v xml:space="preserve">  </v>
      </c>
      <c r="G14" s="131" t="str">
        <f>IF(inputPrYr!E23&gt;0,ROUND(+C14*G$45,0),"  ")</f>
        <v xml:space="preserve">  </v>
      </c>
      <c r="H14" s="17"/>
      <c r="I14" s="22"/>
    </row>
    <row r="15" spans="1:9" x14ac:dyDescent="0.3">
      <c r="A15" s="23"/>
      <c r="B15" s="9" t="str">
        <f>IF((inputPrYr!$B24&gt;" "),(inputPrYr!$B24),"  ")</f>
        <v xml:space="preserve">  </v>
      </c>
      <c r="C15" s="131" t="str">
        <f>IF(inputPrYr!E24&gt;0,inputPrYr!E24,"  ")</f>
        <v xml:space="preserve">  </v>
      </c>
      <c r="D15" s="411" t="str">
        <f>IF(inputPrYr!F24&gt;0,(inputPrYr!F24),"  ")</f>
        <v xml:space="preserve">  </v>
      </c>
      <c r="E15" s="131" t="str">
        <f>IF(inputPrYr!E24&gt;0,ROUND(+C15*E$41,0),"  ")</f>
        <v xml:space="preserve">  </v>
      </c>
      <c r="F15" s="131" t="str">
        <f>IF(inputPrYr!E24&gt;0,ROUND(+C15*F$43,0),"  ")</f>
        <v xml:space="preserve">  </v>
      </c>
      <c r="G15" s="131" t="str">
        <f>IF(inputPrYr!E24&gt;0,ROUND(+C15*G$45,0),"  ")</f>
        <v xml:space="preserve">  </v>
      </c>
      <c r="H15" s="17"/>
      <c r="I15" s="22"/>
    </row>
    <row r="16" spans="1:9" x14ac:dyDescent="0.3">
      <c r="A16" s="23"/>
      <c r="B16" s="9" t="str">
        <f>IF((inputPrYr!$B25&gt;" "),(inputPrYr!$B25),"  ")</f>
        <v xml:space="preserve">  </v>
      </c>
      <c r="C16" s="131" t="str">
        <f>IF(inputPrYr!E25&gt;0,inputPrYr!E25,"  ")</f>
        <v xml:space="preserve">  </v>
      </c>
      <c r="D16" s="411" t="str">
        <f>IF(inputPrYr!F25&gt;0,(inputPrYr!F25),"  ")</f>
        <v xml:space="preserve">  </v>
      </c>
      <c r="E16" s="131" t="str">
        <f>IF(inputPrYr!E25&gt;0,ROUND(+C16*E$41,0),"  ")</f>
        <v xml:space="preserve">  </v>
      </c>
      <c r="F16" s="131" t="str">
        <f>IF(inputPrYr!E25&gt;0,ROUND(+C16*F$43,0),"  ")</f>
        <v xml:space="preserve">  </v>
      </c>
      <c r="G16" s="131" t="str">
        <f>IF(inputPrYr!E25&gt;0,ROUND(+C16*G$45,0),"  ")</f>
        <v xml:space="preserve">  </v>
      </c>
      <c r="H16" s="17"/>
      <c r="I16" s="22"/>
    </row>
    <row r="17" spans="1:9" x14ac:dyDescent="0.3">
      <c r="A17" s="23"/>
      <c r="B17" s="9" t="str">
        <f>IF((inputPrYr!$B26&gt;" "),(inputPrYr!$B26),"  ")</f>
        <v xml:space="preserve">  </v>
      </c>
      <c r="C17" s="131" t="str">
        <f>IF(inputPrYr!E26&gt;0,inputPrYr!E26,"  ")</f>
        <v xml:space="preserve">  </v>
      </c>
      <c r="D17" s="411" t="str">
        <f>IF(inputPrYr!F26&gt;0,(inputPrYr!F26),"  ")</f>
        <v xml:space="preserve">  </v>
      </c>
      <c r="E17" s="131" t="str">
        <f>IF(inputPrYr!E26&gt;0,ROUND(+C17*E$41,0),"  ")</f>
        <v xml:space="preserve">  </v>
      </c>
      <c r="F17" s="131" t="str">
        <f>IF(inputPrYr!E26&gt;0,ROUND(+C17*F$43,0),"  ")</f>
        <v xml:space="preserve">  </v>
      </c>
      <c r="G17" s="131" t="str">
        <f>IF(inputPrYr!E26&gt;0,ROUND(+C17*G$45,0),"  ")</f>
        <v xml:space="preserve">  </v>
      </c>
      <c r="H17" s="17"/>
      <c r="I17" s="22"/>
    </row>
    <row r="18" spans="1:9" x14ac:dyDescent="0.3">
      <c r="A18" s="23"/>
      <c r="B18" s="9" t="str">
        <f>IF((inputPrYr!$B27&gt;" "),(inputPrYr!$B27),"  ")</f>
        <v xml:space="preserve">  </v>
      </c>
      <c r="C18" s="131" t="str">
        <f>IF(inputPrYr!E27&gt;0,inputPrYr!E27,"  ")</f>
        <v xml:space="preserve">  </v>
      </c>
      <c r="D18" s="411" t="str">
        <f>IF(inputPrYr!F27&gt;0,(inputPrYr!F27),"  ")</f>
        <v xml:space="preserve">  </v>
      </c>
      <c r="E18" s="131" t="str">
        <f>IF(inputPrYr!E27&gt;0,ROUND(+C18*E$41,0),"  ")</f>
        <v xml:space="preserve">  </v>
      </c>
      <c r="F18" s="131" t="str">
        <f>IF(inputPrYr!E27&gt;0,ROUND(+C18*F$43,0),"  ")</f>
        <v xml:space="preserve">  </v>
      </c>
      <c r="G18" s="131" t="str">
        <f>IF(inputPrYr!E27&gt;0,ROUND(+C18*G$45,0),"  ")</f>
        <v xml:space="preserve">  </v>
      </c>
      <c r="H18" s="17"/>
      <c r="I18" s="22"/>
    </row>
    <row r="19" spans="1:9" x14ac:dyDescent="0.3">
      <c r="A19" s="23"/>
      <c r="B19" s="9" t="str">
        <f>IF((inputPrYr!$B28&gt;" "),(inputPrYr!$B28),"  ")</f>
        <v xml:space="preserve">  </v>
      </c>
      <c r="C19" s="131" t="str">
        <f>IF(inputPrYr!E28&gt;0,inputPrYr!E28,"  ")</f>
        <v xml:space="preserve">  </v>
      </c>
      <c r="D19" s="411" t="str">
        <f>IF(inputPrYr!F28&gt;0,(inputPrYr!F28),"  ")</f>
        <v xml:space="preserve">  </v>
      </c>
      <c r="E19" s="131" t="str">
        <f>IF(inputPrYr!E28&gt;0,ROUND(+C19*E$41,0),"  ")</f>
        <v xml:space="preserve">  </v>
      </c>
      <c r="F19" s="131" t="str">
        <f>IF(inputPrYr!E28&gt;0,ROUND(+C19*F$43,0),"  ")</f>
        <v xml:space="preserve">  </v>
      </c>
      <c r="G19" s="131" t="str">
        <f>IF(inputPrYr!E28&gt;0,ROUND(+C19*G$45,0),"  ")</f>
        <v xml:space="preserve">  </v>
      </c>
      <c r="H19" s="17"/>
      <c r="I19" s="22"/>
    </row>
    <row r="20" spans="1:9" x14ac:dyDescent="0.3">
      <c r="A20" s="23"/>
      <c r="B20" s="9" t="str">
        <f>IF((inputPrYr!$B29&gt;" "),(inputPrYr!$B29),"  ")</f>
        <v xml:space="preserve">  </v>
      </c>
      <c r="C20" s="131" t="str">
        <f>IF(inputPrYr!E29&gt;0,inputPrYr!E29,"  ")</f>
        <v xml:space="preserve">  </v>
      </c>
      <c r="D20" s="411" t="str">
        <f>IF(inputPrYr!F29&gt;0,(inputPrYr!F29),"  ")</f>
        <v xml:space="preserve">  </v>
      </c>
      <c r="E20" s="131" t="str">
        <f>IF(inputPrYr!E29&gt;0,ROUND(+C20*E$41,0),"  ")</f>
        <v xml:space="preserve">  </v>
      </c>
      <c r="F20" s="131" t="str">
        <f>IF(inputPrYr!E29&gt;0,ROUND(+C20*F$43,0),"  ")</f>
        <v xml:space="preserve">  </v>
      </c>
      <c r="G20" s="131" t="str">
        <f>IF(inputPrYr!E29&gt;0,ROUND(+C20*G$45,0),"  ")</f>
        <v xml:space="preserve">  </v>
      </c>
      <c r="H20" s="17"/>
      <c r="I20" s="22"/>
    </row>
    <row r="21" spans="1:9" x14ac:dyDescent="0.3">
      <c r="A21" s="23"/>
      <c r="B21" s="9" t="str">
        <f>IF((inputPrYr!$B30&gt;" "),(inputPrYr!$B30),"  ")</f>
        <v xml:space="preserve">  </v>
      </c>
      <c r="C21" s="131" t="str">
        <f>IF(inputPrYr!E30&gt;0,inputPrYr!E30,"  ")</f>
        <v xml:space="preserve">  </v>
      </c>
      <c r="D21" s="411" t="str">
        <f>IF(inputPrYr!F30&gt;0,(inputPrYr!F30),"  ")</f>
        <v xml:space="preserve">  </v>
      </c>
      <c r="E21" s="131" t="str">
        <f>IF(inputPrYr!E30&gt;0,ROUND(+C21*E$41,0),"  ")</f>
        <v xml:space="preserve">  </v>
      </c>
      <c r="F21" s="131" t="str">
        <f>IF(inputPrYr!E30&gt;0,ROUND(+C21*F$43,0),"  ")</f>
        <v xml:space="preserve">  </v>
      </c>
      <c r="G21" s="131" t="str">
        <f>IF(inputPrYr!E30&gt;0,ROUND(+C21*G$45,0),"  ")</f>
        <v xml:space="preserve">  </v>
      </c>
      <c r="H21" s="17"/>
      <c r="I21" s="22"/>
    </row>
    <row r="22" spans="1:9" x14ac:dyDescent="0.3">
      <c r="A22" s="23"/>
      <c r="B22" s="9" t="str">
        <f>IF((inputPrYr!$B31&gt;" "),(inputPrYr!$B31),"  ")</f>
        <v xml:space="preserve">  </v>
      </c>
      <c r="C22" s="131" t="str">
        <f>IF(inputPrYr!E31&gt;0,inputPrYr!E31,"  ")</f>
        <v xml:space="preserve">  </v>
      </c>
      <c r="D22" s="411" t="str">
        <f>IF(inputPrYr!F31&gt;0,(inputPrYr!F31),"  ")</f>
        <v xml:space="preserve">  </v>
      </c>
      <c r="E22" s="131" t="str">
        <f>IF(inputPrYr!E31&gt;0,ROUND(+C22*E$41,0),"  ")</f>
        <v xml:space="preserve">  </v>
      </c>
      <c r="F22" s="131" t="str">
        <f>IF(inputPrYr!E31&gt;0,ROUND(+C22*F$43,0),"  ")</f>
        <v xml:space="preserve">  </v>
      </c>
      <c r="G22" s="131" t="str">
        <f>IF(inputPrYr!E31&gt;0,ROUND(+C22*G$45,0),"  ")</f>
        <v xml:space="preserve">  </v>
      </c>
      <c r="H22" s="17"/>
      <c r="I22" s="22"/>
    </row>
    <row r="23" spans="1:9" x14ac:dyDescent="0.3">
      <c r="A23" s="23"/>
      <c r="B23" s="9" t="str">
        <f>IF((inputPrYr!$B32&gt;" "),(inputPrYr!$B32),"  ")</f>
        <v xml:space="preserve">  </v>
      </c>
      <c r="C23" s="131" t="str">
        <f>IF(inputPrYr!E32&gt;0,inputPrYr!E32,"  ")</f>
        <v xml:space="preserve">  </v>
      </c>
      <c r="D23" s="411" t="str">
        <f>IF(inputPrYr!F32&gt;0,(inputPrYr!F32),"  ")</f>
        <v xml:space="preserve">  </v>
      </c>
      <c r="E23" s="131" t="str">
        <f>IF(inputPrYr!E32&gt;0,ROUND(+C23*E$41,0),"  ")</f>
        <v xml:space="preserve">  </v>
      </c>
      <c r="F23" s="131" t="str">
        <f>IF(inputPrYr!E32&gt;0,ROUND(+C23*F$43,0),"  ")</f>
        <v xml:space="preserve">  </v>
      </c>
      <c r="G23" s="131" t="str">
        <f>IF(inputPrYr!E32&gt;0,ROUND(+C23*G$45,0),"  ")</f>
        <v xml:space="preserve">  </v>
      </c>
      <c r="H23" s="17"/>
      <c r="I23" s="22"/>
    </row>
    <row r="24" spans="1:9" x14ac:dyDescent="0.3">
      <c r="A24" s="23"/>
      <c r="B24" s="9" t="str">
        <f>IF((inputPrYr!$B33&gt;" "),(inputPrYr!$B33),"  ")</f>
        <v xml:space="preserve">  </v>
      </c>
      <c r="C24" s="131" t="str">
        <f>IF(inputPrYr!E33&gt;0,inputPrYr!E33,"  ")</f>
        <v xml:space="preserve">  </v>
      </c>
      <c r="D24" s="411" t="str">
        <f>IF(inputPrYr!F33&gt;0,(inputPrYr!F33),"  ")</f>
        <v xml:space="preserve">  </v>
      </c>
      <c r="E24" s="131" t="str">
        <f>IF(inputPrYr!E33&gt;0,ROUND(+C24*E$41,0),"  ")</f>
        <v xml:space="preserve">  </v>
      </c>
      <c r="F24" s="131" t="str">
        <f>IF(inputPrYr!E33&gt;0,ROUND(+C24*F$43,0),"  ")</f>
        <v xml:space="preserve">  </v>
      </c>
      <c r="G24" s="131" t="str">
        <f>IF(inputPrYr!E33&gt;0,ROUND(+C24*G$45,0),"  ")</f>
        <v xml:space="preserve">  </v>
      </c>
      <c r="H24" s="17"/>
      <c r="I24" s="22"/>
    </row>
    <row r="25" spans="1:9" x14ac:dyDescent="0.3">
      <c r="A25" s="23"/>
      <c r="B25" s="9" t="str">
        <f>IF((inputPrYr!$B34&gt;" "),(inputPrYr!$B34),"  ")</f>
        <v xml:space="preserve">  </v>
      </c>
      <c r="C25" s="131" t="str">
        <f>IF(inputPrYr!E34&gt;0,inputPrYr!E34,"  ")</f>
        <v xml:space="preserve">  </v>
      </c>
      <c r="D25" s="411" t="str">
        <f>IF(inputPrYr!F34&gt;0,(inputPrYr!F34),"  ")</f>
        <v xml:space="preserve">  </v>
      </c>
      <c r="E25" s="131" t="str">
        <f>IF(inputPrYr!E34&gt;0,ROUND(+C25*E$41,0),"  ")</f>
        <v xml:space="preserve">  </v>
      </c>
      <c r="F25" s="131" t="str">
        <f>IF(inputPrYr!E34&gt;0,ROUND(+C25*F$43,0),"  ")</f>
        <v xml:space="preserve">  </v>
      </c>
      <c r="G25" s="131" t="str">
        <f>IF(inputPrYr!E34&gt;0,ROUND(+C25*G$45,0),"  ")</f>
        <v xml:space="preserve">  </v>
      </c>
      <c r="H25" s="17"/>
      <c r="I25" s="22"/>
    </row>
    <row r="26" spans="1:9" x14ac:dyDescent="0.3">
      <c r="A26" s="23"/>
      <c r="B26" s="9" t="str">
        <f>IF((inputPrYr!$B35&gt;" "),(inputPrYr!$B35),"  ")</f>
        <v xml:space="preserve">  </v>
      </c>
      <c r="C26" s="131" t="str">
        <f>IF(inputPrYr!E35&gt;0,inputPrYr!E35,"  ")</f>
        <v xml:space="preserve">  </v>
      </c>
      <c r="D26" s="411" t="str">
        <f>IF(inputPrYr!F35&gt;0,(inputPrYr!F35),"  ")</f>
        <v xml:space="preserve">  </v>
      </c>
      <c r="E26" s="131" t="str">
        <f>IF(inputPrYr!E35&gt;0,ROUND(+C26*E$41,0),"  ")</f>
        <v xml:space="preserve">  </v>
      </c>
      <c r="F26" s="131" t="str">
        <f>IF(inputPrYr!E35&gt;0,ROUND(+C26*F$43,0),"  ")</f>
        <v xml:space="preserve">  </v>
      </c>
      <c r="G26" s="131" t="str">
        <f>IF(inputPrYr!E35&gt;0,ROUND(+C26*G$45,0),"  ")</f>
        <v xml:space="preserve">  </v>
      </c>
      <c r="H26" s="17"/>
      <c r="I26" s="22"/>
    </row>
    <row r="27" spans="1:9" x14ac:dyDescent="0.3">
      <c r="A27" s="23"/>
      <c r="B27" s="9" t="str">
        <f>IF((inputPrYr!$B36&gt;" "),(inputPrYr!$B36),"  ")</f>
        <v xml:space="preserve">  </v>
      </c>
      <c r="C27" s="131" t="str">
        <f>IF(inputPrYr!E36&gt;0,inputPrYr!E36,"  ")</f>
        <v xml:space="preserve">  </v>
      </c>
      <c r="D27" s="411" t="str">
        <f>IF(inputPrYr!F36&gt;0,(inputPrYr!F36),"  ")</f>
        <v xml:space="preserve">  </v>
      </c>
      <c r="E27" s="131" t="str">
        <f>IF(inputPrYr!E36&gt;0,ROUND(+C27*E$41,0),"  ")</f>
        <v xml:space="preserve">  </v>
      </c>
      <c r="F27" s="131" t="str">
        <f>IF(inputPrYr!E36&gt;0,ROUND(+C27*F$43,0),"  ")</f>
        <v xml:space="preserve">  </v>
      </c>
      <c r="G27" s="131" t="str">
        <f>IF(inputPrYr!E36&gt;0,ROUND(+C27*G$45,0),"  ")</f>
        <v xml:space="preserve">  </v>
      </c>
      <c r="H27" s="17"/>
      <c r="I27" s="22"/>
    </row>
    <row r="28" spans="1:9" x14ac:dyDescent="0.3">
      <c r="A28" s="23"/>
      <c r="B28" s="9" t="str">
        <f>IF((inputPrYr!$B37&gt;" "),(inputPrYr!$B37),"  ")</f>
        <v xml:space="preserve">  </v>
      </c>
      <c r="C28" s="131" t="str">
        <f>IF(inputPrYr!E37&gt;0,inputPrYr!E37,"  ")</f>
        <v xml:space="preserve">  </v>
      </c>
      <c r="D28" s="411" t="str">
        <f>IF(inputPrYr!F37&gt;0,(inputPrYr!F37),"  ")</f>
        <v xml:space="preserve">  </v>
      </c>
      <c r="E28" s="131" t="str">
        <f>IF(inputPrYr!E37&gt;0,ROUND(+C28*E$41,0),"  ")</f>
        <v xml:space="preserve">  </v>
      </c>
      <c r="F28" s="131" t="str">
        <f>IF(inputPrYr!E37&gt;0,ROUND(+C28*F$43,0),"  ")</f>
        <v xml:space="preserve">  </v>
      </c>
      <c r="G28" s="131" t="str">
        <f>IF(inputPrYr!E37&gt;0,ROUND(+C28*G$45,0),"  ")</f>
        <v xml:space="preserve">  </v>
      </c>
      <c r="H28" s="17"/>
      <c r="I28" s="22"/>
    </row>
    <row r="29" spans="1:9" x14ac:dyDescent="0.3">
      <c r="A29" s="23"/>
      <c r="B29" s="9" t="str">
        <f>IF((inputPrYr!$B38&gt;" "),(inputPrYr!$B38),"  ")</f>
        <v xml:space="preserve">  </v>
      </c>
      <c r="C29" s="131" t="str">
        <f>IF(inputPrYr!E38&gt;0,inputPrYr!E38,"  ")</f>
        <v xml:space="preserve">  </v>
      </c>
      <c r="D29" s="411" t="str">
        <f>IF(inputPrYr!F38&gt;0,(inputPrYr!F38),"  ")</f>
        <v xml:space="preserve">  </v>
      </c>
      <c r="E29" s="131" t="str">
        <f>IF(inputPrYr!E38&gt;0,ROUND(+C29*E$41,0),"  ")</f>
        <v xml:space="preserve">  </v>
      </c>
      <c r="F29" s="131" t="str">
        <f>IF(inputPrYr!E38&gt;0,ROUND(+C29*F$43,0),"  ")</f>
        <v xml:space="preserve">  </v>
      </c>
      <c r="G29" s="131" t="str">
        <f>IF(inputPrYr!E38&gt;0,ROUND(+C29*G$45,0),"  ")</f>
        <v xml:space="preserve">  </v>
      </c>
      <c r="H29" s="17"/>
      <c r="I29" s="22"/>
    </row>
    <row r="30" spans="1:9" x14ac:dyDescent="0.3">
      <c r="A30" s="23"/>
      <c r="B30" s="9" t="str">
        <f>IF((inputPrYr!$B39&gt;" "),(inputPrYr!$B39),"  ")</f>
        <v xml:space="preserve">  </v>
      </c>
      <c r="C30" s="131" t="str">
        <f>IF(inputPrYr!E39&gt;0,inputPrYr!E39,"  ")</f>
        <v xml:space="preserve">  </v>
      </c>
      <c r="D30" s="411" t="str">
        <f>IF(inputPrYr!F39&gt;0,(inputPrYr!F39),"  ")</f>
        <v xml:space="preserve">  </v>
      </c>
      <c r="E30" s="131" t="str">
        <f>IF(inputPrYr!E39&gt;0,ROUND(+C30*E$41,0),"  ")</f>
        <v xml:space="preserve">  </v>
      </c>
      <c r="F30" s="131" t="str">
        <f>IF(inputPrYr!E39&gt;0,ROUND(+C30*F$43,0),"  ")</f>
        <v xml:space="preserve">  </v>
      </c>
      <c r="G30" s="131" t="str">
        <f>IF(inputPrYr!E39&gt;0,ROUND(+C30*G$45,0),"  ")</f>
        <v xml:space="preserve">  </v>
      </c>
      <c r="H30" s="17"/>
      <c r="I30" s="22"/>
    </row>
    <row r="31" spans="1:9" x14ac:dyDescent="0.3">
      <c r="A31" s="23"/>
      <c r="B31" s="9" t="str">
        <f>IF((inputPrYr!$B40&gt;" "),(inputPrYr!$B40),"  ")</f>
        <v xml:space="preserve">  </v>
      </c>
      <c r="C31" s="131" t="str">
        <f>IF(inputPrYr!E40&gt;0,inputPrYr!E40,"  ")</f>
        <v xml:space="preserve">  </v>
      </c>
      <c r="D31" s="411" t="str">
        <f>IF(inputPrYr!F40&gt;0,(inputPrYr!F40),"  ")</f>
        <v xml:space="preserve">  </v>
      </c>
      <c r="E31" s="131" t="str">
        <f>IF(inputPrYr!E40&gt;0,ROUND(+C31*E$41,0),"  ")</f>
        <v xml:space="preserve">  </v>
      </c>
      <c r="F31" s="131" t="str">
        <f>IF(inputPrYr!E40&gt;0,ROUND(+C31*F$43,0),"  ")</f>
        <v xml:space="preserve">  </v>
      </c>
      <c r="G31" s="131" t="str">
        <f>IF(inputPrYr!E40&gt;0,ROUND(+C31*G$45,0),"  ")</f>
        <v xml:space="preserve">  </v>
      </c>
      <c r="H31" s="17"/>
      <c r="I31" s="22"/>
    </row>
    <row r="32" spans="1:9" ht="16.2" thickBot="1" x14ac:dyDescent="0.35">
      <c r="A32" s="23"/>
      <c r="B32" s="44" t="s">
        <v>67</v>
      </c>
      <c r="C32" s="409">
        <f>SUM(C7:C31)</f>
        <v>3562898</v>
      </c>
      <c r="D32" s="410">
        <f>SUM(D7:D31)</f>
        <v>78.593000000000004</v>
      </c>
      <c r="E32" s="409">
        <f>SUM(E7:E31)</f>
        <v>303719</v>
      </c>
      <c r="F32" s="409">
        <f>SUM(F7:F31)</f>
        <v>4465</v>
      </c>
      <c r="G32" s="409">
        <f>SUM(G7:G31)</f>
        <v>44232</v>
      </c>
      <c r="H32" s="22"/>
      <c r="I32" s="22"/>
    </row>
    <row r="33" spans="1:9" ht="16.2" thickTop="1" x14ac:dyDescent="0.3">
      <c r="A33" s="23"/>
      <c r="B33" s="13"/>
      <c r="C33" s="17"/>
      <c r="D33" s="24"/>
      <c r="E33" s="17"/>
      <c r="F33" s="17"/>
      <c r="G33" s="17"/>
      <c r="H33" s="17"/>
      <c r="I33" s="22"/>
    </row>
    <row r="34" spans="1:9" x14ac:dyDescent="0.3">
      <c r="A34" s="23"/>
      <c r="B34" s="6" t="s">
        <v>68</v>
      </c>
      <c r="C34" s="15"/>
      <c r="D34" s="15"/>
      <c r="E34" s="16">
        <f>(inputOth!E15)</f>
        <v>303719</v>
      </c>
      <c r="F34" s="15"/>
      <c r="G34" s="12"/>
      <c r="H34" s="12"/>
      <c r="I34" s="14"/>
    </row>
    <row r="35" spans="1:9" x14ac:dyDescent="0.3">
      <c r="A35" s="23"/>
      <c r="B35" s="6"/>
      <c r="C35" s="15"/>
      <c r="D35" s="15"/>
      <c r="E35" s="17"/>
      <c r="F35" s="15"/>
      <c r="G35" s="12"/>
      <c r="H35" s="12"/>
      <c r="I35" s="14"/>
    </row>
    <row r="36" spans="1:9" x14ac:dyDescent="0.3">
      <c r="A36" s="23"/>
      <c r="B36" s="6" t="s">
        <v>69</v>
      </c>
      <c r="C36" s="12"/>
      <c r="D36" s="12"/>
      <c r="E36" s="12"/>
      <c r="F36" s="16">
        <f>(inputOth!E16)</f>
        <v>4465</v>
      </c>
      <c r="G36" s="12"/>
      <c r="H36" s="12"/>
      <c r="I36" s="14"/>
    </row>
    <row r="37" spans="1:9" x14ac:dyDescent="0.3">
      <c r="A37" s="23"/>
      <c r="B37" s="6"/>
      <c r="C37" s="12"/>
      <c r="D37" s="12"/>
      <c r="E37" s="12"/>
      <c r="F37" s="17"/>
      <c r="G37" s="12"/>
      <c r="H37" s="12"/>
      <c r="I37" s="14"/>
    </row>
    <row r="38" spans="1:9" x14ac:dyDescent="0.3">
      <c r="A38" s="23"/>
      <c r="B38" s="6" t="s">
        <v>157</v>
      </c>
      <c r="C38" s="12"/>
      <c r="D38" s="12"/>
      <c r="E38" s="12"/>
      <c r="F38" s="12"/>
      <c r="G38" s="16">
        <f>inputOth!E17</f>
        <v>44232</v>
      </c>
      <c r="H38" s="17"/>
      <c r="I38" s="14"/>
    </row>
    <row r="39" spans="1:9" x14ac:dyDescent="0.3">
      <c r="A39" s="23"/>
      <c r="B39" s="5"/>
      <c r="C39" s="12"/>
      <c r="D39" s="12"/>
      <c r="E39" s="12"/>
      <c r="F39" s="12"/>
      <c r="G39" s="12"/>
      <c r="H39" s="12"/>
      <c r="I39" s="14"/>
    </row>
    <row r="40" spans="1:9" x14ac:dyDescent="0.3">
      <c r="A40" s="23"/>
      <c r="B40" s="5"/>
      <c r="C40" s="12"/>
      <c r="D40" s="12"/>
      <c r="E40" s="12"/>
      <c r="F40" s="12"/>
      <c r="G40" s="12"/>
      <c r="H40" s="12"/>
      <c r="I40" s="14"/>
    </row>
    <row r="41" spans="1:9" x14ac:dyDescent="0.3">
      <c r="A41" s="23"/>
      <c r="B41" s="6" t="s">
        <v>70</v>
      </c>
      <c r="C41" s="12"/>
      <c r="D41" s="12"/>
      <c r="E41" s="18">
        <f>IF(C32=0,0,E34/C32)</f>
        <v>8.524493263629776E-2</v>
      </c>
      <c r="F41" s="12"/>
      <c r="G41" s="12"/>
      <c r="H41" s="12"/>
      <c r="I41" s="14"/>
    </row>
    <row r="42" spans="1:9" x14ac:dyDescent="0.3">
      <c r="A42" s="23"/>
      <c r="B42" s="6"/>
      <c r="C42" s="12"/>
      <c r="D42" s="12"/>
      <c r="E42" s="19"/>
      <c r="F42" s="12"/>
      <c r="G42" s="12"/>
      <c r="H42" s="12"/>
      <c r="I42" s="14"/>
    </row>
    <row r="43" spans="1:9" x14ac:dyDescent="0.3">
      <c r="A43" s="23"/>
      <c r="B43" s="6" t="s">
        <v>202</v>
      </c>
      <c r="C43" s="12"/>
      <c r="D43" s="12"/>
      <c r="E43" s="12"/>
      <c r="F43" s="18">
        <f>IF(C32=0,0,F36/C32)</f>
        <v>1.253193327454224E-3</v>
      </c>
      <c r="G43" s="12"/>
      <c r="H43" s="12"/>
      <c r="I43" s="14"/>
    </row>
    <row r="44" spans="1:9" x14ac:dyDescent="0.3">
      <c r="A44" s="23"/>
      <c r="B44" s="6"/>
      <c r="C44" s="12"/>
      <c r="D44" s="12"/>
      <c r="E44" s="12"/>
      <c r="F44" s="19"/>
      <c r="G44" s="12"/>
      <c r="H44" s="12"/>
      <c r="I44" s="14"/>
    </row>
    <row r="45" spans="1:9" x14ac:dyDescent="0.3">
      <c r="A45" s="23"/>
      <c r="B45" s="6" t="s">
        <v>201</v>
      </c>
      <c r="C45" s="12"/>
      <c r="D45" s="12"/>
      <c r="E45" s="12"/>
      <c r="F45" s="12"/>
      <c r="G45" s="18">
        <f>IF(C32=0,0,G38/C32)</f>
        <v>1.2414613048142271E-2</v>
      </c>
      <c r="H45" s="19"/>
      <c r="I45" s="14"/>
    </row>
    <row r="46" spans="1:9" x14ac:dyDescent="0.3">
      <c r="A46" s="23"/>
      <c r="B46" s="11"/>
      <c r="C46" s="14"/>
      <c r="D46" s="14"/>
      <c r="E46" s="14"/>
      <c r="F46" s="14"/>
      <c r="G46" s="14"/>
      <c r="H46" s="14"/>
      <c r="I46" s="14"/>
    </row>
    <row r="47" spans="1:9" x14ac:dyDescent="0.3">
      <c r="A47" s="23"/>
      <c r="B47" s="11"/>
      <c r="C47" s="14"/>
      <c r="D47" s="14"/>
      <c r="E47" s="14"/>
      <c r="F47" s="14"/>
      <c r="G47" s="14"/>
      <c r="H47" s="14"/>
      <c r="I47" s="14"/>
    </row>
  </sheetData>
  <mergeCells count="4">
    <mergeCell ref="C5:C6"/>
    <mergeCell ref="D5:D6"/>
    <mergeCell ref="E5:G5"/>
    <mergeCell ref="B3:G3"/>
  </mergeCells>
  <phoneticPr fontId="8" type="noConversion"/>
  <pageMargins left="1.5" right="0.75" top="0.25" bottom="0.18" header="0" footer="0"/>
  <pageSetup scale="79" firstPageNumber="3" orientation="landscape" blackAndWhite="1" useFirstPageNumber="1" r:id="rId1"/>
  <headerFooter alignWithMargins="0">
    <oddHeader>&amp;RState of Kansas
County</oddHeader>
    <oddFooter>&amp;CPage No. 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2"/>
  <sheetViews>
    <sheetView workbookViewId="0">
      <selection activeCell="E12" sqref="E12"/>
    </sheetView>
  </sheetViews>
  <sheetFormatPr defaultColWidth="8.9140625" defaultRowHeight="15.6" x14ac:dyDescent="0.25"/>
  <cols>
    <col min="1" max="1" width="17.75" style="84" customWidth="1"/>
    <col min="2" max="2" width="21.75" style="84" customWidth="1"/>
    <col min="3" max="6" width="12.75" style="84" customWidth="1"/>
    <col min="7" max="16384" width="8.9140625" style="84"/>
  </cols>
  <sheetData>
    <row r="1" spans="1:6" x14ac:dyDescent="0.25">
      <c r="A1" s="155"/>
      <c r="B1" s="28"/>
      <c r="C1" s="28"/>
      <c r="D1" s="28"/>
      <c r="E1" s="162"/>
      <c r="F1" s="28"/>
    </row>
    <row r="2" spans="1:6" x14ac:dyDescent="0.25">
      <c r="A2" s="85" t="str">
        <f>inputPrYr!C2</f>
        <v>Edwards County</v>
      </c>
      <c r="B2" s="85"/>
      <c r="C2" s="28"/>
      <c r="D2" s="28"/>
      <c r="E2" s="162"/>
      <c r="F2" s="28">
        <f>inputPrYr!C4</f>
        <v>2015</v>
      </c>
    </row>
    <row r="3" spans="1:6" x14ac:dyDescent="0.25">
      <c r="A3" s="155"/>
      <c r="B3" s="85"/>
      <c r="C3" s="28"/>
      <c r="D3" s="28"/>
      <c r="E3" s="162"/>
      <c r="F3" s="28"/>
    </row>
    <row r="4" spans="1:6" x14ac:dyDescent="0.25">
      <c r="A4" s="155"/>
      <c r="B4" s="28"/>
      <c r="C4" s="28"/>
      <c r="D4" s="28"/>
      <c r="E4" s="162"/>
      <c r="F4" s="28"/>
    </row>
    <row r="5" spans="1:6" ht="15" customHeight="1" x14ac:dyDescent="0.25">
      <c r="A5" s="686" t="s">
        <v>190</v>
      </c>
      <c r="B5" s="686"/>
      <c r="C5" s="686"/>
      <c r="D5" s="686"/>
      <c r="E5" s="686"/>
      <c r="F5" s="686"/>
    </row>
    <row r="6" spans="1:6" ht="14.25" customHeight="1" x14ac:dyDescent="0.25">
      <c r="A6" s="156"/>
      <c r="B6" s="163"/>
      <c r="C6" s="163"/>
      <c r="D6" s="163"/>
      <c r="E6" s="163"/>
      <c r="F6" s="163"/>
    </row>
    <row r="7" spans="1:6" ht="15" customHeight="1" x14ac:dyDescent="0.25">
      <c r="A7" s="164" t="s">
        <v>253</v>
      </c>
      <c r="B7" s="164" t="s">
        <v>254</v>
      </c>
      <c r="C7" s="165" t="s">
        <v>109</v>
      </c>
      <c r="D7" s="165" t="s">
        <v>203</v>
      </c>
      <c r="E7" s="165" t="s">
        <v>204</v>
      </c>
      <c r="F7" s="165" t="s">
        <v>228</v>
      </c>
    </row>
    <row r="8" spans="1:6" ht="15" customHeight="1" x14ac:dyDescent="0.25">
      <c r="A8" s="166" t="s">
        <v>255</v>
      </c>
      <c r="B8" s="166" t="s">
        <v>256</v>
      </c>
      <c r="C8" s="167" t="s">
        <v>227</v>
      </c>
      <c r="D8" s="167" t="s">
        <v>227</v>
      </c>
      <c r="E8" s="167" t="s">
        <v>227</v>
      </c>
      <c r="F8" s="167" t="s">
        <v>229</v>
      </c>
    </row>
    <row r="9" spans="1:6" s="154" customFormat="1" ht="15" customHeight="1" thickBot="1" x14ac:dyDescent="0.3">
      <c r="A9" s="168" t="s">
        <v>225</v>
      </c>
      <c r="B9" s="169" t="s">
        <v>226</v>
      </c>
      <c r="C9" s="170">
        <f>F2-2</f>
        <v>2013</v>
      </c>
      <c r="D9" s="170">
        <f>F2-1</f>
        <v>2014</v>
      </c>
      <c r="E9" s="170">
        <f>F2</f>
        <v>2015</v>
      </c>
      <c r="F9" s="169" t="s">
        <v>44</v>
      </c>
    </row>
    <row r="10" spans="1:6" ht="15" customHeight="1" thickTop="1" x14ac:dyDescent="0.25">
      <c r="A10" s="648" t="s">
        <v>45</v>
      </c>
      <c r="B10" s="648" t="s">
        <v>97</v>
      </c>
      <c r="C10" s="651">
        <v>40000</v>
      </c>
      <c r="D10" s="651">
        <v>40000</v>
      </c>
      <c r="E10" s="651">
        <v>40000</v>
      </c>
      <c r="F10" s="648" t="s">
        <v>189</v>
      </c>
    </row>
    <row r="11" spans="1:6" ht="15" customHeight="1" x14ac:dyDescent="0.25">
      <c r="A11" s="647" t="s">
        <v>326</v>
      </c>
      <c r="B11" s="647" t="s">
        <v>442</v>
      </c>
      <c r="C11" s="534">
        <v>18995</v>
      </c>
      <c r="D11" s="534">
        <v>5000</v>
      </c>
      <c r="E11" s="534">
        <v>10000</v>
      </c>
      <c r="F11" s="647" t="s">
        <v>443</v>
      </c>
    </row>
    <row r="12" spans="1:6" ht="15" customHeight="1" x14ac:dyDescent="0.25">
      <c r="A12" s="647" t="s">
        <v>444</v>
      </c>
      <c r="B12" s="647" t="s">
        <v>45</v>
      </c>
      <c r="C12" s="652">
        <v>15436</v>
      </c>
      <c r="D12" s="652">
        <v>11115</v>
      </c>
      <c r="E12" s="653">
        <v>12000</v>
      </c>
      <c r="F12" s="647" t="s">
        <v>445</v>
      </c>
    </row>
    <row r="13" spans="1:6" ht="15" customHeight="1" x14ac:dyDescent="0.25">
      <c r="A13" s="647" t="s">
        <v>45</v>
      </c>
      <c r="B13" s="647" t="s">
        <v>442</v>
      </c>
      <c r="C13" s="534">
        <v>50000</v>
      </c>
      <c r="D13" s="534">
        <v>46000</v>
      </c>
      <c r="E13" s="534"/>
      <c r="F13" s="647" t="s">
        <v>443</v>
      </c>
    </row>
    <row r="14" spans="1:6" ht="15" customHeight="1" x14ac:dyDescent="0.25">
      <c r="A14" s="647" t="s">
        <v>45</v>
      </c>
      <c r="B14" s="647" t="s">
        <v>343</v>
      </c>
      <c r="C14" s="534">
        <v>50000</v>
      </c>
      <c r="D14" s="534">
        <v>46000</v>
      </c>
      <c r="E14" s="534"/>
      <c r="F14" s="647" t="s">
        <v>446</v>
      </c>
    </row>
    <row r="15" spans="1:6" ht="15" customHeight="1" x14ac:dyDescent="0.25">
      <c r="A15" s="647" t="s">
        <v>447</v>
      </c>
      <c r="B15" s="647" t="s">
        <v>448</v>
      </c>
      <c r="C15" s="534">
        <v>20000</v>
      </c>
      <c r="D15" s="534">
        <v>0</v>
      </c>
      <c r="E15" s="534">
        <v>0</v>
      </c>
      <c r="F15" s="647" t="s">
        <v>449</v>
      </c>
    </row>
    <row r="16" spans="1:6" ht="15" customHeight="1" x14ac:dyDescent="0.25">
      <c r="A16" s="647" t="s">
        <v>447</v>
      </c>
      <c r="B16" s="647" t="s">
        <v>450</v>
      </c>
      <c r="C16" s="534">
        <v>80000</v>
      </c>
      <c r="D16" s="534">
        <v>0</v>
      </c>
      <c r="E16" s="534">
        <v>0</v>
      </c>
      <c r="F16" s="647" t="s">
        <v>451</v>
      </c>
    </row>
    <row r="17" spans="1:6" ht="15" customHeight="1" x14ac:dyDescent="0.25">
      <c r="A17" s="647" t="s">
        <v>323</v>
      </c>
      <c r="B17" s="647" t="s">
        <v>332</v>
      </c>
      <c r="C17" s="534">
        <v>1000</v>
      </c>
      <c r="D17" s="534">
        <v>0</v>
      </c>
      <c r="E17" s="534">
        <v>0</v>
      </c>
      <c r="F17" s="647" t="s">
        <v>324</v>
      </c>
    </row>
    <row r="18" spans="1:6" ht="15" customHeight="1" x14ac:dyDescent="0.25">
      <c r="A18" s="52"/>
      <c r="B18" s="52"/>
      <c r="C18" s="534"/>
      <c r="D18" s="534"/>
      <c r="E18" s="534"/>
      <c r="F18" s="52"/>
    </row>
    <row r="19" spans="1:6" ht="15" customHeight="1" x14ac:dyDescent="0.25">
      <c r="A19" s="52"/>
      <c r="B19" s="171"/>
      <c r="C19" s="534"/>
      <c r="D19" s="534"/>
      <c r="E19" s="534"/>
      <c r="F19" s="52"/>
    </row>
    <row r="20" spans="1:6" ht="15" customHeight="1" x14ac:dyDescent="0.25">
      <c r="A20" s="52"/>
      <c r="B20" s="52"/>
      <c r="C20" s="534"/>
      <c r="D20" s="534"/>
      <c r="E20" s="534"/>
      <c r="F20" s="52"/>
    </row>
    <row r="21" spans="1:6" ht="15" customHeight="1" x14ac:dyDescent="0.25">
      <c r="A21" s="52"/>
      <c r="B21" s="52"/>
      <c r="C21" s="534"/>
      <c r="D21" s="534"/>
      <c r="E21" s="534"/>
      <c r="F21" s="52"/>
    </row>
    <row r="22" spans="1:6" ht="15" customHeight="1" x14ac:dyDescent="0.25">
      <c r="A22" s="52"/>
      <c r="B22" s="52"/>
      <c r="C22" s="534"/>
      <c r="D22" s="534"/>
      <c r="E22" s="534"/>
      <c r="F22" s="52"/>
    </row>
    <row r="23" spans="1:6" ht="15" customHeight="1" x14ac:dyDescent="0.25">
      <c r="A23" s="52"/>
      <c r="B23" s="52"/>
      <c r="C23" s="534"/>
      <c r="D23" s="534"/>
      <c r="E23" s="534"/>
      <c r="F23" s="52"/>
    </row>
    <row r="24" spans="1:6" ht="15" customHeight="1" x14ac:dyDescent="0.25">
      <c r="A24" s="52"/>
      <c r="B24" s="52"/>
      <c r="C24" s="534"/>
      <c r="D24" s="534"/>
      <c r="E24" s="534"/>
      <c r="F24" s="52"/>
    </row>
    <row r="25" spans="1:6" ht="15" customHeight="1" x14ac:dyDescent="0.25">
      <c r="A25" s="52"/>
      <c r="B25" s="52"/>
      <c r="C25" s="534"/>
      <c r="D25" s="534"/>
      <c r="E25" s="534"/>
      <c r="F25" s="52"/>
    </row>
    <row r="26" spans="1:6" ht="15" customHeight="1" x14ac:dyDescent="0.25">
      <c r="A26" s="52"/>
      <c r="B26" s="52"/>
      <c r="C26" s="534"/>
      <c r="D26" s="534"/>
      <c r="E26" s="534"/>
      <c r="F26" s="52"/>
    </row>
    <row r="27" spans="1:6" x14ac:dyDescent="0.25">
      <c r="A27" s="78"/>
      <c r="B27" s="172" t="s">
        <v>46</v>
      </c>
      <c r="C27" s="535">
        <f>SUM(C10:C26)</f>
        <v>275431</v>
      </c>
      <c r="D27" s="535">
        <f>SUM(D10:D26)</f>
        <v>148115</v>
      </c>
      <c r="E27" s="535">
        <f>SUM(E10:E26)</f>
        <v>62000</v>
      </c>
      <c r="F27" s="78"/>
    </row>
    <row r="28" spans="1:6" x14ac:dyDescent="0.25">
      <c r="A28" s="78"/>
      <c r="B28" s="173" t="s">
        <v>251</v>
      </c>
      <c r="C28" s="536"/>
      <c r="D28" s="537">
        <v>11115</v>
      </c>
      <c r="E28" s="537">
        <v>12000</v>
      </c>
      <c r="F28" s="78"/>
    </row>
    <row r="29" spans="1:6" x14ac:dyDescent="0.25">
      <c r="A29" s="78"/>
      <c r="B29" s="172" t="s">
        <v>230</v>
      </c>
      <c r="C29" s="535">
        <f>C27</f>
        <v>275431</v>
      </c>
      <c r="D29" s="535">
        <f>SUM(D27-D28)</f>
        <v>137000</v>
      </c>
      <c r="E29" s="535">
        <f>SUM(E27-E28)</f>
        <v>50000</v>
      </c>
      <c r="F29" s="78"/>
    </row>
    <row r="30" spans="1:6" x14ac:dyDescent="0.25">
      <c r="A30" s="78"/>
      <c r="B30" s="78"/>
      <c r="C30" s="78"/>
      <c r="D30" s="78"/>
      <c r="E30" s="78"/>
      <c r="F30" s="78"/>
    </row>
    <row r="31" spans="1:6" x14ac:dyDescent="0.25">
      <c r="A31" s="78"/>
      <c r="B31" s="78"/>
      <c r="C31" s="78"/>
      <c r="D31" s="78"/>
      <c r="E31" s="78"/>
      <c r="F31" s="78"/>
    </row>
    <row r="32" spans="1:6" x14ac:dyDescent="0.25">
      <c r="A32" s="323" t="s">
        <v>252</v>
      </c>
      <c r="B32" s="324" t="str">
        <f>CONCATENATE("Adjustments are required only if the transfer is being made in ",D9," and/or ",E9," from a non-budgeted fund.")</f>
        <v>Adjustments are required only if the transfer is being made in 2014 and/or 2015 from a non-budgeted fund.</v>
      </c>
      <c r="C32" s="78"/>
      <c r="D32" s="78"/>
      <c r="E32" s="78"/>
      <c r="F32" s="78"/>
    </row>
  </sheetData>
  <mergeCells count="1">
    <mergeCell ref="A5:F5"/>
  </mergeCells>
  <phoneticPr fontId="0" type="noConversion"/>
  <pageMargins left="0.5" right="0.5" top="0.72" bottom="0.23" header="0.5" footer="0"/>
  <pageSetup scale="88" firstPageNumber="4" orientation="portrait" blackAndWhite="1" r:id="rId1"/>
  <headerFooter alignWithMargins="0">
    <oddHeader xml:space="preserve">&amp;RState of Kansas
County
</oddHeader>
    <oddFooter>&amp;CPage No. 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C42"/>
  <sheetViews>
    <sheetView zoomScale="75" workbookViewId="0">
      <selection activeCell="B30" sqref="B30"/>
    </sheetView>
  </sheetViews>
  <sheetFormatPr defaultColWidth="8.9140625" defaultRowHeight="15.6" x14ac:dyDescent="0.25"/>
  <cols>
    <col min="1" max="1" width="5.4140625" style="84" customWidth="1"/>
    <col min="2" max="2" width="20.75" style="84" customWidth="1"/>
    <col min="3" max="3" width="9.4140625" style="84" customWidth="1"/>
    <col min="4" max="4" width="9.75" style="84" customWidth="1"/>
    <col min="5" max="5" width="8.75" style="84" customWidth="1"/>
    <col min="6" max="6" width="12.75" style="84" customWidth="1"/>
    <col min="7" max="7" width="14" style="84" customWidth="1"/>
    <col min="8" max="13" width="9.75" style="84" customWidth="1"/>
    <col min="14" max="16384" width="8.9140625" style="84"/>
  </cols>
  <sheetData>
    <row r="1" spans="2:13" x14ac:dyDescent="0.25">
      <c r="B1" s="155" t="str">
        <f>inputPrYr!$C$2</f>
        <v>Edwards County</v>
      </c>
      <c r="C1" s="28"/>
      <c r="D1" s="28"/>
      <c r="E1" s="28"/>
      <c r="F1" s="28"/>
      <c r="G1" s="28"/>
      <c r="H1" s="28"/>
      <c r="I1" s="28"/>
      <c r="J1" s="28"/>
      <c r="K1" s="28"/>
      <c r="L1" s="28"/>
      <c r="M1" s="174">
        <f>inputPrYr!$C$4</f>
        <v>2015</v>
      </c>
    </row>
    <row r="2" spans="2:13" x14ac:dyDescent="0.25">
      <c r="B2" s="155"/>
      <c r="C2" s="28"/>
      <c r="D2" s="28"/>
      <c r="E2" s="28"/>
      <c r="F2" s="28"/>
      <c r="G2" s="28"/>
      <c r="H2" s="28"/>
      <c r="I2" s="28"/>
      <c r="J2" s="28"/>
      <c r="K2" s="28"/>
      <c r="L2" s="28"/>
      <c r="M2" s="162"/>
    </row>
    <row r="3" spans="2:13" x14ac:dyDescent="0.25">
      <c r="B3" s="175" t="s">
        <v>155</v>
      </c>
      <c r="C3" s="34"/>
      <c r="D3" s="34"/>
      <c r="E3" s="34"/>
      <c r="F3" s="34"/>
      <c r="G3" s="34"/>
      <c r="H3" s="34"/>
      <c r="I3" s="34"/>
      <c r="J3" s="34"/>
      <c r="K3" s="34"/>
      <c r="L3" s="34"/>
      <c r="M3" s="34"/>
    </row>
    <row r="4" spans="2:13" x14ac:dyDescent="0.25">
      <c r="B4" s="28"/>
      <c r="C4" s="176"/>
      <c r="D4" s="176"/>
      <c r="E4" s="176"/>
      <c r="F4" s="176"/>
      <c r="G4" s="176"/>
      <c r="H4" s="176"/>
      <c r="I4" s="176"/>
      <c r="J4" s="176"/>
      <c r="K4" s="176"/>
      <c r="L4" s="176"/>
      <c r="M4" s="176"/>
    </row>
    <row r="5" spans="2:13" x14ac:dyDescent="0.25">
      <c r="B5" s="177" t="s">
        <v>272</v>
      </c>
      <c r="C5" s="177" t="s">
        <v>124</v>
      </c>
      <c r="D5" s="177" t="s">
        <v>124</v>
      </c>
      <c r="E5" s="177" t="s">
        <v>138</v>
      </c>
      <c r="F5" s="177"/>
      <c r="G5" s="177" t="s">
        <v>231</v>
      </c>
      <c r="H5" s="28"/>
      <c r="I5" s="28"/>
      <c r="J5" s="178" t="s">
        <v>125</v>
      </c>
      <c r="K5" s="179"/>
      <c r="L5" s="178" t="s">
        <v>125</v>
      </c>
      <c r="M5" s="179"/>
    </row>
    <row r="6" spans="2:13" x14ac:dyDescent="0.25">
      <c r="B6" s="180" t="s">
        <v>126</v>
      </c>
      <c r="C6" s="180" t="s">
        <v>126</v>
      </c>
      <c r="D6" s="180" t="s">
        <v>232</v>
      </c>
      <c r="E6" s="180" t="s">
        <v>127</v>
      </c>
      <c r="F6" s="180" t="s">
        <v>65</v>
      </c>
      <c r="G6" s="180" t="s">
        <v>191</v>
      </c>
      <c r="H6" s="696" t="s">
        <v>128</v>
      </c>
      <c r="I6" s="697"/>
      <c r="J6" s="698">
        <f>M1-1</f>
        <v>2014</v>
      </c>
      <c r="K6" s="699"/>
      <c r="L6" s="698">
        <f>M1</f>
        <v>2015</v>
      </c>
      <c r="M6" s="699"/>
    </row>
    <row r="7" spans="2:13" x14ac:dyDescent="0.25">
      <c r="B7" s="183" t="s">
        <v>273</v>
      </c>
      <c r="C7" s="183" t="s">
        <v>129</v>
      </c>
      <c r="D7" s="183" t="s">
        <v>233</v>
      </c>
      <c r="E7" s="183" t="s">
        <v>88</v>
      </c>
      <c r="F7" s="183" t="s">
        <v>130</v>
      </c>
      <c r="G7" s="181" t="str">
        <f>CONCATENATE("Jan 1,",M1-1,"")</f>
        <v>Jan 1,2014</v>
      </c>
      <c r="H7" s="172" t="s">
        <v>138</v>
      </c>
      <c r="I7" s="172" t="s">
        <v>139</v>
      </c>
      <c r="J7" s="172" t="s">
        <v>138</v>
      </c>
      <c r="K7" s="172" t="s">
        <v>139</v>
      </c>
      <c r="L7" s="172" t="s">
        <v>138</v>
      </c>
      <c r="M7" s="172" t="s">
        <v>139</v>
      </c>
    </row>
    <row r="8" spans="2:13" x14ac:dyDescent="0.25">
      <c r="B8" s="182" t="s">
        <v>131</v>
      </c>
      <c r="C8" s="49"/>
      <c r="D8" s="49"/>
      <c r="E8" s="184"/>
      <c r="F8" s="185"/>
      <c r="G8" s="185"/>
      <c r="H8" s="49"/>
      <c r="I8" s="49"/>
      <c r="J8" s="185"/>
      <c r="K8" s="185"/>
      <c r="L8" s="185"/>
      <c r="M8" s="185"/>
    </row>
    <row r="9" spans="2:13" x14ac:dyDescent="0.25">
      <c r="B9" s="631" t="s">
        <v>437</v>
      </c>
      <c r="C9" s="327"/>
      <c r="D9" s="327"/>
      <c r="E9" s="187"/>
      <c r="F9" s="188"/>
      <c r="G9" s="189"/>
      <c r="H9" s="190"/>
      <c r="I9" s="190"/>
      <c r="J9" s="189"/>
      <c r="K9" s="189"/>
      <c r="L9" s="189"/>
      <c r="M9" s="189"/>
    </row>
    <row r="10" spans="2:13" x14ac:dyDescent="0.25">
      <c r="B10" s="186"/>
      <c r="C10" s="327"/>
      <c r="D10" s="327"/>
      <c r="E10" s="187"/>
      <c r="F10" s="188"/>
      <c r="G10" s="189"/>
      <c r="H10" s="190"/>
      <c r="I10" s="190"/>
      <c r="J10" s="189"/>
      <c r="K10" s="189"/>
      <c r="L10" s="189"/>
      <c r="M10" s="189"/>
    </row>
    <row r="11" spans="2:13" x14ac:dyDescent="0.25">
      <c r="B11" s="186"/>
      <c r="C11" s="327"/>
      <c r="D11" s="327"/>
      <c r="E11" s="187"/>
      <c r="F11" s="188"/>
      <c r="G11" s="189"/>
      <c r="H11" s="190"/>
      <c r="I11" s="190"/>
      <c r="J11" s="189"/>
      <c r="K11" s="189"/>
      <c r="L11" s="189"/>
      <c r="M11" s="189"/>
    </row>
    <row r="12" spans="2:13" x14ac:dyDescent="0.25">
      <c r="B12" s="186"/>
      <c r="C12" s="327"/>
      <c r="D12" s="327"/>
      <c r="E12" s="187"/>
      <c r="F12" s="188"/>
      <c r="G12" s="189"/>
      <c r="H12" s="190"/>
      <c r="I12" s="190"/>
      <c r="J12" s="189"/>
      <c r="K12" s="189"/>
      <c r="L12" s="189"/>
      <c r="M12" s="189"/>
    </row>
    <row r="13" spans="2:13" x14ac:dyDescent="0.25">
      <c r="B13" s="186"/>
      <c r="C13" s="327"/>
      <c r="D13" s="327"/>
      <c r="E13" s="187"/>
      <c r="F13" s="188"/>
      <c r="G13" s="189"/>
      <c r="H13" s="190"/>
      <c r="I13" s="190"/>
      <c r="J13" s="189"/>
      <c r="K13" s="189"/>
      <c r="L13" s="189"/>
      <c r="M13" s="189"/>
    </row>
    <row r="14" spans="2:13" x14ac:dyDescent="0.25">
      <c r="B14" s="186"/>
      <c r="C14" s="327"/>
      <c r="D14" s="327"/>
      <c r="E14" s="187"/>
      <c r="F14" s="188"/>
      <c r="G14" s="189"/>
      <c r="H14" s="190"/>
      <c r="I14" s="190"/>
      <c r="J14" s="189"/>
      <c r="K14" s="189"/>
      <c r="L14" s="189"/>
      <c r="M14" s="189"/>
    </row>
    <row r="15" spans="2:13" x14ac:dyDescent="0.25">
      <c r="B15" s="186"/>
      <c r="C15" s="327"/>
      <c r="D15" s="327"/>
      <c r="E15" s="187"/>
      <c r="F15" s="188"/>
      <c r="G15" s="189"/>
      <c r="H15" s="190"/>
      <c r="I15" s="190"/>
      <c r="J15" s="189"/>
      <c r="K15" s="189"/>
      <c r="L15" s="189"/>
      <c r="M15" s="189"/>
    </row>
    <row r="16" spans="2:13" x14ac:dyDescent="0.25">
      <c r="B16" s="186"/>
      <c r="C16" s="327"/>
      <c r="D16" s="327"/>
      <c r="E16" s="187"/>
      <c r="F16" s="188"/>
      <c r="G16" s="189"/>
      <c r="H16" s="190"/>
      <c r="I16" s="190"/>
      <c r="J16" s="189"/>
      <c r="K16" s="189"/>
      <c r="L16" s="189"/>
      <c r="M16" s="189"/>
    </row>
    <row r="17" spans="2:13" x14ac:dyDescent="0.25">
      <c r="B17" s="186"/>
      <c r="C17" s="327"/>
      <c r="D17" s="327"/>
      <c r="E17" s="187"/>
      <c r="F17" s="188"/>
      <c r="G17" s="189"/>
      <c r="H17" s="190"/>
      <c r="I17" s="190"/>
      <c r="J17" s="189"/>
      <c r="K17" s="189"/>
      <c r="L17" s="189"/>
      <c r="M17" s="189"/>
    </row>
    <row r="18" spans="2:13" x14ac:dyDescent="0.25">
      <c r="B18" s="186"/>
      <c r="C18" s="327"/>
      <c r="D18" s="327"/>
      <c r="E18" s="187"/>
      <c r="F18" s="188"/>
      <c r="G18" s="189"/>
      <c r="H18" s="190"/>
      <c r="I18" s="190"/>
      <c r="J18" s="189"/>
      <c r="K18" s="189"/>
      <c r="L18" s="189"/>
      <c r="M18" s="189"/>
    </row>
    <row r="19" spans="2:13" x14ac:dyDescent="0.25">
      <c r="B19" s="191" t="s">
        <v>132</v>
      </c>
      <c r="C19" s="192"/>
      <c r="D19" s="192"/>
      <c r="E19" s="193"/>
      <c r="F19" s="194"/>
      <c r="G19" s="195">
        <f>SUM(G9:G18)</f>
        <v>0</v>
      </c>
      <c r="H19" s="196"/>
      <c r="I19" s="196"/>
      <c r="J19" s="195">
        <f>SUM(J9:J18)</f>
        <v>0</v>
      </c>
      <c r="K19" s="195">
        <f>SUM(K9:K18)</f>
        <v>0</v>
      </c>
      <c r="L19" s="195">
        <f>SUM(L9:L18)</f>
        <v>0</v>
      </c>
      <c r="M19" s="195">
        <f>SUM(M9:M18)</f>
        <v>0</v>
      </c>
    </row>
    <row r="20" spans="2:13" x14ac:dyDescent="0.25">
      <c r="B20" s="172" t="s">
        <v>133</v>
      </c>
      <c r="C20" s="197"/>
      <c r="D20" s="197"/>
      <c r="E20" s="198"/>
      <c r="F20" s="199"/>
      <c r="G20" s="199"/>
      <c r="H20" s="200"/>
      <c r="I20" s="200"/>
      <c r="J20" s="199"/>
      <c r="K20" s="199"/>
      <c r="L20" s="199"/>
      <c r="M20" s="199"/>
    </row>
    <row r="21" spans="2:13" x14ac:dyDescent="0.25">
      <c r="B21" s="631" t="s">
        <v>437</v>
      </c>
      <c r="C21" s="327"/>
      <c r="D21" s="327"/>
      <c r="E21" s="187"/>
      <c r="F21" s="188"/>
      <c r="G21" s="189"/>
      <c r="H21" s="190"/>
      <c r="I21" s="190"/>
      <c r="J21" s="189"/>
      <c r="K21" s="189"/>
      <c r="L21" s="189"/>
      <c r="M21" s="189"/>
    </row>
    <row r="22" spans="2:13" x14ac:dyDescent="0.25">
      <c r="B22" s="186"/>
      <c r="C22" s="327"/>
      <c r="D22" s="327"/>
      <c r="E22" s="187"/>
      <c r="F22" s="188"/>
      <c r="G22" s="189"/>
      <c r="H22" s="190"/>
      <c r="I22" s="190"/>
      <c r="J22" s="189"/>
      <c r="K22" s="189"/>
      <c r="L22" s="189"/>
      <c r="M22" s="189"/>
    </row>
    <row r="23" spans="2:13" x14ac:dyDescent="0.25">
      <c r="B23" s="186"/>
      <c r="C23" s="327"/>
      <c r="D23" s="327"/>
      <c r="E23" s="187"/>
      <c r="F23" s="188"/>
      <c r="G23" s="189"/>
      <c r="H23" s="190"/>
      <c r="I23" s="190"/>
      <c r="J23" s="189"/>
      <c r="K23" s="189"/>
      <c r="L23" s="189"/>
      <c r="M23" s="189"/>
    </row>
    <row r="24" spans="2:13" x14ac:dyDescent="0.25">
      <c r="B24" s="186"/>
      <c r="C24" s="327"/>
      <c r="D24" s="327"/>
      <c r="E24" s="187"/>
      <c r="F24" s="188"/>
      <c r="G24" s="189"/>
      <c r="H24" s="190"/>
      <c r="I24" s="190"/>
      <c r="J24" s="189"/>
      <c r="K24" s="189"/>
      <c r="L24" s="189"/>
      <c r="M24" s="189"/>
    </row>
    <row r="25" spans="2:13" x14ac:dyDescent="0.25">
      <c r="B25" s="186"/>
      <c r="C25" s="327"/>
      <c r="D25" s="327"/>
      <c r="E25" s="187"/>
      <c r="F25" s="188"/>
      <c r="G25" s="189"/>
      <c r="H25" s="190"/>
      <c r="I25" s="190"/>
      <c r="J25" s="189"/>
      <c r="K25" s="189"/>
      <c r="L25" s="189"/>
      <c r="M25" s="189"/>
    </row>
    <row r="26" spans="2:13" x14ac:dyDescent="0.25">
      <c r="B26" s="186"/>
      <c r="C26" s="327"/>
      <c r="D26" s="327"/>
      <c r="E26" s="187"/>
      <c r="F26" s="188"/>
      <c r="G26" s="189"/>
      <c r="H26" s="190"/>
      <c r="I26" s="190"/>
      <c r="J26" s="189"/>
      <c r="K26" s="189"/>
      <c r="L26" s="189"/>
      <c r="M26" s="189"/>
    </row>
    <row r="27" spans="2:13" x14ac:dyDescent="0.25">
      <c r="B27" s="191" t="s">
        <v>134</v>
      </c>
      <c r="C27" s="192"/>
      <c r="D27" s="192"/>
      <c r="E27" s="201"/>
      <c r="F27" s="194"/>
      <c r="G27" s="202">
        <f>SUM(G21:G26)</f>
        <v>0</v>
      </c>
      <c r="H27" s="196"/>
      <c r="I27" s="196"/>
      <c r="J27" s="202">
        <f>SUM(J21:J26)</f>
        <v>0</v>
      </c>
      <c r="K27" s="202">
        <f>SUM(K21:K26)</f>
        <v>0</v>
      </c>
      <c r="L27" s="195">
        <f>SUM(L21:L26)</f>
        <v>0</v>
      </c>
      <c r="M27" s="202">
        <f>SUM(M21:M26)</f>
        <v>0</v>
      </c>
    </row>
    <row r="28" spans="2:13" x14ac:dyDescent="0.25">
      <c r="B28" s="172" t="s">
        <v>135</v>
      </c>
      <c r="C28" s="197"/>
      <c r="D28" s="197"/>
      <c r="E28" s="198"/>
      <c r="F28" s="199"/>
      <c r="G28" s="203"/>
      <c r="H28" s="200"/>
      <c r="I28" s="200"/>
      <c r="J28" s="199"/>
      <c r="K28" s="199"/>
      <c r="L28" s="199"/>
      <c r="M28" s="199"/>
    </row>
    <row r="29" spans="2:13" x14ac:dyDescent="0.25">
      <c r="B29" s="631" t="s">
        <v>437</v>
      </c>
      <c r="C29" s="327"/>
      <c r="D29" s="327"/>
      <c r="E29" s="187"/>
      <c r="F29" s="188"/>
      <c r="G29" s="189"/>
      <c r="H29" s="190"/>
      <c r="I29" s="190"/>
      <c r="J29" s="189"/>
      <c r="K29" s="189"/>
      <c r="L29" s="189"/>
      <c r="M29" s="189"/>
    </row>
    <row r="30" spans="2:13" x14ac:dyDescent="0.25">
      <c r="B30" s="186"/>
      <c r="C30" s="327"/>
      <c r="D30" s="327"/>
      <c r="E30" s="187"/>
      <c r="F30" s="188"/>
      <c r="G30" s="189"/>
      <c r="H30" s="190"/>
      <c r="I30" s="190"/>
      <c r="J30" s="189"/>
      <c r="K30" s="189"/>
      <c r="L30" s="189"/>
      <c r="M30" s="189"/>
    </row>
    <row r="31" spans="2:13" x14ac:dyDescent="0.25">
      <c r="B31" s="186"/>
      <c r="C31" s="327"/>
      <c r="D31" s="327"/>
      <c r="E31" s="187"/>
      <c r="F31" s="188"/>
      <c r="G31" s="189"/>
      <c r="H31" s="190"/>
      <c r="I31" s="190"/>
      <c r="J31" s="189"/>
      <c r="K31" s="189"/>
      <c r="L31" s="189"/>
      <c r="M31" s="189"/>
    </row>
    <row r="32" spans="2:13" x14ac:dyDescent="0.25">
      <c r="B32" s="186"/>
      <c r="C32" s="327"/>
      <c r="D32" s="327"/>
      <c r="E32" s="187"/>
      <c r="F32" s="188"/>
      <c r="G32" s="189"/>
      <c r="H32" s="190"/>
      <c r="I32" s="190"/>
      <c r="J32" s="189"/>
      <c r="K32" s="189"/>
      <c r="L32" s="189"/>
      <c r="M32" s="189"/>
    </row>
    <row r="33" spans="2:29" x14ac:dyDescent="0.25">
      <c r="B33" s="186"/>
      <c r="C33" s="327"/>
      <c r="D33" s="327"/>
      <c r="E33" s="187"/>
      <c r="F33" s="188"/>
      <c r="G33" s="189"/>
      <c r="H33" s="190"/>
      <c r="I33" s="190"/>
      <c r="J33" s="189"/>
      <c r="K33" s="189"/>
      <c r="L33" s="189"/>
      <c r="M33" s="189"/>
    </row>
    <row r="34" spans="2:29" x14ac:dyDescent="0.25">
      <c r="B34" s="186"/>
      <c r="C34" s="327"/>
      <c r="D34" s="327"/>
      <c r="E34" s="187"/>
      <c r="F34" s="188"/>
      <c r="G34" s="189"/>
      <c r="H34" s="190"/>
      <c r="I34" s="190"/>
      <c r="J34" s="189"/>
      <c r="K34" s="189"/>
      <c r="L34" s="189"/>
      <c r="M34" s="189"/>
    </row>
    <row r="35" spans="2:29" x14ac:dyDescent="0.25">
      <c r="B35" s="186"/>
      <c r="C35" s="327"/>
      <c r="D35" s="327"/>
      <c r="E35" s="187"/>
      <c r="F35" s="188"/>
      <c r="G35" s="189"/>
      <c r="H35" s="190"/>
      <c r="I35" s="190"/>
      <c r="J35" s="189"/>
      <c r="K35" s="189"/>
      <c r="L35" s="189"/>
      <c r="M35" s="189"/>
      <c r="N35" s="25"/>
      <c r="O35" s="25"/>
      <c r="P35" s="25"/>
      <c r="Q35" s="25"/>
      <c r="R35" s="25"/>
      <c r="S35" s="25"/>
      <c r="T35" s="25"/>
      <c r="U35" s="25"/>
      <c r="V35" s="25"/>
      <c r="W35" s="25"/>
      <c r="X35" s="25"/>
      <c r="Y35" s="25"/>
      <c r="Z35" s="25"/>
      <c r="AA35" s="25"/>
      <c r="AB35" s="25"/>
      <c r="AC35" s="25"/>
    </row>
    <row r="36" spans="2:29" x14ac:dyDescent="0.25">
      <c r="B36" s="191" t="s">
        <v>234</v>
      </c>
      <c r="C36" s="191"/>
      <c r="D36" s="191"/>
      <c r="E36" s="201"/>
      <c r="F36" s="194"/>
      <c r="G36" s="202">
        <f>SUM(G29:G35)</f>
        <v>0</v>
      </c>
      <c r="H36" s="194"/>
      <c r="I36" s="194"/>
      <c r="J36" s="202">
        <f>SUM(J29:J35)</f>
        <v>0</v>
      </c>
      <c r="K36" s="202">
        <f>SUM(K29:K35)</f>
        <v>0</v>
      </c>
      <c r="L36" s="202">
        <f>SUM(L29:L35)</f>
        <v>0</v>
      </c>
      <c r="M36" s="202">
        <f>SUM(M29:M35)</f>
        <v>0</v>
      </c>
    </row>
    <row r="37" spans="2:29" x14ac:dyDescent="0.25">
      <c r="B37" s="191" t="s">
        <v>136</v>
      </c>
      <c r="C37" s="191"/>
      <c r="D37" s="191"/>
      <c r="E37" s="191"/>
      <c r="F37" s="194"/>
      <c r="G37" s="202">
        <f>SUM(G19+G27+G36)</f>
        <v>0</v>
      </c>
      <c r="H37" s="194"/>
      <c r="I37" s="194"/>
      <c r="J37" s="202">
        <f>SUM(J19+J27+J36)</f>
        <v>0</v>
      </c>
      <c r="K37" s="202">
        <f>SUM(K19+K27+K36)</f>
        <v>0</v>
      </c>
      <c r="L37" s="202">
        <f>SUM(L19+L27+L36)</f>
        <v>0</v>
      </c>
      <c r="M37" s="202">
        <f>SUM(M19+M27+M36)</f>
        <v>0</v>
      </c>
    </row>
    <row r="38" spans="2:29" x14ac:dyDescent="0.25">
      <c r="B38" s="25"/>
      <c r="C38" s="25"/>
      <c r="D38" s="25"/>
      <c r="E38" s="25"/>
      <c r="F38" s="25"/>
      <c r="G38" s="25"/>
      <c r="H38" s="25"/>
      <c r="I38" s="25"/>
      <c r="J38" s="25"/>
      <c r="K38" s="25"/>
      <c r="L38" s="25"/>
      <c r="M38" s="25"/>
    </row>
    <row r="39" spans="2:29" x14ac:dyDescent="0.25">
      <c r="F39" s="204"/>
      <c r="G39" s="204"/>
      <c r="J39" s="204"/>
      <c r="K39" s="204"/>
      <c r="L39" s="204"/>
      <c r="M39" s="204"/>
    </row>
    <row r="40" spans="2:29" x14ac:dyDescent="0.25">
      <c r="F40" s="25"/>
      <c r="H40" s="205"/>
      <c r="N40" s="25"/>
    </row>
    <row r="41" spans="2:29" x14ac:dyDescent="0.25">
      <c r="B41" s="25"/>
      <c r="C41" s="25"/>
      <c r="D41" s="25"/>
      <c r="E41" s="25"/>
      <c r="F41" s="25"/>
      <c r="G41" s="25"/>
      <c r="H41" s="25"/>
      <c r="I41" s="25"/>
      <c r="J41" s="25"/>
      <c r="K41" s="25"/>
      <c r="L41" s="25"/>
      <c r="M41" s="25"/>
    </row>
    <row r="42" spans="2:29" x14ac:dyDescent="0.25">
      <c r="B42" s="25"/>
      <c r="C42" s="25"/>
      <c r="D42" s="25"/>
      <c r="E42" s="25"/>
      <c r="F42" s="25"/>
      <c r="G42" s="25"/>
      <c r="H42" s="25"/>
      <c r="I42" s="25"/>
      <c r="J42" s="25"/>
      <c r="K42" s="25"/>
      <c r="L42" s="25"/>
      <c r="M42" s="25"/>
    </row>
  </sheetData>
  <mergeCells count="3">
    <mergeCell ref="H6:I6"/>
    <mergeCell ref="J6:K6"/>
    <mergeCell ref="L6:M6"/>
  </mergeCells>
  <phoneticPr fontId="0" type="noConversion"/>
  <pageMargins left="0.38" right="0.5" top="0.78" bottom="0.4" header="0.5" footer="0"/>
  <pageSetup scale="77" orientation="landscape" blackAndWhite="1" r:id="rId1"/>
  <headerFooter alignWithMargins="0">
    <oddHeader xml:space="preserve">&amp;RState of Kansas
County
</oddHeader>
    <oddFooter>&amp;CPage No. 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J48"/>
  <sheetViews>
    <sheetView zoomScale="75" workbookViewId="0">
      <selection activeCell="G11" sqref="G11"/>
    </sheetView>
  </sheetViews>
  <sheetFormatPr defaultColWidth="8.9140625" defaultRowHeight="15.6" x14ac:dyDescent="0.25"/>
  <cols>
    <col min="1" max="1" width="4.75" style="25" customWidth="1"/>
    <col min="2" max="2" width="25.75" style="25" customWidth="1"/>
    <col min="3" max="5" width="9.75" style="25" customWidth="1"/>
    <col min="6" max="6" width="17.08203125" style="25" customWidth="1"/>
    <col min="7" max="9" width="15.75" style="25" customWidth="1"/>
    <col min="10" max="16384" width="8.9140625" style="25"/>
  </cols>
  <sheetData>
    <row r="1" spans="2:9" x14ac:dyDescent="0.25">
      <c r="B1" s="155" t="str">
        <f>inputPrYr!$C$2</f>
        <v>Edwards County</v>
      </c>
      <c r="C1" s="28"/>
      <c r="D1" s="28"/>
      <c r="E1" s="28"/>
      <c r="F1" s="28"/>
      <c r="G1" s="28"/>
      <c r="H1" s="28"/>
      <c r="I1" s="206">
        <f>inputPrYr!C4</f>
        <v>2015</v>
      </c>
    </row>
    <row r="2" spans="2:9" x14ac:dyDescent="0.25">
      <c r="B2" s="28"/>
      <c r="C2" s="28"/>
      <c r="D2" s="28"/>
      <c r="E2" s="28"/>
      <c r="F2" s="28"/>
      <c r="G2" s="28"/>
      <c r="H2" s="28"/>
      <c r="I2" s="162"/>
    </row>
    <row r="3" spans="2:9" x14ac:dyDescent="0.25">
      <c r="B3" s="28"/>
      <c r="C3" s="34"/>
      <c r="D3" s="34"/>
      <c r="E3" s="34"/>
      <c r="F3" s="34"/>
      <c r="G3" s="34"/>
      <c r="H3" s="34"/>
      <c r="I3" s="207"/>
    </row>
    <row r="4" spans="2:9" x14ac:dyDescent="0.25">
      <c r="B4" s="175" t="s">
        <v>148</v>
      </c>
      <c r="C4" s="34"/>
      <c r="D4" s="34"/>
      <c r="E4" s="34"/>
      <c r="F4" s="34"/>
      <c r="G4" s="34"/>
      <c r="H4" s="34"/>
      <c r="I4" s="34"/>
    </row>
    <row r="5" spans="2:9" x14ac:dyDescent="0.25">
      <c r="B5" s="55"/>
      <c r="C5" s="176"/>
      <c r="D5" s="176"/>
      <c r="E5" s="176"/>
      <c r="F5" s="176"/>
      <c r="G5" s="176"/>
      <c r="H5" s="176"/>
      <c r="I5" s="176"/>
    </row>
    <row r="6" spans="2:9" x14ac:dyDescent="0.25">
      <c r="B6" s="208"/>
      <c r="C6" s="209"/>
      <c r="D6" s="209"/>
      <c r="E6" s="209"/>
      <c r="F6" s="177" t="s">
        <v>46</v>
      </c>
      <c r="G6" s="209"/>
      <c r="H6" s="209"/>
      <c r="I6" s="209"/>
    </row>
    <row r="7" spans="2:9" x14ac:dyDescent="0.25">
      <c r="B7" s="208"/>
      <c r="C7" s="180"/>
      <c r="D7" s="180" t="s">
        <v>137</v>
      </c>
      <c r="E7" s="180" t="s">
        <v>138</v>
      </c>
      <c r="F7" s="180" t="s">
        <v>65</v>
      </c>
      <c r="G7" s="180" t="s">
        <v>139</v>
      </c>
      <c r="H7" s="180" t="s">
        <v>140</v>
      </c>
      <c r="I7" s="180" t="s">
        <v>140</v>
      </c>
    </row>
    <row r="8" spans="2:9" x14ac:dyDescent="0.25">
      <c r="B8" s="397" t="s">
        <v>275</v>
      </c>
      <c r="C8" s="180" t="s">
        <v>141</v>
      </c>
      <c r="D8" s="180" t="s">
        <v>142</v>
      </c>
      <c r="E8" s="180" t="s">
        <v>127</v>
      </c>
      <c r="F8" s="180" t="s">
        <v>143</v>
      </c>
      <c r="G8" s="180" t="s">
        <v>182</v>
      </c>
      <c r="H8" s="180" t="s">
        <v>144</v>
      </c>
      <c r="I8" s="180" t="s">
        <v>144</v>
      </c>
    </row>
    <row r="9" spans="2:9" x14ac:dyDescent="0.25">
      <c r="B9" s="396" t="s">
        <v>274</v>
      </c>
      <c r="C9" s="183" t="s">
        <v>124</v>
      </c>
      <c r="D9" s="211" t="s">
        <v>145</v>
      </c>
      <c r="E9" s="183" t="s">
        <v>88</v>
      </c>
      <c r="F9" s="211" t="s">
        <v>192</v>
      </c>
      <c r="G9" s="212" t="str">
        <f>CONCATENATE("Jan 1,",I1-1,"")</f>
        <v>Jan 1,2014</v>
      </c>
      <c r="H9" s="183">
        <f>I1-1</f>
        <v>2014</v>
      </c>
      <c r="I9" s="183">
        <f>I1</f>
        <v>2015</v>
      </c>
    </row>
    <row r="10" spans="2:9" x14ac:dyDescent="0.25">
      <c r="B10" s="643" t="s">
        <v>438</v>
      </c>
      <c r="C10" s="646">
        <v>41194</v>
      </c>
      <c r="D10" s="644">
        <v>60</v>
      </c>
      <c r="E10" s="645">
        <v>3.2</v>
      </c>
      <c r="F10" s="642">
        <v>190816</v>
      </c>
      <c r="G10" s="53">
        <v>155019</v>
      </c>
      <c r="H10" s="53">
        <v>41904</v>
      </c>
      <c r="I10" s="53">
        <v>41904</v>
      </c>
    </row>
    <row r="11" spans="2:9" x14ac:dyDescent="0.25">
      <c r="B11" s="213"/>
      <c r="C11" s="213"/>
      <c r="D11" s="214"/>
      <c r="E11" s="215"/>
      <c r="F11" s="53"/>
      <c r="G11" s="53"/>
      <c r="H11" s="53"/>
      <c r="I11" s="53"/>
    </row>
    <row r="12" spans="2:9" x14ac:dyDescent="0.25">
      <c r="B12" s="213"/>
      <c r="C12" s="326"/>
      <c r="D12" s="214"/>
      <c r="E12" s="215"/>
      <c r="F12" s="53"/>
      <c r="G12" s="53"/>
      <c r="H12" s="53"/>
      <c r="I12" s="53"/>
    </row>
    <row r="13" spans="2:9" x14ac:dyDescent="0.25">
      <c r="B13" s="213"/>
      <c r="C13" s="213"/>
      <c r="D13" s="214"/>
      <c r="E13" s="215"/>
      <c r="F13" s="53"/>
      <c r="G13" s="53"/>
      <c r="H13" s="53"/>
      <c r="I13" s="53"/>
    </row>
    <row r="14" spans="2:9" x14ac:dyDescent="0.25">
      <c r="B14" s="213"/>
      <c r="C14" s="213"/>
      <c r="D14" s="214"/>
      <c r="E14" s="215"/>
      <c r="F14" s="53"/>
      <c r="G14" s="53"/>
      <c r="H14" s="53"/>
      <c r="I14" s="53"/>
    </row>
    <row r="15" spans="2:9" x14ac:dyDescent="0.25">
      <c r="B15" s="213"/>
      <c r="C15" s="213"/>
      <c r="D15" s="214"/>
      <c r="E15" s="215"/>
      <c r="F15" s="53"/>
      <c r="G15" s="53"/>
      <c r="H15" s="53"/>
      <c r="I15" s="53"/>
    </row>
    <row r="16" spans="2:9" x14ac:dyDescent="0.25">
      <c r="B16" s="213"/>
      <c r="C16" s="213"/>
      <c r="D16" s="214"/>
      <c r="E16" s="215"/>
      <c r="F16" s="53"/>
      <c r="G16" s="53"/>
      <c r="H16" s="53"/>
      <c r="I16" s="53"/>
    </row>
    <row r="17" spans="2:9" x14ac:dyDescent="0.25">
      <c r="B17" s="213"/>
      <c r="C17" s="213"/>
      <c r="D17" s="214"/>
      <c r="E17" s="215"/>
      <c r="F17" s="53"/>
      <c r="G17" s="53"/>
      <c r="H17" s="53"/>
      <c r="I17" s="53"/>
    </row>
    <row r="18" spans="2:9" x14ac:dyDescent="0.25">
      <c r="B18" s="213"/>
      <c r="C18" s="213"/>
      <c r="D18" s="214"/>
      <c r="E18" s="215"/>
      <c r="F18" s="53"/>
      <c r="G18" s="53"/>
      <c r="H18" s="53"/>
      <c r="I18" s="53"/>
    </row>
    <row r="19" spans="2:9" x14ac:dyDescent="0.25">
      <c r="B19" s="213"/>
      <c r="C19" s="213"/>
      <c r="D19" s="214"/>
      <c r="E19" s="215"/>
      <c r="F19" s="53"/>
      <c r="G19" s="53"/>
      <c r="H19" s="53"/>
      <c r="I19" s="53"/>
    </row>
    <row r="20" spans="2:9" x14ac:dyDescent="0.25">
      <c r="B20" s="213"/>
      <c r="C20" s="213"/>
      <c r="D20" s="214"/>
      <c r="E20" s="215"/>
      <c r="F20" s="53"/>
      <c r="G20" s="53"/>
      <c r="H20" s="53"/>
      <c r="I20" s="53"/>
    </row>
    <row r="21" spans="2:9" x14ac:dyDescent="0.25">
      <c r="B21" s="213"/>
      <c r="C21" s="213"/>
      <c r="D21" s="214"/>
      <c r="E21" s="215"/>
      <c r="F21" s="53"/>
      <c r="G21" s="53"/>
      <c r="H21" s="53"/>
      <c r="I21" s="53"/>
    </row>
    <row r="22" spans="2:9" x14ac:dyDescent="0.25">
      <c r="B22" s="213"/>
      <c r="C22" s="213"/>
      <c r="D22" s="214"/>
      <c r="E22" s="215"/>
      <c r="F22" s="53"/>
      <c r="G22" s="53"/>
      <c r="H22" s="53"/>
      <c r="I22" s="53"/>
    </row>
    <row r="23" spans="2:9" x14ac:dyDescent="0.25">
      <c r="B23" s="213"/>
      <c r="C23" s="213"/>
      <c r="D23" s="214"/>
      <c r="E23" s="215"/>
      <c r="F23" s="53"/>
      <c r="G23" s="53"/>
      <c r="H23" s="53"/>
      <c r="I23" s="53"/>
    </row>
    <row r="24" spans="2:9" x14ac:dyDescent="0.25">
      <c r="B24" s="213"/>
      <c r="C24" s="213"/>
      <c r="D24" s="214"/>
      <c r="E24" s="215"/>
      <c r="F24" s="53"/>
      <c r="G24" s="53"/>
      <c r="H24" s="53"/>
      <c r="I24" s="53"/>
    </row>
    <row r="25" spans="2:9" x14ac:dyDescent="0.25">
      <c r="B25" s="213"/>
      <c r="C25" s="213"/>
      <c r="D25" s="214"/>
      <c r="E25" s="215"/>
      <c r="F25" s="53"/>
      <c r="G25" s="53"/>
      <c r="H25" s="53"/>
      <c r="I25" s="53"/>
    </row>
    <row r="26" spans="2:9" x14ac:dyDescent="0.25">
      <c r="B26" s="213"/>
      <c r="C26" s="213"/>
      <c r="D26" s="214"/>
      <c r="E26" s="215"/>
      <c r="F26" s="53"/>
      <c r="G26" s="53"/>
      <c r="H26" s="53"/>
      <c r="I26" s="53"/>
    </row>
    <row r="27" spans="2:9" x14ac:dyDescent="0.25">
      <c r="B27" s="213"/>
      <c r="C27" s="213"/>
      <c r="D27" s="214"/>
      <c r="E27" s="215"/>
      <c r="F27" s="53"/>
      <c r="G27" s="53"/>
      <c r="H27" s="53"/>
      <c r="I27" s="53"/>
    </row>
    <row r="28" spans="2:9" x14ac:dyDescent="0.25">
      <c r="B28" s="213"/>
      <c r="C28" s="213"/>
      <c r="D28" s="214"/>
      <c r="E28" s="215"/>
      <c r="F28" s="53"/>
      <c r="G28" s="53"/>
      <c r="H28" s="53"/>
      <c r="I28" s="53"/>
    </row>
    <row r="29" spans="2:9" x14ac:dyDescent="0.25">
      <c r="B29" s="213"/>
      <c r="C29" s="213"/>
      <c r="D29" s="214"/>
      <c r="E29" s="215"/>
      <c r="F29" s="53"/>
      <c r="G29" s="53"/>
      <c r="H29" s="53"/>
      <c r="I29" s="53"/>
    </row>
    <row r="30" spans="2:9" x14ac:dyDescent="0.25">
      <c r="B30" s="213"/>
      <c r="C30" s="213"/>
      <c r="D30" s="214"/>
      <c r="E30" s="215"/>
      <c r="F30" s="53"/>
      <c r="G30" s="53"/>
      <c r="H30" s="53"/>
      <c r="I30" s="53"/>
    </row>
    <row r="31" spans="2:9" x14ac:dyDescent="0.25">
      <c r="B31" s="213"/>
      <c r="C31" s="213"/>
      <c r="D31" s="214"/>
      <c r="E31" s="215"/>
      <c r="F31" s="53"/>
      <c r="G31" s="53"/>
      <c r="H31" s="53"/>
      <c r="I31" s="53"/>
    </row>
    <row r="32" spans="2:9" x14ac:dyDescent="0.25">
      <c r="B32" s="213"/>
      <c r="C32" s="213"/>
      <c r="D32" s="214"/>
      <c r="E32" s="215"/>
      <c r="F32" s="53"/>
      <c r="G32" s="53"/>
      <c r="H32" s="53"/>
      <c r="I32" s="53"/>
    </row>
    <row r="33" spans="2:10" x14ac:dyDescent="0.25">
      <c r="B33" s="213"/>
      <c r="C33" s="213"/>
      <c r="D33" s="214"/>
      <c r="E33" s="215"/>
      <c r="F33" s="53"/>
      <c r="G33" s="53"/>
      <c r="H33" s="53"/>
      <c r="I33" s="53"/>
    </row>
    <row r="34" spans="2:10" x14ac:dyDescent="0.25">
      <c r="B34" s="213"/>
      <c r="C34" s="213"/>
      <c r="D34" s="214"/>
      <c r="E34" s="215"/>
      <c r="F34" s="53"/>
      <c r="G34" s="53"/>
      <c r="H34" s="53"/>
      <c r="I34" s="53"/>
    </row>
    <row r="35" spans="2:10" x14ac:dyDescent="0.25">
      <c r="B35" s="213"/>
      <c r="C35" s="213"/>
      <c r="D35" s="214"/>
      <c r="E35" s="215"/>
      <c r="F35" s="53"/>
      <c r="G35" s="53"/>
      <c r="H35" s="53"/>
      <c r="I35" s="53"/>
    </row>
    <row r="36" spans="2:10" x14ac:dyDescent="0.25">
      <c r="B36" s="213"/>
      <c r="C36" s="213"/>
      <c r="D36" s="214"/>
      <c r="E36" s="215"/>
      <c r="F36" s="53"/>
      <c r="G36" s="53"/>
      <c r="H36" s="53"/>
      <c r="I36" s="53"/>
    </row>
    <row r="37" spans="2:10" ht="16.2" thickBot="1" x14ac:dyDescent="0.3">
      <c r="B37" s="398"/>
      <c r="C37" s="28"/>
      <c r="D37" s="28"/>
      <c r="E37" s="28"/>
      <c r="F37" s="191" t="s">
        <v>72</v>
      </c>
      <c r="G37" s="216">
        <f>SUM(G10:G36)</f>
        <v>155019</v>
      </c>
      <c r="H37" s="216">
        <f>SUM(H10:H36)</f>
        <v>41904</v>
      </c>
      <c r="I37" s="216">
        <f>SUM(I10:I36)</f>
        <v>41904</v>
      </c>
      <c r="J37" s="217"/>
    </row>
    <row r="38" spans="2:10" ht="16.2" thickTop="1" x14ac:dyDescent="0.25">
      <c r="B38" s="28"/>
      <c r="C38" s="28"/>
      <c r="D38" s="28"/>
      <c r="E38" s="28"/>
      <c r="F38" s="28"/>
      <c r="G38" s="28"/>
      <c r="H38" s="155"/>
      <c r="I38" s="155"/>
    </row>
    <row r="39" spans="2:10" x14ac:dyDescent="0.25">
      <c r="B39" s="218" t="s">
        <v>41</v>
      </c>
      <c r="C39" s="219"/>
      <c r="D39" s="219"/>
      <c r="E39" s="219"/>
      <c r="F39" s="219"/>
      <c r="G39" s="219"/>
      <c r="H39" s="155"/>
      <c r="I39" s="155"/>
    </row>
    <row r="40" spans="2:10" x14ac:dyDescent="0.25">
      <c r="B40" s="84"/>
      <c r="C40" s="84"/>
      <c r="D40" s="205"/>
      <c r="E40" s="84"/>
      <c r="F40" s="84"/>
      <c r="G40" s="84"/>
      <c r="H40" s="204"/>
      <c r="I40" s="204"/>
    </row>
    <row r="41" spans="2:10" x14ac:dyDescent="0.25">
      <c r="B41" s="84"/>
      <c r="C41" s="84"/>
      <c r="D41" s="84"/>
      <c r="E41" s="84"/>
      <c r="F41" s="84"/>
      <c r="G41" s="84"/>
      <c r="H41" s="84"/>
      <c r="I41" s="84"/>
    </row>
    <row r="42" spans="2:10" x14ac:dyDescent="0.25">
      <c r="B42" s="84"/>
      <c r="C42" s="84"/>
      <c r="D42" s="84"/>
      <c r="E42" s="84"/>
      <c r="F42" s="84"/>
      <c r="G42" s="84"/>
      <c r="H42" s="84"/>
      <c r="I42" s="84"/>
    </row>
    <row r="43" spans="2:10" x14ac:dyDescent="0.25">
      <c r="B43" s="84"/>
      <c r="C43" s="84"/>
      <c r="D43" s="84"/>
      <c r="E43" s="84"/>
      <c r="F43" s="84"/>
      <c r="G43" s="84"/>
      <c r="H43" s="84"/>
      <c r="I43" s="84"/>
    </row>
    <row r="44" spans="2:10" x14ac:dyDescent="0.25">
      <c r="B44" s="84"/>
      <c r="C44" s="84"/>
      <c r="D44" s="84"/>
      <c r="E44" s="84"/>
      <c r="F44" s="84"/>
      <c r="G44" s="84"/>
      <c r="H44" s="84"/>
      <c r="I44" s="84"/>
    </row>
    <row r="45" spans="2:10" x14ac:dyDescent="0.25">
      <c r="B45" s="84"/>
      <c r="C45" s="84"/>
      <c r="D45" s="84"/>
      <c r="E45" s="84"/>
      <c r="F45" s="84"/>
      <c r="G45" s="84"/>
      <c r="H45" s="84"/>
      <c r="I45" s="84"/>
    </row>
    <row r="46" spans="2:10" x14ac:dyDescent="0.25">
      <c r="B46" s="84"/>
      <c r="C46" s="84"/>
      <c r="D46" s="84"/>
      <c r="E46" s="84"/>
      <c r="F46" s="84"/>
      <c r="G46" s="84"/>
      <c r="H46" s="84"/>
      <c r="I46" s="84"/>
    </row>
    <row r="47" spans="2:10" x14ac:dyDescent="0.25">
      <c r="B47" s="84"/>
      <c r="C47" s="84"/>
      <c r="D47" s="84"/>
      <c r="E47" s="84"/>
      <c r="F47" s="84"/>
      <c r="G47" s="84"/>
      <c r="H47" s="84"/>
      <c r="I47" s="84"/>
    </row>
    <row r="48" spans="2:10" x14ac:dyDescent="0.25">
      <c r="B48" s="84"/>
      <c r="C48" s="84"/>
      <c r="D48" s="84"/>
      <c r="E48" s="84"/>
      <c r="F48" s="84"/>
      <c r="G48" s="84"/>
      <c r="H48" s="84"/>
      <c r="I48" s="84"/>
    </row>
  </sheetData>
  <phoneticPr fontId="0" type="noConversion"/>
  <pageMargins left="0.17" right="0.5" top="0.78" bottom="0.4" header="0.5" footer="0"/>
  <pageSetup scale="87" orientation="landscape" blackAndWhite="1" r:id="rId1"/>
  <headerFooter alignWithMargins="0">
    <oddHeader xml:space="preserve">&amp;RState of Kansas
County
</oddHeader>
    <oddFooter>&amp;CPage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7</vt:i4>
      </vt:variant>
    </vt:vector>
  </HeadingPairs>
  <TitlesOfParts>
    <vt:vector size="33" baseType="lpstr">
      <vt:lpstr>inputPrYr</vt:lpstr>
      <vt:lpstr>inputOth</vt:lpstr>
      <vt:lpstr>inputBudSum</vt:lpstr>
      <vt:lpstr>cert</vt:lpstr>
      <vt:lpstr>computation</vt:lpstr>
      <vt:lpstr>mvalloc</vt:lpstr>
      <vt:lpstr>transfers</vt:lpstr>
      <vt:lpstr>debt</vt:lpstr>
      <vt:lpstr>lpform</vt:lpstr>
      <vt:lpstr>general</vt:lpstr>
      <vt:lpstr>gen-detail</vt:lpstr>
      <vt:lpstr>road</vt:lpstr>
      <vt:lpstr>NoxWeed EmpBenefits</vt:lpstr>
      <vt:lpstr>Health Hospital</vt:lpstr>
      <vt:lpstr>SpDrug SpParks</vt:lpstr>
      <vt:lpstr>NoxWeedCO 911Emergency</vt:lpstr>
      <vt:lpstr>911Wireless EdwardsCo911</vt:lpstr>
      <vt:lpstr>BlankPage</vt:lpstr>
      <vt:lpstr>nonbudA</vt:lpstr>
      <vt:lpstr>nonbudB</vt:lpstr>
      <vt:lpstr>nonbudC</vt:lpstr>
      <vt:lpstr>nonbudD</vt:lpstr>
      <vt:lpstr>summ</vt:lpstr>
      <vt:lpstr>Nhood</vt:lpstr>
      <vt:lpstr>Pub. Notice Option 1</vt:lpstr>
      <vt:lpstr>Pub. Notice Option 2</vt:lpstr>
      <vt:lpstr>general!Print_Area</vt:lpstr>
      <vt:lpstr>'Health Hospital'!Print_Area</vt:lpstr>
      <vt:lpstr>inputBudSum!Print_Area</vt:lpstr>
      <vt:lpstr>inputPrYr!Print_Area</vt:lpstr>
      <vt:lpstr>'NoxWeed EmpBenefits'!Print_Area</vt:lpstr>
      <vt:lpstr>road!Print_Area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Edwards County Clerk</cp:lastModifiedBy>
  <cp:lastPrinted>2014-08-14T21:00:27Z</cp:lastPrinted>
  <dcterms:created xsi:type="dcterms:W3CDTF">1998-08-26T13:26:11Z</dcterms:created>
  <dcterms:modified xsi:type="dcterms:W3CDTF">2014-11-24T17:16:50Z</dcterms:modified>
</cp:coreProperties>
</file>