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73" activeTab="0"/>
  </bookViews>
  <sheets>
    <sheet name="inputPrYr" sheetId="1" r:id="rId1"/>
    <sheet name="inputOth" sheetId="2" r:id="rId2"/>
    <sheet name="inputBudSum" sheetId="3" r:id="rId3"/>
    <sheet name="cert" sheetId="4" r:id="rId4"/>
    <sheet name="signed cert" sheetId="5" r:id="rId5"/>
    <sheet name="computation" sheetId="6" r:id="rId6"/>
    <sheet name="mvalloc" sheetId="7" r:id="rId7"/>
    <sheet name="transfers" sheetId="8" r:id="rId8"/>
    <sheet name="debt" sheetId="9" r:id="rId9"/>
    <sheet name="lpform" sheetId="10" r:id="rId10"/>
    <sheet name="general" sheetId="11" r:id="rId11"/>
    <sheet name="gen-detail" sheetId="12" r:id="rId12"/>
    <sheet name="DebtService" sheetId="13" r:id="rId13"/>
    <sheet name="road" sheetId="14" r:id="rId14"/>
    <sheet name="SpecBrdg-NW" sheetId="15" r:id="rId15"/>
    <sheet name="Conserv-SerAging" sheetId="16" r:id="rId16"/>
    <sheet name="CoHlth-PawnMent" sheetId="17" r:id="rId17"/>
    <sheet name="MentReTard-Fair" sheetId="18" r:id="rId18"/>
    <sheet name="Elect-SpecBldg" sheetId="19" r:id="rId19"/>
    <sheet name="Hist-Appra" sheetId="20" r:id="rId20"/>
    <sheet name="EmployBene" sheetId="21" r:id="rId21"/>
    <sheet name="NWC.O.-ElectC.O." sheetId="22" r:id="rId22"/>
    <sheet name="SpecAlcoh-Conven" sheetId="23" r:id="rId23"/>
    <sheet name="RegDTech-SolWaste" sheetId="24" r:id="rId24"/>
    <sheet name="SpecEconDev-LawEnf" sheetId="25" r:id="rId25"/>
    <sheet name="nonbudA" sheetId="26" r:id="rId26"/>
    <sheet name="summ" sheetId="27" r:id="rId27"/>
    <sheet name="Pub. Notice Option 1" sheetId="28" r:id="rId28"/>
    <sheet name="Pub. Notice Option 2" sheetId="29" r:id="rId29"/>
  </sheets>
  <definedNames>
    <definedName name="_xlnm.Print_Area" localSheetId="3">'cert'!$A$1:$F$71</definedName>
    <definedName name="_xlnm.Print_Area" localSheetId="16">'CoHlth-PawnMent'!$A$1:$E$75</definedName>
    <definedName name="_xlnm.Print_Area" localSheetId="15">'Conserv-SerAging'!$A$1:$E$73</definedName>
    <definedName name="_xlnm.Print_Area" localSheetId="12">'DebtService'!$B$1:$E$59</definedName>
    <definedName name="_xlnm.Print_Area" localSheetId="18">'Elect-SpecBldg'!$A$1:$E$76</definedName>
    <definedName name="_xlnm.Print_Area" localSheetId="20">'EmployBene'!$A$1:$E$73</definedName>
    <definedName name="_xlnm.Print_Area" localSheetId="11">'gen-detail'!$A$1:$D$187</definedName>
    <definedName name="_xlnm.Print_Area" localSheetId="10">'general'!$A$1:$E$105</definedName>
    <definedName name="_xlnm.Print_Area" localSheetId="19">'Hist-Appra'!$A$1:$E$77</definedName>
    <definedName name="_xlnm.Print_Area" localSheetId="2">'inputBudSum'!$A$1:$I$23</definedName>
    <definedName name="_xlnm.Print_Area" localSheetId="0">'inputPrYr'!$A$1:$F$107</definedName>
    <definedName name="_xlnm.Print_Area" localSheetId="17">'MentReTard-Fair'!$A$1:$E$73</definedName>
    <definedName name="_xlnm.Print_Area" localSheetId="13">'road'!$B$1:$E$49</definedName>
    <definedName name="_xlnm.Print_Area" localSheetId="14">'SpecBrdg-NW'!$A$1:$E$76</definedName>
    <definedName name="_xlnm.Print_Area" localSheetId="26">'summ'!$A$1:$H$65</definedName>
  </definedNames>
  <calcPr fullCalcOnLoad="1"/>
</workbook>
</file>

<file path=xl/sharedStrings.xml><?xml version="1.0" encoding="utf-8"?>
<sst xmlns="http://schemas.openxmlformats.org/spreadsheetml/2006/main" count="1352" uniqueCount="451">
  <si>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</si>
  <si>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</si>
  <si>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</si>
  <si>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</si>
  <si>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</si>
  <si>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</si>
  <si>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</si>
  <si>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</si>
  <si>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County Equalization</t>
  </si>
  <si>
    <t>NON-BUDGETED FUNDS (A)</t>
  </si>
  <si>
    <t>Non-Budgeted Funds-A</t>
  </si>
  <si>
    <t>(1) Fund Name:</t>
  </si>
  <si>
    <t>(2) Fund Name:</t>
  </si>
  <si>
    <t>(3) Fund Name:</t>
  </si>
  <si>
    <t>(4) Fund Name:</t>
  </si>
  <si>
    <t>(5) Fund Name:</t>
  </si>
  <si>
    <t xml:space="preserve">Unencumbered </t>
  </si>
  <si>
    <t>Cash Balance Dec 31</t>
  </si>
  <si>
    <t>Non-Budgeted Funds-B</t>
  </si>
  <si>
    <t>Non-Budgeted Funds-C</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</si>
  <si>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</si>
  <si>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</si>
  <si>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</si>
  <si>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</si>
  <si>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</si>
  <si>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Budget Summary</t>
  </si>
  <si>
    <t>xxxxx</t>
  </si>
  <si>
    <t>Note:  All amounts are to be entered in as whole numbers only.</t>
  </si>
  <si>
    <t>**</t>
  </si>
  <si>
    <t>**Note: These two block figures should agree.</t>
  </si>
  <si>
    <t>Funds</t>
  </si>
  <si>
    <t xml:space="preserve">expenditure amounts should reflect the amended </t>
  </si>
  <si>
    <t>expenditure amounts.</t>
  </si>
  <si>
    <t xml:space="preserve">Tax Levy Rate </t>
  </si>
  <si>
    <t>Miscellaneous</t>
  </si>
  <si>
    <t>Does miscellaneous exceed 10% of Total Receipts</t>
  </si>
  <si>
    <t>Neighborhood Revitalization Rebate</t>
  </si>
  <si>
    <t>Does miscellaneous exceed 10% of Total Expenditure</t>
  </si>
  <si>
    <t>Cash Balance Jan 1</t>
  </si>
  <si>
    <t>***If you are merely leasing/renting with no intent to purchase, do not list--such transactions are not lease-purchases.</t>
  </si>
  <si>
    <t xml:space="preserve">Ad Valorem Tax </t>
  </si>
  <si>
    <t>Budget Summary Page</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</si>
  <si>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</si>
  <si>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</si>
  <si>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</si>
  <si>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</si>
  <si>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</si>
  <si>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</si>
  <si>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</si>
  <si>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</si>
  <si>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</si>
  <si>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</si>
  <si>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</si>
  <si>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</si>
  <si>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</si>
  <si>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</si>
  <si>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</si>
  <si>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</si>
  <si>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</si>
  <si>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x</t>
  </si>
  <si>
    <t>Assisted by:</t>
  </si>
  <si>
    <t>Governing Body</t>
  </si>
  <si>
    <t>County Clerk</t>
  </si>
  <si>
    <t>Amount</t>
  </si>
  <si>
    <t>TOTAL</t>
  </si>
  <si>
    <t>County Treas Motor Vehicle Estimate</t>
  </si>
  <si>
    <t>County Treasurers Recreational Vehicle Estimate</t>
  </si>
  <si>
    <t>Motor Vehicle Factor</t>
  </si>
  <si>
    <t>MVT</t>
  </si>
  <si>
    <t>Totals</t>
  </si>
  <si>
    <t>Juvenile Detention</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</si>
  <si>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</si>
  <si>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</si>
  <si>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</si>
  <si>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</si>
  <si>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</si>
  <si>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</si>
  <si>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</si>
  <si>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</si>
  <si>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</si>
  <si>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</si>
  <si>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</si>
  <si>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</si>
  <si>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</si>
  <si>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</si>
  <si>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</si>
  <si>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</si>
  <si>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</si>
  <si>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</si>
  <si>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</si>
  <si>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</si>
  <si>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</si>
  <si>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</si>
  <si>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County Attorney/Counselor</t>
  </si>
  <si>
    <t>County Commission</t>
  </si>
  <si>
    <t>County Treasurer</t>
  </si>
  <si>
    <t>Debt Service</t>
  </si>
  <si>
    <t>Economic Development</t>
  </si>
  <si>
    <t>Employee Benefits</t>
  </si>
  <si>
    <t xml:space="preserve">  Social Security</t>
  </si>
  <si>
    <t>Law Enforcement</t>
  </si>
  <si>
    <t>Mental Retardation</t>
  </si>
  <si>
    <t>Register of Deeds</t>
  </si>
  <si>
    <t>Road &amp; Bridge</t>
  </si>
  <si>
    <t>Solid Waste</t>
  </si>
  <si>
    <t>Other</t>
  </si>
  <si>
    <t>Page No.</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</si>
  <si>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</si>
  <si>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</si>
  <si>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</si>
  <si>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</si>
  <si>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</si>
  <si>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</si>
  <si>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</si>
  <si>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</si>
  <si>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</si>
  <si>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</si>
  <si>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</si>
  <si>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</si>
  <si>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</si>
  <si>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</si>
  <si>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</si>
  <si>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</si>
  <si>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</si>
  <si>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</si>
  <si>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</si>
  <si>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</si>
  <si>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</si>
  <si>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</si>
  <si>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</si>
  <si>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</si>
  <si>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</si>
  <si>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</si>
  <si>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</si>
  <si>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</si>
  <si>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</si>
  <si>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</si>
  <si>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</si>
  <si>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</si>
  <si>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</si>
  <si>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</si>
  <si>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</si>
  <si>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</si>
  <si>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</si>
  <si>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</si>
  <si>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</si>
  <si>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</si>
  <si>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</si>
  <si>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</si>
  <si>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</si>
  <si>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</si>
  <si>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</si>
  <si>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</si>
  <si>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</si>
  <si>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</si>
  <si>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</si>
  <si>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</si>
  <si>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</si>
  <si>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</si>
  <si>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</si>
  <si>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</si>
  <si>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</si>
  <si>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</si>
  <si>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</si>
  <si>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</si>
  <si>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</si>
  <si>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</si>
  <si>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</si>
  <si>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</si>
  <si>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</si>
  <si>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</si>
  <si>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</si>
  <si>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</si>
  <si>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</si>
  <si>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</si>
  <si>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</si>
  <si>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</si>
  <si>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</si>
  <si>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</si>
  <si>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</si>
  <si>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</si>
  <si>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</si>
  <si>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13.</t>
  </si>
  <si>
    <t>14.</t>
  </si>
  <si>
    <t>Unencumbered Cash Balance Jan 1</t>
  </si>
  <si>
    <t>Unencumbered Cash Balance Dec 31</t>
  </si>
  <si>
    <t>Receipts:</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</si>
  <si>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</si>
  <si>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</si>
  <si>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</si>
  <si>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</si>
  <si>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</si>
  <si>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</si>
  <si>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</si>
  <si>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</si>
  <si>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</si>
  <si>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</si>
  <si>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</si>
  <si>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 xml:space="preserve">                                                                          16/20M Vehicle Factor</t>
  </si>
  <si>
    <t xml:space="preserve">                                         Recreational Vehicle Factor</t>
  </si>
  <si>
    <t>Current</t>
  </si>
  <si>
    <t>Proposed</t>
  </si>
  <si>
    <t>Total - Page 7b</t>
  </si>
  <si>
    <t>Total - Page7c</t>
  </si>
  <si>
    <t>Total - Page7d</t>
  </si>
  <si>
    <t>Total - Page7b</t>
  </si>
  <si>
    <t>Total - Page 7c</t>
  </si>
  <si>
    <t>County Clerk's Use Only</t>
  </si>
  <si>
    <t>Address:</t>
  </si>
  <si>
    <t>Input sheet for County1 budget form</t>
  </si>
  <si>
    <t>Enter County Name followed by 'County'</t>
  </si>
  <si>
    <t>Enter year being budgeted (YYYY)</t>
  </si>
  <si>
    <t>Information comes from the Certificate, Page No. 1</t>
  </si>
  <si>
    <t>Fund Names for all funds with a tax levy:</t>
  </si>
  <si>
    <t>10-113</t>
  </si>
  <si>
    <t>In Lieu of Tax (IRB)</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</si>
  <si>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</si>
  <si>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</si>
  <si>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</si>
  <si>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</si>
  <si>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</si>
  <si>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</si>
  <si>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</si>
  <si>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</si>
  <si>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</si>
  <si>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</si>
  <si>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</si>
  <si>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</si>
  <si>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</si>
  <si>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</si>
  <si>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</si>
  <si>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</si>
  <si>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</si>
  <si>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</si>
  <si>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</si>
  <si>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</si>
  <si>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</si>
  <si>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</si>
  <si>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</si>
  <si>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</si>
  <si>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</si>
  <si>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</si>
  <si>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answering objections of taxpayers relating to the proposed use of all funds and the amount of ad valorem tax.</t>
  </si>
  <si>
    <r>
      <t>Adjustments</t>
    </r>
    <r>
      <rPr>
        <sz val="12"/>
        <color indexed="10"/>
        <rFont val="Times New Roman"/>
        <family val="1"/>
      </rPr>
      <t>*</t>
    </r>
  </si>
  <si>
    <t>*Note:</t>
  </si>
  <si>
    <t>Expenditure</t>
  </si>
  <si>
    <t>Receipt</t>
  </si>
  <si>
    <t xml:space="preserve">Fund Transferred </t>
  </si>
  <si>
    <t>Fund Transferred</t>
  </si>
  <si>
    <t>in the appropriate locations.  If any of the numbers are wrong, change them on this input sheet.</t>
  </si>
  <si>
    <t xml:space="preserve">Enter the following information from the sources shown.  This information will be  entered on the budget forms </t>
  </si>
  <si>
    <t>Budget Authority</t>
  </si>
  <si>
    <t>for Expenditures</t>
  </si>
  <si>
    <t>Compensating Use Tax</t>
  </si>
  <si>
    <t>Local Sales Tax</t>
  </si>
  <si>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</si>
  <si>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</si>
  <si>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</si>
  <si>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</si>
  <si>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</si>
  <si>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</si>
  <si>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</si>
  <si>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</si>
  <si>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Change in Ad Valorem Tax Revenue:</t>
  </si>
  <si>
    <t>What Mill Rate Would Be Desired?</t>
  </si>
  <si>
    <t>Type</t>
  </si>
  <si>
    <t xml:space="preserve"> Debt</t>
  </si>
  <si>
    <t xml:space="preserve"> Purchased</t>
  </si>
  <si>
    <t>Items</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</si>
  <si>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</si>
  <si>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</si>
  <si>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</si>
  <si>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</si>
  <si>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</si>
  <si>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</si>
  <si>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</si>
  <si>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</si>
  <si>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</si>
  <si>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</si>
  <si>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</si>
  <si>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</si>
  <si>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</si>
  <si>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</si>
  <si>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</si>
  <si>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</si>
  <si>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</si>
  <si>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</si>
  <si>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</si>
  <si>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</si>
  <si>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</si>
  <si>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</si>
  <si>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</si>
  <si>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</si>
  <si>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</si>
  <si>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Email:</t>
  </si>
  <si>
    <t>____________________________________  __________________________________</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</si>
  <si>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</si>
  <si>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</si>
  <si>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</si>
  <si>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</si>
  <si>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</si>
  <si>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</si>
  <si>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</si>
  <si>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and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</si>
  <si>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</si>
  <si>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</si>
  <si>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</si>
  <si>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</si>
  <si>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</si>
  <si>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</si>
  <si>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</si>
  <si>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</si>
  <si>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</si>
  <si>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</si>
  <si>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Consumer Price Index adjustment (3 times 15)</t>
  </si>
  <si>
    <t>(14 plus 16)</t>
  </si>
  <si>
    <t>CLOUD COUNTY</t>
  </si>
  <si>
    <t>Special Bridge</t>
  </si>
  <si>
    <t>Noxious Weed</t>
  </si>
  <si>
    <t>Conservation District</t>
  </si>
  <si>
    <t>Services for Aging</t>
  </si>
  <si>
    <t>County Health</t>
  </si>
  <si>
    <t>Pawnee Mental Health</t>
  </si>
  <si>
    <t>County Fair</t>
  </si>
  <si>
    <t>Election Expense</t>
  </si>
  <si>
    <t>Special Building</t>
  </si>
  <si>
    <t>Historical Building</t>
  </si>
  <si>
    <t>Appraisers</t>
  </si>
  <si>
    <t>68-1135</t>
  </si>
  <si>
    <t>2-1318</t>
  </si>
  <si>
    <t>2-1907b</t>
  </si>
  <si>
    <t>12-1680</t>
  </si>
  <si>
    <t>65-204</t>
  </si>
  <si>
    <t>19-4004</t>
  </si>
  <si>
    <t>2-129</t>
  </si>
  <si>
    <t>25-2201a</t>
  </si>
  <si>
    <t>19-15,124</t>
  </si>
  <si>
    <t>19-2651</t>
  </si>
  <si>
    <t>79-1482</t>
  </si>
  <si>
    <t>12-16,102</t>
  </si>
  <si>
    <t>Noxious Weed C.O.</t>
  </si>
  <si>
    <t>Election C.O.</t>
  </si>
  <si>
    <t>Special Alcohol &amp; Drug</t>
  </si>
  <si>
    <t>Convention &amp; Tourism</t>
  </si>
  <si>
    <t>Reg. of Deeds Technology</t>
  </si>
  <si>
    <t>Spec. Econ. Dev.-Horizons</t>
  </si>
  <si>
    <t>Special Highway Imprv.</t>
  </si>
  <si>
    <t>Spec. Mach. &amp; Equip.</t>
  </si>
  <si>
    <t>Auto Spec.</t>
  </si>
  <si>
    <t>Linda Bogart</t>
  </si>
  <si>
    <t>Cloud County Commissioner's Room</t>
  </si>
  <si>
    <t>Cloud County Clerk's Office</t>
  </si>
  <si>
    <t>Lindburg Vogel Pierce Faris,</t>
  </si>
  <si>
    <t>Chartered</t>
  </si>
  <si>
    <t>2301 N. Halstead</t>
  </si>
  <si>
    <t>Hutchinson, Kansas 67502</t>
  </si>
  <si>
    <t>budget1@lvpf-cpa.com</t>
  </si>
  <si>
    <t>Auto Special</t>
  </si>
  <si>
    <t>County General</t>
  </si>
  <si>
    <t>K.S.A. 8-145</t>
  </si>
  <si>
    <t>R &amp; B</t>
  </si>
  <si>
    <t>K.S.A. 68-141g</t>
  </si>
  <si>
    <t>Election Fund</t>
  </si>
  <si>
    <t>K.S.A. 12-1,117</t>
  </si>
  <si>
    <t>2011 Caterpillar Model 420 Backhoe</t>
  </si>
  <si>
    <t>Law Enforcement &amp; Detention Center</t>
  </si>
  <si>
    <t>1.25-5.0</t>
  </si>
  <si>
    <t>2011 Caterpillar Motorgrader</t>
  </si>
  <si>
    <t>In Lieu of Taxes</t>
  </si>
  <si>
    <t>Interest &amp; Charges on Delinquent Taxes</t>
  </si>
  <si>
    <t>Mortgage Reg. Fees</t>
  </si>
  <si>
    <t>Officer's Fees</t>
  </si>
  <si>
    <t>TIF &amp; NRV Refunds</t>
  </si>
  <si>
    <t>VIN</t>
  </si>
  <si>
    <t>Transfer from Auto Special</t>
  </si>
  <si>
    <t>Reimbursements</t>
  </si>
  <si>
    <t>Sheriff</t>
  </si>
  <si>
    <t>Clerk of District Court</t>
  </si>
  <si>
    <t>Courthouse (General Expenses)</t>
  </si>
  <si>
    <t>Community Resources Council</t>
  </si>
  <si>
    <t>Custodian</t>
  </si>
  <si>
    <t>Information Technology</t>
  </si>
  <si>
    <t>EMS</t>
  </si>
  <si>
    <t>Emergency Preparedness</t>
  </si>
  <si>
    <t>Recycling Center</t>
  </si>
  <si>
    <t>ADA Safety</t>
  </si>
  <si>
    <t>Dispatching</t>
  </si>
  <si>
    <t>CASA</t>
  </si>
  <si>
    <t>J.J.A.</t>
  </si>
  <si>
    <t>Community Corrections-Adult</t>
  </si>
  <si>
    <t>Senior Care Act</t>
  </si>
  <si>
    <t>Rural Opportunity Zone</t>
  </si>
  <si>
    <t xml:space="preserve">  ROZ Program</t>
  </si>
  <si>
    <t xml:space="preserve">  Juvenile Detention</t>
  </si>
  <si>
    <t>Cloud County Sanitarian</t>
  </si>
  <si>
    <t>Coroner</t>
  </si>
  <si>
    <t>Courthouse Security</t>
  </si>
  <si>
    <t xml:space="preserve">  Bridge Construction &amp; Reconstruction</t>
  </si>
  <si>
    <t>Chemical Sales &amp; Reimbursements</t>
  </si>
  <si>
    <t xml:space="preserve">  Appropriations</t>
  </si>
  <si>
    <t>Nursing Care, Supplies, Grants &amp; Reimb.</t>
  </si>
  <si>
    <t xml:space="preserve">  Improvements &amp; Restoration</t>
  </si>
  <si>
    <t xml:space="preserve">  KPERS</t>
  </si>
  <si>
    <t xml:space="preserve">  W.C.</t>
  </si>
  <si>
    <t xml:space="preserve">  U.E. Tax</t>
  </si>
  <si>
    <t xml:space="preserve">  Medical Insurance</t>
  </si>
  <si>
    <t xml:space="preserve">  Group Life Insurance &amp; Long Term Care</t>
  </si>
  <si>
    <t xml:space="preserve">  Purchasae of Equip.</t>
  </si>
  <si>
    <t>Transfer from Election Fund</t>
  </si>
  <si>
    <t>Liquor Tax</t>
  </si>
  <si>
    <t xml:space="preserve">  Contractual Services</t>
  </si>
  <si>
    <t>Transient Guest Tax</t>
  </si>
  <si>
    <t xml:space="preserve">  Operating Expenses</t>
  </si>
  <si>
    <t>Fees Collected</t>
  </si>
  <si>
    <t xml:space="preserve">  Purchase of Equip.</t>
  </si>
  <si>
    <t>User Fees</t>
  </si>
  <si>
    <t>Receipts from Housing Prisoners</t>
  </si>
  <si>
    <t xml:space="preserve">  Bond Interest</t>
  </si>
  <si>
    <t xml:space="preserve">  Bond Principal</t>
  </si>
  <si>
    <t>Trfs. From R &amp; B</t>
  </si>
  <si>
    <t>Purchase of Equip.</t>
  </si>
  <si>
    <t>Fees</t>
  </si>
  <si>
    <t>Contractual Services</t>
  </si>
  <si>
    <t>Trfs. To Co. General</t>
  </si>
  <si>
    <t xml:space="preserve">  Reimbursements</t>
  </si>
  <si>
    <t xml:space="preserve">  Vehicle expense</t>
  </si>
  <si>
    <t xml:space="preserve">  Jail- Salaries</t>
  </si>
  <si>
    <t xml:space="preserve">  Jail- Contractual</t>
  </si>
  <si>
    <t xml:space="preserve">  Jail- Commodities</t>
  </si>
  <si>
    <t xml:space="preserve">  Jail- Capital Outlay</t>
  </si>
  <si>
    <t xml:space="preserve">  Witness &amp; Juror Fees</t>
  </si>
  <si>
    <t xml:space="preserve">  Liability Insurance</t>
  </si>
  <si>
    <t xml:space="preserve">  I-Series Software &amp; Maintenance</t>
  </si>
  <si>
    <t xml:space="preserve">  Cloudcorp</t>
  </si>
  <si>
    <t xml:space="preserve">  Kansas Crossroads RC&amp;D</t>
  </si>
  <si>
    <t xml:space="preserve">  NCK SBDC</t>
  </si>
  <si>
    <t xml:space="preserve">  Juvenile Justice</t>
  </si>
  <si>
    <t xml:space="preserve">  Community Corrections</t>
  </si>
  <si>
    <t xml:space="preserve">  Concordia Senior Center</t>
  </si>
  <si>
    <t xml:space="preserve">  Transfer to Special Machinery Fund</t>
  </si>
  <si>
    <t xml:space="preserve">  Capital Outlay &amp; Building Expenses</t>
  </si>
  <si>
    <t xml:space="preserve">  Transfer to Election C.O.</t>
  </si>
  <si>
    <t xml:space="preserve">  Mapping Expense</t>
  </si>
  <si>
    <t xml:space="preserve">  Special Project-Private Appraisal</t>
  </si>
  <si>
    <t>North Central Planning</t>
  </si>
  <si>
    <t>No Fund Warrants-P &amp; I</t>
  </si>
  <si>
    <t>Budget</t>
  </si>
  <si>
    <t>Credits</t>
  </si>
  <si>
    <t>Authorized</t>
  </si>
  <si>
    <t>9-2-14</t>
  </si>
  <si>
    <t>8:30 A.M.</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</si>
</sst>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8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10"/>
      <name val="Times New Roman"/>
      <family val="1"/>
    </font>
    <font>
      <b/>
      <sz val="10"/>
      <name val="Times New Roman"/>
      <family val="1"/>
    </font>
    <font>
      <sz val="10"/>
      <name val="Courier"/>
      <family val="3"/>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sz val="12"/>
      <color indexed="10"/>
      <name val="Courier"/>
      <family val="3"/>
    </font>
    <font>
      <i/>
      <sz val="12"/>
      <name val="Times New Roman"/>
      <family val="1"/>
    </font>
    <font>
      <b/>
      <sz val="12"/>
      <color indexed="10"/>
      <name val="Times New Roman"/>
      <family val="1"/>
    </font>
    <font>
      <b/>
      <u val="single"/>
      <sz val="8"/>
      <color indexed="10"/>
      <name val="Times New Roman"/>
      <family val="1"/>
    </font>
    <font>
      <u val="single"/>
      <sz val="12"/>
      <color indexed="12"/>
      <name val="Courier"/>
      <family val="3"/>
    </font>
    <font>
      <b/>
      <u val="single"/>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b/>
      <sz val="10"/>
      <color rgb="FFFF0000"/>
      <name val="Times New Roman"/>
      <family val="1"/>
    </font>
    <font>
      <b/>
      <sz val="14"/>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double"/>
    </border>
    <border>
      <left>
        <color indexed="63"/>
      </left>
      <right>
        <color indexed="63"/>
      </right>
      <top style="thin"/>
      <bottom>
        <color indexed="63"/>
      </bottom>
    </border>
    <border>
      <left style="thin"/>
      <right style="thin"/>
      <top style="thin"/>
      <bottom style="medium"/>
    </border>
    <border>
      <left>
        <color indexed="63"/>
      </left>
      <right>
        <color indexed="63"/>
      </right>
      <top>
        <color indexed="63"/>
      </top>
      <bottom style="double"/>
    </border>
    <border>
      <left/>
      <right style="medium"/>
      <top/>
      <bottom/>
    </border>
    <border>
      <left style="medium"/>
      <right/>
      <top/>
      <bottom/>
    </border>
    <border>
      <left/>
      <right style="medium"/>
      <top>
        <color indexed="63"/>
      </top>
      <bottom style="thin"/>
    </border>
    <border>
      <left style="medium"/>
      <right/>
      <top/>
      <bottom style="medium"/>
    </border>
    <border>
      <left/>
      <right/>
      <top/>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right style="medium"/>
      <top style="medium"/>
      <bottom/>
    </border>
  </borders>
  <cellStyleXfs count="5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60">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37" fontId="4" fillId="33" borderId="10" xfId="0" applyNumberFormat="1" applyFont="1" applyFill="1" applyBorder="1" applyAlignment="1" applyProtection="1">
      <alignment horizontal="center"/>
      <protection/>
    </xf>
    <xf numFmtId="37" fontId="4" fillId="33" borderId="0" xfId="0" applyNumberFormat="1" applyFont="1" applyFill="1" applyAlignment="1" applyProtection="1">
      <alignment horizontal="right"/>
      <protection/>
    </xf>
    <xf numFmtId="0" fontId="4" fillId="33" borderId="0" xfId="0" applyFont="1" applyFill="1" applyAlignment="1" applyProtection="1">
      <alignment/>
      <protection/>
    </xf>
    <xf numFmtId="37" fontId="4" fillId="33" borderId="0" xfId="0" applyNumberFormat="1" applyFont="1" applyFill="1" applyAlignment="1" applyProtection="1">
      <alignment horizontal="left"/>
      <protection/>
    </xf>
    <xf numFmtId="37" fontId="4" fillId="33" borderId="0" xfId="0" applyNumberFormat="1" applyFont="1" applyFill="1" applyAlignment="1" applyProtection="1">
      <alignment horizontal="centerContinuous"/>
      <protection/>
    </xf>
    <xf numFmtId="0" fontId="4" fillId="33" borderId="0" xfId="0" applyFont="1" applyFill="1" applyAlignment="1" applyProtection="1">
      <alignment horizontal="centerContinuous"/>
      <protection/>
    </xf>
    <xf numFmtId="37" fontId="4" fillId="33" borderId="11" xfId="0" applyNumberFormat="1" applyFont="1" applyFill="1" applyBorder="1" applyAlignment="1" applyProtection="1">
      <alignment/>
      <protection/>
    </xf>
    <xf numFmtId="37" fontId="4" fillId="33" borderId="0" xfId="0" applyNumberFormat="1" applyFont="1" applyFill="1" applyAlignment="1" applyProtection="1">
      <alignment/>
      <protection/>
    </xf>
    <xf numFmtId="0" fontId="4" fillId="33" borderId="0" xfId="0" applyFont="1" applyFill="1" applyAlignment="1">
      <alignment/>
    </xf>
    <xf numFmtId="0" fontId="4" fillId="33" borderId="0" xfId="0" applyFont="1" applyFill="1" applyAlignment="1" applyProtection="1">
      <alignment horizontal="center"/>
      <protection/>
    </xf>
    <xf numFmtId="37" fontId="4" fillId="33" borderId="0" xfId="0" applyNumberFormat="1" applyFont="1" applyFill="1" applyBorder="1" applyAlignment="1" applyProtection="1">
      <alignment horizontal="left"/>
      <protection/>
    </xf>
    <xf numFmtId="0" fontId="4" fillId="33" borderId="0" xfId="0" applyFont="1" applyFill="1" applyAlignment="1">
      <alignment horizontal="center"/>
    </xf>
    <xf numFmtId="166" fontId="4" fillId="33" borderId="0" xfId="0" applyNumberFormat="1" applyFont="1" applyFill="1" applyAlignment="1" applyProtection="1">
      <alignment horizontal="center"/>
      <protection/>
    </xf>
    <xf numFmtId="37" fontId="4" fillId="33" borderId="12" xfId="0" applyNumberFormat="1" applyFont="1" applyFill="1" applyBorder="1" applyAlignment="1" applyProtection="1">
      <alignment horizontal="center"/>
      <protection/>
    </xf>
    <xf numFmtId="37" fontId="4" fillId="33" borderId="0" xfId="0" applyNumberFormat="1" applyFont="1" applyFill="1" applyBorder="1" applyAlignment="1" applyProtection="1">
      <alignment horizontal="center"/>
      <protection/>
    </xf>
    <xf numFmtId="165" fontId="4" fillId="34" borderId="12" xfId="0" applyNumberFormat="1" applyFont="1" applyFill="1" applyBorder="1" applyAlignment="1" applyProtection="1">
      <alignment horizontal="center"/>
      <protection/>
    </xf>
    <xf numFmtId="165" fontId="4" fillId="33" borderId="0" xfId="0" applyNumberFormat="1" applyFont="1" applyFill="1" applyBorder="1" applyAlignment="1" applyProtection="1">
      <alignment horizontal="center"/>
      <protection/>
    </xf>
    <xf numFmtId="0" fontId="4" fillId="33" borderId="0" xfId="0" applyFont="1" applyFill="1" applyAlignment="1">
      <alignment horizontal="left"/>
    </xf>
    <xf numFmtId="37" fontId="5" fillId="33" borderId="0" xfId="0" applyNumberFormat="1" applyFont="1" applyFill="1" applyAlignment="1" applyProtection="1">
      <alignment horizontal="center"/>
      <protection/>
    </xf>
    <xf numFmtId="0" fontId="0" fillId="33" borderId="0" xfId="0" applyFill="1" applyAlignment="1">
      <alignment/>
    </xf>
    <xf numFmtId="0" fontId="0" fillId="33" borderId="0" xfId="0" applyFill="1" applyAlignment="1">
      <alignment/>
    </xf>
    <xf numFmtId="177" fontId="4" fillId="33" borderId="0" xfId="0" applyNumberFormat="1" applyFont="1" applyFill="1" applyBorder="1" applyAlignment="1" applyProtection="1">
      <alignment horizontal="center"/>
      <protection/>
    </xf>
    <xf numFmtId="0" fontId="4" fillId="0" borderId="0" xfId="0" applyFont="1" applyAlignment="1">
      <alignment vertical="center"/>
    </xf>
    <xf numFmtId="0" fontId="4" fillId="35" borderId="0" xfId="0" applyFont="1" applyFill="1" applyAlignment="1">
      <alignment vertical="center"/>
    </xf>
    <xf numFmtId="37" fontId="4" fillId="33" borderId="0" xfId="0" applyNumberFormat="1" applyFont="1" applyFill="1" applyAlignment="1" applyProtection="1">
      <alignment horizontal="left" vertical="center"/>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37" fontId="4" fillId="33" borderId="0" xfId="0" applyNumberFormat="1" applyFont="1" applyFill="1" applyBorder="1" applyAlignment="1" applyProtection="1">
      <alignment horizontal="left" vertical="center"/>
      <protection locked="0"/>
    </xf>
    <xf numFmtId="0" fontId="5" fillId="36" borderId="11"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37" fontId="5"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centerContinuous" vertical="center"/>
      <protection/>
    </xf>
    <xf numFmtId="0" fontId="5" fillId="37" borderId="0" xfId="0" applyFont="1" applyFill="1" applyAlignment="1" applyProtection="1">
      <alignment vertical="center"/>
      <protection/>
    </xf>
    <xf numFmtId="0" fontId="4" fillId="37"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3" borderId="0" xfId="0" applyFont="1" applyFill="1" applyAlignment="1" applyProtection="1">
      <alignment horizontal="center" vertical="center"/>
      <protection/>
    </xf>
    <xf numFmtId="0" fontId="4" fillId="37" borderId="13" xfId="0" applyFont="1" applyFill="1" applyBorder="1" applyAlignment="1" applyProtection="1">
      <alignment horizontal="center" vertical="center"/>
      <protection/>
    </xf>
    <xf numFmtId="37" fontId="4" fillId="37" borderId="13" xfId="0" applyNumberFormat="1" applyFont="1" applyFill="1" applyBorder="1" applyAlignment="1" applyProtection="1">
      <alignment horizontal="center" vertical="center"/>
      <protection/>
    </xf>
    <xf numFmtId="0" fontId="4" fillId="37" borderId="13" xfId="0" applyNumberFormat="1" applyFont="1" applyFill="1" applyBorder="1" applyAlignment="1" applyProtection="1">
      <alignment horizontal="center" vertical="center"/>
      <protection/>
    </xf>
    <xf numFmtId="37" fontId="4" fillId="33" borderId="0" xfId="0" applyNumberFormat="1" applyFont="1" applyFill="1" applyAlignment="1" applyProtection="1">
      <alignment horizontal="center" vertical="center"/>
      <protection/>
    </xf>
    <xf numFmtId="37" fontId="4" fillId="37" borderId="14" xfId="0" applyNumberFormat="1" applyFont="1" applyFill="1" applyBorder="1" applyAlignment="1" applyProtection="1">
      <alignment horizontal="center" vertical="center"/>
      <protection/>
    </xf>
    <xf numFmtId="37" fontId="4" fillId="33" borderId="11" xfId="0" applyNumberFormat="1" applyFont="1" applyFill="1" applyBorder="1" applyAlignment="1" applyProtection="1">
      <alignment horizontal="left" vertical="center"/>
      <protection/>
    </xf>
    <xf numFmtId="0" fontId="4" fillId="33" borderId="11" xfId="0" applyFont="1" applyFill="1" applyBorder="1" applyAlignment="1" applyProtection="1">
      <alignment vertical="center"/>
      <protection locked="0"/>
    </xf>
    <xf numFmtId="3" fontId="4" fillId="36" borderId="11" xfId="0" applyNumberFormat="1" applyFont="1" applyFill="1" applyBorder="1" applyAlignment="1" applyProtection="1">
      <alignment vertical="center"/>
      <protection locked="0"/>
    </xf>
    <xf numFmtId="3" fontId="4" fillId="36" borderId="11" xfId="0" applyNumberFormat="1" applyFont="1" applyFill="1" applyBorder="1" applyAlignment="1" applyProtection="1">
      <alignment vertical="center" wrapText="1"/>
      <protection locked="0"/>
    </xf>
    <xf numFmtId="164" fontId="4" fillId="36" borderId="11" xfId="0" applyNumberFormat="1" applyFont="1" applyFill="1" applyBorder="1" applyAlignment="1" applyProtection="1">
      <alignment vertical="center"/>
      <protection locked="0"/>
    </xf>
    <xf numFmtId="0" fontId="4" fillId="33" borderId="11" xfId="0" applyFont="1" applyFill="1" applyBorder="1" applyAlignment="1" applyProtection="1">
      <alignment vertical="center"/>
      <protection/>
    </xf>
    <xf numFmtId="164" fontId="4" fillId="36" borderId="11" xfId="0" applyNumberFormat="1" applyFont="1" applyFill="1" applyBorder="1" applyAlignment="1" applyProtection="1">
      <alignment vertical="center"/>
      <protection locked="0"/>
    </xf>
    <xf numFmtId="0" fontId="4" fillId="36" borderId="11" xfId="0" applyFont="1" applyFill="1" applyBorder="1" applyAlignment="1" applyProtection="1">
      <alignment horizontal="left" vertical="center"/>
      <protection locked="0"/>
    </xf>
    <xf numFmtId="0" fontId="4" fillId="36" borderId="11" xfId="0" applyFont="1" applyFill="1" applyBorder="1" applyAlignment="1" applyProtection="1">
      <alignment vertical="center"/>
      <protection locked="0"/>
    </xf>
    <xf numFmtId="3" fontId="4" fillId="36" borderId="11"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vertical="center"/>
      <protection/>
    </xf>
    <xf numFmtId="0" fontId="4" fillId="33" borderId="15"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164" fontId="4" fillId="34" borderId="11" xfId="0" applyNumberFormat="1"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0" fontId="4" fillId="33" borderId="16"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7" fontId="4" fillId="33" borderId="0" xfId="0" applyNumberFormat="1" applyFont="1" applyFill="1" applyBorder="1" applyAlignment="1" applyProtection="1">
      <alignment horizontal="left" vertical="center"/>
      <protection/>
    </xf>
    <xf numFmtId="164" fontId="4" fillId="33" borderId="0" xfId="0" applyNumberFormat="1" applyFont="1" applyFill="1" applyBorder="1" applyAlignment="1" applyProtection="1">
      <alignment vertical="center"/>
      <protection locked="0"/>
    </xf>
    <xf numFmtId="3" fontId="4" fillId="33"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3" borderId="0" xfId="0" applyFont="1" applyFill="1" applyAlignment="1">
      <alignment vertical="center"/>
    </xf>
    <xf numFmtId="0" fontId="4" fillId="38" borderId="0" xfId="0" applyFont="1" applyFill="1" applyAlignment="1" applyProtection="1">
      <alignment vertical="center"/>
      <protection/>
    </xf>
    <xf numFmtId="37" fontId="4" fillId="33" borderId="11"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left" vertical="center"/>
      <protection/>
    </xf>
    <xf numFmtId="0" fontId="4" fillId="37" borderId="12" xfId="0" applyFont="1" applyFill="1" applyBorder="1" applyAlignment="1" applyProtection="1">
      <alignment vertical="center"/>
      <protection/>
    </xf>
    <xf numFmtId="37" fontId="4" fillId="37" borderId="17" xfId="0" applyNumberFormat="1" applyFont="1" applyFill="1" applyBorder="1" applyAlignment="1" applyProtection="1">
      <alignment horizontal="left" vertical="center"/>
      <protection/>
    </xf>
    <xf numFmtId="0" fontId="4" fillId="37" borderId="17" xfId="0" applyFont="1" applyFill="1" applyBorder="1" applyAlignment="1" applyProtection="1">
      <alignment vertical="center"/>
      <protection/>
    </xf>
    <xf numFmtId="0" fontId="4" fillId="33" borderId="17" xfId="0"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37" fontId="17" fillId="38" borderId="0" xfId="0" applyNumberFormat="1" applyFont="1" applyFill="1" applyAlignment="1" applyProtection="1">
      <alignment horizontal="left" vertical="center"/>
      <protection/>
    </xf>
    <xf numFmtId="0" fontId="6" fillId="37" borderId="0" xfId="0" applyFont="1" applyFill="1" applyAlignment="1">
      <alignment vertical="center"/>
    </xf>
    <xf numFmtId="0" fontId="4" fillId="38" borderId="0" xfId="0" applyFont="1" applyFill="1" applyAlignment="1" applyProtection="1">
      <alignment vertical="center"/>
      <protection locked="0"/>
    </xf>
    <xf numFmtId="0" fontId="4" fillId="33" borderId="0" xfId="0" applyFont="1" applyFill="1" applyAlignment="1" applyProtection="1">
      <alignment vertical="center"/>
      <protection locked="0"/>
    </xf>
    <xf numFmtId="0" fontId="4" fillId="33" borderId="12"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locked="0"/>
    </xf>
    <xf numFmtId="0" fontId="4" fillId="38" borderId="12"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8" borderId="17"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3" borderId="0" xfId="0" applyNumberFormat="1" applyFont="1" applyFill="1" applyAlignment="1">
      <alignment vertical="center"/>
    </xf>
    <xf numFmtId="3" fontId="4" fillId="33" borderId="0" xfId="0" applyNumberFormat="1" applyFont="1" applyFill="1" applyAlignment="1" applyProtection="1">
      <alignment vertical="center"/>
      <protection/>
    </xf>
    <xf numFmtId="37" fontId="4" fillId="33" borderId="17" xfId="0" applyNumberFormat="1" applyFont="1" applyFill="1" applyBorder="1" applyAlignment="1" applyProtection="1">
      <alignment horizontal="left" vertical="center"/>
      <protection/>
    </xf>
    <xf numFmtId="37" fontId="4" fillId="36" borderId="11" xfId="0" applyNumberFormat="1" applyFont="1" applyFill="1" applyBorder="1" applyAlignment="1" applyProtection="1">
      <alignment vertical="center"/>
      <protection locked="0"/>
    </xf>
    <xf numFmtId="37" fontId="4" fillId="33" borderId="18" xfId="0" applyNumberFormat="1" applyFont="1" applyFill="1" applyBorder="1" applyAlignment="1" applyProtection="1">
      <alignment horizontal="left" vertical="center"/>
      <protection/>
    </xf>
    <xf numFmtId="3" fontId="4" fillId="33" borderId="16" xfId="0" applyNumberFormat="1" applyFont="1" applyFill="1" applyBorder="1" applyAlignment="1" applyProtection="1">
      <alignment vertical="center"/>
      <protection/>
    </xf>
    <xf numFmtId="3" fontId="4" fillId="33" borderId="15" xfId="0" applyNumberFormat="1" applyFont="1" applyFill="1" applyBorder="1" applyAlignment="1" applyProtection="1">
      <alignment vertical="center"/>
      <protection/>
    </xf>
    <xf numFmtId="3" fontId="4" fillId="33" borderId="17" xfId="0" applyNumberFormat="1" applyFont="1" applyFill="1" applyBorder="1" applyAlignment="1" applyProtection="1">
      <alignment vertical="center"/>
      <protection/>
    </xf>
    <xf numFmtId="0" fontId="5" fillId="33" borderId="0" xfId="0" applyFont="1" applyFill="1" applyAlignment="1" applyProtection="1">
      <alignment vertical="center"/>
      <protection/>
    </xf>
    <xf numFmtId="0" fontId="0" fillId="33" borderId="0" xfId="0" applyFill="1" applyAlignment="1">
      <alignment vertical="center"/>
    </xf>
    <xf numFmtId="0" fontId="4" fillId="37" borderId="13" xfId="0" applyFont="1" applyFill="1" applyBorder="1" applyAlignment="1">
      <alignment horizontal="center" vertical="center"/>
    </xf>
    <xf numFmtId="0" fontId="4" fillId="37" borderId="10" xfId="0" applyFont="1" applyFill="1" applyBorder="1" applyAlignment="1">
      <alignment horizontal="center" vertical="center"/>
    </xf>
    <xf numFmtId="0" fontId="18" fillId="33" borderId="0" xfId="0" applyFont="1" applyFill="1" applyAlignment="1">
      <alignment vertical="center"/>
    </xf>
    <xf numFmtId="0" fontId="23" fillId="33" borderId="0" xfId="0" applyFont="1" applyFill="1" applyAlignment="1">
      <alignment vertical="center"/>
    </xf>
    <xf numFmtId="0" fontId="4" fillId="37" borderId="14" xfId="0" applyFont="1" applyFill="1" applyBorder="1" applyAlignment="1">
      <alignment horizontal="center" vertical="center"/>
    </xf>
    <xf numFmtId="37" fontId="4" fillId="33" borderId="14" xfId="0" applyNumberFormat="1" applyFont="1" applyFill="1" applyBorder="1" applyAlignment="1">
      <alignment vertical="center"/>
    </xf>
    <xf numFmtId="3" fontId="4" fillId="36" borderId="14" xfId="0" applyNumberFormat="1" applyFont="1" applyFill="1" applyBorder="1" applyAlignment="1" applyProtection="1">
      <alignment vertical="center"/>
      <protection locked="0"/>
    </xf>
    <xf numFmtId="0" fontId="13" fillId="33" borderId="0" xfId="0" applyFont="1" applyFill="1" applyAlignment="1">
      <alignment vertical="center"/>
    </xf>
    <xf numFmtId="0" fontId="13" fillId="0" borderId="0" xfId="0" applyFont="1" applyAlignment="1">
      <alignment vertical="center"/>
    </xf>
    <xf numFmtId="0" fontId="13" fillId="33" borderId="0" xfId="0" applyFont="1" applyFill="1" applyAlignment="1" applyProtection="1">
      <alignment vertical="center"/>
      <protection/>
    </xf>
    <xf numFmtId="37" fontId="13" fillId="33" borderId="0" xfId="0" applyNumberFormat="1" applyFont="1" applyFill="1" applyAlignment="1" applyProtection="1">
      <alignment horizontal="centerContinuous" vertical="center"/>
      <protection/>
    </xf>
    <xf numFmtId="0" fontId="13" fillId="33" borderId="0" xfId="0" applyFont="1" applyFill="1" applyAlignment="1" applyProtection="1">
      <alignment horizontal="centerContinuous" vertical="center"/>
      <protection/>
    </xf>
    <xf numFmtId="37" fontId="13" fillId="33" borderId="0" xfId="0" applyNumberFormat="1" applyFont="1" applyFill="1" applyAlignment="1" applyProtection="1">
      <alignment horizontal="left" vertical="center"/>
      <protection/>
    </xf>
    <xf numFmtId="37" fontId="13" fillId="33" borderId="0" xfId="0" applyNumberFormat="1" applyFont="1" applyFill="1" applyAlignment="1" applyProtection="1">
      <alignment horizontal="fill" vertical="center"/>
      <protection/>
    </xf>
    <xf numFmtId="37" fontId="13" fillId="33" borderId="18" xfId="0" applyNumberFormat="1" applyFont="1" applyFill="1" applyBorder="1" applyAlignment="1" applyProtection="1">
      <alignment horizontal="centerContinuous" vertical="center"/>
      <protection/>
    </xf>
    <xf numFmtId="0" fontId="13" fillId="33" borderId="17" xfId="0" applyFont="1" applyFill="1" applyBorder="1" applyAlignment="1" applyProtection="1">
      <alignment horizontal="centerContinuous" vertical="center"/>
      <protection/>
    </xf>
    <xf numFmtId="0" fontId="13" fillId="33" borderId="15" xfId="0" applyFont="1" applyFill="1" applyBorder="1" applyAlignment="1" applyProtection="1">
      <alignment horizontal="centerContinuous" vertical="center"/>
      <protection/>
    </xf>
    <xf numFmtId="37" fontId="13" fillId="33" borderId="13" xfId="0" applyNumberFormat="1" applyFont="1" applyFill="1" applyBorder="1" applyAlignment="1" applyProtection="1">
      <alignment horizontal="center" vertical="center"/>
      <protection/>
    </xf>
    <xf numFmtId="37" fontId="14" fillId="33" borderId="12" xfId="0" applyNumberFormat="1" applyFont="1" applyFill="1" applyBorder="1" applyAlignment="1" applyProtection="1">
      <alignment horizontal="left" vertical="center"/>
      <protection/>
    </xf>
    <xf numFmtId="0" fontId="13" fillId="33" borderId="12" xfId="0" applyFont="1" applyFill="1" applyBorder="1" applyAlignment="1" applyProtection="1">
      <alignment vertical="center"/>
      <protection/>
    </xf>
    <xf numFmtId="37" fontId="13" fillId="33" borderId="14" xfId="0" applyNumberFormat="1" applyFont="1" applyFill="1" applyBorder="1" applyAlignment="1" applyProtection="1">
      <alignment horizontal="center" vertical="center"/>
      <protection/>
    </xf>
    <xf numFmtId="37" fontId="13" fillId="33" borderId="11" xfId="0" applyNumberFormat="1" applyFont="1" applyFill="1" applyBorder="1" applyAlignment="1" applyProtection="1">
      <alignment horizontal="left" vertical="center"/>
      <protection/>
    </xf>
    <xf numFmtId="37" fontId="13" fillId="33" borderId="10" xfId="0" applyNumberFormat="1" applyFont="1" applyFill="1" applyBorder="1" applyAlignment="1" applyProtection="1">
      <alignment horizontal="center" vertical="center"/>
      <protection/>
    </xf>
    <xf numFmtId="0" fontId="13" fillId="33" borderId="0" xfId="0" applyFont="1" applyFill="1" applyBorder="1" applyAlignment="1" applyProtection="1">
      <alignment vertical="center"/>
      <protection/>
    </xf>
    <xf numFmtId="37" fontId="13" fillId="33" borderId="18" xfId="0" applyNumberFormat="1" applyFont="1" applyFill="1" applyBorder="1" applyAlignment="1" applyProtection="1">
      <alignment horizontal="left" vertical="center"/>
      <protection/>
    </xf>
    <xf numFmtId="0" fontId="13" fillId="33" borderId="15" xfId="0" applyFont="1" applyFill="1" applyBorder="1" applyAlignment="1" applyProtection="1">
      <alignment vertical="center"/>
      <protection/>
    </xf>
    <xf numFmtId="37" fontId="13" fillId="33" borderId="16" xfId="0" applyNumberFormat="1" applyFont="1" applyFill="1" applyBorder="1" applyAlignment="1" applyProtection="1">
      <alignment horizontal="center" vertical="center"/>
      <protection/>
    </xf>
    <xf numFmtId="37" fontId="13" fillId="33" borderId="11" xfId="0" applyNumberFormat="1" applyFont="1" applyFill="1" applyBorder="1" applyAlignment="1" applyProtection="1">
      <alignment horizontal="center" vertical="center"/>
      <protection/>
    </xf>
    <xf numFmtId="0" fontId="13" fillId="33" borderId="10" xfId="0" applyFont="1" applyFill="1" applyBorder="1" applyAlignment="1" applyProtection="1">
      <alignment vertical="center"/>
      <protection/>
    </xf>
    <xf numFmtId="37" fontId="13" fillId="33" borderId="15" xfId="0" applyNumberFormat="1" applyFont="1" applyFill="1" applyBorder="1" applyAlignment="1" applyProtection="1">
      <alignment horizontal="center" vertical="center"/>
      <protection/>
    </xf>
    <xf numFmtId="37" fontId="22" fillId="33" borderId="14" xfId="0" applyNumberFormat="1" applyFont="1" applyFill="1" applyBorder="1" applyAlignment="1" applyProtection="1">
      <alignment horizontal="left" vertical="center"/>
      <protection/>
    </xf>
    <xf numFmtId="37" fontId="22" fillId="33" borderId="14" xfId="0" applyNumberFormat="1" applyFont="1" applyFill="1" applyBorder="1" applyAlignment="1" applyProtection="1">
      <alignment horizontal="center" vertical="center"/>
      <protection/>
    </xf>
    <xf numFmtId="0" fontId="13" fillId="33" borderId="11" xfId="0" applyFont="1" applyFill="1" applyBorder="1" applyAlignment="1" applyProtection="1">
      <alignment vertical="center"/>
      <protection/>
    </xf>
    <xf numFmtId="0" fontId="13" fillId="33" borderId="14" xfId="0" applyFont="1" applyFill="1" applyBorder="1" applyAlignment="1" applyProtection="1">
      <alignment vertical="center"/>
      <protection/>
    </xf>
    <xf numFmtId="37" fontId="13" fillId="33" borderId="18" xfId="0" applyNumberFormat="1" applyFont="1" applyFill="1" applyBorder="1" applyAlignment="1" applyProtection="1">
      <alignment horizontal="center" vertical="center"/>
      <protection/>
    </xf>
    <xf numFmtId="37" fontId="13" fillId="33" borderId="11" xfId="0" applyNumberFormat="1" applyFont="1" applyFill="1" applyBorder="1" applyAlignment="1" applyProtection="1">
      <alignment vertical="center"/>
      <protection/>
    </xf>
    <xf numFmtId="37" fontId="4" fillId="33" borderId="11" xfId="0" applyNumberFormat="1" applyFont="1" applyFill="1" applyBorder="1" applyAlignment="1" applyProtection="1">
      <alignment horizontal="center" vertical="center"/>
      <protection/>
    </xf>
    <xf numFmtId="0" fontId="13" fillId="33" borderId="11" xfId="0" applyFont="1" applyFill="1" applyBorder="1" applyAlignment="1" applyProtection="1">
      <alignment horizontal="center" vertical="center"/>
      <protection/>
    </xf>
    <xf numFmtId="0" fontId="13" fillId="33" borderId="13" xfId="0" applyFont="1" applyFill="1" applyBorder="1" applyAlignment="1" applyProtection="1">
      <alignment vertical="center"/>
      <protection/>
    </xf>
    <xf numFmtId="37" fontId="14" fillId="33" borderId="13" xfId="0" applyNumberFormat="1" applyFont="1" applyFill="1" applyBorder="1" applyAlignment="1" applyProtection="1">
      <alignment horizontal="left" vertical="center"/>
      <protection/>
    </xf>
    <xf numFmtId="37" fontId="13" fillId="33" borderId="19" xfId="0" applyNumberFormat="1" applyFont="1" applyFill="1" applyBorder="1" applyAlignment="1" applyProtection="1">
      <alignment horizontal="left" vertical="center"/>
      <protection/>
    </xf>
    <xf numFmtId="0" fontId="13" fillId="33" borderId="20" xfId="0" applyFont="1" applyFill="1" applyBorder="1" applyAlignment="1" applyProtection="1">
      <alignment vertical="center"/>
      <protection/>
    </xf>
    <xf numFmtId="37" fontId="13" fillId="33" borderId="0" xfId="0" applyNumberFormat="1" applyFont="1" applyFill="1" applyBorder="1" applyAlignment="1" applyProtection="1">
      <alignment vertical="center"/>
      <protection/>
    </xf>
    <xf numFmtId="0" fontId="13" fillId="33" borderId="0" xfId="0" applyFont="1" applyFill="1" applyAlignment="1" applyProtection="1">
      <alignment horizontal="center" vertical="center"/>
      <protection/>
    </xf>
    <xf numFmtId="0" fontId="18" fillId="39" borderId="15" xfId="0" applyFont="1" applyFill="1" applyBorder="1" applyAlignment="1" applyProtection="1">
      <alignment horizontal="center" vertical="center"/>
      <protection/>
    </xf>
    <xf numFmtId="3" fontId="13" fillId="36" borderId="11" xfId="0" applyNumberFormat="1" applyFont="1" applyFill="1" applyBorder="1" applyAlignment="1" applyProtection="1">
      <alignment vertical="center"/>
      <protection locked="0"/>
    </xf>
    <xf numFmtId="37" fontId="13" fillId="33" borderId="0" xfId="0" applyNumberFormat="1" applyFont="1" applyFill="1" applyAlignment="1" applyProtection="1">
      <alignment horizontal="right" vertical="center"/>
      <protection/>
    </xf>
    <xf numFmtId="0" fontId="13" fillId="36" borderId="12" xfId="0" applyFont="1" applyFill="1" applyBorder="1" applyAlignment="1" applyProtection="1">
      <alignment vertical="center"/>
      <protection locked="0"/>
    </xf>
    <xf numFmtId="0" fontId="13" fillId="36" borderId="17" xfId="0" applyFont="1" applyFill="1" applyBorder="1" applyAlignment="1" applyProtection="1">
      <alignment vertical="center"/>
      <protection locked="0"/>
    </xf>
    <xf numFmtId="0" fontId="13" fillId="33" borderId="0" xfId="0" applyFont="1" applyFill="1" applyAlignment="1" applyProtection="1">
      <alignment horizontal="right" vertical="center"/>
      <protection/>
    </xf>
    <xf numFmtId="0" fontId="13" fillId="33" borderId="0" xfId="0" applyFont="1" applyFill="1" applyAlignment="1" applyProtection="1">
      <alignment horizontal="left" vertical="center"/>
      <protection/>
    </xf>
    <xf numFmtId="0" fontId="13" fillId="0" borderId="0" xfId="0" applyFont="1" applyAlignment="1" applyProtection="1">
      <alignment vertical="center"/>
      <protection locked="0"/>
    </xf>
    <xf numFmtId="37" fontId="4" fillId="33" borderId="0" xfId="0" applyNumberFormat="1" applyFont="1" applyFill="1" applyAlignment="1" applyProtection="1">
      <alignment horizontal="centerContinuous" vertical="center"/>
      <protection/>
    </xf>
    <xf numFmtId="37" fontId="4" fillId="33" borderId="18" xfId="0" applyNumberFormat="1"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5" xfId="0" applyFont="1" applyFill="1" applyBorder="1" applyAlignment="1" applyProtection="1">
      <alignment horizontal="centerContinuous" vertical="center"/>
      <protection/>
    </xf>
    <xf numFmtId="37" fontId="4" fillId="33" borderId="13" xfId="0" applyNumberFormat="1" applyFont="1" applyFill="1" applyBorder="1" applyAlignment="1" applyProtection="1">
      <alignment horizontal="center" vertical="center"/>
      <protection/>
    </xf>
    <xf numFmtId="37" fontId="4" fillId="33" borderId="14" xfId="0" applyNumberFormat="1" applyFont="1" applyFill="1" applyBorder="1" applyAlignment="1" applyProtection="1">
      <alignment horizontal="center" vertical="center"/>
      <protection/>
    </xf>
    <xf numFmtId="37" fontId="4" fillId="33" borderId="11" xfId="0" applyNumberFormat="1" applyFont="1" applyFill="1" applyBorder="1" applyAlignment="1" applyProtection="1">
      <alignment horizontal="fill" vertical="center"/>
      <protection/>
    </xf>
    <xf numFmtId="0" fontId="4" fillId="0" borderId="0" xfId="0" applyFont="1" applyAlignment="1" applyProtection="1">
      <alignment horizontal="center" vertical="center"/>
      <protection locked="0"/>
    </xf>
    <xf numFmtId="37" fontId="4" fillId="33" borderId="0" xfId="0" applyNumberFormat="1" applyFont="1" applyFill="1" applyAlignment="1" applyProtection="1">
      <alignment vertical="center"/>
      <protection/>
    </xf>
    <xf numFmtId="0" fontId="5"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2"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7" fontId="4" fillId="33" borderId="0" xfId="0" applyNumberFormat="1" applyFont="1" applyFill="1" applyAlignment="1" applyProtection="1">
      <alignment horizontal="right" vertical="center"/>
      <protection/>
    </xf>
    <xf numFmtId="0" fontId="5" fillId="33" borderId="12"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6" borderId="14" xfId="0" applyFont="1" applyFill="1" applyBorder="1" applyAlignment="1" applyProtection="1">
      <alignment vertical="center"/>
      <protection locked="0"/>
    </xf>
    <xf numFmtId="175" fontId="4" fillId="36" borderId="14" xfId="42" applyNumberFormat="1" applyFont="1" applyFill="1" applyBorder="1" applyAlignment="1" applyProtection="1">
      <alignment vertical="center"/>
      <protection locked="0"/>
    </xf>
    <xf numFmtId="175" fontId="4" fillId="36" borderId="11" xfId="42" applyNumberFormat="1" applyFont="1" applyFill="1" applyBorder="1" applyAlignment="1" applyProtection="1">
      <alignment vertical="center"/>
      <protection locked="0"/>
    </xf>
    <xf numFmtId="0" fontId="6" fillId="36" borderId="11" xfId="0" applyFont="1" applyFill="1" applyBorder="1" applyAlignment="1" applyProtection="1">
      <alignment vertical="center"/>
      <protection locked="0"/>
    </xf>
    <xf numFmtId="0" fontId="4" fillId="33" borderId="11"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1" fontId="4" fillId="33" borderId="0" xfId="0" applyNumberFormat="1" applyFont="1" applyFill="1" applyBorder="1" applyAlignment="1" applyProtection="1">
      <alignment horizontal="right" vertical="center"/>
      <protection/>
    </xf>
    <xf numFmtId="0" fontId="5" fillId="33" borderId="0" xfId="546" applyFont="1" applyFill="1" applyAlignment="1" applyProtection="1">
      <alignment horizontal="centerContinuous" vertical="center"/>
      <protection/>
    </xf>
    <xf numFmtId="0" fontId="4" fillId="33" borderId="12" xfId="0" applyFont="1" applyFill="1" applyBorder="1" applyAlignment="1" applyProtection="1">
      <alignment horizontal="fill" vertical="center"/>
      <protection/>
    </xf>
    <xf numFmtId="0" fontId="4" fillId="33" borderId="13" xfId="0" applyFont="1" applyFill="1" applyBorder="1" applyAlignment="1" applyProtection="1">
      <alignment horizontal="center" vertical="center"/>
      <protection/>
    </xf>
    <xf numFmtId="0" fontId="4" fillId="33" borderId="19" xfId="0" applyFont="1" applyFill="1" applyBorder="1" applyAlignment="1" applyProtection="1">
      <alignment horizontal="centerContinuous" vertical="center"/>
      <protection/>
    </xf>
    <xf numFmtId="0" fontId="4" fillId="33" borderId="20" xfId="0" applyFont="1" applyFill="1" applyBorder="1" applyAlignment="1" applyProtection="1">
      <alignment horizontal="centerContinuous" vertical="center"/>
      <protection/>
    </xf>
    <xf numFmtId="0" fontId="4" fillId="33" borderId="10" xfId="0" applyFont="1" applyFill="1" applyBorder="1" applyAlignment="1" applyProtection="1">
      <alignment horizontal="center" vertical="center"/>
      <protection/>
    </xf>
    <xf numFmtId="1" fontId="4" fillId="33" borderId="24" xfId="0" applyNumberFormat="1" applyFont="1"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xf>
    <xf numFmtId="0" fontId="4" fillId="33" borderId="14" xfId="0" applyFont="1" applyFill="1" applyBorder="1" applyAlignment="1" applyProtection="1">
      <alignment horizontal="center" vertical="center"/>
      <protection/>
    </xf>
    <xf numFmtId="2" fontId="4" fillId="33" borderId="11" xfId="0" applyNumberFormat="1"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0" fontId="4" fillId="36" borderId="11" xfId="0" applyFont="1" applyFill="1" applyBorder="1" applyAlignment="1" applyProtection="1">
      <alignment horizontal="center" vertical="center"/>
      <protection locked="0"/>
    </xf>
    <xf numFmtId="2" fontId="4" fillId="36" borderId="11" xfId="0" applyNumberFormat="1" applyFont="1" applyFill="1" applyBorder="1" applyAlignment="1" applyProtection="1">
      <alignment horizontal="center" vertical="center"/>
      <protection locked="0"/>
    </xf>
    <xf numFmtId="3" fontId="4" fillId="36" borderId="11" xfId="0" applyNumberFormat="1" applyFont="1" applyFill="1" applyBorder="1" applyAlignment="1" applyProtection="1">
      <alignment horizontal="center" vertical="center"/>
      <protection locked="0"/>
    </xf>
    <xf numFmtId="37" fontId="4" fillId="36" borderId="11" xfId="0" applyNumberFormat="1" applyFont="1" applyFill="1" applyBorder="1" applyAlignment="1" applyProtection="1">
      <alignment horizontal="center" vertical="center"/>
      <protection locked="0"/>
    </xf>
    <xf numFmtId="173" fontId="4" fillId="36" borderId="11" xfId="0" applyNumberFormat="1"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xf>
    <xf numFmtId="172" fontId="5" fillId="33" borderId="11" xfId="0" applyNumberFormat="1" applyFont="1" applyFill="1" applyBorder="1" applyAlignment="1" applyProtection="1">
      <alignment horizontal="center" vertical="center"/>
      <protection/>
    </xf>
    <xf numFmtId="2" fontId="5" fillId="33" borderId="11" xfId="0" applyNumberFormat="1" applyFont="1" applyFill="1" applyBorder="1" applyAlignment="1" applyProtection="1">
      <alignment horizontal="center" vertical="center"/>
      <protection/>
    </xf>
    <xf numFmtId="3" fontId="5" fillId="33" borderId="11"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173" fontId="5" fillId="33" borderId="11" xfId="0" applyNumberFormat="1" applyFont="1" applyFill="1" applyBorder="1" applyAlignment="1" applyProtection="1">
      <alignment horizontal="center" vertical="center"/>
      <protection/>
    </xf>
    <xf numFmtId="172" fontId="4" fillId="33" borderId="11" xfId="0" applyNumberFormat="1" applyFont="1" applyFill="1" applyBorder="1" applyAlignment="1" applyProtection="1">
      <alignment horizontal="center" vertical="center"/>
      <protection/>
    </xf>
    <xf numFmtId="2" fontId="4" fillId="33" borderId="11" xfId="0" applyNumberFormat="1" applyFont="1" applyFill="1" applyBorder="1" applyAlignment="1" applyProtection="1">
      <alignment horizontal="center" vertical="center"/>
      <protection/>
    </xf>
    <xf numFmtId="3" fontId="4" fillId="33" borderId="11" xfId="0" applyNumberFormat="1" applyFont="1" applyFill="1" applyBorder="1" applyAlignment="1" applyProtection="1">
      <alignment horizontal="center" vertical="center"/>
      <protection/>
    </xf>
    <xf numFmtId="173" fontId="4" fillId="33" borderId="11" xfId="0" applyNumberFormat="1" applyFont="1" applyFill="1" applyBorder="1" applyAlignment="1" applyProtection="1">
      <alignment horizontal="center" vertical="center"/>
      <protection/>
    </xf>
    <xf numFmtId="1" fontId="5" fillId="33" borderId="11"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1" fontId="4" fillId="33" borderId="11"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3" borderId="0" xfId="0" applyNumberFormat="1" applyFont="1" applyFill="1" applyAlignment="1" applyProtection="1">
      <alignment horizontal="right" vertical="center"/>
      <protection/>
    </xf>
    <xf numFmtId="0" fontId="4" fillId="33" borderId="0" xfId="0" applyFont="1" applyFill="1" applyAlignment="1" applyProtection="1">
      <alignment horizontal="right" vertical="center"/>
      <protection/>
    </xf>
    <xf numFmtId="0" fontId="4" fillId="33" borderId="25"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3" borderId="24" xfId="0" applyFont="1" applyFill="1" applyBorder="1" applyAlignment="1" applyProtection="1">
      <alignment horizontal="left" vertical="center"/>
      <protection/>
    </xf>
    <xf numFmtId="0" fontId="8" fillId="33" borderId="14" xfId="0" applyFont="1" applyFill="1" applyBorder="1" applyAlignment="1" applyProtection="1">
      <alignment horizontal="center" vertical="center"/>
      <protection/>
    </xf>
    <xf numFmtId="14" fontId="4" fillId="33" borderId="14" xfId="0" applyNumberFormat="1" applyFont="1" applyFill="1" applyBorder="1" applyAlignment="1" applyProtection="1" quotePrefix="1">
      <alignment horizontal="center" vertical="center"/>
      <protection/>
    </xf>
    <xf numFmtId="0" fontId="4" fillId="36" borderId="11" xfId="0" applyFont="1" applyFill="1" applyBorder="1" applyAlignment="1" applyProtection="1">
      <alignment vertical="center"/>
      <protection locked="0"/>
    </xf>
    <xf numFmtId="1" fontId="4" fillId="36" borderId="11" xfId="0" applyNumberFormat="1" applyFont="1" applyFill="1" applyBorder="1" applyAlignment="1" applyProtection="1">
      <alignment vertical="center"/>
      <protection locked="0"/>
    </xf>
    <xf numFmtId="2" fontId="4" fillId="36" borderId="11" xfId="0" applyNumberFormat="1" applyFont="1" applyFill="1" applyBorder="1" applyAlignment="1" applyProtection="1">
      <alignment vertical="center"/>
      <protection locked="0"/>
    </xf>
    <xf numFmtId="3" fontId="5" fillId="34" borderId="26" xfId="0" applyNumberFormat="1" applyFont="1" applyFill="1" applyBorder="1" applyAlignment="1" applyProtection="1">
      <alignment vertical="center"/>
      <protection/>
    </xf>
    <xf numFmtId="0" fontId="4" fillId="0" borderId="0" xfId="0" applyFont="1" applyBorder="1" applyAlignment="1">
      <alignment vertical="center"/>
    </xf>
    <xf numFmtId="0" fontId="4" fillId="35" borderId="0" xfId="545" applyFont="1" applyFill="1" applyAlignment="1" applyProtection="1">
      <alignment vertical="center"/>
      <protection/>
    </xf>
    <xf numFmtId="0" fontId="4" fillId="35" borderId="0" xfId="0" applyFont="1" applyFill="1" applyAlignment="1" applyProtection="1">
      <alignment vertical="center"/>
      <protection/>
    </xf>
    <xf numFmtId="0" fontId="4" fillId="33" borderId="0" xfId="0" applyFont="1" applyFill="1" applyAlignment="1" applyProtection="1" quotePrefix="1">
      <alignment horizontal="right" vertical="center"/>
      <protection/>
    </xf>
    <xf numFmtId="0" fontId="4" fillId="33" borderId="0" xfId="0" applyFont="1" applyFill="1" applyAlignment="1" applyProtection="1">
      <alignment horizontal="left" vertical="center"/>
      <protection/>
    </xf>
    <xf numFmtId="1" fontId="4" fillId="33" borderId="14" xfId="0" applyNumberFormat="1" applyFont="1" applyFill="1" applyBorder="1" applyAlignment="1" applyProtection="1">
      <alignment horizontal="center" vertical="center"/>
      <protection/>
    </xf>
    <xf numFmtId="0" fontId="4" fillId="33" borderId="18" xfId="0" applyFont="1" applyFill="1" applyBorder="1" applyAlignment="1" applyProtection="1">
      <alignment horizontal="left" vertical="center"/>
      <protection/>
    </xf>
    <xf numFmtId="3" fontId="4" fillId="36" borderId="15" xfId="0" applyNumberFormat="1" applyFont="1" applyFill="1" applyBorder="1" applyAlignment="1" applyProtection="1">
      <alignment vertical="center"/>
      <protection locked="0"/>
    </xf>
    <xf numFmtId="37" fontId="4" fillId="33" borderId="18" xfId="0" applyNumberFormat="1" applyFont="1" applyFill="1" applyBorder="1" applyAlignment="1" applyProtection="1">
      <alignment vertical="center"/>
      <protection/>
    </xf>
    <xf numFmtId="37" fontId="4" fillId="36" borderId="11" xfId="0" applyNumberFormat="1" applyFont="1" applyFill="1" applyBorder="1" applyAlignment="1" applyProtection="1">
      <alignment vertical="center"/>
      <protection locked="0"/>
    </xf>
    <xf numFmtId="37" fontId="4" fillId="36" borderId="18" xfId="0" applyNumberFormat="1" applyFont="1" applyFill="1" applyBorder="1" applyAlignment="1" applyProtection="1">
      <alignment vertical="center"/>
      <protection locked="0"/>
    </xf>
    <xf numFmtId="0" fontId="4" fillId="36" borderId="18" xfId="0" applyFont="1" applyFill="1" applyBorder="1" applyAlignment="1" applyProtection="1">
      <alignment horizontal="left" vertical="center"/>
      <protection locked="0"/>
    </xf>
    <xf numFmtId="0" fontId="4" fillId="33" borderId="18" xfId="0" applyFont="1" applyFill="1" applyBorder="1" applyAlignment="1" applyProtection="1">
      <alignment vertical="center"/>
      <protection/>
    </xf>
    <xf numFmtId="3" fontId="18" fillId="40" borderId="20" xfId="0" applyNumberFormat="1" applyFont="1" applyFill="1" applyBorder="1" applyAlignment="1" applyProtection="1">
      <alignment horizontal="center" vertical="center"/>
      <protection/>
    </xf>
    <xf numFmtId="37" fontId="5" fillId="33" borderId="18" xfId="0" applyNumberFormat="1" applyFont="1" applyFill="1" applyBorder="1" applyAlignment="1" applyProtection="1">
      <alignment horizontal="left" vertical="center"/>
      <protection/>
    </xf>
    <xf numFmtId="37" fontId="5" fillId="34" borderId="11" xfId="0" applyNumberFormat="1" applyFont="1" applyFill="1" applyBorder="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Alignment="1" applyProtection="1">
      <alignment horizontal="fill" vertical="center"/>
      <protection/>
    </xf>
    <xf numFmtId="0" fontId="4" fillId="33" borderId="14" xfId="0" applyNumberFormat="1" applyFont="1" applyFill="1" applyBorder="1" applyAlignment="1" applyProtection="1">
      <alignment horizontal="center" vertical="center"/>
      <protection/>
    </xf>
    <xf numFmtId="37" fontId="5" fillId="33" borderId="18" xfId="0" applyNumberFormat="1" applyFont="1" applyFill="1" applyBorder="1" applyAlignment="1" applyProtection="1">
      <alignment vertical="center"/>
      <protection/>
    </xf>
    <xf numFmtId="0" fontId="4" fillId="36" borderId="18" xfId="0" applyFont="1" applyFill="1" applyBorder="1" applyAlignment="1" applyProtection="1">
      <alignment vertical="center"/>
      <protection locked="0"/>
    </xf>
    <xf numFmtId="37" fontId="4" fillId="34" borderId="11" xfId="0" applyNumberFormat="1" applyFont="1" applyFill="1" applyBorder="1" applyAlignment="1" applyProtection="1">
      <alignment vertical="center"/>
      <protection/>
    </xf>
    <xf numFmtId="0" fontId="18" fillId="0" borderId="0" xfId="0" applyFont="1" applyAlignment="1">
      <alignment vertical="center"/>
    </xf>
    <xf numFmtId="0" fontId="19" fillId="33" borderId="0" xfId="0" applyFont="1" applyFill="1" applyAlignment="1" applyProtection="1">
      <alignment horizontal="center" vertical="center"/>
      <protection/>
    </xf>
    <xf numFmtId="0" fontId="4" fillId="33" borderId="0" xfId="0" applyFont="1" applyFill="1" applyAlignment="1">
      <alignment horizontal="right" vertical="center"/>
    </xf>
    <xf numFmtId="1" fontId="4" fillId="33" borderId="13" xfId="0" applyNumberFormat="1" applyFont="1" applyFill="1" applyBorder="1" applyAlignment="1" applyProtection="1">
      <alignment horizontal="center" vertical="center"/>
      <protection/>
    </xf>
    <xf numFmtId="0" fontId="4" fillId="36" borderId="11" xfId="0" applyFont="1" applyFill="1" applyBorder="1" applyAlignment="1" applyProtection="1">
      <alignment horizontal="left" vertical="center"/>
      <protection locked="0"/>
    </xf>
    <xf numFmtId="37" fontId="4" fillId="34" borderId="13" xfId="0" applyNumberFormat="1" applyFont="1" applyFill="1" applyBorder="1" applyAlignment="1" applyProtection="1">
      <alignment vertical="center"/>
      <protection/>
    </xf>
    <xf numFmtId="0" fontId="4" fillId="33" borderId="0" xfId="0" applyNumberFormat="1" applyFont="1" applyFill="1" applyAlignment="1" applyProtection="1">
      <alignment vertical="center"/>
      <protection/>
    </xf>
    <xf numFmtId="37" fontId="4" fillId="33" borderId="0" xfId="0" applyNumberFormat="1" applyFont="1" applyFill="1" applyAlignment="1" applyProtection="1">
      <alignment horizontal="fill" vertical="center"/>
      <protection/>
    </xf>
    <xf numFmtId="0" fontId="4" fillId="34" borderId="0" xfId="0" applyFont="1" applyFill="1" applyAlignment="1" applyProtection="1">
      <alignment horizontal="left" vertical="center"/>
      <protection/>
    </xf>
    <xf numFmtId="37" fontId="5" fillId="39" borderId="26" xfId="0" applyNumberFormat="1" applyFont="1" applyFill="1" applyBorder="1" applyAlignment="1" applyProtection="1">
      <alignment vertical="center"/>
      <protection/>
    </xf>
    <xf numFmtId="0" fontId="18" fillId="35" borderId="0" xfId="0" applyFont="1" applyFill="1" applyAlignment="1">
      <alignment vertical="center"/>
    </xf>
    <xf numFmtId="37" fontId="4" fillId="35" borderId="0" xfId="0" applyNumberFormat="1" applyFont="1" applyFill="1" applyAlignment="1">
      <alignment vertical="center"/>
    </xf>
    <xf numFmtId="37" fontId="4" fillId="0" borderId="0" xfId="0" applyNumberFormat="1" applyFont="1" applyAlignment="1">
      <alignment vertical="center"/>
    </xf>
    <xf numFmtId="166" fontId="4" fillId="33" borderId="0" xfId="0" applyNumberFormat="1" applyFont="1" applyFill="1" applyAlignment="1" applyProtection="1">
      <alignment vertical="center"/>
      <protection/>
    </xf>
    <xf numFmtId="37" fontId="4" fillId="33" borderId="0" xfId="0" applyNumberFormat="1" applyFont="1" applyFill="1" applyAlignment="1" applyProtection="1" quotePrefix="1">
      <alignment horizontal="right" vertical="center"/>
      <protection/>
    </xf>
    <xf numFmtId="3" fontId="4" fillId="33" borderId="11" xfId="42" applyNumberFormat="1" applyFont="1" applyFill="1" applyBorder="1" applyAlignment="1" applyProtection="1">
      <alignment horizontal="right" vertical="center"/>
      <protection/>
    </xf>
    <xf numFmtId="37" fontId="4" fillId="33" borderId="24" xfId="0" applyNumberFormat="1" applyFont="1" applyFill="1" applyBorder="1" applyAlignment="1" applyProtection="1">
      <alignment horizontal="left" vertical="center"/>
      <protection/>
    </xf>
    <xf numFmtId="3" fontId="4" fillId="33" borderId="11" xfId="0" applyNumberFormat="1" applyFont="1" applyFill="1" applyBorder="1" applyAlignment="1" applyProtection="1">
      <alignment horizontal="fill" vertical="center"/>
      <protection/>
    </xf>
    <xf numFmtId="3" fontId="4" fillId="36" borderId="11" xfId="0" applyNumberFormat="1" applyFont="1" applyFill="1" applyBorder="1" applyAlignment="1" applyProtection="1">
      <alignment horizontal="right" vertical="center"/>
      <protection locked="0"/>
    </xf>
    <xf numFmtId="3" fontId="4" fillId="33" borderId="11" xfId="0" applyNumberFormat="1" applyFont="1" applyFill="1" applyBorder="1" applyAlignment="1" applyProtection="1">
      <alignment horizontal="right" vertical="center"/>
      <protection/>
    </xf>
    <xf numFmtId="0" fontId="4" fillId="33" borderId="18" xfId="0" applyNumberFormat="1" applyFont="1" applyFill="1" applyBorder="1" applyAlignment="1" applyProtection="1">
      <alignment horizontal="left" vertical="center"/>
      <protection/>
    </xf>
    <xf numFmtId="0" fontId="4" fillId="36" borderId="18" xfId="0" applyNumberFormat="1" applyFont="1" applyFill="1" applyBorder="1" applyAlignment="1" applyProtection="1">
      <alignment horizontal="left" vertical="center"/>
      <protection locked="0"/>
    </xf>
    <xf numFmtId="3" fontId="4" fillId="36" borderId="11" xfId="0" applyNumberFormat="1" applyFont="1" applyFill="1" applyBorder="1" applyAlignment="1" applyProtection="1">
      <alignment horizontal="right" vertical="center"/>
      <protection locked="0"/>
    </xf>
    <xf numFmtId="0" fontId="4" fillId="36" borderId="19" xfId="0" applyNumberFormat="1" applyFont="1" applyFill="1" applyBorder="1" applyAlignment="1" applyProtection="1">
      <alignment horizontal="left" vertical="center"/>
      <protection locked="0"/>
    </xf>
    <xf numFmtId="3" fontId="18" fillId="40" borderId="11" xfId="0" applyNumberFormat="1" applyFont="1" applyFill="1" applyBorder="1" applyAlignment="1" applyProtection="1">
      <alignment horizontal="center" vertical="center"/>
      <protection/>
    </xf>
    <xf numFmtId="3" fontId="5" fillId="34" borderId="14" xfId="0" applyNumberFormat="1" applyFont="1" applyFill="1" applyBorder="1" applyAlignment="1" applyProtection="1">
      <alignment horizontal="right" vertical="center"/>
      <protection/>
    </xf>
    <xf numFmtId="3" fontId="5" fillId="34" borderId="11" xfId="0" applyNumberFormat="1" applyFont="1" applyFill="1" applyBorder="1" applyAlignment="1" applyProtection="1">
      <alignment horizontal="right" vertical="center"/>
      <protection/>
    </xf>
    <xf numFmtId="0" fontId="18" fillId="0" borderId="0" xfId="0" applyFont="1" applyAlignment="1" applyProtection="1">
      <alignment vertical="center"/>
      <protection/>
    </xf>
    <xf numFmtId="3" fontId="4" fillId="39" borderId="11" xfId="0" applyNumberFormat="1" applyFont="1" applyFill="1" applyBorder="1" applyAlignment="1" applyProtection="1">
      <alignment vertical="center"/>
      <protection/>
    </xf>
    <xf numFmtId="0" fontId="4" fillId="36" borderId="0" xfId="0" applyFont="1" applyFill="1" applyAlignment="1" applyProtection="1">
      <alignment horizontal="left" vertical="center"/>
      <protection locked="0"/>
    </xf>
    <xf numFmtId="0" fontId="4" fillId="36" borderId="18" xfId="0" applyFont="1" applyFill="1" applyBorder="1" applyAlignment="1" applyProtection="1">
      <alignment horizontal="left" vertical="center"/>
      <protection/>
    </xf>
    <xf numFmtId="0" fontId="4" fillId="36" borderId="18" xfId="0" applyFont="1" applyFill="1" applyBorder="1" applyAlignment="1">
      <alignment vertical="center"/>
    </xf>
    <xf numFmtId="3" fontId="5" fillId="34" borderId="11" xfId="0" applyNumberFormat="1" applyFont="1" applyFill="1" applyBorder="1" applyAlignment="1" applyProtection="1">
      <alignment vertical="center"/>
      <protection/>
    </xf>
    <xf numFmtId="0" fontId="4" fillId="33" borderId="0" xfId="0" applyFont="1" applyFill="1" applyAlignment="1" applyProtection="1">
      <alignment horizontal="center" vertical="center"/>
      <protection locked="0"/>
    </xf>
    <xf numFmtId="37" fontId="4" fillId="36" borderId="18" xfId="0" applyNumberFormat="1" applyFont="1" applyFill="1" applyBorder="1" applyAlignment="1" applyProtection="1">
      <alignment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2" xfId="0" applyFont="1" applyFill="1" applyBorder="1" applyAlignment="1">
      <alignment vertical="center"/>
    </xf>
    <xf numFmtId="0" fontId="16" fillId="33" borderId="13" xfId="0" applyFont="1" applyFill="1" applyBorder="1" applyAlignment="1">
      <alignment vertical="center"/>
    </xf>
    <xf numFmtId="0" fontId="16" fillId="33" borderId="15" xfId="0" applyFont="1" applyFill="1" applyBorder="1" applyAlignment="1">
      <alignment horizontal="center" vertical="center"/>
    </xf>
    <xf numFmtId="0" fontId="16" fillId="33" borderId="20" xfId="0" applyFont="1" applyFill="1" applyBorder="1" applyAlignment="1">
      <alignment vertical="center"/>
    </xf>
    <xf numFmtId="0" fontId="16" fillId="33" borderId="11" xfId="0" applyFont="1" applyFill="1" applyBorder="1" applyAlignment="1">
      <alignment horizontal="center" vertical="center"/>
    </xf>
    <xf numFmtId="0" fontId="4" fillId="33" borderId="15" xfId="0" applyFont="1" applyFill="1" applyBorder="1" applyAlignment="1">
      <alignment vertical="center"/>
    </xf>
    <xf numFmtId="0" fontId="4" fillId="33" borderId="11" xfId="0" applyFont="1" applyFill="1" applyBorder="1" applyAlignment="1">
      <alignment horizontal="center" vertical="center"/>
    </xf>
    <xf numFmtId="0" fontId="16" fillId="33" borderId="24" xfId="0" applyFont="1" applyFill="1" applyBorder="1" applyAlignment="1">
      <alignment vertical="center"/>
    </xf>
    <xf numFmtId="3" fontId="16" fillId="36" borderId="11" xfId="0" applyNumberFormat="1" applyFont="1" applyFill="1" applyBorder="1" applyAlignment="1" applyProtection="1">
      <alignment horizontal="center" vertical="center"/>
      <protection locked="0"/>
    </xf>
    <xf numFmtId="0" fontId="16" fillId="33" borderId="12" xfId="0" applyFont="1" applyFill="1" applyBorder="1" applyAlignment="1">
      <alignment vertical="center"/>
    </xf>
    <xf numFmtId="3" fontId="16" fillId="34" borderId="11" xfId="0" applyNumberFormat="1" applyFont="1" applyFill="1" applyBorder="1" applyAlignment="1">
      <alignment horizontal="center" vertical="center"/>
    </xf>
    <xf numFmtId="0" fontId="16" fillId="33" borderId="0" xfId="0" applyFont="1" applyFill="1" applyAlignment="1">
      <alignment vertical="center"/>
    </xf>
    <xf numFmtId="3" fontId="16" fillId="33" borderId="0" xfId="0" applyNumberFormat="1" applyFont="1" applyFill="1" applyAlignment="1">
      <alignment horizontal="center" vertical="center"/>
    </xf>
    <xf numFmtId="0" fontId="16" fillId="33" borderId="0" xfId="0" applyFont="1" applyFill="1" applyAlignment="1">
      <alignment horizontal="center" vertical="center"/>
    </xf>
    <xf numFmtId="0" fontId="16" fillId="36" borderId="11" xfId="0" applyFont="1" applyFill="1" applyBorder="1" applyAlignment="1" applyProtection="1">
      <alignment vertical="center"/>
      <protection locked="0"/>
    </xf>
    <xf numFmtId="0" fontId="16" fillId="36" borderId="20" xfId="0" applyFont="1" applyFill="1" applyBorder="1" applyAlignment="1" applyProtection="1">
      <alignment vertical="center"/>
      <protection locked="0"/>
    </xf>
    <xf numFmtId="0" fontId="16" fillId="36" borderId="0" xfId="0" applyFont="1" applyFill="1" applyAlignment="1" applyProtection="1">
      <alignment vertical="center"/>
      <protection locked="0"/>
    </xf>
    <xf numFmtId="0" fontId="16" fillId="36" borderId="15" xfId="0" applyFont="1" applyFill="1" applyBorder="1" applyAlignment="1" applyProtection="1">
      <alignment vertical="center"/>
      <protection locked="0"/>
    </xf>
    <xf numFmtId="0" fontId="16" fillId="36" borderId="14" xfId="0" applyFont="1" applyFill="1" applyBorder="1" applyAlignment="1" applyProtection="1">
      <alignment vertical="center"/>
      <protection locked="0"/>
    </xf>
    <xf numFmtId="0" fontId="16" fillId="36" borderId="21" xfId="0" applyFont="1" applyFill="1" applyBorder="1" applyAlignment="1" applyProtection="1">
      <alignment vertical="center"/>
      <protection locked="0"/>
    </xf>
    <xf numFmtId="3" fontId="16" fillId="33" borderId="11" xfId="0" applyNumberFormat="1" applyFont="1" applyFill="1" applyBorder="1" applyAlignment="1">
      <alignment horizontal="center" vertical="center"/>
    </xf>
    <xf numFmtId="3" fontId="21" fillId="39" borderId="11" xfId="0" applyNumberFormat="1" applyFont="1" applyFill="1" applyBorder="1" applyAlignment="1">
      <alignment horizontal="center" vertical="center"/>
    </xf>
    <xf numFmtId="3" fontId="4" fillId="33"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33" borderId="13" xfId="0" applyFont="1" applyFill="1" applyBorder="1" applyAlignment="1" applyProtection="1">
      <alignment horizontal="centerContinuous" vertical="center"/>
      <protection/>
    </xf>
    <xf numFmtId="1" fontId="4" fillId="33" borderId="18" xfId="0" applyNumberFormat="1" applyFont="1" applyFill="1" applyBorder="1" applyAlignment="1" applyProtection="1">
      <alignment horizontal="centerContinuous" vertical="center"/>
      <protection/>
    </xf>
    <xf numFmtId="164" fontId="4" fillId="33" borderId="11"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1" fontId="4" fillId="33" borderId="0" xfId="0" applyNumberFormat="1" applyFont="1" applyFill="1" applyAlignment="1" applyProtection="1">
      <alignment vertical="center"/>
      <protection/>
    </xf>
    <xf numFmtId="1" fontId="6" fillId="33" borderId="0" xfId="0" applyNumberFormat="1" applyFont="1" applyFill="1" applyAlignment="1" applyProtection="1">
      <alignment horizontal="center" vertical="center"/>
      <protection/>
    </xf>
    <xf numFmtId="37" fontId="4" fillId="33" borderId="26" xfId="0" applyNumberFormat="1" applyFont="1" applyFill="1" applyBorder="1" applyAlignment="1" applyProtection="1">
      <alignment vertical="center"/>
      <protection/>
    </xf>
    <xf numFmtId="0" fontId="4" fillId="36" borderId="0" xfId="0" applyFont="1" applyFill="1" applyAlignment="1" applyProtection="1">
      <alignment vertical="center"/>
      <protection locked="0"/>
    </xf>
    <xf numFmtId="3" fontId="26" fillId="39" borderId="0" xfId="0" applyNumberFormat="1" applyFont="1" applyFill="1" applyAlignment="1">
      <alignment horizontal="center" vertical="center"/>
    </xf>
    <xf numFmtId="37" fontId="13" fillId="33" borderId="0" xfId="0" applyNumberFormat="1" applyFont="1" applyFill="1" applyBorder="1" applyAlignment="1" applyProtection="1">
      <alignment horizontal="left" vertical="center"/>
      <protection/>
    </xf>
    <xf numFmtId="37" fontId="13" fillId="33" borderId="0" xfId="0" applyNumberFormat="1" applyFont="1" applyFill="1" applyBorder="1" applyAlignment="1" applyProtection="1">
      <alignment horizontal="fill" vertical="center"/>
      <protection/>
    </xf>
    <xf numFmtId="0" fontId="12" fillId="0" borderId="0" xfId="516" applyFont="1">
      <alignment/>
      <protection/>
    </xf>
    <xf numFmtId="0" fontId="4" fillId="0" borderId="0" xfId="516" applyFont="1" applyAlignment="1">
      <alignment horizontal="left" vertical="center"/>
      <protection/>
    </xf>
    <xf numFmtId="185" fontId="16" fillId="0" borderId="0" xfId="516" applyNumberFormat="1" applyFont="1" applyAlignment="1">
      <alignment horizontal="left" vertical="center"/>
      <protection/>
    </xf>
    <xf numFmtId="49" fontId="4" fillId="0" borderId="0" xfId="516" applyNumberFormat="1" applyFont="1" applyAlignment="1">
      <alignment horizontal="left" vertical="center"/>
      <protection/>
    </xf>
    <xf numFmtId="0" fontId="16" fillId="0" borderId="0" xfId="516" applyFont="1" applyAlignment="1">
      <alignment horizontal="left" vertical="center"/>
      <protection/>
    </xf>
    <xf numFmtId="186" fontId="16" fillId="0" borderId="0" xfId="516" applyNumberFormat="1" applyFont="1" applyAlignment="1">
      <alignment horizontal="left" vertical="center"/>
      <protection/>
    </xf>
    <xf numFmtId="0" fontId="71" fillId="33" borderId="0" xfId="0" applyFont="1" applyFill="1" applyAlignment="1" applyProtection="1">
      <alignment horizontal="right" vertical="center"/>
      <protection locked="0"/>
    </xf>
    <xf numFmtId="0" fontId="8" fillId="33" borderId="0" xfId="0" applyFont="1" applyFill="1" applyAlignment="1" applyProtection="1">
      <alignment horizontal="left" vertical="center"/>
      <protection locked="0"/>
    </xf>
    <xf numFmtId="3" fontId="16" fillId="34" borderId="14" xfId="0" applyNumberFormat="1" applyFont="1" applyFill="1" applyBorder="1" applyAlignment="1">
      <alignment horizontal="center" vertical="center"/>
    </xf>
    <xf numFmtId="14" fontId="4" fillId="36" borderId="11" xfId="0" applyNumberFormat="1" applyFont="1" applyFill="1" applyBorder="1" applyAlignment="1" applyProtection="1">
      <alignment vertical="center"/>
      <protection locked="0"/>
    </xf>
    <xf numFmtId="14" fontId="4" fillId="36" borderId="11" xfId="0" applyNumberFormat="1" applyFont="1" applyFill="1" applyBorder="1" applyAlignment="1" applyProtection="1">
      <alignment horizontal="center" vertical="center"/>
      <protection locked="0"/>
    </xf>
    <xf numFmtId="3" fontId="4" fillId="36" borderId="18" xfId="0" applyNumberFormat="1" applyFont="1" applyFill="1" applyBorder="1" applyAlignment="1" applyProtection="1">
      <alignment vertical="center"/>
      <protection locked="0"/>
    </xf>
    <xf numFmtId="3" fontId="18" fillId="40" borderId="18" xfId="0" applyNumberFormat="1" applyFont="1" applyFill="1" applyBorder="1" applyAlignment="1" applyProtection="1">
      <alignment horizontal="center" vertical="center"/>
      <protection/>
    </xf>
    <xf numFmtId="3" fontId="5" fillId="34" borderId="18" xfId="0" applyNumberFormat="1" applyFont="1" applyFill="1" applyBorder="1" applyAlignment="1" applyProtection="1">
      <alignment vertical="center"/>
      <protection/>
    </xf>
    <xf numFmtId="0" fontId="4" fillId="33" borderId="24" xfId="0" applyNumberFormat="1" applyFont="1" applyFill="1" applyBorder="1" applyAlignment="1" applyProtection="1">
      <alignment horizontal="center" vertical="center"/>
      <protection/>
    </xf>
    <xf numFmtId="3" fontId="4" fillId="33" borderId="18"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3" fontId="4" fillId="33" borderId="18" xfId="0" applyNumberFormat="1" applyFont="1" applyFill="1" applyBorder="1" applyAlignment="1" applyProtection="1">
      <alignment horizontal="right" vertical="center"/>
      <protection locked="0"/>
    </xf>
    <xf numFmtId="3" fontId="4" fillId="36" borderId="18" xfId="0" applyNumberFormat="1" applyFont="1" applyFill="1" applyBorder="1" applyAlignment="1" applyProtection="1">
      <alignment horizontal="right" vertical="center"/>
      <protection locked="0"/>
    </xf>
    <xf numFmtId="3" fontId="4" fillId="33" borderId="18" xfId="0" applyNumberFormat="1" applyFont="1" applyFill="1" applyBorder="1" applyAlignment="1" applyProtection="1">
      <alignment horizontal="right" vertical="center"/>
      <protection/>
    </xf>
    <xf numFmtId="3" fontId="4" fillId="33" borderId="18" xfId="42" applyNumberFormat="1" applyFont="1" applyFill="1" applyBorder="1" applyAlignment="1" applyProtection="1">
      <alignment horizontal="right" vertical="center"/>
      <protection/>
    </xf>
    <xf numFmtId="3" fontId="5" fillId="34" borderId="24" xfId="0" applyNumberFormat="1" applyFont="1" applyFill="1" applyBorder="1" applyAlignment="1" applyProtection="1">
      <alignment horizontal="right" vertical="center"/>
      <protection/>
    </xf>
    <xf numFmtId="3" fontId="5" fillId="34" borderId="18" xfId="0" applyNumberFormat="1" applyFont="1" applyFill="1" applyBorder="1" applyAlignment="1" applyProtection="1">
      <alignment horizontal="right" vertical="center"/>
      <protection/>
    </xf>
    <xf numFmtId="3" fontId="4" fillId="34" borderId="18" xfId="0" applyNumberFormat="1" applyFont="1" applyFill="1" applyBorder="1" applyAlignment="1" applyProtection="1">
      <alignment horizontal="right" vertical="center"/>
      <protection/>
    </xf>
    <xf numFmtId="49" fontId="4" fillId="36" borderId="11" xfId="0" applyNumberFormat="1" applyFont="1" applyFill="1" applyBorder="1" applyAlignment="1" applyProtection="1">
      <alignment horizontal="center" vertical="center"/>
      <protection locked="0"/>
    </xf>
    <xf numFmtId="37" fontId="13" fillId="33" borderId="0" xfId="0" applyNumberFormat="1" applyFont="1" applyFill="1" applyAlignment="1" applyProtection="1">
      <alignment horizontal="center" vertical="center"/>
      <protection locked="0"/>
    </xf>
    <xf numFmtId="37" fontId="13" fillId="33" borderId="0" xfId="0" applyNumberFormat="1" applyFont="1" applyFill="1" applyAlignment="1" applyProtection="1">
      <alignment horizontal="left" vertical="center"/>
      <protection locked="0"/>
    </xf>
    <xf numFmtId="0" fontId="13" fillId="37" borderId="11" xfId="0" applyFont="1" applyFill="1" applyBorder="1" applyAlignment="1" applyProtection="1">
      <alignment horizontal="center" vertical="center"/>
      <protection/>
    </xf>
    <xf numFmtId="37" fontId="13" fillId="33" borderId="27" xfId="0" applyNumberFormat="1" applyFont="1" applyFill="1" applyBorder="1" applyAlignment="1" applyProtection="1">
      <alignment horizontal="center" vertical="center"/>
      <protection/>
    </xf>
    <xf numFmtId="0" fontId="29" fillId="0" borderId="0" xfId="0" applyFont="1" applyAlignment="1" applyProtection="1">
      <alignment vertical="center"/>
      <protection/>
    </xf>
    <xf numFmtId="0" fontId="13" fillId="39" borderId="12" xfId="94" applyFont="1" applyFill="1" applyBorder="1" applyAlignment="1" applyProtection="1">
      <alignment vertical="center"/>
      <protection/>
    </xf>
    <xf numFmtId="0" fontId="13" fillId="33" borderId="25" xfId="94" applyFont="1" applyFill="1" applyBorder="1" applyAlignment="1" applyProtection="1">
      <alignment vertical="center"/>
      <protection/>
    </xf>
    <xf numFmtId="0" fontId="4" fillId="39" borderId="16" xfId="94" applyFont="1" applyFill="1" applyBorder="1" applyAlignment="1" applyProtection="1">
      <alignment vertical="center"/>
      <protection/>
    </xf>
    <xf numFmtId="0" fontId="13" fillId="39" borderId="16" xfId="94" applyFont="1" applyFill="1" applyBorder="1" applyAlignment="1" applyProtection="1">
      <alignment vertical="center"/>
      <protection/>
    </xf>
    <xf numFmtId="37" fontId="13" fillId="33" borderId="14" xfId="105" applyNumberFormat="1" applyFont="1" applyFill="1" applyBorder="1" applyAlignment="1" applyProtection="1">
      <alignment horizontal="center" vertical="center"/>
      <protection/>
    </xf>
    <xf numFmtId="37" fontId="13" fillId="33" borderId="10" xfId="105" applyNumberFormat="1" applyFont="1" applyFill="1" applyBorder="1" applyAlignment="1" applyProtection="1">
      <alignment horizontal="center" vertical="center"/>
      <protection/>
    </xf>
    <xf numFmtId="3" fontId="18" fillId="40" borderId="13" xfId="0" applyNumberFormat="1" applyFont="1" applyFill="1" applyBorder="1" applyAlignment="1" applyProtection="1">
      <alignment horizontal="center" vertical="center"/>
      <protection/>
    </xf>
    <xf numFmtId="0" fontId="5" fillId="33" borderId="16" xfId="0" applyFont="1" applyFill="1" applyBorder="1" applyAlignment="1" applyProtection="1">
      <alignment vertical="center"/>
      <protection/>
    </xf>
    <xf numFmtId="37" fontId="5" fillId="33" borderId="12" xfId="0" applyNumberFormat="1" applyFont="1" applyFill="1" applyBorder="1" applyAlignment="1" applyProtection="1">
      <alignment vertical="center"/>
      <protection/>
    </xf>
    <xf numFmtId="37" fontId="5" fillId="33" borderId="0" xfId="0" applyNumberFormat="1" applyFont="1" applyFill="1" applyBorder="1" applyAlignment="1" applyProtection="1">
      <alignment vertical="center"/>
      <protection/>
    </xf>
    <xf numFmtId="3" fontId="4" fillId="39" borderId="18" xfId="0" applyNumberFormat="1" applyFont="1" applyFill="1" applyBorder="1" applyAlignment="1" applyProtection="1">
      <alignment vertical="center"/>
      <protection/>
    </xf>
    <xf numFmtId="0" fontId="14" fillId="39" borderId="12" xfId="94" applyFont="1" applyFill="1" applyBorder="1" applyAlignment="1" applyProtection="1">
      <alignment vertical="center"/>
      <protection/>
    </xf>
    <xf numFmtId="190" fontId="14" fillId="39" borderId="24" xfId="94" applyNumberFormat="1" applyFont="1" applyFill="1" applyBorder="1" applyAlignment="1" applyProtection="1">
      <alignment horizontal="center" vertical="center"/>
      <protection/>
    </xf>
    <xf numFmtId="190" fontId="13" fillId="33" borderId="25" xfId="94" applyNumberFormat="1" applyFont="1" applyFill="1" applyBorder="1" applyAlignment="1" applyProtection="1">
      <alignment vertical="center"/>
      <protection/>
    </xf>
    <xf numFmtId="190" fontId="13" fillId="33" borderId="24" xfId="94" applyNumberFormat="1" applyFont="1" applyFill="1" applyBorder="1" applyAlignment="1" applyProtection="1">
      <alignment horizontal="center" vertical="center"/>
      <protection/>
    </xf>
    <xf numFmtId="0" fontId="13" fillId="33" borderId="0" xfId="94" applyFont="1" applyFill="1" applyBorder="1" applyAlignment="1" applyProtection="1">
      <alignment vertical="center"/>
      <protection/>
    </xf>
    <xf numFmtId="0" fontId="13" fillId="33" borderId="21" xfId="94" applyFont="1" applyFill="1" applyBorder="1" applyAlignment="1" applyProtection="1">
      <alignment vertical="center"/>
      <protection/>
    </xf>
    <xf numFmtId="0" fontId="13" fillId="33" borderId="0" xfId="94" applyFont="1" applyFill="1" applyBorder="1" applyAlignment="1" applyProtection="1">
      <alignment horizontal="left" vertical="center"/>
      <protection/>
    </xf>
    <xf numFmtId="0" fontId="29" fillId="0" borderId="0" xfId="0" applyFont="1" applyAlignment="1">
      <alignment vertical="center"/>
    </xf>
    <xf numFmtId="190" fontId="13" fillId="33" borderId="25" xfId="94" applyNumberFormat="1" applyFont="1" applyFill="1" applyBorder="1" applyAlignment="1" applyProtection="1">
      <alignment horizontal="center" vertical="center"/>
      <protection/>
    </xf>
    <xf numFmtId="0" fontId="4" fillId="33" borderId="0" xfId="109" applyFont="1" applyFill="1" applyAlignment="1" applyProtection="1">
      <alignment horizontal="right" vertical="center"/>
      <protection/>
    </xf>
    <xf numFmtId="0" fontId="72" fillId="33" borderId="0" xfId="0" applyFont="1" applyFill="1" applyBorder="1" applyAlignment="1" applyProtection="1">
      <alignment horizontal="center" vertical="center"/>
      <protection/>
    </xf>
    <xf numFmtId="0" fontId="72" fillId="33" borderId="0" xfId="0" applyFont="1" applyFill="1" applyAlignment="1" applyProtection="1">
      <alignment horizontal="center" vertical="center"/>
      <protection/>
    </xf>
    <xf numFmtId="0" fontId="4" fillId="33" borderId="28" xfId="0" applyFont="1" applyFill="1" applyBorder="1" applyAlignment="1" applyProtection="1">
      <alignment vertical="center"/>
      <protection locked="0"/>
    </xf>
    <xf numFmtId="0" fontId="4" fillId="33" borderId="28" xfId="0" applyFont="1" applyFill="1" applyBorder="1" applyAlignment="1" applyProtection="1">
      <alignment vertical="center"/>
      <protection/>
    </xf>
    <xf numFmtId="37" fontId="4" fillId="33" borderId="28" xfId="0" applyNumberFormat="1" applyFont="1" applyFill="1" applyBorder="1" applyAlignment="1" applyProtection="1">
      <alignment vertical="center"/>
      <protection/>
    </xf>
    <xf numFmtId="164" fontId="4" fillId="33" borderId="14" xfId="0" applyNumberFormat="1" applyFont="1" applyFill="1" applyBorder="1" applyAlignment="1" applyProtection="1">
      <alignment vertical="center"/>
      <protection/>
    </xf>
    <xf numFmtId="37" fontId="4" fillId="33" borderId="14" xfId="0" applyNumberFormat="1" applyFont="1" applyFill="1" applyBorder="1" applyAlignment="1" applyProtection="1">
      <alignment vertical="center"/>
      <protection/>
    </xf>
    <xf numFmtId="0" fontId="0" fillId="0" borderId="0" xfId="94">
      <alignment/>
      <protection/>
    </xf>
    <xf numFmtId="37" fontId="4" fillId="33" borderId="13" xfId="94" applyNumberFormat="1" applyFont="1" applyFill="1" applyBorder="1" applyAlignment="1" applyProtection="1">
      <alignment horizontal="center"/>
      <protection/>
    </xf>
    <xf numFmtId="37" fontId="4" fillId="33" borderId="14" xfId="94" applyNumberFormat="1" applyFont="1" applyFill="1" applyBorder="1" applyAlignment="1" applyProtection="1">
      <alignment horizontal="center"/>
      <protection/>
    </xf>
    <xf numFmtId="0" fontId="4" fillId="33" borderId="0" xfId="94" applyFont="1" applyFill="1" applyBorder="1" applyAlignment="1" applyProtection="1">
      <alignment vertical="center"/>
      <protection/>
    </xf>
    <xf numFmtId="0" fontId="4" fillId="33" borderId="25" xfId="94" applyFont="1" applyFill="1" applyBorder="1" applyAlignment="1" applyProtection="1">
      <alignment vertical="center"/>
      <protection/>
    </xf>
    <xf numFmtId="0" fontId="4" fillId="33" borderId="21" xfId="94" applyFont="1" applyFill="1" applyBorder="1" applyAlignment="1" applyProtection="1">
      <alignment vertical="center"/>
      <protection/>
    </xf>
    <xf numFmtId="0" fontId="4" fillId="0" borderId="0" xfId="94" applyFont="1" applyFill="1" applyBorder="1" applyAlignment="1" applyProtection="1">
      <alignment vertical="center"/>
      <protection/>
    </xf>
    <xf numFmtId="0" fontId="4" fillId="41" borderId="0" xfId="105" applyFont="1" applyFill="1" applyBorder="1" applyProtection="1">
      <alignment/>
      <protection/>
    </xf>
    <xf numFmtId="190" fontId="4" fillId="41" borderId="21" xfId="105" applyNumberFormat="1" applyFont="1" applyFill="1" applyBorder="1" applyAlignment="1" applyProtection="1">
      <alignment horizontal="center"/>
      <protection/>
    </xf>
    <xf numFmtId="190" fontId="4" fillId="42" borderId="16" xfId="105" applyNumberFormat="1" applyFont="1" applyFill="1" applyBorder="1" applyAlignment="1" applyProtection="1">
      <alignment horizontal="center"/>
      <protection/>
    </xf>
    <xf numFmtId="0" fontId="4" fillId="0" borderId="0" xfId="105" applyFont="1" applyFill="1" applyBorder="1" applyProtection="1">
      <alignment/>
      <protection/>
    </xf>
    <xf numFmtId="0" fontId="4" fillId="41" borderId="25" xfId="105" applyFont="1" applyFill="1" applyBorder="1" applyProtection="1">
      <alignment/>
      <protection/>
    </xf>
    <xf numFmtId="0" fontId="4" fillId="41" borderId="21" xfId="105" applyFont="1" applyFill="1" applyBorder="1" applyProtection="1">
      <alignment/>
      <protection/>
    </xf>
    <xf numFmtId="183" fontId="4" fillId="41" borderId="21" xfId="105" applyNumberFormat="1" applyFont="1" applyFill="1" applyBorder="1" applyAlignment="1" applyProtection="1">
      <alignment horizontal="center"/>
      <protection/>
    </xf>
    <xf numFmtId="0" fontId="4" fillId="42" borderId="25" xfId="105" applyFont="1" applyFill="1" applyBorder="1" applyProtection="1">
      <alignment/>
      <protection/>
    </xf>
    <xf numFmtId="0" fontId="4" fillId="42" borderId="0" xfId="105" applyFont="1" applyFill="1" applyBorder="1" applyProtection="1">
      <alignment/>
      <protection/>
    </xf>
    <xf numFmtId="0" fontId="4" fillId="42" borderId="24" xfId="105" applyFont="1" applyFill="1" applyBorder="1" applyProtection="1">
      <alignment/>
      <protection/>
    </xf>
    <xf numFmtId="0" fontId="4" fillId="42" borderId="12" xfId="105" applyFont="1" applyFill="1" applyBorder="1" applyProtection="1">
      <alignment/>
      <protection/>
    </xf>
    <xf numFmtId="0" fontId="4" fillId="0" borderId="0" xfId="105" applyFont="1" applyProtection="1">
      <alignment/>
      <protection/>
    </xf>
    <xf numFmtId="190" fontId="4" fillId="41" borderId="16" xfId="105" applyNumberFormat="1" applyFont="1" applyFill="1" applyBorder="1" applyAlignment="1" applyProtection="1">
      <alignment horizontal="center"/>
      <protection/>
    </xf>
    <xf numFmtId="184" fontId="4" fillId="43" borderId="21" xfId="105" applyNumberFormat="1" applyFont="1" applyFill="1" applyBorder="1" applyAlignment="1" applyProtection="1">
      <alignment horizontal="center"/>
      <protection locked="0"/>
    </xf>
    <xf numFmtId="37" fontId="4" fillId="44" borderId="26" xfId="0" applyNumberFormat="1" applyFont="1" applyFill="1" applyBorder="1" applyAlignment="1" applyProtection="1">
      <alignment vertical="center"/>
      <protection/>
    </xf>
    <xf numFmtId="190" fontId="4" fillId="42" borderId="21" xfId="105" applyNumberFormat="1" applyFont="1" applyFill="1" applyBorder="1" applyAlignment="1" applyProtection="1">
      <alignment horizontal="center"/>
      <protection/>
    </xf>
    <xf numFmtId="0" fontId="4" fillId="42" borderId="24" xfId="0" applyFont="1" applyFill="1" applyBorder="1" applyAlignment="1">
      <alignment vertical="center"/>
    </xf>
    <xf numFmtId="0" fontId="4" fillId="42" borderId="12" xfId="0" applyFont="1" applyFill="1" applyBorder="1" applyAlignment="1">
      <alignment vertical="center"/>
    </xf>
    <xf numFmtId="190" fontId="4" fillId="42" borderId="16" xfId="0" applyNumberFormat="1" applyFont="1" applyFill="1" applyBorder="1" applyAlignment="1">
      <alignment horizontal="center" vertical="center"/>
    </xf>
    <xf numFmtId="0" fontId="4"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0" fontId="4" fillId="0" borderId="0" xfId="518" applyFont="1" applyAlignment="1">
      <alignment horizontal="left" vertical="center"/>
      <protection/>
    </xf>
    <xf numFmtId="0" fontId="73" fillId="0" borderId="0" xfId="0" applyFont="1" applyAlignment="1">
      <alignment/>
    </xf>
    <xf numFmtId="0" fontId="74" fillId="0" borderId="0" xfId="518" applyFont="1">
      <alignment/>
      <protection/>
    </xf>
    <xf numFmtId="185" fontId="75" fillId="0" borderId="0" xfId="518" applyNumberFormat="1" applyFont="1" applyAlignment="1">
      <alignment horizontal="left" vertical="center"/>
      <protection/>
    </xf>
    <xf numFmtId="0" fontId="75" fillId="0" borderId="0" xfId="518" applyNumberFormat="1" applyFont="1" applyAlignment="1">
      <alignment horizontal="left" vertical="center"/>
      <protection/>
    </xf>
    <xf numFmtId="1" fontId="75" fillId="0" borderId="0" xfId="518" applyNumberFormat="1" applyFont="1" applyAlignment="1">
      <alignment horizontal="left" vertical="center"/>
      <protection/>
    </xf>
    <xf numFmtId="0" fontId="76" fillId="0" borderId="0" xfId="518" applyFont="1" applyAlignment="1">
      <alignment horizontal="left" vertical="center"/>
      <protection/>
    </xf>
    <xf numFmtId="0" fontId="4" fillId="41" borderId="0" xfId="0" applyFont="1" applyFill="1" applyAlignment="1" applyProtection="1">
      <alignment vertical="center"/>
      <protection locked="0"/>
    </xf>
    <xf numFmtId="10" fontId="4" fillId="36" borderId="11" xfId="0" applyNumberFormat="1" applyFont="1" applyFill="1" applyBorder="1" applyAlignment="1" applyProtection="1">
      <alignment vertical="center"/>
      <protection locked="0"/>
    </xf>
    <xf numFmtId="0" fontId="4" fillId="33" borderId="13" xfId="0" applyFont="1" applyFill="1" applyBorder="1" applyAlignment="1">
      <alignment horizontal="center" vertical="center"/>
    </xf>
    <xf numFmtId="37" fontId="4" fillId="34" borderId="26" xfId="0" applyNumberFormat="1" applyFont="1" applyFill="1" applyBorder="1" applyAlignment="1" applyProtection="1">
      <alignment horizontal="center" vertical="center"/>
      <protection/>
    </xf>
    <xf numFmtId="177" fontId="4" fillId="34" borderId="26" xfId="0" applyNumberFormat="1" applyFont="1" applyFill="1" applyBorder="1" applyAlignment="1" applyProtection="1">
      <alignment horizontal="center" vertical="center"/>
      <protection/>
    </xf>
    <xf numFmtId="177" fontId="4" fillId="33" borderId="11" xfId="0" applyNumberFormat="1" applyFont="1" applyFill="1" applyBorder="1" applyAlignment="1" applyProtection="1">
      <alignment horizontal="center" vertical="center"/>
      <protection/>
    </xf>
    <xf numFmtId="193" fontId="4" fillId="33" borderId="0" xfId="0" applyNumberFormat="1" applyFont="1" applyFill="1" applyAlignment="1">
      <alignment horizontal="center" vertical="center"/>
    </xf>
    <xf numFmtId="0" fontId="13" fillId="41" borderId="25"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13" fillId="41" borderId="0" xfId="0" applyFont="1" applyFill="1" applyBorder="1" applyAlignment="1" applyProtection="1">
      <alignment vertical="center"/>
      <protection/>
    </xf>
    <xf numFmtId="190" fontId="13" fillId="41" borderId="21" xfId="0" applyNumberFormat="1" applyFont="1" applyFill="1" applyBorder="1" applyAlignment="1" applyProtection="1">
      <alignment horizontal="center" vertical="center"/>
      <protection/>
    </xf>
    <xf numFmtId="0" fontId="13" fillId="41" borderId="25" xfId="0" applyFont="1" applyFill="1" applyBorder="1" applyAlignment="1" applyProtection="1">
      <alignment horizontal="left" vertical="center"/>
      <protection/>
    </xf>
    <xf numFmtId="190" fontId="13" fillId="43" borderId="11" xfId="0" applyNumberFormat="1" applyFont="1" applyFill="1" applyBorder="1" applyAlignment="1" applyProtection="1">
      <alignment horizontal="center" vertical="center"/>
      <protection locked="0"/>
    </xf>
    <xf numFmtId="184" fontId="14" fillId="41" borderId="15" xfId="0" applyNumberFormat="1" applyFont="1" applyFill="1" applyBorder="1" applyAlignment="1" applyProtection="1">
      <alignment horizontal="center" vertical="center"/>
      <protection/>
    </xf>
    <xf numFmtId="0" fontId="14" fillId="42" borderId="25"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13" fillId="42" borderId="0" xfId="0" applyFont="1" applyFill="1" applyBorder="1" applyAlignment="1" applyProtection="1">
      <alignment vertical="center"/>
      <protection/>
    </xf>
    <xf numFmtId="190" fontId="14" fillId="42" borderId="15" xfId="0" applyNumberFormat="1" applyFont="1" applyFill="1" applyBorder="1" applyAlignment="1" applyProtection="1">
      <alignment horizontal="center" vertical="center"/>
      <protection/>
    </xf>
    <xf numFmtId="37" fontId="13" fillId="33" borderId="24" xfId="0" applyNumberFormat="1" applyFont="1" applyFill="1" applyBorder="1" applyAlignment="1" applyProtection="1">
      <alignment horizontal="left" vertical="center"/>
      <protection/>
    </xf>
    <xf numFmtId="0" fontId="15" fillId="41" borderId="12" xfId="0" applyFont="1" applyFill="1" applyBorder="1" applyAlignment="1">
      <alignment horizontal="left" vertical="center"/>
    </xf>
    <xf numFmtId="190" fontId="14" fillId="42" borderId="16" xfId="0" applyNumberFormat="1" applyFont="1" applyFill="1" applyBorder="1" applyAlignment="1" applyProtection="1">
      <alignment horizontal="center" vertical="center"/>
      <protection locked="0"/>
    </xf>
    <xf numFmtId="0" fontId="4" fillId="33" borderId="21" xfId="0" applyFont="1" applyFill="1" applyBorder="1" applyAlignment="1" applyProtection="1">
      <alignment vertical="center"/>
      <protection/>
    </xf>
    <xf numFmtId="0" fontId="4" fillId="41" borderId="21" xfId="0" applyFont="1" applyFill="1" applyBorder="1" applyAlignment="1" applyProtection="1">
      <alignment vertical="center"/>
      <protection locked="0"/>
    </xf>
    <xf numFmtId="0" fontId="77" fillId="0" borderId="0" xfId="0" applyFont="1" applyAlignment="1" applyProtection="1">
      <alignment/>
      <protection locked="0"/>
    </xf>
    <xf numFmtId="0" fontId="4" fillId="42" borderId="16" xfId="0" applyFont="1" applyFill="1" applyBorder="1" applyAlignment="1" applyProtection="1">
      <alignment vertical="center"/>
      <protection locked="0"/>
    </xf>
    <xf numFmtId="184" fontId="13" fillId="41" borderId="25" xfId="0" applyNumberFormat="1" applyFont="1" applyFill="1" applyBorder="1" applyAlignment="1" applyProtection="1">
      <alignment horizontal="center" vertical="center"/>
      <protection/>
    </xf>
    <xf numFmtId="0" fontId="13" fillId="41" borderId="0" xfId="0" applyFont="1" applyFill="1" applyBorder="1" applyAlignment="1" applyProtection="1">
      <alignment horizontal="left" vertical="center"/>
      <protection/>
    </xf>
    <xf numFmtId="0" fontId="22" fillId="41" borderId="0" xfId="0" applyFont="1" applyFill="1" applyBorder="1" applyAlignment="1" applyProtection="1">
      <alignment horizontal="center" vertical="center"/>
      <protection/>
    </xf>
    <xf numFmtId="0" fontId="0" fillId="41" borderId="21" xfId="0" applyFill="1" applyBorder="1" applyAlignment="1" applyProtection="1">
      <alignment vertical="center"/>
      <protection/>
    </xf>
    <xf numFmtId="184" fontId="13" fillId="42" borderId="24" xfId="0" applyNumberFormat="1" applyFont="1" applyFill="1" applyBorder="1" applyAlignment="1" applyProtection="1">
      <alignment horizontal="center" vertical="center"/>
      <protection/>
    </xf>
    <xf numFmtId="184" fontId="13" fillId="41" borderId="18" xfId="0" applyNumberFormat="1" applyFont="1" applyFill="1" applyBorder="1" applyAlignment="1" applyProtection="1">
      <alignment horizontal="center" vertical="center"/>
      <protection/>
    </xf>
    <xf numFmtId="184" fontId="13" fillId="42" borderId="18" xfId="0" applyNumberFormat="1" applyFont="1" applyFill="1" applyBorder="1" applyAlignment="1" applyProtection="1">
      <alignment horizontal="center" vertical="center"/>
      <protection/>
    </xf>
    <xf numFmtId="0" fontId="13" fillId="41" borderId="12" xfId="0" applyFont="1" applyFill="1" applyBorder="1" applyAlignment="1" applyProtection="1">
      <alignment horizontal="left" vertical="center"/>
      <protection/>
    </xf>
    <xf numFmtId="0" fontId="22" fillId="41" borderId="12" xfId="0" applyFont="1" applyFill="1" applyBorder="1" applyAlignment="1" applyProtection="1">
      <alignment horizontal="center" vertical="center"/>
      <protection/>
    </xf>
    <xf numFmtId="0" fontId="0" fillId="41" borderId="16" xfId="0" applyFill="1" applyBorder="1" applyAlignment="1" applyProtection="1">
      <alignment vertical="center"/>
      <protection/>
    </xf>
    <xf numFmtId="37" fontId="4" fillId="33" borderId="21" xfId="0" applyNumberFormat="1" applyFont="1" applyFill="1" applyBorder="1" applyAlignment="1" applyProtection="1">
      <alignment horizontal="right" vertical="center"/>
      <protection/>
    </xf>
    <xf numFmtId="190" fontId="13" fillId="41" borderId="25" xfId="0" applyNumberFormat="1" applyFont="1" applyFill="1" applyBorder="1" applyAlignment="1" applyProtection="1">
      <alignment horizontal="center" vertical="center"/>
      <protection/>
    </xf>
    <xf numFmtId="0" fontId="13" fillId="41" borderId="21" xfId="0" applyFont="1" applyFill="1" applyBorder="1" applyAlignment="1" applyProtection="1">
      <alignment vertical="center"/>
      <protection/>
    </xf>
    <xf numFmtId="190" fontId="13" fillId="41" borderId="24" xfId="0" applyNumberFormat="1" applyFont="1" applyFill="1" applyBorder="1" applyAlignment="1" applyProtection="1">
      <alignment horizontal="center" vertical="center"/>
      <protection/>
    </xf>
    <xf numFmtId="190" fontId="13" fillId="41" borderId="25" xfId="0" applyNumberFormat="1" applyFont="1" applyFill="1" applyBorder="1" applyAlignment="1" applyProtection="1">
      <alignment vertical="center"/>
      <protection/>
    </xf>
    <xf numFmtId="0" fontId="4" fillId="41" borderId="21" xfId="0" applyFont="1" applyFill="1" applyBorder="1" applyAlignment="1" applyProtection="1">
      <alignment/>
      <protection locked="0"/>
    </xf>
    <xf numFmtId="190" fontId="13" fillId="42" borderId="24" xfId="0" applyNumberFormat="1" applyFont="1" applyFill="1" applyBorder="1" applyAlignment="1" applyProtection="1">
      <alignment horizontal="center" vertical="center"/>
      <protection/>
    </xf>
    <xf numFmtId="0" fontId="13" fillId="42" borderId="12" xfId="0" applyFont="1" applyFill="1" applyBorder="1" applyAlignment="1" applyProtection="1">
      <alignment vertical="center"/>
      <protection/>
    </xf>
    <xf numFmtId="0" fontId="13" fillId="42" borderId="16" xfId="0" applyFont="1" applyFill="1" applyBorder="1" applyAlignment="1" applyProtection="1">
      <alignment vertical="center"/>
      <protection/>
    </xf>
    <xf numFmtId="37" fontId="4" fillId="42" borderId="16" xfId="0" applyNumberFormat="1" applyFont="1" applyFill="1" applyBorder="1" applyAlignment="1" applyProtection="1">
      <alignment horizontal="right" vertical="center"/>
      <protection/>
    </xf>
    <xf numFmtId="0" fontId="4" fillId="41" borderId="25" xfId="0" applyFont="1" applyFill="1" applyBorder="1" applyAlignment="1" applyProtection="1">
      <alignment vertical="center"/>
      <protection/>
    </xf>
    <xf numFmtId="190" fontId="16" fillId="41" borderId="25" xfId="0" applyNumberFormat="1" applyFont="1" applyFill="1" applyBorder="1" applyAlignment="1" applyProtection="1">
      <alignment horizontal="center" vertical="center"/>
      <protection/>
    </xf>
    <xf numFmtId="0" fontId="4" fillId="41" borderId="21" xfId="0" applyFont="1" applyFill="1" applyBorder="1" applyAlignment="1" applyProtection="1">
      <alignment vertical="center"/>
      <protection/>
    </xf>
    <xf numFmtId="190" fontId="16" fillId="41" borderId="25" xfId="0" applyNumberFormat="1" applyFont="1" applyFill="1" applyBorder="1" applyAlignment="1" applyProtection="1">
      <alignment vertical="center"/>
      <protection/>
    </xf>
    <xf numFmtId="0" fontId="16" fillId="41" borderId="0" xfId="0" applyFont="1" applyFill="1" applyBorder="1" applyAlignment="1" applyProtection="1">
      <alignment vertical="center"/>
      <protection/>
    </xf>
    <xf numFmtId="190" fontId="16" fillId="41" borderId="24" xfId="0" applyNumberFormat="1" applyFont="1" applyFill="1" applyBorder="1" applyAlignment="1" applyProtection="1">
      <alignment horizontal="center" vertical="center"/>
      <protection/>
    </xf>
    <xf numFmtId="190" fontId="16" fillId="42" borderId="24" xfId="0" applyNumberFormat="1" applyFont="1" applyFill="1" applyBorder="1" applyAlignment="1" applyProtection="1">
      <alignment horizontal="center" vertical="center"/>
      <protection/>
    </xf>
    <xf numFmtId="0" fontId="4" fillId="42" borderId="16" xfId="0" applyFont="1" applyFill="1" applyBorder="1" applyAlignment="1" applyProtection="1">
      <alignment vertical="center"/>
      <protection/>
    </xf>
    <xf numFmtId="0" fontId="4" fillId="42" borderId="16" xfId="0" applyFont="1" applyFill="1" applyBorder="1" applyAlignment="1" applyProtection="1">
      <alignment/>
      <protection locked="0"/>
    </xf>
    <xf numFmtId="193" fontId="4" fillId="36" borderId="11" xfId="0" applyNumberFormat="1" applyFont="1" applyFill="1" applyBorder="1" applyAlignment="1" applyProtection="1">
      <alignment vertical="center"/>
      <protection locked="0"/>
    </xf>
    <xf numFmtId="37" fontId="4" fillId="33" borderId="12" xfId="94" applyNumberFormat="1" applyFont="1" applyFill="1" applyBorder="1" applyAlignment="1" applyProtection="1">
      <alignment horizontal="left" vertical="center"/>
      <protection/>
    </xf>
    <xf numFmtId="190" fontId="13" fillId="42" borderId="24" xfId="94" applyNumberFormat="1" applyFont="1" applyFill="1" applyBorder="1" applyAlignment="1" applyProtection="1">
      <alignment horizontal="center" vertical="center"/>
      <protection/>
    </xf>
    <xf numFmtId="193" fontId="4" fillId="36" borderId="11" xfId="0" applyNumberFormat="1" applyFont="1" applyFill="1" applyBorder="1" applyAlignment="1" applyProtection="1">
      <alignment vertical="center"/>
      <protection locked="0"/>
    </xf>
    <xf numFmtId="37" fontId="4" fillId="33" borderId="17" xfId="90" applyNumberFormat="1" applyFont="1" applyFill="1" applyBorder="1" applyAlignment="1" applyProtection="1">
      <alignment horizontal="left" vertical="center"/>
      <protection/>
    </xf>
    <xf numFmtId="1" fontId="4" fillId="33" borderId="19"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horizontal="center" vertical="center"/>
      <protection/>
    </xf>
    <xf numFmtId="0" fontId="13" fillId="33" borderId="16" xfId="0" applyFont="1" applyFill="1" applyBorder="1" applyAlignment="1" applyProtection="1">
      <alignment vertical="center"/>
      <protection/>
    </xf>
    <xf numFmtId="0" fontId="13" fillId="0" borderId="0" xfId="94" applyFont="1" applyFill="1" applyBorder="1" applyAlignment="1" applyProtection="1">
      <alignment vertical="center"/>
      <protection/>
    </xf>
    <xf numFmtId="190" fontId="14" fillId="0" borderId="0" xfId="94" applyNumberFormat="1" applyFont="1" applyFill="1" applyBorder="1" applyAlignment="1" applyProtection="1">
      <alignment horizontal="center" vertical="center"/>
      <protection/>
    </xf>
    <xf numFmtId="0" fontId="14" fillId="0" borderId="0" xfId="94" applyFont="1" applyFill="1" applyBorder="1" applyAlignment="1" applyProtection="1">
      <alignment vertical="center"/>
      <protection/>
    </xf>
    <xf numFmtId="37" fontId="13" fillId="33" borderId="11" xfId="0" applyNumberFormat="1" applyFont="1" applyFill="1" applyBorder="1" applyAlignment="1" applyProtection="1">
      <alignment horizontal="right" vertical="center"/>
      <protection/>
    </xf>
    <xf numFmtId="192" fontId="13" fillId="33" borderId="11" xfId="0" applyNumberFormat="1" applyFont="1" applyFill="1" applyBorder="1" applyAlignment="1" applyProtection="1">
      <alignment horizontal="right" vertical="center"/>
      <protection/>
    </xf>
    <xf numFmtId="183" fontId="4" fillId="33" borderId="11" xfId="0" applyNumberFormat="1" applyFont="1" applyFill="1" applyBorder="1" applyAlignment="1" applyProtection="1">
      <alignment horizontal="right" vertical="center"/>
      <protection/>
    </xf>
    <xf numFmtId="0" fontId="13" fillId="33" borderId="11" xfId="0" applyFont="1" applyFill="1" applyBorder="1" applyAlignment="1" applyProtection="1">
      <alignment horizontal="right" vertical="center"/>
      <protection/>
    </xf>
    <xf numFmtId="0" fontId="13" fillId="33" borderId="13" xfId="0" applyFont="1" applyFill="1" applyBorder="1" applyAlignment="1" applyProtection="1">
      <alignment horizontal="right" vertical="center"/>
      <protection/>
    </xf>
    <xf numFmtId="37" fontId="13" fillId="33" borderId="26" xfId="0" applyNumberFormat="1" applyFont="1" applyFill="1" applyBorder="1" applyAlignment="1" applyProtection="1">
      <alignment horizontal="right" vertical="center"/>
      <protection/>
    </xf>
    <xf numFmtId="183" fontId="13" fillId="33" borderId="26" xfId="0" applyNumberFormat="1" applyFont="1" applyFill="1" applyBorder="1" applyAlignment="1" applyProtection="1">
      <alignment horizontal="right" vertical="center"/>
      <protection/>
    </xf>
    <xf numFmtId="37" fontId="13" fillId="33" borderId="0" xfId="0" applyNumberFormat="1" applyFont="1" applyFill="1" applyBorder="1" applyAlignment="1" applyProtection="1">
      <alignment horizontal="fill" vertical="center"/>
      <protection locked="0"/>
    </xf>
    <xf numFmtId="0" fontId="13" fillId="33" borderId="0" xfId="0" applyFont="1" applyFill="1" applyBorder="1" applyAlignment="1" applyProtection="1">
      <alignment vertical="center"/>
      <protection locked="0"/>
    </xf>
    <xf numFmtId="0" fontId="13" fillId="33" borderId="0" xfId="0" applyFont="1" applyFill="1" applyBorder="1" applyAlignment="1" applyProtection="1">
      <alignment horizontal="centerContinuous" vertical="center"/>
      <protection locked="0"/>
    </xf>
    <xf numFmtId="37" fontId="13" fillId="33" borderId="0" xfId="0" applyNumberFormat="1" applyFont="1" applyFill="1" applyBorder="1" applyAlignment="1" applyProtection="1">
      <alignment horizontal="centerContinuous" vertical="center"/>
      <protection/>
    </xf>
    <xf numFmtId="0" fontId="78" fillId="41" borderId="15" xfId="0" applyFont="1" applyFill="1" applyBorder="1" applyAlignment="1" applyProtection="1">
      <alignment horizontal="center" vertical="center"/>
      <protection locked="0"/>
    </xf>
    <xf numFmtId="0" fontId="5" fillId="41" borderId="17" xfId="0" applyFont="1" applyFill="1" applyBorder="1" applyAlignment="1" applyProtection="1">
      <alignment horizontal="centerContinuous" vertical="center"/>
      <protection locked="0"/>
    </xf>
    <xf numFmtId="0" fontId="78" fillId="41" borderId="15" xfId="0" applyFont="1" applyFill="1" applyBorder="1" applyAlignment="1">
      <alignment horizontal="center" vertical="center"/>
    </xf>
    <xf numFmtId="0" fontId="5" fillId="41" borderId="17" xfId="0" applyFont="1" applyFill="1" applyBorder="1" applyAlignment="1">
      <alignment horizontal="centerContinuous" vertical="center"/>
    </xf>
    <xf numFmtId="0" fontId="4" fillId="36" borderId="18" xfId="0" applyFont="1" applyFill="1" applyBorder="1" applyAlignment="1" applyProtection="1">
      <alignment vertical="center"/>
      <protection locked="0"/>
    </xf>
    <xf numFmtId="0" fontId="4" fillId="36" borderId="17" xfId="0" applyFont="1" applyFill="1" applyBorder="1" applyAlignment="1" applyProtection="1">
      <alignment vertical="center"/>
      <protection/>
    </xf>
    <xf numFmtId="37" fontId="4" fillId="36" borderId="15" xfId="0" applyNumberFormat="1" applyFont="1" applyFill="1" applyBorder="1" applyAlignment="1" applyProtection="1">
      <alignment horizontal="left" vertical="center"/>
      <protection locked="0"/>
    </xf>
    <xf numFmtId="3" fontId="4" fillId="33" borderId="13" xfId="0" applyNumberFormat="1" applyFont="1" applyFill="1" applyBorder="1" applyAlignment="1" applyProtection="1">
      <alignment vertical="center"/>
      <protection/>
    </xf>
    <xf numFmtId="3" fontId="19" fillId="33" borderId="27" xfId="0" applyNumberFormat="1" applyFont="1" applyFill="1" applyBorder="1" applyAlignment="1" applyProtection="1">
      <alignment horizontal="center" vertical="center"/>
      <protection/>
    </xf>
    <xf numFmtId="0" fontId="19" fillId="33" borderId="27" xfId="0" applyFont="1" applyFill="1" applyBorder="1" applyAlignment="1" applyProtection="1">
      <alignment horizontal="center" vertical="center"/>
      <protection/>
    </xf>
    <xf numFmtId="0" fontId="4" fillId="43" borderId="11" xfId="0" applyFont="1" applyFill="1" applyBorder="1" applyAlignment="1" applyProtection="1">
      <alignment/>
      <protection locked="0"/>
    </xf>
    <xf numFmtId="49" fontId="4" fillId="36" borderId="11" xfId="516" applyNumberFormat="1" applyFont="1" applyFill="1" applyBorder="1" applyAlignment="1" applyProtection="1">
      <alignment horizontal="left" vertical="center"/>
      <protection locked="0"/>
    </xf>
    <xf numFmtId="0" fontId="4" fillId="36" borderId="18" xfId="516" applyFont="1" applyFill="1" applyBorder="1" applyAlignment="1" applyProtection="1">
      <alignment horizontal="left" vertical="center"/>
      <protection locked="0"/>
    </xf>
    <xf numFmtId="0" fontId="4" fillId="36" borderId="17" xfId="516" applyFont="1" applyFill="1" applyBorder="1" applyAlignment="1" applyProtection="1">
      <alignment horizontal="left" vertical="center"/>
      <protection locked="0"/>
    </xf>
    <xf numFmtId="0" fontId="12" fillId="36" borderId="15" xfId="516" applyFont="1" applyFill="1" applyBorder="1" applyAlignment="1" applyProtection="1">
      <alignment horizontal="left" vertical="center"/>
      <protection locked="0"/>
    </xf>
    <xf numFmtId="0" fontId="7" fillId="33" borderId="0" xfId="90" applyFont="1" applyFill="1" applyAlignment="1" applyProtection="1">
      <alignment horizontal="center" vertical="center"/>
      <protection/>
    </xf>
    <xf numFmtId="3" fontId="4" fillId="33" borderId="27" xfId="0" applyNumberFormat="1" applyFont="1" applyFill="1" applyBorder="1" applyAlignment="1" applyProtection="1">
      <alignment vertical="center"/>
      <protection/>
    </xf>
    <xf numFmtId="171" fontId="4" fillId="33" borderId="12" xfId="0" applyNumberFormat="1" applyFont="1" applyFill="1" applyBorder="1" applyAlignment="1" applyProtection="1">
      <alignment vertical="center"/>
      <protection/>
    </xf>
    <xf numFmtId="3" fontId="4" fillId="33" borderId="29" xfId="0" applyNumberFormat="1" applyFont="1" applyFill="1" applyBorder="1" applyAlignment="1" applyProtection="1">
      <alignment vertical="center"/>
      <protection/>
    </xf>
    <xf numFmtId="0" fontId="4" fillId="33" borderId="27" xfId="0" applyFont="1" applyFill="1" applyBorder="1" applyAlignment="1" applyProtection="1">
      <alignment vertical="center"/>
      <protection/>
    </xf>
    <xf numFmtId="3" fontId="4" fillId="33" borderId="0" xfId="90" applyNumberFormat="1" applyFont="1" applyFill="1" applyAlignment="1" applyProtection="1">
      <alignment vertical="center"/>
      <protection/>
    </xf>
    <xf numFmtId="3" fontId="4" fillId="33" borderId="12" xfId="90" applyNumberFormat="1" applyFont="1" applyFill="1" applyBorder="1" applyAlignment="1" applyProtection="1">
      <alignment vertical="center"/>
      <protection/>
    </xf>
    <xf numFmtId="3" fontId="4" fillId="33" borderId="0" xfId="90" applyNumberFormat="1" applyFont="1" applyFill="1" applyBorder="1" applyAlignment="1" applyProtection="1">
      <alignment vertical="center"/>
      <protection/>
    </xf>
    <xf numFmtId="0" fontId="4" fillId="33" borderId="0" xfId="90" applyFont="1" applyFill="1" applyAlignment="1" applyProtection="1">
      <alignment horizontal="left" vertical="center"/>
      <protection/>
    </xf>
    <xf numFmtId="0" fontId="4" fillId="41" borderId="0" xfId="90" applyFont="1" applyFill="1" applyAlignment="1" applyProtection="1">
      <alignment vertical="center"/>
      <protection/>
    </xf>
    <xf numFmtId="0" fontId="4" fillId="33" borderId="0" xfId="90" applyFont="1" applyFill="1" applyAlignment="1" applyProtection="1" quotePrefix="1">
      <alignment vertical="center"/>
      <protection/>
    </xf>
    <xf numFmtId="3" fontId="4" fillId="33" borderId="29" xfId="90" applyNumberFormat="1" applyFont="1" applyFill="1" applyBorder="1" applyAlignment="1" applyProtection="1">
      <alignment vertical="center"/>
      <protection/>
    </xf>
    <xf numFmtId="0" fontId="4" fillId="33" borderId="0" xfId="90" applyFont="1" applyFill="1" applyAlignment="1" applyProtection="1" quotePrefix="1">
      <alignment horizontal="left" vertical="center"/>
      <protection/>
    </xf>
    <xf numFmtId="10" fontId="4" fillId="33" borderId="12" xfId="90" applyNumberFormat="1" applyFont="1" applyFill="1" applyBorder="1" applyAlignment="1" applyProtection="1">
      <alignment vertical="center"/>
      <protection/>
    </xf>
    <xf numFmtId="10" fontId="4" fillId="33" borderId="0" xfId="90" applyNumberFormat="1" applyFont="1" applyFill="1" applyBorder="1" applyAlignment="1" applyProtection="1">
      <alignment vertical="center"/>
      <protection/>
    </xf>
    <xf numFmtId="0" fontId="7" fillId="33" borderId="0" xfId="90" applyFont="1" applyFill="1" applyAlignment="1" applyProtection="1">
      <alignment horizontal="left" vertical="center"/>
      <protection/>
    </xf>
    <xf numFmtId="0" fontId="4" fillId="39" borderId="11" xfId="90" applyFont="1" applyFill="1" applyBorder="1" applyAlignment="1">
      <alignment horizontal="left" vertical="center" shrinkToFit="1"/>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14" fillId="41" borderId="11" xfId="223" applyFont="1" applyFill="1" applyBorder="1" applyAlignment="1">
      <alignment horizontal="left" vertical="center"/>
      <protection/>
    </xf>
    <xf numFmtId="0" fontId="0" fillId="0" borderId="0" xfId="90">
      <alignment/>
      <protection/>
    </xf>
    <xf numFmtId="0" fontId="54" fillId="45" borderId="0" xfId="424" applyFill="1" applyBorder="1">
      <alignment/>
      <protection/>
    </xf>
    <xf numFmtId="0" fontId="54" fillId="45" borderId="0" xfId="424" applyFill="1" applyBorder="1" applyAlignment="1">
      <alignment horizontal="left" vertical="center"/>
      <protection/>
    </xf>
    <xf numFmtId="0" fontId="54" fillId="45" borderId="0" xfId="424" applyFill="1" applyBorder="1" applyAlignment="1">
      <alignment horizontal="center" vertical="center"/>
      <protection/>
    </xf>
    <xf numFmtId="0" fontId="30" fillId="0" borderId="0" xfId="90" applyFont="1">
      <alignment/>
      <protection/>
    </xf>
    <xf numFmtId="0" fontId="54" fillId="45" borderId="0" xfId="424" applyFill="1">
      <alignment/>
      <protection/>
    </xf>
    <xf numFmtId="0" fontId="69" fillId="45" borderId="0" xfId="424" applyFont="1" applyFill="1" applyBorder="1">
      <alignment/>
      <protection/>
    </xf>
    <xf numFmtId="0" fontId="69" fillId="45" borderId="30" xfId="424" applyFont="1" applyFill="1" applyBorder="1">
      <alignment/>
      <protection/>
    </xf>
    <xf numFmtId="0" fontId="69" fillId="45" borderId="31" xfId="424" applyFont="1" applyFill="1" applyBorder="1">
      <alignment/>
      <protection/>
    </xf>
    <xf numFmtId="0" fontId="69" fillId="45" borderId="0" xfId="424" applyFont="1" applyFill="1" applyBorder="1" applyAlignment="1">
      <alignment horizontal="center"/>
      <protection/>
    </xf>
    <xf numFmtId="0" fontId="69" fillId="45" borderId="0" xfId="424" applyFont="1" applyFill="1" applyBorder="1" applyAlignment="1">
      <alignment horizontal="right"/>
      <protection/>
    </xf>
    <xf numFmtId="3" fontId="69" fillId="45" borderId="12" xfId="424" applyNumberFormat="1" applyFont="1" applyFill="1" applyBorder="1">
      <alignment/>
      <protection/>
    </xf>
    <xf numFmtId="3" fontId="69" fillId="45" borderId="17" xfId="424" applyNumberFormat="1" applyFont="1" applyFill="1" applyBorder="1">
      <alignment/>
      <protection/>
    </xf>
    <xf numFmtId="0" fontId="69" fillId="45" borderId="12" xfId="424" applyFont="1" applyFill="1" applyBorder="1" applyAlignment="1" applyProtection="1">
      <alignment horizontal="center"/>
      <protection locked="0"/>
    </xf>
    <xf numFmtId="0" fontId="69" fillId="45" borderId="32" xfId="424" applyFont="1" applyFill="1" applyBorder="1" applyAlignment="1" applyProtection="1">
      <alignment horizontal="center"/>
      <protection locked="0"/>
    </xf>
    <xf numFmtId="0" fontId="69" fillId="45" borderId="33" xfId="424" applyFont="1" applyFill="1" applyBorder="1">
      <alignment/>
      <protection/>
    </xf>
    <xf numFmtId="0" fontId="69" fillId="45" borderId="34" xfId="424" applyFont="1" applyFill="1" applyBorder="1">
      <alignment/>
      <protection/>
    </xf>
    <xf numFmtId="0" fontId="69" fillId="45" borderId="35" xfId="424" applyFont="1" applyFill="1" applyBorder="1">
      <alignment/>
      <protection/>
    </xf>
    <xf numFmtId="37" fontId="13" fillId="33" borderId="27" xfId="0" applyNumberFormat="1" applyFont="1" applyFill="1" applyBorder="1" applyAlignment="1" applyProtection="1">
      <alignment horizontal="left" vertical="center"/>
      <protection/>
    </xf>
    <xf numFmtId="37" fontId="13" fillId="33" borderId="27" xfId="0" applyNumberFormat="1" applyFont="1" applyFill="1" applyBorder="1" applyAlignment="1" applyProtection="1">
      <alignment horizontal="fill" vertical="center"/>
      <protection/>
    </xf>
    <xf numFmtId="37" fontId="4" fillId="33" borderId="27" xfId="0" applyNumberFormat="1" applyFont="1" applyFill="1" applyBorder="1" applyAlignment="1" applyProtection="1">
      <alignment horizontal="center" vertical="center"/>
      <protection/>
    </xf>
    <xf numFmtId="0" fontId="11" fillId="36" borderId="12" xfId="70" applyFill="1" applyBorder="1" applyAlignment="1" applyProtection="1">
      <alignment vertical="center"/>
      <protection locked="0"/>
    </xf>
    <xf numFmtId="2" fontId="4" fillId="36" borderId="11" xfId="0" applyNumberFormat="1" applyFont="1" applyFill="1" applyBorder="1" applyAlignment="1" applyProtection="1">
      <alignment horizontal="right" vertical="center"/>
      <protection locked="0"/>
    </xf>
    <xf numFmtId="0" fontId="0" fillId="0" borderId="14" xfId="0" applyBorder="1" applyAlignment="1">
      <alignment horizontal="center" vertical="center" wrapText="1"/>
    </xf>
    <xf numFmtId="175" fontId="4" fillId="36" borderId="18" xfId="42" applyNumberFormat="1" applyFont="1" applyFill="1" applyBorder="1" applyAlignment="1" applyProtection="1">
      <alignment vertical="center"/>
      <protection locked="0"/>
    </xf>
    <xf numFmtId="175" fontId="4" fillId="36" borderId="11" xfId="42" applyNumberFormat="1" applyFont="1" applyFill="1" applyBorder="1" applyAlignment="1" applyProtection="1">
      <alignment vertical="center"/>
      <protection locked="0"/>
    </xf>
    <xf numFmtId="175" fontId="4" fillId="33" borderId="18" xfId="42" applyNumberFormat="1" applyFont="1" applyFill="1" applyBorder="1" applyAlignment="1" applyProtection="1">
      <alignment vertical="center"/>
      <protection/>
    </xf>
    <xf numFmtId="0" fontId="18" fillId="33" borderId="0" xfId="0" applyFont="1" applyFill="1" applyAlignment="1">
      <alignment horizontal="center" vertical="center"/>
    </xf>
    <xf numFmtId="0" fontId="23" fillId="33" borderId="0" xfId="0" applyFont="1" applyFill="1" applyAlignment="1">
      <alignment horizontal="center" vertical="center"/>
    </xf>
    <xf numFmtId="0" fontId="18" fillId="33" borderId="24" xfId="0" applyFont="1" applyFill="1" applyBorder="1" applyAlignment="1">
      <alignment horizontal="center" vertical="center"/>
    </xf>
    <xf numFmtId="0" fontId="23" fillId="33" borderId="12" xfId="0" applyFont="1" applyFill="1" applyBorder="1" applyAlignment="1">
      <alignment horizontal="center" vertical="center"/>
    </xf>
    <xf numFmtId="175" fontId="18" fillId="33" borderId="0" xfId="42" applyNumberFormat="1" applyFont="1" applyFill="1" applyAlignment="1">
      <alignment vertical="center"/>
    </xf>
    <xf numFmtId="175" fontId="23" fillId="33" borderId="0" xfId="42" applyNumberFormat="1" applyFont="1" applyFill="1" applyAlignment="1">
      <alignment vertical="center"/>
    </xf>
    <xf numFmtId="175" fontId="0" fillId="33" borderId="0" xfId="42" applyNumberFormat="1" applyFont="1" applyFill="1" applyAlignment="1">
      <alignment vertical="center"/>
    </xf>
    <xf numFmtId="175" fontId="4" fillId="0" borderId="0" xfId="42" applyNumberFormat="1" applyFont="1" applyAlignment="1">
      <alignment vertical="center"/>
    </xf>
    <xf numFmtId="37" fontId="4" fillId="37" borderId="0" xfId="0" applyNumberFormat="1" applyFont="1" applyFill="1" applyAlignment="1" applyProtection="1">
      <alignment horizontal="center" vertical="center" wrapText="1"/>
      <protection/>
    </xf>
    <xf numFmtId="0" fontId="0" fillId="37" borderId="12" xfId="0" applyFill="1" applyBorder="1" applyAlignment="1">
      <alignment horizontal="center" vertical="center" wrapText="1"/>
    </xf>
    <xf numFmtId="37" fontId="19" fillId="33"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5" fillId="33"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3" borderId="0" xfId="0" applyFont="1" applyFill="1" applyBorder="1" applyAlignment="1" applyProtection="1">
      <alignment vertical="center" wrapText="1"/>
      <protection/>
    </xf>
    <xf numFmtId="0" fontId="5"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4" fillId="37" borderId="1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18" fillId="33" borderId="0" xfId="0" applyFont="1" applyFill="1" applyBorder="1" applyAlignment="1">
      <alignment vertical="center"/>
    </xf>
    <xf numFmtId="0" fontId="23" fillId="0" borderId="0" xfId="0" applyFont="1" applyAlignment="1">
      <alignment vertical="center"/>
    </xf>
    <xf numFmtId="0" fontId="4" fillId="0" borderId="0" xfId="516" applyFont="1" applyAlignment="1">
      <alignment horizontal="left" vertical="center" wrapText="1"/>
      <protection/>
    </xf>
    <xf numFmtId="0" fontId="12" fillId="0" borderId="0" xfId="516" applyFont="1" applyAlignment="1">
      <alignment horizontal="left" vertical="center" wrapText="1"/>
      <protection/>
    </xf>
    <xf numFmtId="0" fontId="17" fillId="0" borderId="0" xfId="516" applyFont="1" applyAlignment="1">
      <alignment horizontal="left" vertical="center"/>
      <protection/>
    </xf>
    <xf numFmtId="37" fontId="13" fillId="0" borderId="0" xfId="0" applyNumberFormat="1" applyFont="1" applyAlignment="1" applyProtection="1">
      <alignment horizontal="center" vertical="center"/>
      <protection locked="0"/>
    </xf>
    <xf numFmtId="37" fontId="14" fillId="33" borderId="0" xfId="0" applyNumberFormat="1" applyFont="1" applyFill="1" applyAlignment="1" applyProtection="1">
      <alignment horizontal="center" vertical="center"/>
      <protection/>
    </xf>
    <xf numFmtId="37" fontId="13" fillId="33" borderId="13" xfId="0" applyNumberFormat="1" applyFont="1" applyFill="1" applyBorder="1" applyAlignment="1" applyProtection="1">
      <alignment horizontal="center" vertical="center" wrapText="1"/>
      <protection/>
    </xf>
    <xf numFmtId="0" fontId="15" fillId="0" borderId="14" xfId="0" applyFont="1" applyBorder="1" applyAlignment="1">
      <alignment horizontal="center" vertical="center" wrapText="1"/>
    </xf>
    <xf numFmtId="37" fontId="22" fillId="33"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3" fillId="33"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3" fillId="33" borderId="19" xfId="0" applyNumberFormat="1" applyFont="1" applyFill="1" applyBorder="1" applyAlignment="1" applyProtection="1">
      <alignment horizontal="fill" vertical="center"/>
      <protection/>
    </xf>
    <xf numFmtId="0" fontId="0" fillId="0" borderId="20" xfId="0" applyBorder="1" applyAlignment="1">
      <alignment vertical="center"/>
    </xf>
    <xf numFmtId="0" fontId="13" fillId="33" borderId="0" xfId="0" applyFont="1" applyFill="1" applyAlignment="1" applyProtection="1">
      <alignment horizontal="center" vertical="center"/>
      <protection/>
    </xf>
    <xf numFmtId="0" fontId="13" fillId="37" borderId="13" xfId="0" applyFont="1" applyFill="1" applyBorder="1" applyAlignment="1" applyProtection="1">
      <alignment horizontal="center" vertical="center" wrapText="1"/>
      <protection/>
    </xf>
    <xf numFmtId="0" fontId="0" fillId="0" borderId="14" xfId="0" applyBorder="1" applyAlignment="1">
      <alignment vertical="center" wrapText="1"/>
    </xf>
    <xf numFmtId="0" fontId="5" fillId="33" borderId="0" xfId="0" applyFont="1" applyFill="1" applyAlignment="1" applyProtection="1">
      <alignment horizontal="center" vertical="center"/>
      <protection/>
    </xf>
    <xf numFmtId="0" fontId="4" fillId="33" borderId="0" xfId="90" applyFont="1" applyFill="1" applyAlignment="1">
      <alignment horizontal="center" vertical="center"/>
      <protection/>
    </xf>
    <xf numFmtId="0" fontId="7" fillId="33" borderId="0" xfId="90" applyFont="1" applyFill="1" applyAlignment="1" applyProtection="1">
      <alignment horizontal="center" vertical="center"/>
      <protection/>
    </xf>
    <xf numFmtId="37" fontId="4" fillId="33" borderId="13" xfId="0" applyNumberFormat="1" applyFont="1" applyFill="1" applyBorder="1" applyAlignment="1" applyProtection="1">
      <alignment horizontal="center" vertical="center" wrapText="1"/>
      <protection/>
    </xf>
    <xf numFmtId="37" fontId="4" fillId="33" borderId="13" xfId="0" applyNumberFormat="1" applyFont="1" applyFill="1" applyBorder="1" applyAlignment="1" applyProtection="1">
      <alignment horizontal="center" wrapText="1"/>
      <protection/>
    </xf>
    <xf numFmtId="0" fontId="0" fillId="0" borderId="14" xfId="0" applyBorder="1" applyAlignment="1">
      <alignment horizontal="center" wrapText="1"/>
    </xf>
    <xf numFmtId="37" fontId="4" fillId="33" borderId="18"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5" xfId="0" applyBorder="1" applyAlignment="1">
      <alignment horizontal="center" vertical="center"/>
    </xf>
    <xf numFmtId="37" fontId="5" fillId="33" borderId="0" xfId="0" applyNumberFormat="1" applyFont="1" applyFill="1" applyAlignment="1" applyProtection="1">
      <alignment horizontal="center"/>
      <protection/>
    </xf>
    <xf numFmtId="0" fontId="4" fillId="33" borderId="24"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4" fillId="33" borderId="24"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3" fontId="4" fillId="33" borderId="27" xfId="109" applyNumberFormat="1" applyFont="1" applyFill="1" applyBorder="1" applyAlignment="1" applyProtection="1">
      <alignment horizontal="right" vertical="center"/>
      <protection/>
    </xf>
    <xf numFmtId="0" fontId="0" fillId="0" borderId="20" xfId="109" applyBorder="1" applyAlignment="1">
      <alignment horizontal="right" vertical="center"/>
      <protection/>
    </xf>
    <xf numFmtId="0" fontId="4" fillId="33" borderId="0" xfId="109" applyFont="1" applyFill="1" applyAlignment="1" applyProtection="1">
      <alignment horizontal="right" vertical="center"/>
      <protection/>
    </xf>
    <xf numFmtId="0" fontId="4" fillId="0" borderId="21" xfId="109" applyFont="1" applyBorder="1" applyAlignment="1">
      <alignment horizontal="right" vertical="center"/>
      <protection/>
    </xf>
    <xf numFmtId="0" fontId="22" fillId="33" borderId="19" xfId="94" applyFont="1" applyFill="1" applyBorder="1" applyAlignment="1" applyProtection="1">
      <alignment horizontal="center" vertical="center"/>
      <protection/>
    </xf>
    <xf numFmtId="0" fontId="28" fillId="0" borderId="27" xfId="94" applyFont="1" applyBorder="1" applyAlignment="1" applyProtection="1">
      <alignment horizontal="center" vertical="center"/>
      <protection/>
    </xf>
    <xf numFmtId="0" fontId="0" fillId="0" borderId="20" xfId="94" applyBorder="1" applyAlignment="1" applyProtection="1">
      <alignment vertical="center"/>
      <protection/>
    </xf>
    <xf numFmtId="0" fontId="4" fillId="33" borderId="0" xfId="0" applyFont="1" applyFill="1" applyAlignment="1" applyProtection="1">
      <alignment horizontal="center" vertical="center"/>
      <protection/>
    </xf>
    <xf numFmtId="0" fontId="4" fillId="33"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2" fillId="41" borderId="19" xfId="0" applyFont="1" applyFill="1" applyBorder="1" applyAlignment="1" applyProtection="1">
      <alignment horizontal="center" vertical="center"/>
      <protection/>
    </xf>
    <xf numFmtId="0" fontId="0" fillId="0" borderId="27" xfId="0" applyBorder="1" applyAlignment="1">
      <alignment vertical="center"/>
    </xf>
    <xf numFmtId="184" fontId="22" fillId="41" borderId="19" xfId="0" applyNumberFormat="1" applyFont="1" applyFill="1" applyBorder="1" applyAlignment="1" applyProtection="1">
      <alignment horizontal="center"/>
      <protection/>
    </xf>
    <xf numFmtId="0" fontId="20" fillId="0" borderId="27" xfId="0" applyFont="1" applyBorder="1" applyAlignment="1">
      <alignment/>
    </xf>
    <xf numFmtId="0" fontId="20" fillId="0" borderId="20" xfId="0" applyFont="1" applyBorder="1" applyAlignment="1">
      <alignment/>
    </xf>
    <xf numFmtId="37" fontId="4" fillId="33" borderId="0" xfId="0" applyNumberFormat="1" applyFont="1" applyFill="1" applyAlignment="1" applyProtection="1">
      <alignment horizontal="center" vertical="center"/>
      <protection/>
    </xf>
    <xf numFmtId="0" fontId="0" fillId="0" borderId="27" xfId="0" applyBorder="1" applyAlignment="1">
      <alignment horizontal="center" vertical="center"/>
    </xf>
    <xf numFmtId="0" fontId="0" fillId="0" borderId="20" xfId="0" applyBorder="1" applyAlignment="1">
      <alignment/>
    </xf>
    <xf numFmtId="0" fontId="15" fillId="0" borderId="27" xfId="0" applyFont="1" applyBorder="1" applyAlignment="1">
      <alignment horizontal="center" vertical="center"/>
    </xf>
    <xf numFmtId="0" fontId="4" fillId="33" borderId="18" xfId="0" applyFont="1" applyFill="1" applyBorder="1" applyAlignment="1">
      <alignment horizontal="center" vertical="center"/>
    </xf>
    <xf numFmtId="0" fontId="4" fillId="33" borderId="15" xfId="0" applyFont="1" applyFill="1" applyBorder="1" applyAlignment="1">
      <alignment horizontal="center" vertical="center"/>
    </xf>
    <xf numFmtId="0" fontId="17" fillId="41" borderId="19" xfId="105" applyFont="1" applyFill="1" applyBorder="1" applyAlignment="1" applyProtection="1">
      <alignment horizontal="center"/>
      <protection/>
    </xf>
    <xf numFmtId="0" fontId="17" fillId="41" borderId="27" xfId="105" applyFont="1" applyFill="1" applyBorder="1" applyAlignment="1" applyProtection="1">
      <alignment horizontal="center"/>
      <protection/>
    </xf>
    <xf numFmtId="0" fontId="17" fillId="41" borderId="20" xfId="105" applyFont="1" applyFill="1" applyBorder="1" applyAlignment="1" applyProtection="1">
      <alignment horizontal="center"/>
      <protection/>
    </xf>
    <xf numFmtId="0" fontId="0" fillId="0" borderId="27" xfId="105" applyBorder="1" applyAlignment="1" applyProtection="1">
      <alignment horizontal="center"/>
      <protection/>
    </xf>
    <xf numFmtId="0" fontId="0" fillId="0" borderId="20" xfId="105" applyBorder="1" applyAlignment="1" applyProtection="1">
      <alignment horizontal="center"/>
      <protection/>
    </xf>
    <xf numFmtId="37" fontId="4" fillId="33" borderId="12" xfId="0" applyNumberFormat="1" applyFont="1" applyFill="1" applyBorder="1" applyAlignment="1" applyProtection="1">
      <alignment horizontal="center" vertical="center"/>
      <protection locked="0"/>
    </xf>
    <xf numFmtId="37" fontId="17" fillId="33" borderId="0" xfId="0" applyNumberFormat="1"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69" fillId="45" borderId="33" xfId="424" applyFont="1" applyFill="1" applyBorder="1" applyAlignment="1">
      <alignment horizontal="left" vertical="top" wrapText="1"/>
      <protection/>
    </xf>
    <xf numFmtId="0" fontId="69" fillId="45" borderId="34" xfId="424" applyFont="1" applyFill="1" applyBorder="1" applyAlignment="1">
      <alignment horizontal="left" vertical="top" wrapText="1"/>
      <protection/>
    </xf>
    <xf numFmtId="0" fontId="69" fillId="45" borderId="35" xfId="424" applyFont="1" applyFill="1" applyBorder="1" applyAlignment="1">
      <alignment horizontal="left" vertical="top" wrapText="1"/>
      <protection/>
    </xf>
    <xf numFmtId="0" fontId="79" fillId="45" borderId="36" xfId="424" applyFont="1" applyFill="1" applyBorder="1" applyAlignment="1">
      <alignment horizontal="center"/>
      <protection/>
    </xf>
    <xf numFmtId="0" fontId="54" fillId="45" borderId="37" xfId="424" applyFill="1" applyBorder="1" applyAlignment="1">
      <alignment horizontal="center"/>
      <protection/>
    </xf>
    <xf numFmtId="0" fontId="54" fillId="45" borderId="38" xfId="424" applyFill="1" applyBorder="1" applyAlignment="1">
      <alignment horizontal="center"/>
      <protection/>
    </xf>
    <xf numFmtId="0" fontId="69" fillId="45" borderId="39" xfId="424" applyFont="1" applyFill="1" applyBorder="1" applyAlignment="1">
      <alignment horizontal="center"/>
      <protection/>
    </xf>
    <xf numFmtId="0" fontId="69" fillId="45" borderId="40" xfId="424" applyFont="1" applyFill="1" applyBorder="1" applyAlignment="1">
      <alignment horizontal="center"/>
      <protection/>
    </xf>
    <xf numFmtId="0" fontId="69" fillId="45" borderId="41" xfId="424" applyFont="1" applyFill="1" applyBorder="1" applyAlignment="1">
      <alignment horizontal="center"/>
      <protection/>
    </xf>
    <xf numFmtId="0" fontId="79" fillId="0" borderId="36" xfId="424" applyFont="1" applyBorder="1" applyAlignment="1">
      <alignment horizontal="center"/>
      <protection/>
    </xf>
    <xf numFmtId="0" fontId="79" fillId="0" borderId="37" xfId="424" applyFont="1" applyBorder="1" applyAlignment="1">
      <alignment horizontal="center"/>
      <protection/>
    </xf>
    <xf numFmtId="0" fontId="79" fillId="0" borderId="38" xfId="424" applyFont="1" applyBorder="1" applyAlignment="1">
      <alignment horizontal="center"/>
      <protection/>
    </xf>
    <xf numFmtId="0" fontId="69" fillId="45" borderId="31" xfId="424" applyFont="1" applyFill="1" applyBorder="1" applyAlignment="1">
      <alignment horizontal="center"/>
      <protection/>
    </xf>
    <xf numFmtId="0" fontId="69" fillId="45" borderId="0" xfId="424" applyFont="1" applyFill="1" applyBorder="1" applyAlignment="1">
      <alignment horizontal="center"/>
      <protection/>
    </xf>
    <xf numFmtId="0" fontId="69" fillId="45" borderId="30" xfId="424" applyFont="1" applyFill="1" applyBorder="1" applyAlignment="1">
      <alignment horizontal="center"/>
      <protection/>
    </xf>
  </cellXfs>
  <cellStyles count="5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11 2 2" xfId="180"/>
    <cellStyle name="Normal 2 10 11 3" xfId="181"/>
    <cellStyle name="Normal 2 10 11 4" xfId="182"/>
    <cellStyle name="Normal 2 10 11 5" xfId="183"/>
    <cellStyle name="Normal 2 10 12"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2" xfId="368"/>
    <cellStyle name="Normal 2 7 2 2" xfId="369"/>
    <cellStyle name="Normal 2 7 2 3" xfId="370"/>
    <cellStyle name="Normal 2 7 3" xfId="371"/>
    <cellStyle name="Normal 2 7 3 2" xfId="372"/>
    <cellStyle name="Normal 2 7 4" xfId="373"/>
    <cellStyle name="Normal 2 7 4 2" xfId="374"/>
    <cellStyle name="Normal 2 7 5" xfId="375"/>
    <cellStyle name="Normal 2 7 5 2" xfId="376"/>
    <cellStyle name="Normal 2 7 6" xfId="377"/>
    <cellStyle name="Normal 2 7 6 2" xfId="378"/>
    <cellStyle name="Normal 2 7 7" xfId="379"/>
    <cellStyle name="Normal 2 7 7 2" xfId="380"/>
    <cellStyle name="Normal 2 7 8" xfId="381"/>
    <cellStyle name="Normal 2 7 8 2" xfId="382"/>
    <cellStyle name="Normal 2 7 9" xfId="383"/>
    <cellStyle name="Normal 2 8" xfId="384"/>
    <cellStyle name="Normal 2 8 10" xfId="385"/>
    <cellStyle name="Normal 2 8 11" xfId="386"/>
    <cellStyle name="Normal 2 8 2" xfId="387"/>
    <cellStyle name="Normal 2 8 2 2" xfId="388"/>
    <cellStyle name="Normal 2 8 3" xfId="389"/>
    <cellStyle name="Normal 2 8 3 2" xfId="390"/>
    <cellStyle name="Normal 2 8 4" xfId="391"/>
    <cellStyle name="Normal 2 8 4 2" xfId="392"/>
    <cellStyle name="Normal 2 8 5" xfId="393"/>
    <cellStyle name="Normal 2 8 5 2" xfId="394"/>
    <cellStyle name="Normal 2 8 6" xfId="395"/>
    <cellStyle name="Normal 2 8 6 2" xfId="396"/>
    <cellStyle name="Normal 2 8 7" xfId="397"/>
    <cellStyle name="Normal 2 8 7 2" xfId="398"/>
    <cellStyle name="Normal 2 8 8" xfId="399"/>
    <cellStyle name="Normal 2 8 8 2" xfId="400"/>
    <cellStyle name="Normal 2 8 9" xfId="401"/>
    <cellStyle name="Normal 2 9" xfId="402"/>
    <cellStyle name="Normal 2 9 10" xfId="403"/>
    <cellStyle name="Normal 2 9 11" xfId="404"/>
    <cellStyle name="Normal 2 9 2" xfId="405"/>
    <cellStyle name="Normal 2 9 2 2" xfId="406"/>
    <cellStyle name="Normal 2 9 3" xfId="407"/>
    <cellStyle name="Normal 2 9 3 2" xfId="408"/>
    <cellStyle name="Normal 2 9 4" xfId="409"/>
    <cellStyle name="Normal 2 9 4 2" xfId="410"/>
    <cellStyle name="Normal 2 9 5" xfId="411"/>
    <cellStyle name="Normal 2 9 5 2" xfId="412"/>
    <cellStyle name="Normal 2 9 6" xfId="413"/>
    <cellStyle name="Normal 2 9 6 2" xfId="414"/>
    <cellStyle name="Normal 2 9 7" xfId="415"/>
    <cellStyle name="Normal 2 9 7 2" xfId="416"/>
    <cellStyle name="Normal 2 9 8" xfId="417"/>
    <cellStyle name="Normal 2 9 8 2" xfId="418"/>
    <cellStyle name="Normal 2 9 9" xfId="419"/>
    <cellStyle name="Normal 20" xfId="420"/>
    <cellStyle name="Normal 20 2" xfId="421"/>
    <cellStyle name="Normal 20 3" xfId="422"/>
    <cellStyle name="Normal 21" xfId="423"/>
    <cellStyle name="Normal 21 2" xfId="424"/>
    <cellStyle name="Normal 21 2 2" xfId="425"/>
    <cellStyle name="Normal 21 2 3" xfId="426"/>
    <cellStyle name="Normal 21 3" xfId="427"/>
    <cellStyle name="Normal 21 4" xfId="428"/>
    <cellStyle name="Normal 21 5" xfId="429"/>
    <cellStyle name="Normal 22" xfId="430"/>
    <cellStyle name="Normal 22 2" xfId="431"/>
    <cellStyle name="Normal 22 3" xfId="432"/>
    <cellStyle name="Normal 23" xfId="433"/>
    <cellStyle name="Normal 23 2" xfId="434"/>
    <cellStyle name="Normal 23 3" xfId="435"/>
    <cellStyle name="Normal 24" xfId="436"/>
    <cellStyle name="Normal 24 2" xfId="437"/>
    <cellStyle name="Normal 24 3" xfId="438"/>
    <cellStyle name="Normal 25" xfId="439"/>
    <cellStyle name="Normal 25 2" xfId="440"/>
    <cellStyle name="Normal 25 3" xfId="441"/>
    <cellStyle name="Normal 26" xfId="442"/>
    <cellStyle name="Normal 3" xfId="443"/>
    <cellStyle name="Normal 3 10" xfId="444"/>
    <cellStyle name="Normal 3 10 2" xfId="445"/>
    <cellStyle name="Normal 3 11" xfId="446"/>
    <cellStyle name="Normal 3 12" xfId="447"/>
    <cellStyle name="Normal 3 13" xfId="448"/>
    <cellStyle name="Normal 3 14" xfId="449"/>
    <cellStyle name="Normal 3 15" xfId="450"/>
    <cellStyle name="Normal 3 2" xfId="451"/>
    <cellStyle name="Normal 3 2 2" xfId="452"/>
    <cellStyle name="Normal 3 2 2 2" xfId="453"/>
    <cellStyle name="Normal 3 2 2 3" xfId="454"/>
    <cellStyle name="Normal 3 2 3" xfId="455"/>
    <cellStyle name="Normal 3 2 4" xfId="456"/>
    <cellStyle name="Normal 3 2 5" xfId="457"/>
    <cellStyle name="Normal 3 3" xfId="458"/>
    <cellStyle name="Normal 3 3 2" xfId="459"/>
    <cellStyle name="Normal 3 3 2 2" xfId="460"/>
    <cellStyle name="Normal 3 3 2 3" xfId="461"/>
    <cellStyle name="Normal 3 3 3" xfId="462"/>
    <cellStyle name="Normal 3 3 4" xfId="463"/>
    <cellStyle name="Normal 3 4" xfId="464"/>
    <cellStyle name="Normal 3 5" xfId="465"/>
    <cellStyle name="Normal 3 6" xfId="466"/>
    <cellStyle name="Normal 3 7" xfId="467"/>
    <cellStyle name="Normal 3 7 2" xfId="468"/>
    <cellStyle name="Normal 3 7 3" xfId="469"/>
    <cellStyle name="Normal 3 8" xfId="470"/>
    <cellStyle name="Normal 3 8 2" xfId="471"/>
    <cellStyle name="Normal 3 8 3" xfId="472"/>
    <cellStyle name="Normal 3 9" xfId="473"/>
    <cellStyle name="Normal 3 9 2" xfId="474"/>
    <cellStyle name="Normal 3 9 3" xfId="475"/>
    <cellStyle name="Normal 4" xfId="476"/>
    <cellStyle name="Normal 4 10" xfId="477"/>
    <cellStyle name="Normal 4 11" xfId="478"/>
    <cellStyle name="Normal 4 12" xfId="479"/>
    <cellStyle name="Normal 4 13" xfId="480"/>
    <cellStyle name="Normal 4 2" xfId="481"/>
    <cellStyle name="Normal 4 2 2" xfId="482"/>
    <cellStyle name="Normal 4 2 2 2" xfId="483"/>
    <cellStyle name="Normal 4 2 2 3" xfId="484"/>
    <cellStyle name="Normal 4 2 3" xfId="485"/>
    <cellStyle name="Normal 4 2 4" xfId="486"/>
    <cellStyle name="Normal 4 2 5" xfId="487"/>
    <cellStyle name="Normal 4 3" xfId="488"/>
    <cellStyle name="Normal 4 3 2" xfId="489"/>
    <cellStyle name="Normal 4 3 3" xfId="490"/>
    <cellStyle name="Normal 4 4" xfId="491"/>
    <cellStyle name="Normal 4 5" xfId="492"/>
    <cellStyle name="Normal 4 5 2" xfId="493"/>
    <cellStyle name="Normal 4 5 3" xfId="494"/>
    <cellStyle name="Normal 4 6" xfId="495"/>
    <cellStyle name="Normal 4 6 2" xfId="496"/>
    <cellStyle name="Normal 4 6 3" xfId="497"/>
    <cellStyle name="Normal 4 7" xfId="498"/>
    <cellStyle name="Normal 4 8" xfId="499"/>
    <cellStyle name="Normal 4 9" xfId="500"/>
    <cellStyle name="Normal 5" xfId="501"/>
    <cellStyle name="Normal 5 2" xfId="502"/>
    <cellStyle name="Normal 5 3" xfId="503"/>
    <cellStyle name="Normal 5 3 2" xfId="504"/>
    <cellStyle name="Normal 5 3 3" xfId="505"/>
    <cellStyle name="Normal 5 4" xfId="506"/>
    <cellStyle name="Normal 5 5" xfId="507"/>
    <cellStyle name="Normal 5 5 2" xfId="508"/>
    <cellStyle name="Normal 5 5 3" xfId="509"/>
    <cellStyle name="Normal 5 6" xfId="510"/>
    <cellStyle name="Normal 6" xfId="511"/>
    <cellStyle name="Normal 6 2" xfId="512"/>
    <cellStyle name="Normal 6 3" xfId="513"/>
    <cellStyle name="Normal 6 4" xfId="514"/>
    <cellStyle name="Normal 6 5" xfId="515"/>
    <cellStyle name="Normal 7" xfId="516"/>
    <cellStyle name="Normal 7 2" xfId="517"/>
    <cellStyle name="Normal 7 2 2" xfId="518"/>
    <cellStyle name="Normal 7 2 2 2" xfId="519"/>
    <cellStyle name="Normal 7 2 3" xfId="520"/>
    <cellStyle name="Normal 7 2 4" xfId="521"/>
    <cellStyle name="Normal 7 2 5" xfId="522"/>
    <cellStyle name="Normal 7 3" xfId="523"/>
    <cellStyle name="Normal 7 4" xfId="524"/>
    <cellStyle name="Normal 7 4 2" xfId="525"/>
    <cellStyle name="Normal 7 4 3" xfId="526"/>
    <cellStyle name="Normal 7 5" xfId="527"/>
    <cellStyle name="Normal 7 5 2" xfId="528"/>
    <cellStyle name="Normal 7 5 3" xfId="529"/>
    <cellStyle name="Normal 7 5 4" xfId="530"/>
    <cellStyle name="Normal 7 6" xfId="531"/>
    <cellStyle name="Normal 7 7" xfId="532"/>
    <cellStyle name="Normal 8" xfId="533"/>
    <cellStyle name="Normal 8 2" xfId="534"/>
    <cellStyle name="Normal 8 3" xfId="535"/>
    <cellStyle name="Normal 9" xfId="536"/>
    <cellStyle name="Normal 9 2" xfId="537"/>
    <cellStyle name="Normal 9 2 2" xfId="538"/>
    <cellStyle name="Normal 9 3" xfId="539"/>
    <cellStyle name="Normal 9 4" xfId="540"/>
    <cellStyle name="Normal 9 5" xfId="541"/>
    <cellStyle name="Normal 9 6" xfId="542"/>
    <cellStyle name="Normal 9 6 2" xfId="543"/>
    <cellStyle name="Normal 9 6 3" xfId="544"/>
    <cellStyle name="Normal_debt" xfId="545"/>
    <cellStyle name="Normal_lpform" xfId="546"/>
    <cellStyle name="Note" xfId="547"/>
    <cellStyle name="Output" xfId="548"/>
    <cellStyle name="Percent" xfId="549"/>
    <cellStyle name="Title" xfId="550"/>
    <cellStyle name="Total" xfId="551"/>
    <cellStyle name="Warning Text" xfId="552"/>
  </cellStyles>
  <dxfs count="254">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udget1@lvpf-cpa.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07"/>
  <sheetViews>
    <sheetView tabSelected="1" view="pageBreakPreview" zoomScale="99" zoomScaleSheetLayoutView="99" zoomScalePageLayoutView="0" workbookViewId="0" topLeftCell="A1">
      <selection activeCell="J54" sqref="J54"/>
    </sheetView>
  </sheetViews>
  <sheetFormatPr defaultColWidth="8.8984375" defaultRowHeight="15"/>
  <cols>
    <col min="1" max="1" width="15.796875" style="25" customWidth="1"/>
    <col min="2" max="2" width="20.796875" style="25" customWidth="1"/>
    <col min="3" max="3" width="8.796875" style="25" customWidth="1"/>
    <col min="4" max="5" width="13.296875" style="25" customWidth="1"/>
    <col min="6" max="6" width="10.796875" style="25" customWidth="1"/>
    <col min="7" max="7" width="1.796875" style="25" customWidth="1"/>
    <col min="8" max="8" width="18.69921875" style="25" customWidth="1"/>
    <col min="9" max="16384" width="8.8984375" style="25" customWidth="1"/>
  </cols>
  <sheetData>
    <row r="1" spans="1:9" ht="16.5">
      <c r="A1" s="575" t="s">
        <v>209</v>
      </c>
      <c r="B1" s="576"/>
      <c r="C1" s="576"/>
      <c r="D1" s="576"/>
      <c r="E1" s="576"/>
      <c r="F1" s="576"/>
      <c r="G1" s="28"/>
      <c r="H1" s="28"/>
      <c r="I1" s="28"/>
    </row>
    <row r="2" spans="1:9" ht="15.75">
      <c r="A2" s="27" t="s">
        <v>210</v>
      </c>
      <c r="B2" s="28"/>
      <c r="C2" s="491" t="s">
        <v>316</v>
      </c>
      <c r="D2" s="492"/>
      <c r="E2" s="493"/>
      <c r="F2" s="29"/>
      <c r="G2" s="28"/>
      <c r="H2" s="28"/>
      <c r="I2" s="28"/>
    </row>
    <row r="3" spans="1:9" ht="15.75">
      <c r="A3" s="27"/>
      <c r="B3" s="28"/>
      <c r="C3" s="28"/>
      <c r="D3" s="28"/>
      <c r="E3" s="30"/>
      <c r="F3" s="29"/>
      <c r="G3" s="28"/>
      <c r="H3" s="28"/>
      <c r="I3" s="28"/>
    </row>
    <row r="4" spans="1:9" ht="15.75">
      <c r="A4" s="27" t="s">
        <v>211</v>
      </c>
      <c r="B4" s="28"/>
      <c r="C4" s="31">
        <v>2015</v>
      </c>
      <c r="D4" s="32"/>
      <c r="E4" s="30"/>
      <c r="F4" s="29"/>
      <c r="G4" s="28"/>
      <c r="H4" s="28"/>
      <c r="I4" s="28"/>
    </row>
    <row r="5" spans="1:9" ht="15.75">
      <c r="A5" s="28"/>
      <c r="B5" s="28"/>
      <c r="C5" s="28"/>
      <c r="D5" s="28"/>
      <c r="E5" s="28"/>
      <c r="F5" s="28"/>
      <c r="G5" s="28"/>
      <c r="H5" s="28"/>
      <c r="I5" s="28"/>
    </row>
    <row r="6" spans="1:9" ht="18.75" customHeight="1">
      <c r="A6" s="33" t="s">
        <v>250</v>
      </c>
      <c r="B6" s="34"/>
      <c r="C6" s="34"/>
      <c r="D6" s="34"/>
      <c r="E6" s="34"/>
      <c r="F6" s="34"/>
      <c r="G6" s="28"/>
      <c r="H6" s="577" t="s">
        <v>283</v>
      </c>
      <c r="I6" s="577"/>
    </row>
    <row r="7" spans="1:9" ht="15.75">
      <c r="A7" s="33" t="s">
        <v>249</v>
      </c>
      <c r="B7" s="34"/>
      <c r="C7" s="34"/>
      <c r="D7" s="34"/>
      <c r="E7" s="34"/>
      <c r="F7" s="34"/>
      <c r="G7" s="28"/>
      <c r="H7" s="577"/>
      <c r="I7" s="577"/>
    </row>
    <row r="8" spans="1:9" ht="15.75">
      <c r="A8" s="33"/>
      <c r="B8" s="34"/>
      <c r="C8" s="34"/>
      <c r="D8" s="34"/>
      <c r="E8" s="34"/>
      <c r="F8" s="34"/>
      <c r="G8" s="28"/>
      <c r="H8" s="577"/>
      <c r="I8" s="577"/>
    </row>
    <row r="9" spans="1:9" ht="16.5">
      <c r="A9" s="573" t="s">
        <v>27</v>
      </c>
      <c r="B9" s="574"/>
      <c r="C9" s="574"/>
      <c r="D9" s="574"/>
      <c r="E9" s="574"/>
      <c r="F9" s="574"/>
      <c r="G9" s="28"/>
      <c r="H9" s="577"/>
      <c r="I9" s="577"/>
    </row>
    <row r="10" spans="1:9" ht="15.75">
      <c r="A10" s="28"/>
      <c r="B10" s="28"/>
      <c r="C10" s="28"/>
      <c r="D10" s="28"/>
      <c r="E10" s="28"/>
      <c r="F10" s="28"/>
      <c r="G10" s="28"/>
      <c r="H10" s="577"/>
      <c r="I10" s="577"/>
    </row>
    <row r="11" spans="1:9" ht="15.75">
      <c r="A11" s="35" t="str">
        <f>CONCATENATE("The input for the following comes directly from the ",C4-1," Budget:")</f>
        <v>The input for the following comes directly from the 2014 Budget:</v>
      </c>
      <c r="B11" s="36"/>
      <c r="C11" s="36"/>
      <c r="D11" s="36"/>
      <c r="E11" s="28"/>
      <c r="F11" s="28"/>
      <c r="G11" s="28"/>
      <c r="H11" s="577"/>
      <c r="I11" s="577"/>
    </row>
    <row r="12" spans="1:9" ht="15.75">
      <c r="A12" s="37" t="s">
        <v>212</v>
      </c>
      <c r="B12" s="36"/>
      <c r="C12" s="36"/>
      <c r="D12" s="36"/>
      <c r="E12" s="28"/>
      <c r="F12" s="28"/>
      <c r="G12" s="28"/>
      <c r="H12" s="29"/>
      <c r="I12" s="411"/>
    </row>
    <row r="13" spans="1:9" ht="15.75">
      <c r="A13" s="37" t="s">
        <v>232</v>
      </c>
      <c r="B13" s="36"/>
      <c r="C13" s="36"/>
      <c r="D13" s="36"/>
      <c r="E13" s="28"/>
      <c r="F13" s="28"/>
      <c r="G13" s="28"/>
      <c r="H13" s="28"/>
      <c r="I13" s="28"/>
    </row>
    <row r="14" spans="1:9" ht="15.75">
      <c r="A14" s="28"/>
      <c r="B14" s="28"/>
      <c r="C14" s="38"/>
      <c r="D14" s="39">
        <f>C4-1</f>
        <v>2014</v>
      </c>
      <c r="E14" s="40" t="str">
        <f>CONCATENATE("",C4-2,"")</f>
        <v>2013</v>
      </c>
      <c r="F14" s="41">
        <f>C4-2</f>
        <v>2013</v>
      </c>
      <c r="H14" s="180" t="s">
        <v>284</v>
      </c>
      <c r="I14" s="175" t="s">
        <v>87</v>
      </c>
    </row>
    <row r="15" spans="1:9" ht="15.75">
      <c r="A15" s="27" t="s">
        <v>213</v>
      </c>
      <c r="B15" s="28"/>
      <c r="C15" s="42" t="s">
        <v>42</v>
      </c>
      <c r="D15" s="43" t="s">
        <v>231</v>
      </c>
      <c r="E15" s="43" t="s">
        <v>40</v>
      </c>
      <c r="F15" s="43" t="s">
        <v>33</v>
      </c>
      <c r="H15" s="186" t="str">
        <f>CONCATENATE("",E14," Ad Valorem Tax")</f>
        <v>2013 Ad Valorem Tax</v>
      </c>
      <c r="I15" s="412">
        <v>0</v>
      </c>
    </row>
    <row r="16" spans="1:8" ht="15.75">
      <c r="A16" s="28"/>
      <c r="B16" s="44" t="s">
        <v>43</v>
      </c>
      <c r="C16" s="176" t="s">
        <v>187</v>
      </c>
      <c r="D16" s="46">
        <v>2413382</v>
      </c>
      <c r="E16" s="47">
        <v>1337153</v>
      </c>
      <c r="F16" s="48">
        <v>15.927</v>
      </c>
      <c r="H16" s="188">
        <f>IF($I$15&gt;0,ROUND(E16-(E16*$I$15),0),0)</f>
        <v>0</v>
      </c>
    </row>
    <row r="17" spans="1:8" ht="15.75">
      <c r="A17" s="28"/>
      <c r="B17" s="44" t="s">
        <v>96</v>
      </c>
      <c r="C17" s="176" t="s">
        <v>214</v>
      </c>
      <c r="D17" s="46"/>
      <c r="E17" s="47"/>
      <c r="F17" s="48"/>
      <c r="H17" s="188">
        <f aca="true" t="shared" si="0" ref="H17:H34">IF($I$15&gt;0,ROUND(E17-(E17*$I$15),0),0)</f>
        <v>0</v>
      </c>
    </row>
    <row r="18" spans="1:8" ht="15.75">
      <c r="A18" s="27"/>
      <c r="B18" s="49" t="s">
        <v>103</v>
      </c>
      <c r="C18" s="175" t="s">
        <v>187</v>
      </c>
      <c r="D18" s="46">
        <v>2500000</v>
      </c>
      <c r="E18" s="46">
        <v>1856145</v>
      </c>
      <c r="F18" s="50">
        <v>22.109</v>
      </c>
      <c r="H18" s="188">
        <f t="shared" si="0"/>
        <v>0</v>
      </c>
    </row>
    <row r="19" spans="1:8" ht="15.75">
      <c r="A19" s="28"/>
      <c r="B19" s="51" t="s">
        <v>317</v>
      </c>
      <c r="C19" s="341" t="s">
        <v>328</v>
      </c>
      <c r="D19" s="46">
        <v>153500</v>
      </c>
      <c r="E19" s="53">
        <v>15202</v>
      </c>
      <c r="F19" s="48">
        <v>0.182</v>
      </c>
      <c r="H19" s="188">
        <f t="shared" si="0"/>
        <v>0</v>
      </c>
    </row>
    <row r="20" spans="1:8" ht="15.75">
      <c r="A20" s="28"/>
      <c r="B20" s="51" t="s">
        <v>318</v>
      </c>
      <c r="C20" s="341" t="s">
        <v>329</v>
      </c>
      <c r="D20" s="46">
        <v>250020</v>
      </c>
      <c r="E20" s="53"/>
      <c r="F20" s="48"/>
      <c r="H20" s="188">
        <f t="shared" si="0"/>
        <v>0</v>
      </c>
    </row>
    <row r="21" spans="1:8" ht="15.75">
      <c r="A21" s="28"/>
      <c r="B21" s="51" t="s">
        <v>319</v>
      </c>
      <c r="C21" s="341" t="s">
        <v>330</v>
      </c>
      <c r="D21" s="46">
        <v>20000</v>
      </c>
      <c r="E21" s="53">
        <v>18983</v>
      </c>
      <c r="F21" s="48">
        <v>0.227</v>
      </c>
      <c r="H21" s="188">
        <f t="shared" si="0"/>
        <v>0</v>
      </c>
    </row>
    <row r="22" spans="1:8" ht="15.75">
      <c r="A22" s="28"/>
      <c r="B22" s="51" t="s">
        <v>320</v>
      </c>
      <c r="C22" s="341" t="s">
        <v>331</v>
      </c>
      <c r="D22" s="46">
        <v>83876</v>
      </c>
      <c r="E22" s="53">
        <v>80085</v>
      </c>
      <c r="F22" s="48">
        <v>0.954</v>
      </c>
      <c r="H22" s="188">
        <f t="shared" si="0"/>
        <v>0</v>
      </c>
    </row>
    <row r="23" spans="1:8" ht="15.75">
      <c r="A23" s="28"/>
      <c r="B23" s="51" t="s">
        <v>321</v>
      </c>
      <c r="C23" s="341" t="s">
        <v>332</v>
      </c>
      <c r="D23" s="46">
        <v>768721</v>
      </c>
      <c r="E23" s="53">
        <v>155301</v>
      </c>
      <c r="F23" s="48">
        <v>1.85</v>
      </c>
      <c r="H23" s="188">
        <f t="shared" si="0"/>
        <v>0</v>
      </c>
    </row>
    <row r="24" spans="1:8" ht="15.75">
      <c r="A24" s="28"/>
      <c r="B24" s="51" t="s">
        <v>322</v>
      </c>
      <c r="C24" s="341" t="s">
        <v>333</v>
      </c>
      <c r="D24" s="46">
        <v>60000</v>
      </c>
      <c r="E24" s="53">
        <v>29049</v>
      </c>
      <c r="F24" s="48">
        <v>0.347</v>
      </c>
      <c r="H24" s="188">
        <f t="shared" si="0"/>
        <v>0</v>
      </c>
    </row>
    <row r="25" spans="1:8" ht="15.75">
      <c r="A25" s="28"/>
      <c r="B25" s="51" t="s">
        <v>101</v>
      </c>
      <c r="C25" s="341" t="s">
        <v>333</v>
      </c>
      <c r="D25" s="46">
        <v>106094</v>
      </c>
      <c r="E25" s="53">
        <v>100819</v>
      </c>
      <c r="F25" s="48">
        <v>1.201</v>
      </c>
      <c r="H25" s="188">
        <f t="shared" si="0"/>
        <v>0</v>
      </c>
    </row>
    <row r="26" spans="1:8" ht="15.75">
      <c r="A26" s="28"/>
      <c r="B26" s="51" t="s">
        <v>323</v>
      </c>
      <c r="C26" s="341" t="s">
        <v>334</v>
      </c>
      <c r="D26" s="46">
        <v>35000</v>
      </c>
      <c r="E26" s="53">
        <v>33244</v>
      </c>
      <c r="F26" s="48">
        <v>0.396</v>
      </c>
      <c r="H26" s="188">
        <f t="shared" si="0"/>
        <v>0</v>
      </c>
    </row>
    <row r="27" spans="1:8" ht="15.75">
      <c r="A27" s="28"/>
      <c r="B27" s="51" t="s">
        <v>324</v>
      </c>
      <c r="C27" s="341" t="s">
        <v>335</v>
      </c>
      <c r="D27" s="46">
        <v>115358</v>
      </c>
      <c r="E27" s="53">
        <v>103574</v>
      </c>
      <c r="F27" s="48">
        <v>1.234</v>
      </c>
      <c r="H27" s="188">
        <f t="shared" si="0"/>
        <v>0</v>
      </c>
    </row>
    <row r="28" spans="1:8" ht="15.75">
      <c r="A28" s="28"/>
      <c r="B28" s="51" t="s">
        <v>325</v>
      </c>
      <c r="C28" s="341" t="s">
        <v>336</v>
      </c>
      <c r="D28" s="46">
        <v>83918</v>
      </c>
      <c r="E28" s="53">
        <v>82580</v>
      </c>
      <c r="F28" s="48">
        <v>0.984</v>
      </c>
      <c r="H28" s="188">
        <f t="shared" si="0"/>
        <v>0</v>
      </c>
    </row>
    <row r="29" spans="1:8" ht="15.75">
      <c r="A29" s="28"/>
      <c r="B29" s="51" t="s">
        <v>326</v>
      </c>
      <c r="C29" s="341" t="s">
        <v>337</v>
      </c>
      <c r="D29" s="46">
        <v>36000</v>
      </c>
      <c r="E29" s="53">
        <v>34083</v>
      </c>
      <c r="F29" s="48">
        <v>0.406</v>
      </c>
      <c r="H29" s="188">
        <f t="shared" si="0"/>
        <v>0</v>
      </c>
    </row>
    <row r="30" spans="1:8" ht="15.75">
      <c r="A30" s="28"/>
      <c r="B30" s="51" t="s">
        <v>327</v>
      </c>
      <c r="C30" s="341" t="s">
        <v>338</v>
      </c>
      <c r="D30" s="46">
        <v>147500</v>
      </c>
      <c r="E30" s="53">
        <v>130468</v>
      </c>
      <c r="F30" s="48">
        <v>1.555</v>
      </c>
      <c r="H30" s="188">
        <f t="shared" si="0"/>
        <v>0</v>
      </c>
    </row>
    <row r="31" spans="1:8" ht="15.75">
      <c r="A31" s="28"/>
      <c r="B31" s="51" t="s">
        <v>98</v>
      </c>
      <c r="C31" s="341" t="s">
        <v>339</v>
      </c>
      <c r="D31" s="46">
        <v>1843036</v>
      </c>
      <c r="E31" s="53">
        <v>1608403</v>
      </c>
      <c r="F31" s="48">
        <v>19.158</v>
      </c>
      <c r="H31" s="188">
        <f t="shared" si="0"/>
        <v>0</v>
      </c>
    </row>
    <row r="32" spans="1:8" ht="15.75">
      <c r="A32" s="28"/>
      <c r="B32" s="51"/>
      <c r="C32" s="341"/>
      <c r="D32" s="46"/>
      <c r="E32" s="53"/>
      <c r="F32" s="48"/>
      <c r="H32" s="188">
        <f t="shared" si="0"/>
        <v>0</v>
      </c>
    </row>
    <row r="33" spans="1:8" ht="15.75">
      <c r="A33" s="28"/>
      <c r="B33" s="51"/>
      <c r="C33" s="341"/>
      <c r="D33" s="46"/>
      <c r="E33" s="53"/>
      <c r="F33" s="48"/>
      <c r="H33" s="188">
        <f t="shared" si="0"/>
        <v>0</v>
      </c>
    </row>
    <row r="34" spans="1:8" ht="15.75">
      <c r="A34" s="28"/>
      <c r="B34" s="51"/>
      <c r="C34" s="341"/>
      <c r="D34" s="46"/>
      <c r="E34" s="53"/>
      <c r="F34" s="48"/>
      <c r="H34" s="188">
        <f t="shared" si="0"/>
        <v>0</v>
      </c>
    </row>
    <row r="35" spans="1:6" ht="15.75">
      <c r="A35" s="54" t="str">
        <f>CONCATENATE("Total Tax Levy Funds Levy Amounts and Levy Rates for ",C4-1," Budget")</f>
        <v>Total Tax Levy Funds Levy Amounts and Levy Rates for 2014 Budget</v>
      </c>
      <c r="B35" s="55"/>
      <c r="C35" s="55"/>
      <c r="D35" s="56"/>
      <c r="E35" s="57">
        <f>SUM(E16:E34)</f>
        <v>5585089</v>
      </c>
      <c r="F35" s="58">
        <f>SUM(F16:F34)</f>
        <v>66.53</v>
      </c>
    </row>
    <row r="36" spans="1:6" ht="15.75">
      <c r="A36" s="27" t="s">
        <v>21</v>
      </c>
      <c r="B36" s="28"/>
      <c r="C36" s="28"/>
      <c r="D36" s="28"/>
      <c r="E36" s="28"/>
      <c r="F36" s="28"/>
    </row>
    <row r="37" spans="1:6" ht="15.75">
      <c r="A37" s="28"/>
      <c r="B37" s="48" t="s">
        <v>340</v>
      </c>
      <c r="C37" s="28"/>
      <c r="D37" s="46">
        <v>23025</v>
      </c>
      <c r="E37" s="28"/>
      <c r="F37" s="28"/>
    </row>
    <row r="38" spans="1:6" ht="15.75">
      <c r="A38" s="28"/>
      <c r="B38" s="48" t="s">
        <v>341</v>
      </c>
      <c r="C38" s="28"/>
      <c r="D38" s="46">
        <v>62000</v>
      </c>
      <c r="E38" s="28"/>
      <c r="F38" s="28"/>
    </row>
    <row r="39" spans="1:6" ht="15.75">
      <c r="A39" s="28"/>
      <c r="B39" s="48" t="s">
        <v>342</v>
      </c>
      <c r="C39" s="28"/>
      <c r="D39" s="46">
        <v>29766</v>
      </c>
      <c r="E39" s="28"/>
      <c r="F39" s="28"/>
    </row>
    <row r="40" spans="1:6" ht="15.75">
      <c r="A40" s="28"/>
      <c r="B40" s="48" t="s">
        <v>343</v>
      </c>
      <c r="C40" s="28"/>
      <c r="D40" s="46">
        <v>135850</v>
      </c>
      <c r="E40" s="28"/>
      <c r="F40" s="28"/>
    </row>
    <row r="41" spans="1:6" ht="15.75">
      <c r="A41" s="28"/>
      <c r="B41" s="48" t="s">
        <v>344</v>
      </c>
      <c r="C41" s="28"/>
      <c r="D41" s="46">
        <v>18535</v>
      </c>
      <c r="E41" s="28"/>
      <c r="F41" s="28"/>
    </row>
    <row r="42" spans="1:6" ht="15.75">
      <c r="A42" s="28"/>
      <c r="B42" s="48" t="s">
        <v>104</v>
      </c>
      <c r="C42" s="28"/>
      <c r="D42" s="46">
        <v>788668</v>
      </c>
      <c r="E42" s="28"/>
      <c r="F42" s="28"/>
    </row>
    <row r="43" spans="1:6" ht="15.75">
      <c r="A43" s="28"/>
      <c r="B43" s="48" t="s">
        <v>345</v>
      </c>
      <c r="C43" s="28"/>
      <c r="D43" s="46">
        <v>434310</v>
      </c>
      <c r="E43" s="28"/>
      <c r="F43" s="28"/>
    </row>
    <row r="44" spans="1:6" ht="15.75">
      <c r="A44" s="28"/>
      <c r="B44" s="48" t="s">
        <v>100</v>
      </c>
      <c r="C44" s="28"/>
      <c r="D44" s="46">
        <v>369663</v>
      </c>
      <c r="E44" s="28"/>
      <c r="F44" s="28"/>
    </row>
    <row r="45" spans="1:6" ht="15.75">
      <c r="A45" s="28"/>
      <c r="B45" s="48"/>
      <c r="C45" s="28"/>
      <c r="D45" s="46"/>
      <c r="E45" s="28"/>
      <c r="F45" s="28"/>
    </row>
    <row r="46" spans="1:6" ht="15.75">
      <c r="A46" s="28"/>
      <c r="B46" s="48"/>
      <c r="C46" s="28"/>
      <c r="D46" s="46"/>
      <c r="E46" s="28"/>
      <c r="F46" s="28"/>
    </row>
    <row r="47" spans="1:6" ht="15.75">
      <c r="A47" s="54" t="str">
        <f>CONCATENATE("Total Expenditures for ",C4-1," Budgeted Year")</f>
        <v>Total Expenditures for 2014 Budgeted Year</v>
      </c>
      <c r="B47" s="59"/>
      <c r="C47" s="60"/>
      <c r="D47" s="61">
        <f>SUM(D16:D34,D37:D46)</f>
        <v>10478222</v>
      </c>
      <c r="E47" s="28"/>
      <c r="F47" s="28"/>
    </row>
    <row r="48" spans="1:6" ht="15.75">
      <c r="A48" s="62"/>
      <c r="B48" s="63"/>
      <c r="C48" s="28"/>
      <c r="D48" s="64"/>
      <c r="E48" s="28"/>
      <c r="F48" s="28"/>
    </row>
    <row r="49" spans="1:6" ht="15.75">
      <c r="A49" s="28" t="s">
        <v>10</v>
      </c>
      <c r="B49" s="63"/>
      <c r="C49" s="28"/>
      <c r="D49" s="28"/>
      <c r="E49" s="28"/>
      <c r="F49" s="28"/>
    </row>
    <row r="50" spans="1:6" ht="15.75">
      <c r="A50" s="28">
        <v>1</v>
      </c>
      <c r="B50" s="48" t="s">
        <v>346</v>
      </c>
      <c r="C50" s="28"/>
      <c r="D50" s="28"/>
      <c r="E50" s="28"/>
      <c r="F50" s="28"/>
    </row>
    <row r="51" spans="1:6" ht="15.75">
      <c r="A51" s="28">
        <v>2</v>
      </c>
      <c r="B51" s="48" t="s">
        <v>347</v>
      </c>
      <c r="C51" s="28"/>
      <c r="D51" s="28"/>
      <c r="E51" s="28"/>
      <c r="F51" s="28"/>
    </row>
    <row r="52" spans="1:6" ht="15.75">
      <c r="A52" s="28">
        <v>3</v>
      </c>
      <c r="B52" s="48" t="s">
        <v>348</v>
      </c>
      <c r="C52" s="28"/>
      <c r="D52" s="28"/>
      <c r="E52" s="28"/>
      <c r="F52" s="28"/>
    </row>
    <row r="53" spans="1:6" ht="15.75">
      <c r="A53" s="28">
        <v>4</v>
      </c>
      <c r="B53" s="48"/>
      <c r="C53" s="28"/>
      <c r="D53" s="28"/>
      <c r="E53" s="28"/>
      <c r="F53" s="28"/>
    </row>
    <row r="54" spans="1:6" ht="15.75">
      <c r="A54" s="28">
        <v>5</v>
      </c>
      <c r="B54" s="48"/>
      <c r="C54" s="28"/>
      <c r="D54" s="28"/>
      <c r="E54" s="28"/>
      <c r="F54" s="28"/>
    </row>
    <row r="55" spans="1:6" ht="15.75">
      <c r="A55" s="28" t="s">
        <v>18</v>
      </c>
      <c r="B55" s="63"/>
      <c r="C55" s="28"/>
      <c r="D55" s="28"/>
      <c r="E55" s="28"/>
      <c r="F55" s="28"/>
    </row>
    <row r="56" spans="1:6" ht="15.75">
      <c r="A56" s="28">
        <v>1</v>
      </c>
      <c r="B56" s="48"/>
      <c r="C56" s="28"/>
      <c r="D56" s="28"/>
      <c r="E56" s="28"/>
      <c r="F56" s="28"/>
    </row>
    <row r="57" spans="1:6" ht="15.75">
      <c r="A57" s="28">
        <v>2</v>
      </c>
      <c r="B57" s="48"/>
      <c r="C57" s="28"/>
      <c r="D57" s="28"/>
      <c r="E57" s="28"/>
      <c r="F57" s="28"/>
    </row>
    <row r="58" spans="1:6" ht="15.75">
      <c r="A58" s="28">
        <v>3</v>
      </c>
      <c r="B58" s="48"/>
      <c r="C58" s="28"/>
      <c r="D58" s="28"/>
      <c r="E58" s="28"/>
      <c r="F58" s="28"/>
    </row>
    <row r="59" spans="1:6" ht="15.75">
      <c r="A59" s="28">
        <v>4</v>
      </c>
      <c r="B59" s="48"/>
      <c r="C59" s="28"/>
      <c r="D59" s="28"/>
      <c r="E59" s="28"/>
      <c r="F59" s="28"/>
    </row>
    <row r="60" spans="1:6" ht="15.75">
      <c r="A60" s="28">
        <v>5</v>
      </c>
      <c r="B60" s="48"/>
      <c r="C60" s="28"/>
      <c r="D60" s="28"/>
      <c r="E60" s="28"/>
      <c r="F60" s="28"/>
    </row>
    <row r="61" spans="1:6" ht="15.75">
      <c r="A61" s="28" t="s">
        <v>19</v>
      </c>
      <c r="B61" s="63"/>
      <c r="C61" s="28"/>
      <c r="D61" s="28"/>
      <c r="E61" s="28"/>
      <c r="F61" s="28"/>
    </row>
    <row r="62" spans="1:6" ht="15.75">
      <c r="A62" s="28">
        <v>1</v>
      </c>
      <c r="B62" s="48"/>
      <c r="C62" s="28"/>
      <c r="D62" s="28"/>
      <c r="E62" s="28"/>
      <c r="F62" s="28"/>
    </row>
    <row r="63" spans="1:6" ht="15.75">
      <c r="A63" s="28">
        <v>2</v>
      </c>
      <c r="B63" s="48"/>
      <c r="C63" s="28"/>
      <c r="D63" s="28"/>
      <c r="E63" s="28"/>
      <c r="F63" s="28"/>
    </row>
    <row r="64" spans="1:6" ht="15.75">
      <c r="A64" s="28">
        <v>3</v>
      </c>
      <c r="B64" s="48"/>
      <c r="C64" s="28"/>
      <c r="D64" s="28"/>
      <c r="E64" s="28"/>
      <c r="F64" s="28"/>
    </row>
    <row r="65" spans="1:6" ht="15.75">
      <c r="A65" s="28">
        <v>4</v>
      </c>
      <c r="B65" s="48"/>
      <c r="C65" s="28"/>
      <c r="D65" s="28"/>
      <c r="E65" s="28"/>
      <c r="F65" s="28"/>
    </row>
    <row r="66" spans="1:6" ht="15.75">
      <c r="A66" s="28">
        <v>5</v>
      </c>
      <c r="B66" s="48"/>
      <c r="C66" s="28"/>
      <c r="D66" s="28"/>
      <c r="E66" s="28"/>
      <c r="F66" s="28"/>
    </row>
    <row r="67" spans="1:6" ht="15.75">
      <c r="A67" s="28" t="s">
        <v>20</v>
      </c>
      <c r="B67" s="63"/>
      <c r="C67" s="28"/>
      <c r="D67" s="28"/>
      <c r="E67" s="28"/>
      <c r="F67" s="28"/>
    </row>
    <row r="68" spans="1:6" ht="15.75">
      <c r="A68" s="28">
        <v>1</v>
      </c>
      <c r="B68" s="48"/>
      <c r="C68" s="28"/>
      <c r="D68" s="28"/>
      <c r="E68" s="28"/>
      <c r="F68" s="28"/>
    </row>
    <row r="69" spans="1:6" ht="15.75">
      <c r="A69" s="28">
        <v>2</v>
      </c>
      <c r="B69" s="48"/>
      <c r="C69" s="28"/>
      <c r="D69" s="28"/>
      <c r="E69" s="28"/>
      <c r="F69" s="28"/>
    </row>
    <row r="70" spans="1:6" ht="15.75">
      <c r="A70" s="28">
        <v>3</v>
      </c>
      <c r="B70" s="48"/>
      <c r="C70" s="28"/>
      <c r="D70" s="28"/>
      <c r="E70" s="28"/>
      <c r="F70" s="28"/>
    </row>
    <row r="71" spans="1:6" ht="15.75">
      <c r="A71" s="28">
        <v>4</v>
      </c>
      <c r="B71" s="48"/>
      <c r="C71" s="28"/>
      <c r="D71" s="28"/>
      <c r="E71" s="28"/>
      <c r="F71" s="28"/>
    </row>
    <row r="72" spans="1:6" ht="15.75">
      <c r="A72" s="28">
        <v>5</v>
      </c>
      <c r="B72" s="48"/>
      <c r="C72" s="28"/>
      <c r="D72" s="28"/>
      <c r="E72" s="28"/>
      <c r="F72" s="28"/>
    </row>
    <row r="73" spans="1:6" ht="15.75">
      <c r="A73" s="54" t="str">
        <f>CONCATENATE("County's Final Assessed Valuation for ",C4-1," (November 1,",C4-2," Abstract):")</f>
        <v>County's Final Assessed Valuation for 2014 (November 1,2013 Abstract):</v>
      </c>
      <c r="B73" s="55"/>
      <c r="C73" s="55"/>
      <c r="D73" s="55"/>
      <c r="E73" s="60"/>
      <c r="F73" s="53">
        <v>83956159</v>
      </c>
    </row>
    <row r="74" spans="1:6" ht="15.75">
      <c r="A74" s="27"/>
      <c r="B74" s="28"/>
      <c r="C74" s="28"/>
      <c r="D74" s="28"/>
      <c r="E74" s="28"/>
      <c r="F74" s="28"/>
    </row>
    <row r="75" spans="1:6" ht="15.75">
      <c r="A75" s="28"/>
      <c r="B75" s="28"/>
      <c r="C75" s="28"/>
      <c r="D75" s="28"/>
      <c r="E75" s="28"/>
      <c r="F75" s="28"/>
    </row>
    <row r="76" spans="1:6" ht="15.75">
      <c r="A76" s="65" t="str">
        <f>CONCATENATE("From the ",C4-1," Budget:")</f>
        <v>From the 2014 Budget:</v>
      </c>
      <c r="B76" s="36"/>
      <c r="C76" s="28"/>
      <c r="D76" s="571" t="str">
        <f>CONCATENATE("",C4-3," Tax Rate (",C4-2," Column)")</f>
        <v>2012 Tax Rate (2013 Column)</v>
      </c>
      <c r="E76" s="66"/>
      <c r="F76" s="28"/>
    </row>
    <row r="77" spans="1:6" ht="15.75">
      <c r="A77" s="65" t="s">
        <v>41</v>
      </c>
      <c r="B77" s="67"/>
      <c r="C77" s="28"/>
      <c r="D77" s="572"/>
      <c r="E77" s="66"/>
      <c r="F77" s="28"/>
    </row>
    <row r="78" spans="1:6" ht="15.75">
      <c r="A78" s="28"/>
      <c r="B78" s="68" t="str">
        <f aca="true" t="shared" si="1" ref="B78:B96">B16</f>
        <v>General</v>
      </c>
      <c r="C78" s="28"/>
      <c r="D78" s="48">
        <v>12.588</v>
      </c>
      <c r="E78" s="66"/>
      <c r="F78" s="28"/>
    </row>
    <row r="79" spans="1:6" ht="15.75">
      <c r="A79" s="28"/>
      <c r="B79" s="68" t="str">
        <f t="shared" si="1"/>
        <v>Debt Service</v>
      </c>
      <c r="C79" s="28"/>
      <c r="D79" s="48"/>
      <c r="E79" s="66"/>
      <c r="F79" s="28"/>
    </row>
    <row r="80" spans="1:6" ht="15.75">
      <c r="A80" s="28"/>
      <c r="B80" s="68" t="str">
        <f t="shared" si="1"/>
        <v>Road &amp; Bridge</v>
      </c>
      <c r="C80" s="28"/>
      <c r="D80" s="48">
        <v>21.346</v>
      </c>
      <c r="E80" s="66"/>
      <c r="F80" s="28"/>
    </row>
    <row r="81" spans="1:6" ht="15.75">
      <c r="A81" s="28"/>
      <c r="B81" s="68" t="str">
        <f t="shared" si="1"/>
        <v>Special Bridge</v>
      </c>
      <c r="C81" s="28"/>
      <c r="D81" s="48">
        <v>0.56</v>
      </c>
      <c r="E81" s="66"/>
      <c r="F81" s="28"/>
    </row>
    <row r="82" spans="1:6" ht="15.75">
      <c r="A82" s="28"/>
      <c r="B82" s="68" t="str">
        <f t="shared" si="1"/>
        <v>Noxious Weed</v>
      </c>
      <c r="C82" s="28"/>
      <c r="D82" s="48"/>
      <c r="E82" s="66"/>
      <c r="F82" s="28"/>
    </row>
    <row r="83" spans="1:6" ht="15.75">
      <c r="A83" s="28"/>
      <c r="B83" s="68" t="str">
        <f t="shared" si="1"/>
        <v>Conservation District</v>
      </c>
      <c r="C83" s="28"/>
      <c r="D83" s="48">
        <v>0.229</v>
      </c>
      <c r="E83" s="66"/>
      <c r="F83" s="28"/>
    </row>
    <row r="84" spans="1:6" ht="15.75">
      <c r="A84" s="28"/>
      <c r="B84" s="68" t="str">
        <f t="shared" si="1"/>
        <v>Services for Aging</v>
      </c>
      <c r="C84" s="28"/>
      <c r="D84" s="48">
        <v>0.932</v>
      </c>
      <c r="E84" s="66"/>
      <c r="F84" s="28"/>
    </row>
    <row r="85" spans="1:6" ht="15.75">
      <c r="A85" s="28"/>
      <c r="B85" s="68" t="str">
        <f t="shared" si="1"/>
        <v>County Health</v>
      </c>
      <c r="C85" s="28"/>
      <c r="D85" s="48">
        <v>1.956</v>
      </c>
      <c r="E85" s="66"/>
      <c r="F85" s="28"/>
    </row>
    <row r="86" spans="1:6" ht="15.75">
      <c r="A86" s="28"/>
      <c r="B86" s="68" t="str">
        <f t="shared" si="1"/>
        <v>Pawnee Mental Health</v>
      </c>
      <c r="C86" s="28"/>
      <c r="D86" s="48">
        <v>0.788</v>
      </c>
      <c r="E86" s="66"/>
      <c r="F86" s="28"/>
    </row>
    <row r="87" spans="1:6" ht="15.75">
      <c r="A87" s="28"/>
      <c r="B87" s="68" t="str">
        <f t="shared" si="1"/>
        <v>Mental Retardation</v>
      </c>
      <c r="C87" s="28"/>
      <c r="D87" s="48">
        <v>1.22</v>
      </c>
      <c r="E87" s="66"/>
      <c r="F87" s="28"/>
    </row>
    <row r="88" spans="1:6" ht="15.75">
      <c r="A88" s="28"/>
      <c r="B88" s="68" t="str">
        <f t="shared" si="1"/>
        <v>County Fair</v>
      </c>
      <c r="C88" s="28"/>
      <c r="D88" s="48">
        <v>0.401</v>
      </c>
      <c r="E88" s="66"/>
      <c r="F88" s="28"/>
    </row>
    <row r="89" spans="1:6" ht="15.75">
      <c r="A89" s="28"/>
      <c r="B89" s="68" t="str">
        <f t="shared" si="1"/>
        <v>Election Expense</v>
      </c>
      <c r="C89" s="28"/>
      <c r="D89" s="48">
        <v>0.864</v>
      </c>
      <c r="E89" s="66"/>
      <c r="F89" s="28"/>
    </row>
    <row r="90" spans="1:6" ht="15.75">
      <c r="A90" s="28"/>
      <c r="B90" s="68" t="str">
        <f t="shared" si="1"/>
        <v>Special Building</v>
      </c>
      <c r="C90" s="28"/>
      <c r="D90" s="48">
        <v>0.989</v>
      </c>
      <c r="E90" s="66"/>
      <c r="F90" s="28"/>
    </row>
    <row r="91" spans="1:6" ht="15.75">
      <c r="A91" s="28"/>
      <c r="B91" s="68" t="str">
        <f t="shared" si="1"/>
        <v>Historical Building</v>
      </c>
      <c r="C91" s="28"/>
      <c r="D91" s="48">
        <v>0.419</v>
      </c>
      <c r="E91" s="66"/>
      <c r="F91" s="28"/>
    </row>
    <row r="92" spans="1:6" ht="15.75">
      <c r="A92" s="28"/>
      <c r="B92" s="68" t="str">
        <f t="shared" si="1"/>
        <v>Appraisers</v>
      </c>
      <c r="C92" s="28"/>
      <c r="D92" s="48">
        <v>1.588</v>
      </c>
      <c r="E92" s="66"/>
      <c r="F92" s="28"/>
    </row>
    <row r="93" spans="1:6" ht="15.75">
      <c r="A93" s="28"/>
      <c r="B93" s="68" t="str">
        <f t="shared" si="1"/>
        <v>Employee Benefits</v>
      </c>
      <c r="C93" s="28"/>
      <c r="D93" s="48">
        <v>19.434</v>
      </c>
      <c r="E93" s="66"/>
      <c r="F93" s="28"/>
    </row>
    <row r="94" spans="1:6" ht="15.75">
      <c r="A94" s="28"/>
      <c r="B94" s="68">
        <f t="shared" si="1"/>
        <v>0</v>
      </c>
      <c r="C94" s="28"/>
      <c r="D94" s="48"/>
      <c r="E94" s="66"/>
      <c r="F94" s="28"/>
    </row>
    <row r="95" spans="1:6" ht="15.75">
      <c r="A95" s="28"/>
      <c r="B95" s="68">
        <f t="shared" si="1"/>
        <v>0</v>
      </c>
      <c r="C95" s="28"/>
      <c r="D95" s="48"/>
      <c r="E95" s="66"/>
      <c r="F95" s="28"/>
    </row>
    <row r="96" spans="1:6" ht="15.75">
      <c r="A96" s="28"/>
      <c r="B96" s="68">
        <f t="shared" si="1"/>
        <v>0</v>
      </c>
      <c r="C96" s="28"/>
      <c r="D96" s="48"/>
      <c r="E96" s="66"/>
      <c r="F96" s="28"/>
    </row>
    <row r="97" spans="1:6" ht="15.75">
      <c r="A97" s="55" t="s">
        <v>44</v>
      </c>
      <c r="B97" s="55"/>
      <c r="C97" s="60"/>
      <c r="D97" s="58">
        <f>SUM(D78:D96)</f>
        <v>63.31399999999999</v>
      </c>
      <c r="E97" s="66"/>
      <c r="F97" s="28"/>
    </row>
    <row r="98" spans="1:6" ht="15.75">
      <c r="A98" s="28"/>
      <c r="B98" s="28"/>
      <c r="C98" s="28"/>
      <c r="D98" s="28"/>
      <c r="E98" s="28"/>
      <c r="F98" s="28"/>
    </row>
    <row r="99" spans="1:6" ht="15.75">
      <c r="A99" s="69" t="str">
        <f>CONCATENATE("Total Tax Levied (",C4-2," budget column)")</f>
        <v>Total Tax Levied (2013 budget column)</v>
      </c>
      <c r="B99" s="70"/>
      <c r="C99" s="55"/>
      <c r="D99" s="55"/>
      <c r="E99" s="60"/>
      <c r="F99" s="53">
        <v>5028072</v>
      </c>
    </row>
    <row r="100" spans="1:6" ht="15.75">
      <c r="A100" s="71" t="str">
        <f>CONCATENATE("Assessed Valuation  (",C4-2," budget column)")</f>
        <v>Assessed Valuation  (2013 budget column)</v>
      </c>
      <c r="B100" s="72"/>
      <c r="C100" s="73"/>
      <c r="D100" s="73"/>
      <c r="E100" s="56"/>
      <c r="F100" s="53">
        <v>79423934</v>
      </c>
    </row>
    <row r="101" spans="1:6" ht="15.75">
      <c r="A101" s="62"/>
      <c r="B101" s="29"/>
      <c r="C101" s="29"/>
      <c r="D101" s="29"/>
      <c r="E101" s="29"/>
      <c r="F101" s="74"/>
    </row>
    <row r="102" spans="1:6" ht="15.75">
      <c r="A102" s="75" t="str">
        <f>CONCATENATE("From the ",C4-1," Budget, Budget Summary Page:")</f>
        <v>From the 2014 Budget, Budget Summary Page:</v>
      </c>
      <c r="B102" s="76"/>
      <c r="C102" s="66"/>
      <c r="D102" s="66"/>
      <c r="E102" s="66"/>
      <c r="F102" s="66"/>
    </row>
    <row r="103" spans="1:6" ht="15.75">
      <c r="A103" s="77" t="s">
        <v>0</v>
      </c>
      <c r="B103" s="77"/>
      <c r="C103" s="78"/>
      <c r="D103" s="79">
        <f>C4-3</f>
        <v>2012</v>
      </c>
      <c r="E103" s="80">
        <f>C4-2</f>
        <v>2013</v>
      </c>
      <c r="F103" s="66"/>
    </row>
    <row r="104" spans="1:6" ht="15.75">
      <c r="A104" s="81" t="s">
        <v>1</v>
      </c>
      <c r="B104" s="81"/>
      <c r="C104" s="82"/>
      <c r="D104" s="46"/>
      <c r="E104" s="46"/>
      <c r="F104" s="66"/>
    </row>
    <row r="105" spans="1:6" s="84" customFormat="1" ht="15.75">
      <c r="A105" s="83" t="s">
        <v>2</v>
      </c>
      <c r="B105" s="83"/>
      <c r="C105" s="82"/>
      <c r="D105" s="46"/>
      <c r="E105" s="46"/>
      <c r="F105" s="78"/>
    </row>
    <row r="106" spans="1:6" s="84" customFormat="1" ht="15.75">
      <c r="A106" s="83" t="s">
        <v>3</v>
      </c>
      <c r="B106" s="83"/>
      <c r="C106" s="82"/>
      <c r="D106" s="46"/>
      <c r="E106" s="46"/>
      <c r="F106" s="78"/>
    </row>
    <row r="107" spans="1:6" s="84" customFormat="1" ht="15.75">
      <c r="A107" s="83" t="s">
        <v>4</v>
      </c>
      <c r="B107" s="83"/>
      <c r="C107" s="82"/>
      <c r="D107" s="46">
        <v>57248</v>
      </c>
      <c r="E107" s="46">
        <v>6272109</v>
      </c>
      <c r="F107" s="78"/>
    </row>
    <row r="108" s="84" customFormat="1" ht="15.75"/>
  </sheetData>
  <sheetProtection/>
  <mergeCells count="4">
    <mergeCell ref="D76:D77"/>
    <mergeCell ref="A9:F9"/>
    <mergeCell ref="A1:F1"/>
    <mergeCell ref="H6:I11"/>
  </mergeCells>
  <printOptions/>
  <pageMargins left="0.5" right="0.5" top="1" bottom="0.5" header="0.5" footer="0.25"/>
  <pageSetup blackAndWhite="1" fitToHeight="3" horizontalDpi="120" verticalDpi="120" orientation="portrait" scale="83" r:id="rId1"/>
  <rowBreaks count="2" manualBreakCount="2">
    <brk id="47" max="5" man="1"/>
    <brk id="97" max="5" man="1"/>
  </rowBreaks>
</worksheet>
</file>

<file path=xl/worksheets/sheet10.xml><?xml version="1.0" encoding="utf-8"?>
<worksheet xmlns="http://schemas.openxmlformats.org/spreadsheetml/2006/main" xmlns:r="http://schemas.openxmlformats.org/officeDocument/2006/relationships">
  <sheetPr>
    <pageSetUpPr fitToPage="1"/>
  </sheetPr>
  <dimension ref="B1:J48"/>
  <sheetViews>
    <sheetView view="pageBreakPreview" zoomScale="102" zoomScaleNormal="75" zoomScaleSheetLayoutView="102" zoomScalePageLayoutView="0" workbookViewId="0" topLeftCell="B2">
      <selection activeCell="I2" sqref="I2"/>
    </sheetView>
  </sheetViews>
  <sheetFormatPr defaultColWidth="8.8984375" defaultRowHeight="15"/>
  <cols>
    <col min="1" max="1" width="4.796875" style="25" customWidth="1"/>
    <col min="2" max="2" width="29.69921875" style="25" customWidth="1"/>
    <col min="3" max="5" width="9.796875" style="25" customWidth="1"/>
    <col min="6" max="6" width="17.09765625" style="25" customWidth="1"/>
    <col min="7" max="9" width="15.796875" style="25" customWidth="1"/>
    <col min="10" max="16384" width="8.8984375" style="25" customWidth="1"/>
  </cols>
  <sheetData>
    <row r="1" spans="2:9" ht="15.75">
      <c r="B1" s="155" t="str">
        <f>inputPrYr!$C$2</f>
        <v>CLOUD COUNTY</v>
      </c>
      <c r="C1" s="28"/>
      <c r="D1" s="28"/>
      <c r="E1" s="28"/>
      <c r="F1" s="28"/>
      <c r="G1" s="28"/>
      <c r="H1" s="28"/>
      <c r="I1" s="209">
        <f>inputPrYr!C4</f>
        <v>2015</v>
      </c>
    </row>
    <row r="2" spans="2:9" ht="15.75">
      <c r="B2" s="28"/>
      <c r="C2" s="28"/>
      <c r="D2" s="28"/>
      <c r="E2" s="28"/>
      <c r="F2" s="28"/>
      <c r="G2" s="28"/>
      <c r="H2" s="28"/>
      <c r="I2" s="162"/>
    </row>
    <row r="3" spans="2:9" ht="15.75">
      <c r="B3" s="28"/>
      <c r="C3" s="34"/>
      <c r="D3" s="34"/>
      <c r="E3" s="34"/>
      <c r="F3" s="34"/>
      <c r="G3" s="34"/>
      <c r="H3" s="34"/>
      <c r="I3" s="210"/>
    </row>
    <row r="4" spans="2:9" ht="15.75">
      <c r="B4" s="178" t="s">
        <v>146</v>
      </c>
      <c r="C4" s="34"/>
      <c r="D4" s="34"/>
      <c r="E4" s="34"/>
      <c r="F4" s="34"/>
      <c r="G4" s="34"/>
      <c r="H4" s="34"/>
      <c r="I4" s="34"/>
    </row>
    <row r="5" spans="2:9" ht="15.75">
      <c r="B5" s="55"/>
      <c r="C5" s="179"/>
      <c r="D5" s="179"/>
      <c r="E5" s="179"/>
      <c r="F5" s="179"/>
      <c r="G5" s="179"/>
      <c r="H5" s="179"/>
      <c r="I5" s="179"/>
    </row>
    <row r="6" spans="2:9" ht="15.75">
      <c r="B6" s="211"/>
      <c r="C6" s="212"/>
      <c r="D6" s="212"/>
      <c r="E6" s="212"/>
      <c r="F6" s="180" t="s">
        <v>44</v>
      </c>
      <c r="G6" s="212"/>
      <c r="H6" s="212"/>
      <c r="I6" s="212"/>
    </row>
    <row r="7" spans="2:9" ht="15.75">
      <c r="B7" s="211"/>
      <c r="C7" s="183"/>
      <c r="D7" s="183" t="s">
        <v>135</v>
      </c>
      <c r="E7" s="183" t="s">
        <v>136</v>
      </c>
      <c r="F7" s="183" t="s">
        <v>63</v>
      </c>
      <c r="G7" s="183" t="s">
        <v>137</v>
      </c>
      <c r="H7" s="183" t="s">
        <v>138</v>
      </c>
      <c r="I7" s="183" t="s">
        <v>138</v>
      </c>
    </row>
    <row r="8" spans="2:9" ht="15.75">
      <c r="B8" s="402" t="s">
        <v>268</v>
      </c>
      <c r="C8" s="183" t="s">
        <v>139</v>
      </c>
      <c r="D8" s="183" t="s">
        <v>140</v>
      </c>
      <c r="E8" s="183" t="s">
        <v>125</v>
      </c>
      <c r="F8" s="183" t="s">
        <v>141</v>
      </c>
      <c r="G8" s="183" t="s">
        <v>180</v>
      </c>
      <c r="H8" s="183" t="s">
        <v>142</v>
      </c>
      <c r="I8" s="183" t="s">
        <v>142</v>
      </c>
    </row>
    <row r="9" spans="2:9" ht="15.75">
      <c r="B9" s="401" t="s">
        <v>267</v>
      </c>
      <c r="C9" s="186" t="s">
        <v>122</v>
      </c>
      <c r="D9" s="214" t="s">
        <v>143</v>
      </c>
      <c r="E9" s="186" t="s">
        <v>87</v>
      </c>
      <c r="F9" s="214" t="s">
        <v>190</v>
      </c>
      <c r="G9" s="215" t="str">
        <f>CONCATENATE("Jan 1,",I1-1,"")</f>
        <v>Jan 1,2014</v>
      </c>
      <c r="H9" s="186">
        <f>I1-1</f>
        <v>2014</v>
      </c>
      <c r="I9" s="186">
        <f>I1</f>
        <v>2015</v>
      </c>
    </row>
    <row r="10" spans="2:9" ht="15.75">
      <c r="B10" s="216" t="s">
        <v>364</v>
      </c>
      <c r="C10" s="326">
        <v>40710</v>
      </c>
      <c r="D10" s="217">
        <v>38</v>
      </c>
      <c r="E10" s="218">
        <v>2.5</v>
      </c>
      <c r="F10" s="53">
        <v>57248</v>
      </c>
      <c r="G10" s="53">
        <v>19387</v>
      </c>
      <c r="H10" s="53">
        <v>20011</v>
      </c>
      <c r="I10" s="53">
        <v>0</v>
      </c>
    </row>
    <row r="11" spans="2:9" ht="15.75">
      <c r="B11" s="216" t="s">
        <v>365</v>
      </c>
      <c r="C11" s="326">
        <v>41075</v>
      </c>
      <c r="D11" s="217">
        <v>360</v>
      </c>
      <c r="E11" s="558" t="s">
        <v>366</v>
      </c>
      <c r="F11" s="53">
        <v>6000000</v>
      </c>
      <c r="G11" s="53">
        <v>6000000</v>
      </c>
      <c r="H11" s="53">
        <v>369663</v>
      </c>
      <c r="I11" s="53">
        <v>367975</v>
      </c>
    </row>
    <row r="12" spans="2:9" ht="15.75">
      <c r="B12" s="216" t="s">
        <v>367</v>
      </c>
      <c r="C12" s="326">
        <v>41144</v>
      </c>
      <c r="D12" s="217">
        <v>17</v>
      </c>
      <c r="E12" s="218">
        <v>1.9</v>
      </c>
      <c r="F12" s="53">
        <v>130000</v>
      </c>
      <c r="G12" s="53">
        <v>64725</v>
      </c>
      <c r="H12" s="53">
        <v>66162</v>
      </c>
      <c r="I12" s="53">
        <v>0</v>
      </c>
    </row>
    <row r="13" spans="2:9" ht="15.75">
      <c r="B13" s="216"/>
      <c r="C13" s="216"/>
      <c r="D13" s="217"/>
      <c r="E13" s="218"/>
      <c r="F13" s="53"/>
      <c r="G13" s="53"/>
      <c r="H13" s="53"/>
      <c r="I13" s="53"/>
    </row>
    <row r="14" spans="2:9" ht="15.75">
      <c r="B14" s="216"/>
      <c r="C14" s="216"/>
      <c r="D14" s="217"/>
      <c r="E14" s="218"/>
      <c r="F14" s="53"/>
      <c r="G14" s="53"/>
      <c r="H14" s="53"/>
      <c r="I14" s="53"/>
    </row>
    <row r="15" spans="2:9" ht="15.75">
      <c r="B15" s="216"/>
      <c r="C15" s="216"/>
      <c r="D15" s="217"/>
      <c r="E15" s="218"/>
      <c r="F15" s="53"/>
      <c r="G15" s="53"/>
      <c r="H15" s="53"/>
      <c r="I15" s="53"/>
    </row>
    <row r="16" spans="2:9" ht="15.75">
      <c r="B16" s="216"/>
      <c r="C16" s="216"/>
      <c r="D16" s="217"/>
      <c r="E16" s="218"/>
      <c r="F16" s="53"/>
      <c r="G16" s="53"/>
      <c r="H16" s="53"/>
      <c r="I16" s="53"/>
    </row>
    <row r="17" spans="2:9" ht="15.75">
      <c r="B17" s="216"/>
      <c r="C17" s="216"/>
      <c r="D17" s="217"/>
      <c r="E17" s="218"/>
      <c r="F17" s="53"/>
      <c r="G17" s="53"/>
      <c r="H17" s="53"/>
      <c r="I17" s="53"/>
    </row>
    <row r="18" spans="2:9" ht="15.75">
      <c r="B18" s="216"/>
      <c r="C18" s="216"/>
      <c r="D18" s="217"/>
      <c r="E18" s="218"/>
      <c r="F18" s="53"/>
      <c r="G18" s="53"/>
      <c r="H18" s="53"/>
      <c r="I18" s="53"/>
    </row>
    <row r="19" spans="2:9" ht="15.75">
      <c r="B19" s="216"/>
      <c r="C19" s="216"/>
      <c r="D19" s="217"/>
      <c r="E19" s="218"/>
      <c r="F19" s="53"/>
      <c r="G19" s="53"/>
      <c r="H19" s="53"/>
      <c r="I19" s="53"/>
    </row>
    <row r="20" spans="2:9" ht="15.75">
      <c r="B20" s="216"/>
      <c r="C20" s="216"/>
      <c r="D20" s="217"/>
      <c r="E20" s="218"/>
      <c r="F20" s="53"/>
      <c r="G20" s="53"/>
      <c r="H20" s="53"/>
      <c r="I20" s="53"/>
    </row>
    <row r="21" spans="2:9" ht="15.75">
      <c r="B21" s="216"/>
      <c r="C21" s="216"/>
      <c r="D21" s="217"/>
      <c r="E21" s="218"/>
      <c r="F21" s="53"/>
      <c r="G21" s="53"/>
      <c r="H21" s="53"/>
      <c r="I21" s="53"/>
    </row>
    <row r="22" spans="2:9" ht="15.75">
      <c r="B22" s="216"/>
      <c r="C22" s="216"/>
      <c r="D22" s="217"/>
      <c r="E22" s="218"/>
      <c r="F22" s="53"/>
      <c r="G22" s="53"/>
      <c r="H22" s="53"/>
      <c r="I22" s="53"/>
    </row>
    <row r="23" spans="2:9" ht="15.75">
      <c r="B23" s="216"/>
      <c r="C23" s="216"/>
      <c r="D23" s="217"/>
      <c r="E23" s="218"/>
      <c r="F23" s="53"/>
      <c r="G23" s="53"/>
      <c r="H23" s="53"/>
      <c r="I23" s="53"/>
    </row>
    <row r="24" spans="2:9" ht="15.75">
      <c r="B24" s="216"/>
      <c r="C24" s="216"/>
      <c r="D24" s="217"/>
      <c r="E24" s="218"/>
      <c r="F24" s="53"/>
      <c r="G24" s="53"/>
      <c r="H24" s="53"/>
      <c r="I24" s="53"/>
    </row>
    <row r="25" spans="2:9" ht="15.75">
      <c r="B25" s="216"/>
      <c r="C25" s="216"/>
      <c r="D25" s="217"/>
      <c r="E25" s="218"/>
      <c r="F25" s="53"/>
      <c r="G25" s="53"/>
      <c r="H25" s="53"/>
      <c r="I25" s="53"/>
    </row>
    <row r="26" spans="2:9" ht="15.75">
      <c r="B26" s="216"/>
      <c r="C26" s="216"/>
      <c r="D26" s="217"/>
      <c r="E26" s="218"/>
      <c r="F26" s="53"/>
      <c r="G26" s="53"/>
      <c r="H26" s="53"/>
      <c r="I26" s="53"/>
    </row>
    <row r="27" spans="2:9" ht="15.75">
      <c r="B27" s="216"/>
      <c r="C27" s="216"/>
      <c r="D27" s="217"/>
      <c r="E27" s="218"/>
      <c r="F27" s="53"/>
      <c r="G27" s="53"/>
      <c r="H27" s="53"/>
      <c r="I27" s="53"/>
    </row>
    <row r="28" spans="2:9" ht="15.75">
      <c r="B28" s="216"/>
      <c r="C28" s="216"/>
      <c r="D28" s="217"/>
      <c r="E28" s="218"/>
      <c r="F28" s="53"/>
      <c r="G28" s="53"/>
      <c r="H28" s="53"/>
      <c r="I28" s="53"/>
    </row>
    <row r="29" spans="2:9" ht="15.75">
      <c r="B29" s="216"/>
      <c r="C29" s="216"/>
      <c r="D29" s="217"/>
      <c r="E29" s="218"/>
      <c r="F29" s="53"/>
      <c r="G29" s="53"/>
      <c r="H29" s="53"/>
      <c r="I29" s="53"/>
    </row>
    <row r="30" spans="2:9" ht="15.75">
      <c r="B30" s="216"/>
      <c r="C30" s="216"/>
      <c r="D30" s="217"/>
      <c r="E30" s="218"/>
      <c r="F30" s="53"/>
      <c r="G30" s="53"/>
      <c r="H30" s="53"/>
      <c r="I30" s="53"/>
    </row>
    <row r="31" spans="2:9" ht="15.75">
      <c r="B31" s="216"/>
      <c r="C31" s="216"/>
      <c r="D31" s="217"/>
      <c r="E31" s="218"/>
      <c r="F31" s="53"/>
      <c r="G31" s="53"/>
      <c r="H31" s="53"/>
      <c r="I31" s="53"/>
    </row>
    <row r="32" spans="2:9" ht="15.75">
      <c r="B32" s="216"/>
      <c r="C32" s="216"/>
      <c r="D32" s="217"/>
      <c r="E32" s="218"/>
      <c r="F32" s="53"/>
      <c r="G32" s="53"/>
      <c r="H32" s="53"/>
      <c r="I32" s="53"/>
    </row>
    <row r="33" spans="2:9" ht="15.75">
      <c r="B33" s="216"/>
      <c r="C33" s="216"/>
      <c r="D33" s="217"/>
      <c r="E33" s="218"/>
      <c r="F33" s="53"/>
      <c r="G33" s="53"/>
      <c r="H33" s="53"/>
      <c r="I33" s="53"/>
    </row>
    <row r="34" spans="2:9" ht="15.75">
      <c r="B34" s="216"/>
      <c r="C34" s="216"/>
      <c r="D34" s="217"/>
      <c r="E34" s="218"/>
      <c r="F34" s="53"/>
      <c r="G34" s="53"/>
      <c r="H34" s="53"/>
      <c r="I34" s="53"/>
    </row>
    <row r="35" spans="2:9" ht="15.75">
      <c r="B35" s="216"/>
      <c r="C35" s="216"/>
      <c r="D35" s="217"/>
      <c r="E35" s="218"/>
      <c r="F35" s="53"/>
      <c r="G35" s="53"/>
      <c r="H35" s="53"/>
      <c r="I35" s="53"/>
    </row>
    <row r="36" spans="2:9" ht="15.75">
      <c r="B36" s="216"/>
      <c r="C36" s="216"/>
      <c r="D36" s="217"/>
      <c r="E36" s="218"/>
      <c r="F36" s="53"/>
      <c r="G36" s="53"/>
      <c r="H36" s="53"/>
      <c r="I36" s="53"/>
    </row>
    <row r="37" spans="2:10" ht="16.5" thickBot="1">
      <c r="B37" s="403"/>
      <c r="C37" s="28"/>
      <c r="D37" s="28"/>
      <c r="E37" s="28"/>
      <c r="F37" s="194" t="s">
        <v>69</v>
      </c>
      <c r="G37" s="219">
        <f>SUM(G10:G36)</f>
        <v>6084112</v>
      </c>
      <c r="H37" s="219">
        <f>SUM(H10:H36)</f>
        <v>455836</v>
      </c>
      <c r="I37" s="219">
        <f>SUM(I10:I36)</f>
        <v>367975</v>
      </c>
      <c r="J37" s="220"/>
    </row>
    <row r="38" spans="2:9" ht="16.5" thickTop="1">
      <c r="B38" s="28"/>
      <c r="C38" s="28"/>
      <c r="D38" s="28"/>
      <c r="E38" s="28"/>
      <c r="F38" s="28"/>
      <c r="G38" s="28"/>
      <c r="H38" s="155"/>
      <c r="I38" s="155"/>
    </row>
    <row r="39" spans="2:9" ht="15.75">
      <c r="B39" s="221" t="s">
        <v>39</v>
      </c>
      <c r="C39" s="222"/>
      <c r="D39" s="222"/>
      <c r="E39" s="222"/>
      <c r="F39" s="222"/>
      <c r="G39" s="222"/>
      <c r="H39" s="155"/>
      <c r="I39" s="155"/>
    </row>
    <row r="40" spans="2:9" ht="15.75">
      <c r="B40" s="84"/>
      <c r="C40" s="84"/>
      <c r="D40" s="208"/>
      <c r="E40" s="84"/>
      <c r="F40" s="84"/>
      <c r="G40" s="84"/>
      <c r="H40" s="207"/>
      <c r="I40" s="207"/>
    </row>
    <row r="41" spans="2:9" ht="15.75">
      <c r="B41" s="84"/>
      <c r="C41" s="84"/>
      <c r="D41" s="84"/>
      <c r="E41" s="84"/>
      <c r="F41" s="84"/>
      <c r="G41" s="84"/>
      <c r="H41" s="84"/>
      <c r="I41" s="84"/>
    </row>
    <row r="42" spans="2:9" ht="15.75">
      <c r="B42" s="84"/>
      <c r="C42" s="84"/>
      <c r="D42" s="84"/>
      <c r="E42" s="84"/>
      <c r="F42" s="84"/>
      <c r="G42" s="84"/>
      <c r="H42" s="84"/>
      <c r="I42" s="84"/>
    </row>
    <row r="43" spans="2:9" ht="15.75">
      <c r="B43" s="84"/>
      <c r="C43" s="84"/>
      <c r="D43" s="84"/>
      <c r="E43" s="84"/>
      <c r="F43" s="84"/>
      <c r="G43" s="84"/>
      <c r="H43" s="84"/>
      <c r="I43" s="84"/>
    </row>
    <row r="44" spans="2:9" ht="15.75">
      <c r="B44" s="84"/>
      <c r="C44" s="84"/>
      <c r="D44" s="84"/>
      <c r="E44" s="84"/>
      <c r="F44" s="84"/>
      <c r="G44" s="84"/>
      <c r="H44" s="84"/>
      <c r="I44" s="84"/>
    </row>
    <row r="45" spans="2:9" ht="15.75">
      <c r="B45" s="84"/>
      <c r="C45" s="84"/>
      <c r="D45" s="84"/>
      <c r="E45" s="84"/>
      <c r="F45" s="84"/>
      <c r="G45" s="84"/>
      <c r="H45" s="84"/>
      <c r="I45" s="84"/>
    </row>
    <row r="46" spans="2:9" ht="15.75">
      <c r="B46" s="84"/>
      <c r="C46" s="84"/>
      <c r="D46" s="84"/>
      <c r="E46" s="84"/>
      <c r="F46" s="84"/>
      <c r="G46" s="84"/>
      <c r="H46" s="84"/>
      <c r="I46" s="84"/>
    </row>
    <row r="47" spans="2:9" ht="15.75">
      <c r="B47" s="84"/>
      <c r="C47" s="84"/>
      <c r="D47" s="84"/>
      <c r="E47" s="84"/>
      <c r="F47" s="84"/>
      <c r="G47" s="84"/>
      <c r="H47" s="84"/>
      <c r="I47" s="84"/>
    </row>
    <row r="48" spans="2:9" ht="15.75">
      <c r="B48" s="84"/>
      <c r="C48" s="84"/>
      <c r="D48" s="84"/>
      <c r="E48" s="84"/>
      <c r="F48" s="84"/>
      <c r="G48" s="84"/>
      <c r="H48" s="84"/>
      <c r="I48" s="84"/>
    </row>
  </sheetData>
  <sheetProtection/>
  <printOptions/>
  <pageMargins left="0.17" right="0.5" top="0.78" bottom="0.4" header="0.5" footer="0"/>
  <pageSetup blackAndWhite="1" fitToHeight="1" fitToWidth="1" horizontalDpi="120" verticalDpi="120" orientation="landscape" scale="80" r:id="rId1"/>
  <headerFooter alignWithMargins="0">
    <oddHeader>&amp;RState of Kansas
County
</oddHeader>
    <oddFooter>&amp;CPage No. 6</oddFooter>
  </headerFooter>
</worksheet>
</file>

<file path=xl/worksheets/sheet11.xml><?xml version="1.0" encoding="utf-8"?>
<worksheet xmlns="http://schemas.openxmlformats.org/spreadsheetml/2006/main" xmlns:r="http://schemas.openxmlformats.org/officeDocument/2006/relationships">
  <dimension ref="B1:K116"/>
  <sheetViews>
    <sheetView view="pageBreakPreview" zoomScale="99" zoomScaleSheetLayoutView="99" zoomScalePageLayoutView="0" workbookViewId="0" topLeftCell="A64">
      <selection activeCell="H86" sqref="H86"/>
    </sheetView>
  </sheetViews>
  <sheetFormatPr defaultColWidth="8.8984375" defaultRowHeight="15"/>
  <cols>
    <col min="1" max="1" width="2.3984375" style="25" customWidth="1"/>
    <col min="2" max="2" width="31.09765625" style="25" customWidth="1"/>
    <col min="3" max="4" width="15.796875" style="25" customWidth="1"/>
    <col min="5" max="5" width="16.19921875" style="25" customWidth="1"/>
    <col min="6" max="6" width="7.3984375" style="25" customWidth="1"/>
    <col min="7" max="7" width="10.19921875" style="25" customWidth="1"/>
    <col min="8" max="8" width="8.8984375" style="25" customWidth="1"/>
    <col min="9" max="9" width="5" style="25" customWidth="1"/>
    <col min="10" max="10" width="10" style="25" customWidth="1"/>
    <col min="11"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151</v>
      </c>
      <c r="C3" s="28"/>
      <c r="D3" s="28"/>
      <c r="E3" s="223"/>
    </row>
    <row r="4" spans="2:5" ht="15.75">
      <c r="B4" s="224" t="s">
        <v>71</v>
      </c>
      <c r="C4" s="470" t="s">
        <v>290</v>
      </c>
      <c r="D4" s="471" t="s">
        <v>291</v>
      </c>
      <c r="E4" s="151" t="s">
        <v>292</v>
      </c>
    </row>
    <row r="5" spans="2:5" ht="15.75">
      <c r="B5" s="356" t="str">
        <f>inputPrYr!B16</f>
        <v>General</v>
      </c>
      <c r="C5" s="331" t="str">
        <f>CONCATENATE("Actual for ",E1-2,"")</f>
        <v>Actual for 2013</v>
      </c>
      <c r="D5" s="331" t="str">
        <f>CONCATENATE("Estimate for ",E1-1,"")</f>
        <v>Estimate for 2014</v>
      </c>
      <c r="E5" s="225" t="str">
        <f>CONCATENATE("Year for ",E1,"")</f>
        <v>Year for 2015</v>
      </c>
    </row>
    <row r="6" spans="2:5" ht="15.75">
      <c r="B6" s="226" t="s">
        <v>184</v>
      </c>
      <c r="C6" s="328">
        <v>221505</v>
      </c>
      <c r="D6" s="332">
        <f>C97</f>
        <v>10925</v>
      </c>
      <c r="E6" s="188">
        <f>D97</f>
        <v>5602</v>
      </c>
    </row>
    <row r="7" spans="2:5" ht="15.75">
      <c r="B7" s="213" t="s">
        <v>186</v>
      </c>
      <c r="C7" s="228"/>
      <c r="D7" s="228"/>
      <c r="E7" s="68"/>
    </row>
    <row r="8" spans="2:5" ht="15.75">
      <c r="B8" s="226" t="s">
        <v>72</v>
      </c>
      <c r="C8" s="328">
        <v>929068</v>
      </c>
      <c r="D8" s="332">
        <v>1273479</v>
      </c>
      <c r="E8" s="153" t="s">
        <v>59</v>
      </c>
    </row>
    <row r="9" spans="2:5" ht="15.75">
      <c r="B9" s="226" t="s">
        <v>73</v>
      </c>
      <c r="C9" s="328">
        <v>21092</v>
      </c>
      <c r="D9" s="328">
        <v>11540</v>
      </c>
      <c r="E9" s="229">
        <v>10000</v>
      </c>
    </row>
    <row r="10" spans="2:5" ht="15.75">
      <c r="B10" s="226" t="s">
        <v>74</v>
      </c>
      <c r="C10" s="328">
        <v>123223</v>
      </c>
      <c r="D10" s="328">
        <v>108493</v>
      </c>
      <c r="E10" s="188">
        <f>mvalloc!E7</f>
        <v>143421</v>
      </c>
    </row>
    <row r="11" spans="2:5" ht="15.75">
      <c r="B11" s="226" t="s">
        <v>75</v>
      </c>
      <c r="C11" s="328"/>
      <c r="D11" s="328">
        <v>1491</v>
      </c>
      <c r="E11" s="188">
        <f>mvalloc!F7</f>
        <v>1778</v>
      </c>
    </row>
    <row r="12" spans="2:5" ht="15.75">
      <c r="B12" s="228" t="s">
        <v>175</v>
      </c>
      <c r="C12" s="328"/>
      <c r="D12" s="328">
        <v>10302</v>
      </c>
      <c r="E12" s="188">
        <f>mvalloc!G7</f>
        <v>11807</v>
      </c>
    </row>
    <row r="13" spans="2:5" ht="15.75">
      <c r="B13" s="226" t="s">
        <v>177</v>
      </c>
      <c r="C13" s="328">
        <v>36212</v>
      </c>
      <c r="D13" s="328">
        <v>37409</v>
      </c>
      <c r="E13" s="188">
        <f>inputOth!E11</f>
        <v>36149</v>
      </c>
    </row>
    <row r="14" spans="2:5" ht="15.75">
      <c r="B14" s="226" t="s">
        <v>217</v>
      </c>
      <c r="C14" s="328"/>
      <c r="D14" s="328"/>
      <c r="E14" s="188">
        <f>inputOth!E18</f>
        <v>0</v>
      </c>
    </row>
    <row r="15" spans="2:5" ht="15.75">
      <c r="B15" s="226" t="s">
        <v>218</v>
      </c>
      <c r="C15" s="328"/>
      <c r="D15" s="328"/>
      <c r="E15" s="188">
        <f>inputOth!E19</f>
        <v>0</v>
      </c>
    </row>
    <row r="16" spans="2:5" ht="15.75">
      <c r="B16" s="230" t="s">
        <v>78</v>
      </c>
      <c r="C16" s="328"/>
      <c r="D16" s="328"/>
      <c r="E16" s="229"/>
    </row>
    <row r="17" spans="2:5" ht="15.75">
      <c r="B17" s="230" t="s">
        <v>76</v>
      </c>
      <c r="C17" s="328"/>
      <c r="D17" s="328"/>
      <c r="E17" s="229"/>
    </row>
    <row r="18" spans="2:5" ht="15.75">
      <c r="B18" s="230" t="s">
        <v>253</v>
      </c>
      <c r="C18" s="328"/>
      <c r="D18" s="328"/>
      <c r="E18" s="229"/>
    </row>
    <row r="19" spans="2:5" ht="15.75">
      <c r="B19" s="231" t="s">
        <v>254</v>
      </c>
      <c r="C19" s="328">
        <v>728297</v>
      </c>
      <c r="D19" s="328">
        <v>735000</v>
      </c>
      <c r="E19" s="229">
        <v>735000</v>
      </c>
    </row>
    <row r="20" spans="2:5" ht="15.75">
      <c r="B20" s="231" t="s">
        <v>368</v>
      </c>
      <c r="C20" s="328">
        <v>33</v>
      </c>
      <c r="D20" s="328">
        <v>41</v>
      </c>
      <c r="E20" s="229">
        <v>40</v>
      </c>
    </row>
    <row r="21" spans="2:5" ht="15.75">
      <c r="B21" s="231" t="s">
        <v>369</v>
      </c>
      <c r="C21" s="328">
        <v>55772</v>
      </c>
      <c r="D21" s="328">
        <v>55000</v>
      </c>
      <c r="E21" s="229">
        <v>55000</v>
      </c>
    </row>
    <row r="22" spans="2:5" ht="15.75">
      <c r="B22" s="230" t="s">
        <v>370</v>
      </c>
      <c r="C22" s="328">
        <v>117722</v>
      </c>
      <c r="D22" s="328">
        <v>73000</v>
      </c>
      <c r="E22" s="229">
        <v>70000</v>
      </c>
    </row>
    <row r="23" spans="2:5" ht="15.75">
      <c r="B23" s="230" t="s">
        <v>371</v>
      </c>
      <c r="C23" s="328">
        <v>36849</v>
      </c>
      <c r="D23" s="328">
        <v>32000</v>
      </c>
      <c r="E23" s="229">
        <v>32000</v>
      </c>
    </row>
    <row r="24" spans="2:5" ht="15.75">
      <c r="B24" s="230" t="s">
        <v>372</v>
      </c>
      <c r="C24" s="560">
        <v>-6296</v>
      </c>
      <c r="D24" s="560">
        <v>-53710</v>
      </c>
      <c r="E24" s="561">
        <v>-59736</v>
      </c>
    </row>
    <row r="25" spans="2:5" ht="15.75">
      <c r="B25" s="230" t="s">
        <v>373</v>
      </c>
      <c r="C25" s="328">
        <v>7668</v>
      </c>
      <c r="D25" s="328"/>
      <c r="E25" s="229"/>
    </row>
    <row r="26" spans="2:5" ht="15.75">
      <c r="B26" s="230" t="s">
        <v>374</v>
      </c>
      <c r="C26" s="328">
        <v>38852</v>
      </c>
      <c r="D26" s="328">
        <v>38042</v>
      </c>
      <c r="E26" s="229">
        <v>38000</v>
      </c>
    </row>
    <row r="27" spans="2:5" ht="15.75">
      <c r="B27" s="230" t="s">
        <v>375</v>
      </c>
      <c r="C27" s="328"/>
      <c r="D27" s="328">
        <v>10000</v>
      </c>
      <c r="E27" s="229"/>
    </row>
    <row r="28" spans="2:5" ht="15.75">
      <c r="B28" s="230"/>
      <c r="C28" s="328"/>
      <c r="D28" s="328"/>
      <c r="E28" s="229"/>
    </row>
    <row r="29" spans="2:5" ht="15.75">
      <c r="B29" s="230"/>
      <c r="C29" s="328"/>
      <c r="D29" s="328"/>
      <c r="E29" s="229"/>
    </row>
    <row r="30" spans="2:5" ht="15.75">
      <c r="B30" s="230"/>
      <c r="C30" s="328"/>
      <c r="D30" s="328"/>
      <c r="E30" s="229"/>
    </row>
    <row r="31" spans="2:5" ht="15.75">
      <c r="B31" s="230"/>
      <c r="C31" s="328"/>
      <c r="D31" s="328"/>
      <c r="E31" s="229"/>
    </row>
    <row r="32" spans="2:5" ht="15.75">
      <c r="B32" s="230"/>
      <c r="C32" s="328"/>
      <c r="D32" s="328"/>
      <c r="E32" s="229"/>
    </row>
    <row r="33" spans="2:5" ht="15.75">
      <c r="B33" s="230"/>
      <c r="C33" s="328"/>
      <c r="D33" s="328"/>
      <c r="E33" s="229"/>
    </row>
    <row r="34" spans="2:5" ht="15.75">
      <c r="B34" s="230"/>
      <c r="C34" s="328"/>
      <c r="D34" s="328"/>
      <c r="E34" s="229"/>
    </row>
    <row r="35" spans="2:5" ht="15.75">
      <c r="B35" s="230"/>
      <c r="C35" s="328"/>
      <c r="D35" s="328"/>
      <c r="E35" s="229"/>
    </row>
    <row r="36" spans="2:5" ht="15.75">
      <c r="B36" s="230"/>
      <c r="C36" s="328"/>
      <c r="D36" s="328"/>
      <c r="E36" s="229"/>
    </row>
    <row r="37" spans="2:5" ht="15.75">
      <c r="B37" s="230"/>
      <c r="C37" s="328"/>
      <c r="D37" s="328"/>
      <c r="E37" s="229"/>
    </row>
    <row r="38" spans="2:5" ht="15.75">
      <c r="B38" s="230"/>
      <c r="C38" s="328"/>
      <c r="D38" s="328"/>
      <c r="E38" s="229"/>
    </row>
    <row r="39" spans="2:5" ht="15.75">
      <c r="B39" s="230"/>
      <c r="C39" s="328"/>
      <c r="D39" s="328"/>
      <c r="E39" s="229"/>
    </row>
    <row r="40" spans="2:5" ht="15.75">
      <c r="B40" s="230"/>
      <c r="C40" s="328"/>
      <c r="D40" s="328"/>
      <c r="E40" s="229"/>
    </row>
    <row r="41" spans="2:5" ht="15.75">
      <c r="B41" s="230"/>
      <c r="C41" s="328"/>
      <c r="D41" s="328"/>
      <c r="E41" s="229"/>
    </row>
    <row r="42" spans="2:5" ht="15.75">
      <c r="B42" s="230" t="s">
        <v>77</v>
      </c>
      <c r="C42" s="328"/>
      <c r="D42" s="328"/>
      <c r="E42" s="229"/>
    </row>
    <row r="43" spans="2:5" ht="15.75">
      <c r="B43" s="231" t="s">
        <v>79</v>
      </c>
      <c r="C43" s="328">
        <v>11617</v>
      </c>
      <c r="D43" s="328">
        <v>10000</v>
      </c>
      <c r="E43" s="229">
        <v>9000</v>
      </c>
    </row>
    <row r="44" spans="2:5" ht="15.75">
      <c r="B44" s="232" t="s">
        <v>34</v>
      </c>
      <c r="C44" s="328">
        <v>73844</v>
      </c>
      <c r="D44" s="328">
        <v>35000</v>
      </c>
      <c r="E44" s="229">
        <v>35000</v>
      </c>
    </row>
    <row r="45" spans="2:5" ht="15.75">
      <c r="B45" s="232" t="s">
        <v>256</v>
      </c>
      <c r="C45" s="329">
        <f>IF(C46*0.1&lt;C44,"Exceed 10% Rule","")</f>
      </c>
      <c r="D45" s="329">
        <f>IF(D46*0.1&lt;D44,"Exceed 10% Rule","")</f>
      </c>
      <c r="E45" s="266">
        <f>IF(E46*0.1+E103&lt;E44,"Exceed 10% Rule","")</f>
      </c>
    </row>
    <row r="46" spans="2:5" ht="15.75">
      <c r="B46" s="234" t="s">
        <v>80</v>
      </c>
      <c r="C46" s="330">
        <f>SUM(C8:C44)</f>
        <v>2173953</v>
      </c>
      <c r="D46" s="330">
        <f>SUM(D8:D44)</f>
        <v>2377087</v>
      </c>
      <c r="E46" s="274">
        <f>SUM(E9:E44)</f>
        <v>1117459</v>
      </c>
    </row>
    <row r="47" spans="2:5" ht="15.75">
      <c r="B47" s="234" t="s">
        <v>81</v>
      </c>
      <c r="C47" s="330">
        <f>C6+C46</f>
        <v>2395458</v>
      </c>
      <c r="D47" s="330">
        <f>D6+D46</f>
        <v>2388012</v>
      </c>
      <c r="E47" s="274">
        <f>E6+E46</f>
        <v>1123061</v>
      </c>
    </row>
    <row r="48" spans="2:5" ht="15.75">
      <c r="B48" s="28"/>
      <c r="C48" s="155"/>
      <c r="D48" s="155"/>
      <c r="E48" s="155"/>
    </row>
    <row r="49" spans="2:5" ht="15.75">
      <c r="B49" s="623" t="s">
        <v>193</v>
      </c>
      <c r="C49" s="623"/>
      <c r="D49" s="623"/>
      <c r="E49" s="623"/>
    </row>
    <row r="50" spans="2:5" ht="15.75">
      <c r="B50" s="155" t="str">
        <f>inputPrYr!C2</f>
        <v>CLOUD COUNTY</v>
      </c>
      <c r="C50" s="155"/>
      <c r="D50" s="155"/>
      <c r="E50" s="209">
        <f>inputPrYr!C4</f>
        <v>2015</v>
      </c>
    </row>
    <row r="51" spans="2:5" ht="15.75">
      <c r="B51" s="28"/>
      <c r="C51" s="155"/>
      <c r="D51" s="155"/>
      <c r="E51" s="162"/>
    </row>
    <row r="52" spans="2:5" ht="15.75">
      <c r="B52" s="236" t="s">
        <v>149</v>
      </c>
      <c r="C52" s="237"/>
      <c r="D52" s="237"/>
      <c r="E52" s="237"/>
    </row>
    <row r="53" spans="2:5" ht="15.75">
      <c r="B53" s="28" t="s">
        <v>71</v>
      </c>
      <c r="C53" s="470" t="s">
        <v>290</v>
      </c>
      <c r="D53" s="471" t="s">
        <v>291</v>
      </c>
      <c r="E53" s="151" t="s">
        <v>292</v>
      </c>
    </row>
    <row r="54" spans="2:5" ht="15.75">
      <c r="B54" s="55" t="s">
        <v>83</v>
      </c>
      <c r="C54" s="331" t="str">
        <f>CONCATENATE("Actual for ",E50-2,"")</f>
        <v>Actual for 2013</v>
      </c>
      <c r="D54" s="331" t="str">
        <f>CONCATENATE("Estimate for ",E50-1,"")</f>
        <v>Estimate for 2014</v>
      </c>
      <c r="E54" s="225" t="str">
        <f>CONCATENATE("Year for ",E50,"")</f>
        <v>Year for 2015</v>
      </c>
    </row>
    <row r="55" spans="2:5" ht="15.75">
      <c r="B55" s="234" t="s">
        <v>81</v>
      </c>
      <c r="C55" s="332">
        <f>C47</f>
        <v>2395458</v>
      </c>
      <c r="D55" s="332">
        <f>D47</f>
        <v>2388012</v>
      </c>
      <c r="E55" s="188">
        <f>E47</f>
        <v>1123061</v>
      </c>
    </row>
    <row r="56" spans="2:5" ht="15.75">
      <c r="B56" s="226" t="s">
        <v>84</v>
      </c>
      <c r="C56" s="332"/>
      <c r="D56" s="332"/>
      <c r="E56" s="188"/>
    </row>
    <row r="57" spans="2:5" ht="15.75">
      <c r="B57" s="228" t="str">
        <f>'gen-detail'!A7</f>
        <v>County Commission</v>
      </c>
      <c r="C57" s="332">
        <f>'gen-detail'!B13</f>
        <v>46825</v>
      </c>
      <c r="D57" s="332">
        <f>'gen-detail'!C13</f>
        <v>50211</v>
      </c>
      <c r="E57" s="188">
        <f>'gen-detail'!D13</f>
        <v>50711</v>
      </c>
    </row>
    <row r="58" spans="2:5" ht="15.75">
      <c r="B58" s="228" t="str">
        <f>'gen-detail'!A14</f>
        <v>County Clerk</v>
      </c>
      <c r="C58" s="332">
        <f>'gen-detail'!B19</f>
        <v>102982</v>
      </c>
      <c r="D58" s="332">
        <f>'gen-detail'!C19</f>
        <v>117970</v>
      </c>
      <c r="E58" s="188">
        <f>'gen-detail'!D19</f>
        <v>117970</v>
      </c>
    </row>
    <row r="59" spans="2:5" ht="15.75">
      <c r="B59" s="228" t="str">
        <f>'gen-detail'!A20</f>
        <v>County Treasurer</v>
      </c>
      <c r="C59" s="332">
        <f>'gen-detail'!B26</f>
        <v>110603</v>
      </c>
      <c r="D59" s="332">
        <f>'gen-detail'!C26</f>
        <v>110000</v>
      </c>
      <c r="E59" s="188">
        <f>'gen-detail'!D26</f>
        <v>107273</v>
      </c>
    </row>
    <row r="60" spans="2:5" ht="15.75">
      <c r="B60" s="228" t="str">
        <f>'gen-detail'!A27</f>
        <v>County Attorney/Counselor</v>
      </c>
      <c r="C60" s="332">
        <f>'gen-detail'!B33</f>
        <v>144188</v>
      </c>
      <c r="D60" s="332">
        <f>'gen-detail'!C33</f>
        <v>135756</v>
      </c>
      <c r="E60" s="188">
        <f>'gen-detail'!D33</f>
        <v>144400</v>
      </c>
    </row>
    <row r="61" spans="2:5" ht="15.75">
      <c r="B61" s="228" t="str">
        <f>'gen-detail'!A34</f>
        <v>Register of Deeds</v>
      </c>
      <c r="C61" s="332">
        <f>'gen-detail'!B39</f>
        <v>71087</v>
      </c>
      <c r="D61" s="332">
        <f>'gen-detail'!C39</f>
        <v>74447</v>
      </c>
      <c r="E61" s="188">
        <f>'gen-detail'!D39</f>
        <v>71947</v>
      </c>
    </row>
    <row r="62" spans="2:5" ht="15.75">
      <c r="B62" s="228" t="str">
        <f>'gen-detail'!A40</f>
        <v>Sheriff</v>
      </c>
      <c r="C62" s="332">
        <f>'gen-detail'!B52</f>
        <v>978208</v>
      </c>
      <c r="D62" s="332">
        <f>'gen-detail'!C52</f>
        <v>986280</v>
      </c>
      <c r="E62" s="188">
        <f>'gen-detail'!D52</f>
        <v>1299609</v>
      </c>
    </row>
    <row r="63" spans="2:5" ht="15.75">
      <c r="B63" s="228" t="str">
        <f>'gen-detail'!A53</f>
        <v>Clerk of District Court</v>
      </c>
      <c r="C63" s="332">
        <f>'gen-detail'!B60</f>
        <v>130974</v>
      </c>
      <c r="D63" s="332">
        <f>'gen-detail'!C60</f>
        <v>99906</v>
      </c>
      <c r="E63" s="188">
        <f>'gen-detail'!D60</f>
        <v>99906</v>
      </c>
    </row>
    <row r="64" spans="2:5" ht="15.75">
      <c r="B64" s="228" t="str">
        <f>'gen-detail'!A61</f>
        <v>Courthouse (General Expenses)</v>
      </c>
      <c r="C64" s="332">
        <f>'gen-detail'!B67</f>
        <v>250256</v>
      </c>
      <c r="D64" s="332">
        <f>'gen-detail'!C67</f>
        <v>190000</v>
      </c>
      <c r="E64" s="188">
        <f>'gen-detail'!D67</f>
        <v>205000</v>
      </c>
    </row>
    <row r="65" spans="2:5" ht="15.75">
      <c r="B65" s="228" t="str">
        <f>'gen-detail'!A79</f>
        <v>Community Resources Council</v>
      </c>
      <c r="C65" s="332">
        <f>'gen-detail'!B81</f>
        <v>5000</v>
      </c>
      <c r="D65" s="332">
        <f>'gen-detail'!C81</f>
        <v>5000</v>
      </c>
      <c r="E65" s="188">
        <f>'gen-detail'!D81</f>
        <v>5000</v>
      </c>
    </row>
    <row r="66" spans="2:5" ht="15.75">
      <c r="B66" s="228" t="str">
        <f>'gen-detail'!A82</f>
        <v>Custodian</v>
      </c>
      <c r="C66" s="332">
        <f>'gen-detail'!B88</f>
        <v>115144</v>
      </c>
      <c r="D66" s="332">
        <f>'gen-detail'!C88</f>
        <v>122500</v>
      </c>
      <c r="E66" s="188">
        <f>'gen-detail'!D88</f>
        <v>120500</v>
      </c>
    </row>
    <row r="67" spans="2:5" ht="15.75">
      <c r="B67" s="228" t="str">
        <f>'gen-detail'!A89</f>
        <v>Information Technology</v>
      </c>
      <c r="C67" s="332">
        <f>'gen-detail'!B96</f>
        <v>97717</v>
      </c>
      <c r="D67" s="332">
        <f>'gen-detail'!C96</f>
        <v>155370</v>
      </c>
      <c r="E67" s="188">
        <f>'gen-detail'!D96</f>
        <v>163170</v>
      </c>
    </row>
    <row r="68" spans="2:5" ht="15.75">
      <c r="B68" s="228" t="str">
        <f>'gen-detail'!A97</f>
        <v>Economic Development</v>
      </c>
      <c r="C68" s="332">
        <f>'gen-detail'!B103</f>
        <v>66547</v>
      </c>
      <c r="D68" s="332">
        <f>'gen-detail'!C103</f>
        <v>69000</v>
      </c>
      <c r="E68" s="188">
        <f>'gen-detail'!D103</f>
        <v>69700</v>
      </c>
    </row>
    <row r="69" spans="2:5" ht="15.75">
      <c r="B69" s="228" t="str">
        <f>'gen-detail'!A104</f>
        <v>EMS</v>
      </c>
      <c r="C69" s="332">
        <f>'gen-detail'!B106</f>
        <v>-3000</v>
      </c>
      <c r="D69" s="332">
        <f>'gen-detail'!C106</f>
        <v>3500</v>
      </c>
      <c r="E69" s="188">
        <f>'gen-detail'!D106</f>
        <v>4000</v>
      </c>
    </row>
    <row r="70" spans="2:5" ht="15.75">
      <c r="B70" s="228" t="str">
        <f>'gen-detail'!A107</f>
        <v>Emergency Preparedness</v>
      </c>
      <c r="C70" s="332">
        <f>'gen-detail'!B112</f>
        <v>26210</v>
      </c>
      <c r="D70" s="332">
        <f>'gen-detail'!C112</f>
        <v>18618</v>
      </c>
      <c r="E70" s="188">
        <f>'gen-detail'!D112</f>
        <v>29590</v>
      </c>
    </row>
    <row r="71" spans="2:5" ht="15.75">
      <c r="B71" s="228" t="str">
        <f>'gen-detail'!A113</f>
        <v>Recycling Center</v>
      </c>
      <c r="C71" s="332">
        <f>'gen-detail'!B119</f>
        <v>96953</v>
      </c>
      <c r="D71" s="332">
        <f>'gen-detail'!C119</f>
        <v>58900</v>
      </c>
      <c r="E71" s="188">
        <f>'gen-detail'!D119</f>
        <v>104900</v>
      </c>
    </row>
    <row r="72" spans="2:5" ht="15.75">
      <c r="B72" s="228" t="str">
        <f>'gen-detail'!A120</f>
        <v>ADA Safety</v>
      </c>
      <c r="C72" s="332">
        <f>'gen-detail'!B123</f>
        <v>0</v>
      </c>
      <c r="D72" s="332">
        <f>'gen-detail'!C123</f>
        <v>0</v>
      </c>
      <c r="E72" s="188">
        <f>'gen-detail'!D123</f>
        <v>0</v>
      </c>
    </row>
    <row r="73" spans="2:5" ht="15.75">
      <c r="B73" s="228" t="str">
        <f>'gen-detail'!A134</f>
        <v>Dispatching</v>
      </c>
      <c r="C73" s="332">
        <f>'gen-detail'!B136</f>
        <v>100000</v>
      </c>
      <c r="D73" s="332">
        <f>'gen-detail'!C136</f>
        <v>120000</v>
      </c>
      <c r="E73" s="188">
        <f>'gen-detail'!D136</f>
        <v>120000</v>
      </c>
    </row>
    <row r="74" spans="2:5" ht="15.75">
      <c r="B74" s="228" t="str">
        <f>'gen-detail'!A137</f>
        <v>CASA</v>
      </c>
      <c r="C74" s="332">
        <f>'gen-detail'!B139</f>
        <v>13000</v>
      </c>
      <c r="D74" s="332">
        <f>'gen-detail'!C139</f>
        <v>13000</v>
      </c>
      <c r="E74" s="188">
        <f>'gen-detail'!D139</f>
        <v>13000</v>
      </c>
    </row>
    <row r="75" spans="2:5" ht="15.75">
      <c r="B75" s="228" t="str">
        <f>'gen-detail'!A140</f>
        <v>J.J.A.</v>
      </c>
      <c r="C75" s="332">
        <f>'gen-detail'!B143</f>
        <v>0</v>
      </c>
      <c r="D75" s="332">
        <f>'gen-detail'!C143</f>
        <v>0</v>
      </c>
      <c r="E75" s="188">
        <f>'gen-detail'!D143</f>
        <v>0</v>
      </c>
    </row>
    <row r="76" spans="2:5" ht="15.75">
      <c r="B76" s="228" t="str">
        <f>'gen-detail'!A144</f>
        <v>Community Corrections-Adult</v>
      </c>
      <c r="C76" s="332">
        <f>'gen-detail'!B147</f>
        <v>0</v>
      </c>
      <c r="D76" s="332">
        <f>'gen-detail'!C147</f>
        <v>0</v>
      </c>
      <c r="E76" s="188">
        <f>'gen-detail'!D147</f>
        <v>0</v>
      </c>
    </row>
    <row r="77" spans="2:5" ht="15.75">
      <c r="B77" s="228" t="str">
        <f>'gen-detail'!A148</f>
        <v>Senior Care Act</v>
      </c>
      <c r="C77" s="332">
        <f>'gen-detail'!B151</f>
        <v>5195</v>
      </c>
      <c r="D77" s="332">
        <f>'gen-detail'!C151</f>
        <v>6348</v>
      </c>
      <c r="E77" s="188">
        <f>'gen-detail'!D151</f>
        <v>6868</v>
      </c>
    </row>
    <row r="78" spans="2:5" ht="15.75">
      <c r="B78" s="228" t="str">
        <f>'gen-detail'!A152</f>
        <v>North Central Planning</v>
      </c>
      <c r="C78" s="332">
        <f>'gen-detail'!B154</f>
        <v>0</v>
      </c>
      <c r="D78" s="332">
        <f>'gen-detail'!C154</f>
        <v>0</v>
      </c>
      <c r="E78" s="188">
        <f>'gen-detail'!D154</f>
        <v>3500</v>
      </c>
    </row>
    <row r="79" spans="2:5" ht="15.75">
      <c r="B79" s="228" t="str">
        <f>'gen-detail'!A155</f>
        <v>Rural Opportunity Zone</v>
      </c>
      <c r="C79" s="332">
        <f>'gen-detail'!B157</f>
        <v>6000</v>
      </c>
      <c r="D79" s="332">
        <f>'gen-detail'!C157</f>
        <v>3000</v>
      </c>
      <c r="E79" s="332">
        <f>'gen-detail'!D157</f>
        <v>3000</v>
      </c>
    </row>
    <row r="80" spans="2:5" ht="15.75">
      <c r="B80" s="228" t="str">
        <f>'gen-detail'!A158</f>
        <v>Juvenile Detention</v>
      </c>
      <c r="C80" s="332">
        <f>'gen-detail'!B160</f>
        <v>0</v>
      </c>
      <c r="D80" s="332">
        <f>'gen-detail'!C160</f>
        <v>10104</v>
      </c>
      <c r="E80" s="332">
        <f>'gen-detail'!D160</f>
        <v>10104</v>
      </c>
    </row>
    <row r="81" spans="2:5" ht="15.75">
      <c r="B81" s="228" t="str">
        <f>'gen-detail'!A161</f>
        <v>Cloud County Sanitarian</v>
      </c>
      <c r="C81" s="332">
        <f>'gen-detail'!B167</f>
        <v>2670</v>
      </c>
      <c r="D81" s="332">
        <f>'gen-detail'!C167</f>
        <v>2500</v>
      </c>
      <c r="E81" s="188">
        <f>'gen-detail'!D167</f>
        <v>2500</v>
      </c>
    </row>
    <row r="82" spans="2:5" ht="15.75">
      <c r="B82" s="228" t="str">
        <f>'gen-detail'!A168</f>
        <v>Coroner</v>
      </c>
      <c r="C82" s="332">
        <f>'gen-detail'!B170</f>
        <v>17974</v>
      </c>
      <c r="D82" s="332">
        <f>'gen-detail'!C170</f>
        <v>20000</v>
      </c>
      <c r="E82" s="332">
        <f>'gen-detail'!D170</f>
        <v>20000</v>
      </c>
    </row>
    <row r="83" spans="2:5" ht="15.75">
      <c r="B83" s="228" t="str">
        <f>'gen-detail'!A171</f>
        <v>Courthouse Security</v>
      </c>
      <c r="C83" s="332">
        <f>'gen-detail'!B173</f>
        <v>0</v>
      </c>
      <c r="D83" s="332">
        <f>'gen-detail'!C173</f>
        <v>10000</v>
      </c>
      <c r="E83" s="332">
        <f>'gen-detail'!D173</f>
        <v>10000</v>
      </c>
    </row>
    <row r="84" spans="2:5" ht="15.75">
      <c r="B84" s="228">
        <f>'gen-detail'!A174</f>
        <v>0</v>
      </c>
      <c r="C84" s="332">
        <f>'gen-detail'!B177</f>
        <v>0</v>
      </c>
      <c r="D84" s="332">
        <f>'gen-detail'!C177</f>
        <v>0</v>
      </c>
      <c r="E84" s="332">
        <f>'gen-detail'!D177</f>
        <v>0</v>
      </c>
    </row>
    <row r="85" spans="2:5" ht="15.75">
      <c r="B85" s="228"/>
      <c r="C85" s="332"/>
      <c r="D85" s="332"/>
      <c r="E85" s="188"/>
    </row>
    <row r="86" spans="2:5" ht="15.75">
      <c r="B86" s="239" t="s">
        <v>22</v>
      </c>
      <c r="C86" s="357">
        <f>SUM(C57:C85)</f>
        <v>2384533</v>
      </c>
      <c r="D86" s="357">
        <f>SUM(D57:D85)</f>
        <v>2382410</v>
      </c>
      <c r="E86" s="270">
        <f>SUM(E57:E85)</f>
        <v>2782648</v>
      </c>
    </row>
    <row r="87" spans="2:5" ht="15.75">
      <c r="B87" s="240"/>
      <c r="C87" s="328"/>
      <c r="D87" s="328"/>
      <c r="E87" s="53"/>
    </row>
    <row r="88" spans="2:10" ht="16.5">
      <c r="B88" s="240"/>
      <c r="C88" s="328"/>
      <c r="D88" s="328"/>
      <c r="E88" s="53"/>
      <c r="G88" s="626" t="str">
        <f>CONCATENATE("Desired Carryover Into ",E1+1,"")</f>
        <v>Desired Carryover Into 2016</v>
      </c>
      <c r="H88" s="627"/>
      <c r="I88" s="627"/>
      <c r="J88" s="598"/>
    </row>
    <row r="89" spans="2:10" ht="15.75">
      <c r="B89" s="240"/>
      <c r="C89" s="328"/>
      <c r="D89" s="328"/>
      <c r="E89" s="53"/>
      <c r="G89" s="418"/>
      <c r="H89" s="419"/>
      <c r="I89" s="420"/>
      <c r="J89" s="421"/>
    </row>
    <row r="90" spans="2:10" ht="15.75">
      <c r="B90" s="240"/>
      <c r="C90" s="328"/>
      <c r="D90" s="328"/>
      <c r="E90" s="53"/>
      <c r="G90" s="422" t="s">
        <v>261</v>
      </c>
      <c r="H90" s="420"/>
      <c r="I90" s="420"/>
      <c r="J90" s="423">
        <v>0</v>
      </c>
    </row>
    <row r="91" spans="2:10" ht="15.75">
      <c r="B91" s="240"/>
      <c r="C91" s="328"/>
      <c r="D91" s="328"/>
      <c r="E91" s="53"/>
      <c r="G91" s="418" t="s">
        <v>262</v>
      </c>
      <c r="H91" s="419"/>
      <c r="I91" s="419"/>
      <c r="J91" s="424">
        <f>IF(J90=0,"",ROUND((J90+E103-G103)/inputOth!E6*1000,3)-G108)</f>
      </c>
    </row>
    <row r="92" spans="2:10" ht="15.75">
      <c r="B92" s="240"/>
      <c r="C92" s="328"/>
      <c r="D92" s="328"/>
      <c r="E92" s="53"/>
      <c r="G92" s="425" t="str">
        <f>CONCATENATE("",E1," Tot Exp/Non-Appr Must Be:")</f>
        <v>2015 Tot Exp/Non-Appr Must Be:</v>
      </c>
      <c r="H92" s="426"/>
      <c r="I92" s="427"/>
      <c r="J92" s="428">
        <f>IF(J90&gt;0,IF(E100&lt;E47,IF(J90=G103,E100,((J90-G103)*(1-D102))+E47),E100+(J90-G103)),0)</f>
        <v>0</v>
      </c>
    </row>
    <row r="93" spans="2:10" ht="15.75">
      <c r="B93" s="232" t="s">
        <v>36</v>
      </c>
      <c r="C93" s="328"/>
      <c r="D93" s="328"/>
      <c r="E93" s="61"/>
      <c r="G93" s="429" t="s">
        <v>288</v>
      </c>
      <c r="H93" s="430"/>
      <c r="I93" s="430"/>
      <c r="J93" s="431">
        <f>IF(J90&gt;0,J92-E100,0)</f>
        <v>0</v>
      </c>
    </row>
    <row r="94" spans="2:5" ht="15.75">
      <c r="B94" s="232" t="s">
        <v>34</v>
      </c>
      <c r="C94" s="328"/>
      <c r="D94" s="328"/>
      <c r="E94" s="53"/>
    </row>
    <row r="95" spans="2:10" ht="16.5">
      <c r="B95" s="232" t="s">
        <v>255</v>
      </c>
      <c r="C95" s="329">
        <f>IF(C96*0.1&lt;C94,"Exceed 10% Rule","")</f>
      </c>
      <c r="D95" s="329">
        <f>IF(D96*0.1&lt;D94,"Exceed 10% Rule","")</f>
      </c>
      <c r="E95" s="266">
        <f>IF(E96*0.1&lt;E94,"Exceed 10% Rule","")</f>
      </c>
      <c r="G95" s="620" t="str">
        <f>CONCATENATE("Projected Carryover Into ",E1+1,"")</f>
        <v>Projected Carryover Into 2016</v>
      </c>
      <c r="H95" s="621"/>
      <c r="I95" s="621"/>
      <c r="J95" s="622"/>
    </row>
    <row r="96" spans="2:10" ht="15.75">
      <c r="B96" s="234" t="s">
        <v>85</v>
      </c>
      <c r="C96" s="330">
        <f>SUM(C86:C94)</f>
        <v>2384533</v>
      </c>
      <c r="D96" s="330">
        <f>SUM(D86:D94)</f>
        <v>2382410</v>
      </c>
      <c r="E96" s="274">
        <f>SUM(E86:E94)</f>
        <v>2782648</v>
      </c>
      <c r="G96" s="379"/>
      <c r="H96" s="378"/>
      <c r="I96" s="378"/>
      <c r="J96" s="380"/>
    </row>
    <row r="97" spans="2:10" ht="15.75">
      <c r="B97" s="89" t="s">
        <v>185</v>
      </c>
      <c r="C97" s="333">
        <f>C47-C96</f>
        <v>10925</v>
      </c>
      <c r="D97" s="333">
        <f>D47-D96</f>
        <v>5602</v>
      </c>
      <c r="E97" s="153" t="s">
        <v>59</v>
      </c>
      <c r="G97" s="366">
        <f>D97</f>
        <v>5602</v>
      </c>
      <c r="H97" s="364" t="str">
        <f>CONCATENATE("",E1-1," Ending Cash Balance (est.)")</f>
        <v>2014 Ending Cash Balance (est.)</v>
      </c>
      <c r="I97" s="363"/>
      <c r="J97" s="380"/>
    </row>
    <row r="98" spans="2:10" ht="15.75">
      <c r="B98" s="224" t="str">
        <f>CONCATENATE("",E1-2,"/",E1-1,"/",E1," Budget Authority Amount:")</f>
        <v>2013/2014/2015 Budget Authority Amount:</v>
      </c>
      <c r="C98" s="261">
        <f>inputOth!$B32</f>
        <v>2232299</v>
      </c>
      <c r="D98" s="261">
        <f>inputPrYr!$D16</f>
        <v>2413382</v>
      </c>
      <c r="E98" s="188">
        <f>E96</f>
        <v>2782648</v>
      </c>
      <c r="F98" s="242"/>
      <c r="G98" s="366">
        <f>E46</f>
        <v>1117459</v>
      </c>
      <c r="H98" s="362" t="str">
        <f>CONCATENATE("",E1," Non-AV Receipts (est.)")</f>
        <v>2015 Non-AV Receipts (est.)</v>
      </c>
      <c r="I98" s="363"/>
      <c r="J98" s="380"/>
    </row>
    <row r="99" spans="2:11" ht="16.5">
      <c r="B99" s="210"/>
      <c r="C99" s="616" t="s">
        <v>258</v>
      </c>
      <c r="D99" s="617"/>
      <c r="E99" s="53"/>
      <c r="F99" s="365">
        <f>IF(E96/0.95-E96&lt;E99,"Exceeds 5%","")</f>
      </c>
      <c r="G99" s="361">
        <f>IF(E102&gt;0,E101,E103)</f>
        <v>1659587</v>
      </c>
      <c r="H99" s="362" t="str">
        <f>CONCATENATE("",E1," Ad Valorem Tax (est.)")</f>
        <v>2015 Ad Valorem Tax (est.)</v>
      </c>
      <c r="I99" s="363"/>
      <c r="J99" s="380"/>
      <c r="K99" s="434" t="str">
        <f>IF(G99=E103,"","Note: Does not include Delinquent Taxes")</f>
        <v>Note: Does not include Delinquent Taxes</v>
      </c>
    </row>
    <row r="100" spans="2:10" ht="15.75">
      <c r="B100" s="369" t="str">
        <f>CONCATENATE(C115,"     ",D115)</f>
        <v>See Tab A     </v>
      </c>
      <c r="C100" s="618" t="s">
        <v>259</v>
      </c>
      <c r="D100" s="619"/>
      <c r="E100" s="188">
        <f>E96+E99</f>
        <v>2782648</v>
      </c>
      <c r="G100" s="366">
        <f>SUM(G97:G99)</f>
        <v>2782648</v>
      </c>
      <c r="H100" s="362" t="str">
        <f>CONCATENATE("Total ",E1," Resources Available")</f>
        <v>Total 2015 Resources Available</v>
      </c>
      <c r="I100" s="363"/>
      <c r="J100" s="380"/>
    </row>
    <row r="101" spans="2:10" ht="15.75">
      <c r="B101" s="369" t="str">
        <f>CONCATENATE(C116,"     ",D116)</f>
        <v>     </v>
      </c>
      <c r="C101" s="243"/>
      <c r="D101" s="162" t="s">
        <v>86</v>
      </c>
      <c r="E101" s="61">
        <f>IF(E100-E47&gt;0,E100-E47,0)</f>
        <v>1659587</v>
      </c>
      <c r="G101" s="360"/>
      <c r="H101" s="362"/>
      <c r="I101" s="362"/>
      <c r="J101" s="380"/>
    </row>
    <row r="102" spans="2:10" ht="15.75">
      <c r="B102" s="210"/>
      <c r="C102" s="367" t="s">
        <v>260</v>
      </c>
      <c r="D102" s="417">
        <f>inputOth!$E$23</f>
        <v>0.05</v>
      </c>
      <c r="E102" s="188">
        <f>IF(D102&gt;0,(E101*D102),0)</f>
        <v>82979.35</v>
      </c>
      <c r="G102" s="361">
        <f>C96*0.05+C96</f>
        <v>2503759.65</v>
      </c>
      <c r="H102" s="362" t="str">
        <f>CONCATENATE("Less ",E1-2," Expenditures + 5%")</f>
        <v>Less 2013 Expenditures + 5%</v>
      </c>
      <c r="I102" s="363"/>
      <c r="J102" s="380"/>
    </row>
    <row r="103" spans="2:10" ht="16.5">
      <c r="B103" s="28"/>
      <c r="C103" s="624" t="str">
        <f>CONCATENATE("Amount of  ",$E$1-1," Ad Valorem Tax")</f>
        <v>Amount of  2014 Ad Valorem Tax</v>
      </c>
      <c r="D103" s="625"/>
      <c r="E103" s="270">
        <f>E101+E102</f>
        <v>1742566.35</v>
      </c>
      <c r="G103" s="359">
        <f>G100-G102</f>
        <v>278888.3500000001</v>
      </c>
      <c r="H103" s="358" t="str">
        <f>CONCATENATE("Projected ",E1," Carryover (est.)")</f>
        <v>Projected 2015 Carryover (est.)</v>
      </c>
      <c r="I103" s="350"/>
      <c r="J103" s="349"/>
    </row>
    <row r="104" spans="2:10" ht="16.5">
      <c r="B104" s="28"/>
      <c r="C104" s="28"/>
      <c r="D104" s="28"/>
      <c r="E104" s="28"/>
      <c r="G104" s="375"/>
      <c r="H104" s="375"/>
      <c r="I104" s="375"/>
      <c r="J104" s="375"/>
    </row>
    <row r="105" spans="2:10" ht="16.5">
      <c r="B105" s="623" t="s">
        <v>194</v>
      </c>
      <c r="C105" s="623"/>
      <c r="D105" s="623"/>
      <c r="E105" s="623"/>
      <c r="G105" s="628" t="s">
        <v>289</v>
      </c>
      <c r="H105" s="629"/>
      <c r="I105" s="629"/>
      <c r="J105" s="630"/>
    </row>
    <row r="106" spans="7:10" ht="16.5">
      <c r="G106" s="436"/>
      <c r="H106" s="437"/>
      <c r="I106" s="438"/>
      <c r="J106" s="439"/>
    </row>
    <row r="107" spans="7:10" ht="16.5">
      <c r="G107" s="440">
        <f>summ!H16</f>
        <v>20.65</v>
      </c>
      <c r="H107" s="437" t="str">
        <f>CONCATENATE("",E1," Fund Mill Rate")</f>
        <v>2015 Fund Mill Rate</v>
      </c>
      <c r="I107" s="438"/>
      <c r="J107" s="439"/>
    </row>
    <row r="108" spans="7:10" ht="16.5">
      <c r="G108" s="441">
        <f>summ!E16</f>
        <v>15.927</v>
      </c>
      <c r="H108" s="437" t="str">
        <f>CONCATENATE("",E1-1," Fund Mill Rate")</f>
        <v>2014 Fund Mill Rate</v>
      </c>
      <c r="I108" s="438"/>
      <c r="J108" s="439"/>
    </row>
    <row r="109" spans="7:10" ht="16.5">
      <c r="G109" s="442">
        <f>summ!H48</f>
        <v>67.327</v>
      </c>
      <c r="H109" s="437" t="str">
        <f>CONCATENATE("Total ",E1," Mill Rate")</f>
        <v>Total 2015 Mill Rate</v>
      </c>
      <c r="I109" s="438"/>
      <c r="J109" s="439"/>
    </row>
    <row r="110" spans="7:10" ht="16.5">
      <c r="G110" s="441">
        <f>summ!E48</f>
        <v>66.53</v>
      </c>
      <c r="H110" s="443" t="str">
        <f>CONCATENATE("Total ",E1-1," Mill Rate")</f>
        <v>Total 2014 Mill Rate</v>
      </c>
      <c r="I110" s="444"/>
      <c r="J110" s="445"/>
    </row>
    <row r="111" spans="7:10" ht="15.75">
      <c r="G111" s="475"/>
      <c r="H111" s="381"/>
      <c r="I111" s="473"/>
      <c r="J111" s="474"/>
    </row>
    <row r="112" spans="7:9" ht="15.75">
      <c r="G112" s="519" t="s">
        <v>307</v>
      </c>
      <c r="H112" s="490"/>
      <c r="I112" s="489" t="str">
        <f>cert!E57</f>
        <v>No</v>
      </c>
    </row>
    <row r="115" spans="3:4" ht="15.75" hidden="1">
      <c r="C115" s="25" t="str">
        <f>IF(C96&gt;C98,"See Tab A","")</f>
        <v>See Tab A</v>
      </c>
      <c r="D115" s="25">
        <f>IF(D96&gt;D98,"See Tab C","")</f>
      </c>
    </row>
    <row r="116" spans="3:4" ht="15.75" hidden="1">
      <c r="C116" s="25">
        <f>IF(C97&lt;0,"See Tab B","")</f>
      </c>
      <c r="D116" s="25">
        <f>IF(D97&lt;0,"See Tab D","")</f>
      </c>
    </row>
  </sheetData>
  <sheetProtection/>
  <mergeCells count="8">
    <mergeCell ref="C99:D99"/>
    <mergeCell ref="C100:D100"/>
    <mergeCell ref="G95:J95"/>
    <mergeCell ref="B49:E49"/>
    <mergeCell ref="B105:E105"/>
    <mergeCell ref="C103:D103"/>
    <mergeCell ref="G88:J88"/>
    <mergeCell ref="G105:J105"/>
  </mergeCells>
  <conditionalFormatting sqref="E94">
    <cfRule type="cellIs" priority="2" dxfId="253" operator="greaterThan" stopIfTrue="1">
      <formula>$E$96*0.1</formula>
    </cfRule>
  </conditionalFormatting>
  <conditionalFormatting sqref="E99">
    <cfRule type="cellIs" priority="3" dxfId="253" operator="greaterThan" stopIfTrue="1">
      <formula>$E$96/0.95-$E$96</formula>
    </cfRule>
  </conditionalFormatting>
  <conditionalFormatting sqref="D94">
    <cfRule type="cellIs" priority="4" dxfId="2" operator="greaterThan" stopIfTrue="1">
      <formula>$D$96*0.1</formula>
    </cfRule>
  </conditionalFormatting>
  <conditionalFormatting sqref="C94">
    <cfRule type="cellIs" priority="5" dxfId="2" operator="greaterThan" stopIfTrue="1">
      <formula>$C$96*0.1</formula>
    </cfRule>
  </conditionalFormatting>
  <conditionalFormatting sqref="C97">
    <cfRule type="cellIs" priority="6" dxfId="2" operator="lessThan" stopIfTrue="1">
      <formula>0</formula>
    </cfRule>
  </conditionalFormatting>
  <conditionalFormatting sqref="D96">
    <cfRule type="cellIs" priority="7" dxfId="2" operator="greaterThan" stopIfTrue="1">
      <formula>$D$98</formula>
    </cfRule>
  </conditionalFormatting>
  <conditionalFormatting sqref="C96">
    <cfRule type="cellIs" priority="8" dxfId="2" operator="greaterThan" stopIfTrue="1">
      <formula>$C$98</formula>
    </cfRule>
  </conditionalFormatting>
  <conditionalFormatting sqref="D44">
    <cfRule type="cellIs" priority="9" dxfId="2" operator="greaterThan" stopIfTrue="1">
      <formula>$D$46*0.1</formula>
    </cfRule>
  </conditionalFormatting>
  <conditionalFormatting sqref="C44">
    <cfRule type="cellIs" priority="10" dxfId="2" operator="greaterThan" stopIfTrue="1">
      <formula>$C$46*0.1</formula>
    </cfRule>
  </conditionalFormatting>
  <conditionalFormatting sqref="E44">
    <cfRule type="cellIs" priority="11" dxfId="253" operator="greaterThan" stopIfTrue="1">
      <formula>$E$46*0.1+E103</formula>
    </cfRule>
  </conditionalFormatting>
  <conditionalFormatting sqref="D97">
    <cfRule type="cellIs" priority="1" dxfId="0" operator="lessThan" stopIfTrue="1">
      <formula>0</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rowBreaks count="1" manualBreakCount="1">
    <brk id="49"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D290"/>
  <sheetViews>
    <sheetView view="pageBreakPreview" zoomScale="96" zoomScaleSheetLayoutView="96" zoomScalePageLayoutView="0" workbookViewId="0" topLeftCell="A101">
      <selection activeCell="D118" sqref="D118"/>
    </sheetView>
  </sheetViews>
  <sheetFormatPr defaultColWidth="8.8984375" defaultRowHeight="15"/>
  <cols>
    <col min="1" max="1" width="30.796875" style="25" customWidth="1"/>
    <col min="2" max="3" width="15.796875" style="25" customWidth="1"/>
    <col min="4" max="4" width="16.09765625" style="25" customWidth="1"/>
    <col min="5" max="16384" width="8.8984375" style="25" customWidth="1"/>
  </cols>
  <sheetData>
    <row r="1" spans="1:4" ht="15.75">
      <c r="A1" s="155" t="str">
        <f>inputPrYr!C2</f>
        <v>CLOUD COUNTY</v>
      </c>
      <c r="B1" s="28"/>
      <c r="C1" s="224"/>
      <c r="D1" s="28">
        <f>inputPrYr!C4</f>
        <v>2015</v>
      </c>
    </row>
    <row r="2" spans="1:4" ht="15.75">
      <c r="A2" s="28"/>
      <c r="B2" s="28"/>
      <c r="C2" s="28"/>
      <c r="D2" s="224"/>
    </row>
    <row r="3" spans="1:4" ht="15.75">
      <c r="A3" s="93" t="s">
        <v>150</v>
      </c>
      <c r="B3" s="237"/>
      <c r="C3" s="237"/>
      <c r="D3" s="237"/>
    </row>
    <row r="4" spans="1:4" ht="15.75">
      <c r="A4" s="224" t="s">
        <v>71</v>
      </c>
      <c r="B4" s="470" t="s">
        <v>290</v>
      </c>
      <c r="C4" s="471" t="s">
        <v>291</v>
      </c>
      <c r="D4" s="151" t="s">
        <v>292</v>
      </c>
    </row>
    <row r="5" spans="1:4" ht="15.75">
      <c r="A5" s="354" t="s">
        <v>257</v>
      </c>
      <c r="B5" s="331" t="str">
        <f>CONCATENATE("Actual for ",D1-2,"")</f>
        <v>Actual for 2013</v>
      </c>
      <c r="C5" s="331" t="str">
        <f>CONCATENATE("Estimate for ",D1-1,"")</f>
        <v>Estimate for 2014</v>
      </c>
      <c r="D5" s="225" t="str">
        <f>CONCATENATE("Year for ",D1,"")</f>
        <v>Year for 2015</v>
      </c>
    </row>
    <row r="6" spans="1:4" ht="15.75">
      <c r="A6" s="185" t="s">
        <v>84</v>
      </c>
      <c r="B6" s="68"/>
      <c r="C6" s="68"/>
      <c r="D6" s="68"/>
    </row>
    <row r="7" spans="1:4" ht="15.75">
      <c r="A7" s="246" t="s">
        <v>94</v>
      </c>
      <c r="B7" s="68"/>
      <c r="C7" s="68"/>
      <c r="D7" s="68"/>
    </row>
    <row r="8" spans="1:4" ht="15.75">
      <c r="A8" s="51" t="s">
        <v>89</v>
      </c>
      <c r="B8" s="229">
        <v>36211</v>
      </c>
      <c r="C8" s="229">
        <v>35711</v>
      </c>
      <c r="D8" s="229">
        <v>36500</v>
      </c>
    </row>
    <row r="9" spans="1:4" ht="15.75">
      <c r="A9" s="51" t="s">
        <v>90</v>
      </c>
      <c r="B9" s="229">
        <v>10326</v>
      </c>
      <c r="C9" s="229">
        <v>11500</v>
      </c>
      <c r="D9" s="229">
        <v>11711</v>
      </c>
    </row>
    <row r="10" spans="1:4" ht="15.75">
      <c r="A10" s="51" t="s">
        <v>91</v>
      </c>
      <c r="B10" s="229">
        <v>318</v>
      </c>
      <c r="C10" s="229">
        <v>2500</v>
      </c>
      <c r="D10" s="229">
        <v>2500</v>
      </c>
    </row>
    <row r="11" spans="1:4" ht="15.75">
      <c r="A11" s="51" t="s">
        <v>92</v>
      </c>
      <c r="B11" s="229"/>
      <c r="C11" s="229">
        <v>500</v>
      </c>
      <c r="D11" s="229"/>
    </row>
    <row r="12" spans="1:4" ht="15.75">
      <c r="A12" s="216" t="s">
        <v>424</v>
      </c>
      <c r="B12" s="229">
        <v>-30</v>
      </c>
      <c r="C12" s="229"/>
      <c r="D12" s="229"/>
    </row>
    <row r="13" spans="1:4" ht="15.75">
      <c r="A13" s="224" t="s">
        <v>44</v>
      </c>
      <c r="B13" s="247">
        <f>SUM(B8:B12)</f>
        <v>46825</v>
      </c>
      <c r="C13" s="247">
        <f>SUM(C8:C12)</f>
        <v>50211</v>
      </c>
      <c r="D13" s="247">
        <f>SUM(D8:D12)</f>
        <v>50711</v>
      </c>
    </row>
    <row r="14" spans="1:4" ht="15.75">
      <c r="A14" s="246" t="s">
        <v>62</v>
      </c>
      <c r="B14" s="68"/>
      <c r="C14" s="68"/>
      <c r="D14" s="68"/>
    </row>
    <row r="15" spans="1:4" ht="15.75">
      <c r="A15" s="51" t="s">
        <v>89</v>
      </c>
      <c r="B15" s="229">
        <v>95992</v>
      </c>
      <c r="C15" s="229">
        <v>95470</v>
      </c>
      <c r="D15" s="229">
        <v>97379</v>
      </c>
    </row>
    <row r="16" spans="1:4" ht="15.75">
      <c r="A16" s="51" t="s">
        <v>90</v>
      </c>
      <c r="B16" s="229">
        <v>2373</v>
      </c>
      <c r="C16" s="229">
        <v>6500</v>
      </c>
      <c r="D16" s="229">
        <v>4591</v>
      </c>
    </row>
    <row r="17" spans="1:4" ht="15.75">
      <c r="A17" s="51" t="s">
        <v>91</v>
      </c>
      <c r="B17" s="229">
        <v>2530</v>
      </c>
      <c r="C17" s="229">
        <v>6000</v>
      </c>
      <c r="D17" s="229">
        <v>6000</v>
      </c>
    </row>
    <row r="18" spans="1:4" ht="15.75">
      <c r="A18" s="51" t="s">
        <v>92</v>
      </c>
      <c r="B18" s="229">
        <v>2087</v>
      </c>
      <c r="C18" s="229">
        <v>10000</v>
      </c>
      <c r="D18" s="229">
        <v>10000</v>
      </c>
    </row>
    <row r="19" spans="1:4" ht="15.75">
      <c r="A19" s="224" t="s">
        <v>44</v>
      </c>
      <c r="B19" s="247">
        <f>SUM(B15:B18)</f>
        <v>102982</v>
      </c>
      <c r="C19" s="247">
        <f>SUM(C15:C18)</f>
        <v>117970</v>
      </c>
      <c r="D19" s="247">
        <f>SUM(D15:D18)</f>
        <v>117970</v>
      </c>
    </row>
    <row r="20" spans="1:4" ht="15.75">
      <c r="A20" s="246" t="s">
        <v>95</v>
      </c>
      <c r="B20" s="68"/>
      <c r="C20" s="68"/>
      <c r="D20" s="68"/>
    </row>
    <row r="21" spans="1:4" ht="15.75">
      <c r="A21" s="51" t="s">
        <v>89</v>
      </c>
      <c r="B21" s="229">
        <v>149593</v>
      </c>
      <c r="C21" s="229">
        <v>123273</v>
      </c>
      <c r="D21" s="229">
        <v>125738</v>
      </c>
    </row>
    <row r="22" spans="1:4" ht="15.75">
      <c r="A22" s="51" t="s">
        <v>90</v>
      </c>
      <c r="B22" s="229">
        <v>2536</v>
      </c>
      <c r="C22" s="229">
        <v>12727</v>
      </c>
      <c r="D22" s="229">
        <v>8535</v>
      </c>
    </row>
    <row r="23" spans="1:4" ht="15.75">
      <c r="A23" s="51" t="s">
        <v>91</v>
      </c>
      <c r="B23" s="229">
        <v>4521</v>
      </c>
      <c r="C23" s="229">
        <v>6000</v>
      </c>
      <c r="D23" s="229">
        <v>6000</v>
      </c>
    </row>
    <row r="24" spans="1:4" ht="15.75">
      <c r="A24" s="51" t="s">
        <v>92</v>
      </c>
      <c r="B24" s="229">
        <v>2087</v>
      </c>
      <c r="C24" s="229">
        <v>6000</v>
      </c>
      <c r="D24" s="229">
        <v>5000</v>
      </c>
    </row>
    <row r="25" spans="1:4" ht="15.75">
      <c r="A25" s="216" t="s">
        <v>424</v>
      </c>
      <c r="B25" s="229">
        <v>-48134</v>
      </c>
      <c r="C25" s="229">
        <v>-38000</v>
      </c>
      <c r="D25" s="229">
        <v>-38000</v>
      </c>
    </row>
    <row r="26" spans="1:4" ht="15.75">
      <c r="A26" s="224" t="s">
        <v>44</v>
      </c>
      <c r="B26" s="247">
        <f>SUM(B21:B25)</f>
        <v>110603</v>
      </c>
      <c r="C26" s="247">
        <f>SUM(C21:C25)</f>
        <v>110000</v>
      </c>
      <c r="D26" s="247">
        <f>SUM(D21:D25)</f>
        <v>107273</v>
      </c>
    </row>
    <row r="27" spans="1:4" ht="15.75">
      <c r="A27" s="246" t="s">
        <v>93</v>
      </c>
      <c r="B27" s="68"/>
      <c r="C27" s="68"/>
      <c r="D27" s="68"/>
    </row>
    <row r="28" spans="1:4" ht="15.75">
      <c r="A28" s="51" t="s">
        <v>89</v>
      </c>
      <c r="B28" s="229">
        <v>122053</v>
      </c>
      <c r="C28" s="229">
        <v>109756</v>
      </c>
      <c r="D28" s="229">
        <v>117300</v>
      </c>
    </row>
    <row r="29" spans="1:4" ht="15.75">
      <c r="A29" s="51" t="s">
        <v>90</v>
      </c>
      <c r="B29" s="229">
        <v>16077</v>
      </c>
      <c r="C29" s="229">
        <v>16500</v>
      </c>
      <c r="D29" s="229">
        <v>15900</v>
      </c>
    </row>
    <row r="30" spans="1:4" ht="15.75">
      <c r="A30" s="51" t="s">
        <v>91</v>
      </c>
      <c r="B30" s="229">
        <v>5752</v>
      </c>
      <c r="C30" s="229">
        <v>7000</v>
      </c>
      <c r="D30" s="229">
        <v>7000</v>
      </c>
    </row>
    <row r="31" spans="1:4" ht="15.75">
      <c r="A31" s="51" t="s">
        <v>92</v>
      </c>
      <c r="B31" s="229">
        <v>1044</v>
      </c>
      <c r="C31" s="229">
        <v>2500</v>
      </c>
      <c r="D31" s="229">
        <v>4200</v>
      </c>
    </row>
    <row r="32" spans="1:4" ht="15.75">
      <c r="A32" s="216" t="s">
        <v>424</v>
      </c>
      <c r="B32" s="229">
        <v>-738</v>
      </c>
      <c r="C32" s="229"/>
      <c r="D32" s="229"/>
    </row>
    <row r="33" spans="1:4" ht="15.75">
      <c r="A33" s="224" t="s">
        <v>44</v>
      </c>
      <c r="B33" s="247">
        <f>SUM(B28:B32)</f>
        <v>144188</v>
      </c>
      <c r="C33" s="247">
        <f>SUM(C28:C32)</f>
        <v>135756</v>
      </c>
      <c r="D33" s="247">
        <f>SUM(D28:D32)</f>
        <v>144400</v>
      </c>
    </row>
    <row r="34" spans="1:4" ht="15.75">
      <c r="A34" s="246" t="s">
        <v>102</v>
      </c>
      <c r="B34" s="68"/>
      <c r="C34" s="68"/>
      <c r="D34" s="68"/>
    </row>
    <row r="35" spans="1:4" ht="15.75">
      <c r="A35" s="51" t="s">
        <v>89</v>
      </c>
      <c r="B35" s="229">
        <v>67084</v>
      </c>
      <c r="C35" s="229">
        <v>59447</v>
      </c>
      <c r="D35" s="229">
        <v>60636</v>
      </c>
    </row>
    <row r="36" spans="1:4" ht="15.75">
      <c r="A36" s="51" t="s">
        <v>90</v>
      </c>
      <c r="B36" s="229">
        <v>508</v>
      </c>
      <c r="C36" s="229">
        <v>7000</v>
      </c>
      <c r="D36" s="229">
        <v>3311</v>
      </c>
    </row>
    <row r="37" spans="1:4" ht="15.75">
      <c r="A37" s="51" t="s">
        <v>91</v>
      </c>
      <c r="B37" s="229">
        <v>2451</v>
      </c>
      <c r="C37" s="229">
        <v>4500</v>
      </c>
      <c r="D37" s="229">
        <v>4500</v>
      </c>
    </row>
    <row r="38" spans="1:4" ht="15.75">
      <c r="A38" s="231" t="s">
        <v>92</v>
      </c>
      <c r="B38" s="229">
        <v>1044</v>
      </c>
      <c r="C38" s="229">
        <v>3500</v>
      </c>
      <c r="D38" s="229">
        <v>3500</v>
      </c>
    </row>
    <row r="39" spans="1:4" ht="15.75">
      <c r="A39" s="224" t="s">
        <v>44</v>
      </c>
      <c r="B39" s="247">
        <f>SUM(B35:B38)</f>
        <v>71087</v>
      </c>
      <c r="C39" s="247">
        <f>SUM(C35:C38)</f>
        <v>74447</v>
      </c>
      <c r="D39" s="247">
        <f>SUM(D35:D38)</f>
        <v>71947</v>
      </c>
    </row>
    <row r="40" spans="1:4" ht="15.75">
      <c r="A40" s="246" t="s">
        <v>376</v>
      </c>
      <c r="B40" s="68"/>
      <c r="C40" s="68"/>
      <c r="D40" s="68"/>
    </row>
    <row r="41" spans="1:4" ht="15.75">
      <c r="A41" s="51" t="s">
        <v>89</v>
      </c>
      <c r="B41" s="229">
        <v>343547</v>
      </c>
      <c r="C41" s="229">
        <v>328080</v>
      </c>
      <c r="D41" s="229">
        <v>375704</v>
      </c>
    </row>
    <row r="42" spans="1:4" ht="15.75">
      <c r="A42" s="51" t="s">
        <v>90</v>
      </c>
      <c r="B42" s="229">
        <v>36110</v>
      </c>
      <c r="C42" s="229">
        <v>21300</v>
      </c>
      <c r="D42" s="229">
        <v>61633</v>
      </c>
    </row>
    <row r="43" spans="1:4" ht="15.75">
      <c r="A43" s="51" t="s">
        <v>91</v>
      </c>
      <c r="B43" s="229">
        <v>23660</v>
      </c>
      <c r="C43" s="229">
        <v>20000</v>
      </c>
      <c r="D43" s="229">
        <v>25000</v>
      </c>
    </row>
    <row r="44" spans="1:4" ht="15.75">
      <c r="A44" s="51" t="s">
        <v>425</v>
      </c>
      <c r="B44" s="229">
        <v>105681</v>
      </c>
      <c r="C44" s="229">
        <v>70000</v>
      </c>
      <c r="D44" s="229">
        <v>125000</v>
      </c>
    </row>
    <row r="45" spans="1:4" ht="15.75">
      <c r="A45" s="51" t="s">
        <v>92</v>
      </c>
      <c r="B45" s="229">
        <v>62972</v>
      </c>
      <c r="C45" s="229">
        <v>50000</v>
      </c>
      <c r="D45" s="229">
        <v>50000</v>
      </c>
    </row>
    <row r="46" spans="1:4" ht="15.75">
      <c r="A46" s="51" t="s">
        <v>426</v>
      </c>
      <c r="B46" s="229">
        <v>350336</v>
      </c>
      <c r="C46" s="229">
        <v>468000</v>
      </c>
      <c r="D46" s="229">
        <v>526699</v>
      </c>
    </row>
    <row r="47" spans="1:4" ht="15.75">
      <c r="A47" s="51" t="s">
        <v>427</v>
      </c>
      <c r="B47" s="229">
        <v>47341</v>
      </c>
      <c r="C47" s="229">
        <v>18900</v>
      </c>
      <c r="D47" s="229">
        <v>78073</v>
      </c>
    </row>
    <row r="48" spans="1:4" ht="15.75">
      <c r="A48" s="51" t="s">
        <v>428</v>
      </c>
      <c r="B48" s="229">
        <v>70264</v>
      </c>
      <c r="C48" s="229">
        <v>50000</v>
      </c>
      <c r="D48" s="229">
        <v>97500</v>
      </c>
    </row>
    <row r="49" spans="1:4" ht="15.75">
      <c r="A49" s="51" t="s">
        <v>429</v>
      </c>
      <c r="B49" s="229"/>
      <c r="C49" s="229"/>
      <c r="D49" s="229"/>
    </row>
    <row r="50" spans="1:4" ht="15.75">
      <c r="A50" s="51" t="s">
        <v>393</v>
      </c>
      <c r="B50" s="229">
        <v>14860</v>
      </c>
      <c r="C50" s="229"/>
      <c r="D50" s="229"/>
    </row>
    <row r="51" spans="1:4" ht="15.75">
      <c r="A51" s="51" t="s">
        <v>424</v>
      </c>
      <c r="B51" s="229">
        <v>-76563</v>
      </c>
      <c r="C51" s="229">
        <v>-40000</v>
      </c>
      <c r="D51" s="229">
        <v>-40000</v>
      </c>
    </row>
    <row r="52" spans="1:4" ht="15.75">
      <c r="A52" s="224" t="s">
        <v>44</v>
      </c>
      <c r="B52" s="247">
        <f>SUM(B41:B51)</f>
        <v>978208</v>
      </c>
      <c r="C52" s="247">
        <f>SUM(C41:C51)</f>
        <v>986280</v>
      </c>
      <c r="D52" s="247">
        <f>SUM(D41:D51)</f>
        <v>1299609</v>
      </c>
    </row>
    <row r="53" spans="1:4" ht="15.75">
      <c r="A53" s="246" t="s">
        <v>377</v>
      </c>
      <c r="B53" s="68"/>
      <c r="C53" s="68"/>
      <c r="D53" s="68"/>
    </row>
    <row r="54" spans="1:4" ht="15.75">
      <c r="A54" s="51" t="s">
        <v>89</v>
      </c>
      <c r="B54" s="229">
        <v>6500</v>
      </c>
      <c r="C54" s="229">
        <v>1806</v>
      </c>
      <c r="D54" s="229">
        <v>1806</v>
      </c>
    </row>
    <row r="55" spans="1:4" ht="15.75">
      <c r="A55" s="51" t="s">
        <v>90</v>
      </c>
      <c r="B55" s="229">
        <v>127678</v>
      </c>
      <c r="C55" s="229">
        <v>102600</v>
      </c>
      <c r="D55" s="229">
        <v>103600</v>
      </c>
    </row>
    <row r="56" spans="1:4" ht="15.75">
      <c r="A56" s="51" t="s">
        <v>91</v>
      </c>
      <c r="B56" s="229">
        <v>14268</v>
      </c>
      <c r="C56" s="229">
        <v>7000</v>
      </c>
      <c r="D56" s="229">
        <v>6000</v>
      </c>
    </row>
    <row r="57" spans="1:4" ht="15.75">
      <c r="A57" s="51" t="s">
        <v>92</v>
      </c>
      <c r="B57" s="229">
        <v>12593</v>
      </c>
      <c r="C57" s="229">
        <v>8500</v>
      </c>
      <c r="D57" s="229">
        <v>7500</v>
      </c>
    </row>
    <row r="58" spans="1:4" ht="15.75">
      <c r="A58" s="51" t="s">
        <v>430</v>
      </c>
      <c r="B58" s="229">
        <v>1191</v>
      </c>
      <c r="C58" s="229">
        <v>5000</v>
      </c>
      <c r="D58" s="229">
        <v>6000</v>
      </c>
    </row>
    <row r="59" spans="1:4" ht="15.75">
      <c r="A59" s="51" t="s">
        <v>424</v>
      </c>
      <c r="B59" s="229">
        <v>-31256</v>
      </c>
      <c r="C59" s="229">
        <v>-25000</v>
      </c>
      <c r="D59" s="229">
        <v>-25000</v>
      </c>
    </row>
    <row r="60" spans="1:4" ht="15.75">
      <c r="A60" s="224" t="s">
        <v>44</v>
      </c>
      <c r="B60" s="247">
        <f>SUM(B54:B59)</f>
        <v>130974</v>
      </c>
      <c r="C60" s="247">
        <f>SUM(C54:C59)</f>
        <v>99906</v>
      </c>
      <c r="D60" s="247">
        <f>SUM(D54:D59)</f>
        <v>99906</v>
      </c>
    </row>
    <row r="61" spans="1:4" ht="15.75">
      <c r="A61" s="246" t="s">
        <v>378</v>
      </c>
      <c r="B61" s="68"/>
      <c r="C61" s="68"/>
      <c r="D61" s="68"/>
    </row>
    <row r="62" spans="1:4" ht="15.75">
      <c r="A62" s="51" t="s">
        <v>90</v>
      </c>
      <c r="B62" s="229">
        <v>124293</v>
      </c>
      <c r="C62" s="229">
        <v>95000</v>
      </c>
      <c r="D62" s="229">
        <v>95000</v>
      </c>
    </row>
    <row r="63" spans="1:4" ht="15.75">
      <c r="A63" s="51" t="s">
        <v>431</v>
      </c>
      <c r="B63" s="229">
        <v>91884</v>
      </c>
      <c r="C63" s="229">
        <v>90000</v>
      </c>
      <c r="D63" s="229">
        <v>95000</v>
      </c>
    </row>
    <row r="64" spans="1:4" ht="15.75">
      <c r="A64" s="51" t="s">
        <v>91</v>
      </c>
      <c r="B64" s="229">
        <v>42496</v>
      </c>
      <c r="C64" s="229">
        <v>15000</v>
      </c>
      <c r="D64" s="229">
        <v>15000</v>
      </c>
    </row>
    <row r="65" spans="1:4" ht="15.75">
      <c r="A65" s="51" t="s">
        <v>92</v>
      </c>
      <c r="B65" s="229"/>
      <c r="C65" s="229">
        <v>5000</v>
      </c>
      <c r="D65" s="229">
        <v>5000</v>
      </c>
    </row>
    <row r="66" spans="1:4" ht="15.75">
      <c r="A66" s="51" t="s">
        <v>424</v>
      </c>
      <c r="B66" s="229">
        <v>-8417</v>
      </c>
      <c r="C66" s="229">
        <v>-15000</v>
      </c>
      <c r="D66" s="229">
        <v>-5000</v>
      </c>
    </row>
    <row r="67" spans="1:4" ht="15.75">
      <c r="A67" s="224" t="s">
        <v>44</v>
      </c>
      <c r="B67" s="241">
        <f>SUM(B62:B66)</f>
        <v>250256</v>
      </c>
      <c r="C67" s="241">
        <f>SUM(C62:C66)</f>
        <v>190000</v>
      </c>
      <c r="D67" s="241">
        <f>SUM(D62:D66)</f>
        <v>205000</v>
      </c>
    </row>
    <row r="68" spans="1:4" ht="15.75">
      <c r="A68" s="28"/>
      <c r="B68" s="68"/>
      <c r="C68" s="68"/>
      <c r="D68" s="68"/>
    </row>
    <row r="69" spans="1:4" ht="15.75">
      <c r="A69" s="224" t="s">
        <v>202</v>
      </c>
      <c r="B69" s="235">
        <f>B13+B19+B26+B33+B39+B52+B60+B67</f>
        <v>1835123</v>
      </c>
      <c r="C69" s="235">
        <f>C13+C19+C26+C33+C39+C52+C60+C67</f>
        <v>1764570</v>
      </c>
      <c r="D69" s="235">
        <f>D13+D19+D26+D33+D39+D52+D60+D67</f>
        <v>2096816</v>
      </c>
    </row>
    <row r="70" spans="1:4" ht="15.75">
      <c r="A70" s="28"/>
      <c r="B70" s="155"/>
      <c r="C70" s="155"/>
      <c r="D70" s="155"/>
    </row>
    <row r="71" spans="1:4" ht="15.75">
      <c r="A71" s="631" t="s">
        <v>195</v>
      </c>
      <c r="B71" s="631"/>
      <c r="C71" s="631"/>
      <c r="D71" s="631"/>
    </row>
    <row r="72" spans="1:4" ht="15.75">
      <c r="A72" s="28"/>
      <c r="B72" s="155"/>
      <c r="C72" s="155"/>
      <c r="D72" s="155"/>
    </row>
    <row r="73" spans="1:4" ht="15.75">
      <c r="A73" s="155" t="str">
        <f>inputPrYr!C2</f>
        <v>CLOUD COUNTY</v>
      </c>
      <c r="B73" s="155"/>
      <c r="C73" s="27"/>
      <c r="D73" s="248">
        <f>D1</f>
        <v>2015</v>
      </c>
    </row>
    <row r="74" spans="1:4" ht="15.75">
      <c r="A74" s="28"/>
      <c r="B74" s="155"/>
      <c r="C74" s="155"/>
      <c r="D74" s="27"/>
    </row>
    <row r="75" spans="1:4" ht="15.75">
      <c r="A75" s="236" t="s">
        <v>149</v>
      </c>
      <c r="B75" s="249"/>
      <c r="C75" s="249"/>
      <c r="D75" s="249"/>
    </row>
    <row r="76" spans="1:4" ht="15.75">
      <c r="A76" s="28" t="s">
        <v>71</v>
      </c>
      <c r="B76" s="245" t="str">
        <f aca="true" t="shared" si="0" ref="B76:D77">B4</f>
        <v>Prior Year </v>
      </c>
      <c r="C76" s="151" t="str">
        <f t="shared" si="0"/>
        <v>Current Year </v>
      </c>
      <c r="D76" s="151" t="str">
        <f t="shared" si="0"/>
        <v>Proposed Budget </v>
      </c>
    </row>
    <row r="77" spans="1:4" ht="15.75">
      <c r="A77" s="55" t="s">
        <v>88</v>
      </c>
      <c r="B77" s="238" t="str">
        <f t="shared" si="0"/>
        <v>Actual for 2013</v>
      </c>
      <c r="C77" s="238" t="str">
        <f t="shared" si="0"/>
        <v>Estimate for 2014</v>
      </c>
      <c r="D77" s="238" t="str">
        <f t="shared" si="0"/>
        <v>Year for 2015</v>
      </c>
    </row>
    <row r="78" spans="1:4" ht="15.75">
      <c r="A78" s="224" t="s">
        <v>84</v>
      </c>
      <c r="B78" s="68"/>
      <c r="C78" s="68"/>
      <c r="D78" s="68"/>
    </row>
    <row r="79" spans="1:4" ht="15.75">
      <c r="A79" s="246" t="s">
        <v>379</v>
      </c>
      <c r="B79" s="68"/>
      <c r="C79" s="68"/>
      <c r="D79" s="68"/>
    </row>
    <row r="80" spans="1:4" ht="15.75">
      <c r="A80" s="51" t="s">
        <v>399</v>
      </c>
      <c r="B80" s="229">
        <v>5000</v>
      </c>
      <c r="C80" s="229">
        <v>5000</v>
      </c>
      <c r="D80" s="229">
        <v>5000</v>
      </c>
    </row>
    <row r="81" spans="1:4" ht="15.75">
      <c r="A81" s="250" t="s">
        <v>44</v>
      </c>
      <c r="B81" s="247">
        <f>SUM(B80:B80)</f>
        <v>5000</v>
      </c>
      <c r="C81" s="247">
        <f>SUM(C80:C80)</f>
        <v>5000</v>
      </c>
      <c r="D81" s="247">
        <f>SUM(D80:D80)</f>
        <v>5000</v>
      </c>
    </row>
    <row r="82" spans="1:4" ht="15.75">
      <c r="A82" s="246" t="s">
        <v>380</v>
      </c>
      <c r="B82" s="68"/>
      <c r="C82" s="68"/>
      <c r="D82" s="68"/>
    </row>
    <row r="83" spans="1:4" ht="15.75">
      <c r="A83" s="51" t="s">
        <v>89</v>
      </c>
      <c r="B83" s="229">
        <v>85052</v>
      </c>
      <c r="C83" s="229">
        <v>80000</v>
      </c>
      <c r="D83" s="229">
        <v>86700</v>
      </c>
    </row>
    <row r="84" spans="1:4" ht="15.75">
      <c r="A84" s="51" t="s">
        <v>90</v>
      </c>
      <c r="B84" s="229">
        <v>17639</v>
      </c>
      <c r="C84" s="229">
        <v>11000</v>
      </c>
      <c r="D84" s="229">
        <v>15000</v>
      </c>
    </row>
    <row r="85" spans="1:4" ht="15.75">
      <c r="A85" s="51" t="s">
        <v>91</v>
      </c>
      <c r="B85" s="229">
        <v>11038</v>
      </c>
      <c r="C85" s="229">
        <v>21500</v>
      </c>
      <c r="D85" s="229">
        <v>15800</v>
      </c>
    </row>
    <row r="86" spans="1:4" ht="15.75">
      <c r="A86" s="51" t="s">
        <v>92</v>
      </c>
      <c r="B86" s="229">
        <v>3044</v>
      </c>
      <c r="C86" s="229">
        <v>10000</v>
      </c>
      <c r="D86" s="229">
        <v>3000</v>
      </c>
    </row>
    <row r="87" spans="1:4" ht="15.75">
      <c r="A87" s="216" t="s">
        <v>424</v>
      </c>
      <c r="B87" s="229">
        <v>-1629</v>
      </c>
      <c r="C87" s="229"/>
      <c r="D87" s="229"/>
    </row>
    <row r="88" spans="1:4" ht="15.75">
      <c r="A88" s="224" t="s">
        <v>44</v>
      </c>
      <c r="B88" s="241">
        <f>SUM(B83:B87)</f>
        <v>115144</v>
      </c>
      <c r="C88" s="241">
        <f>SUM(C83:C87)</f>
        <v>122500</v>
      </c>
      <c r="D88" s="241">
        <f>SUM(D83:D87)</f>
        <v>120500</v>
      </c>
    </row>
    <row r="89" spans="1:4" ht="15.75">
      <c r="A89" s="246" t="s">
        <v>381</v>
      </c>
      <c r="B89" s="68"/>
      <c r="C89" s="68"/>
      <c r="D89" s="68"/>
    </row>
    <row r="90" spans="1:4" ht="15.75">
      <c r="A90" s="51" t="s">
        <v>89</v>
      </c>
      <c r="B90" s="229">
        <v>32248</v>
      </c>
      <c r="C90" s="229">
        <v>31200</v>
      </c>
      <c r="D90" s="229">
        <v>31824</v>
      </c>
    </row>
    <row r="91" spans="1:4" ht="15.75">
      <c r="A91" s="51" t="s">
        <v>90</v>
      </c>
      <c r="B91" s="229">
        <v>14621</v>
      </c>
      <c r="C91" s="229">
        <v>24230</v>
      </c>
      <c r="D91" s="229">
        <v>31006</v>
      </c>
    </row>
    <row r="92" spans="1:4" ht="15.75">
      <c r="A92" s="51" t="s">
        <v>91</v>
      </c>
      <c r="B92" s="229">
        <v>7410</v>
      </c>
      <c r="C92" s="229">
        <v>5000</v>
      </c>
      <c r="D92" s="229">
        <v>5000</v>
      </c>
    </row>
    <row r="93" spans="1:4" ht="15.75">
      <c r="A93" s="51" t="s">
        <v>92</v>
      </c>
      <c r="B93" s="229"/>
      <c r="C93" s="229">
        <v>100000</v>
      </c>
      <c r="D93" s="229">
        <v>100000</v>
      </c>
    </row>
    <row r="94" spans="1:4" ht="15.75">
      <c r="A94" s="51" t="s">
        <v>432</v>
      </c>
      <c r="B94" s="229">
        <v>50242</v>
      </c>
      <c r="C94" s="229">
        <v>700</v>
      </c>
      <c r="D94" s="229">
        <v>1100</v>
      </c>
    </row>
    <row r="95" spans="1:4" ht="15.75">
      <c r="A95" s="216" t="s">
        <v>424</v>
      </c>
      <c r="B95" s="229">
        <v>-6804</v>
      </c>
      <c r="C95" s="229">
        <v>-5760</v>
      </c>
      <c r="D95" s="229">
        <v>-5760</v>
      </c>
    </row>
    <row r="96" spans="1:4" ht="15.75">
      <c r="A96" s="224" t="s">
        <v>44</v>
      </c>
      <c r="B96" s="241">
        <f>SUM(B90:B95)</f>
        <v>97717</v>
      </c>
      <c r="C96" s="241">
        <f>SUM(C90:C95)</f>
        <v>155370</v>
      </c>
      <c r="D96" s="241">
        <f>SUM(D90:D95)</f>
        <v>163170</v>
      </c>
    </row>
    <row r="97" spans="1:4" ht="15.75">
      <c r="A97" s="246" t="s">
        <v>97</v>
      </c>
      <c r="B97" s="68"/>
      <c r="C97" s="68"/>
      <c r="D97" s="68"/>
    </row>
    <row r="98" spans="1:4" ht="15.75">
      <c r="A98" s="51" t="s">
        <v>433</v>
      </c>
      <c r="B98" s="229">
        <v>55000</v>
      </c>
      <c r="C98" s="229">
        <v>55000</v>
      </c>
      <c r="D98" s="229">
        <v>55000</v>
      </c>
    </row>
    <row r="99" spans="1:4" ht="15.75">
      <c r="A99" s="51" t="s">
        <v>434</v>
      </c>
      <c r="B99" s="229"/>
      <c r="C99" s="229"/>
      <c r="D99" s="229">
        <v>700</v>
      </c>
    </row>
    <row r="100" spans="1:4" ht="15.75">
      <c r="A100" s="51" t="s">
        <v>435</v>
      </c>
      <c r="B100" s="229">
        <v>14000</v>
      </c>
      <c r="C100" s="229">
        <v>14000</v>
      </c>
      <c r="D100" s="229">
        <v>14000</v>
      </c>
    </row>
    <row r="101" spans="1:4" ht="15.75">
      <c r="A101" s="51" t="s">
        <v>443</v>
      </c>
      <c r="B101" s="229"/>
      <c r="C101" s="229"/>
      <c r="D101" s="229"/>
    </row>
    <row r="102" spans="1:4" ht="15.75">
      <c r="A102" s="216" t="s">
        <v>424</v>
      </c>
      <c r="B102" s="229">
        <v>-2453</v>
      </c>
      <c r="C102" s="229"/>
      <c r="D102" s="229"/>
    </row>
    <row r="103" spans="1:4" ht="15.75">
      <c r="A103" s="224" t="s">
        <v>44</v>
      </c>
      <c r="B103" s="241">
        <f>SUM(B98:B102)</f>
        <v>66547</v>
      </c>
      <c r="C103" s="241">
        <f>SUM(C98:C102)</f>
        <v>69000</v>
      </c>
      <c r="D103" s="241">
        <f>SUM(D98:D102)</f>
        <v>69700</v>
      </c>
    </row>
    <row r="104" spans="1:4" ht="15.75">
      <c r="A104" s="246" t="s">
        <v>382</v>
      </c>
      <c r="B104" s="68"/>
      <c r="C104" s="68"/>
      <c r="D104" s="68"/>
    </row>
    <row r="105" spans="1:4" ht="15.75">
      <c r="A105" s="51" t="s">
        <v>90</v>
      </c>
      <c r="B105" s="229">
        <v>-3000</v>
      </c>
      <c r="C105" s="229">
        <v>3500</v>
      </c>
      <c r="D105" s="229">
        <v>4000</v>
      </c>
    </row>
    <row r="106" spans="1:4" ht="15.75">
      <c r="A106" s="224" t="s">
        <v>44</v>
      </c>
      <c r="B106" s="241">
        <f>SUM(B105:B105)</f>
        <v>-3000</v>
      </c>
      <c r="C106" s="241">
        <f>SUM(C105:C105)</f>
        <v>3500</v>
      </c>
      <c r="D106" s="241">
        <f>SUM(D105:D105)</f>
        <v>4000</v>
      </c>
    </row>
    <row r="107" spans="1:4" ht="15.75">
      <c r="A107" s="246" t="s">
        <v>383</v>
      </c>
      <c r="B107" s="68"/>
      <c r="C107" s="68"/>
      <c r="D107" s="68"/>
    </row>
    <row r="108" spans="1:4" ht="15.75">
      <c r="A108" s="51" t="s">
        <v>90</v>
      </c>
      <c r="B108" s="229">
        <v>26026</v>
      </c>
      <c r="C108" s="229">
        <v>26090</v>
      </c>
      <c r="D108" s="229">
        <v>26090</v>
      </c>
    </row>
    <row r="109" spans="1:4" ht="15.75">
      <c r="A109" s="51" t="s">
        <v>91</v>
      </c>
      <c r="B109" s="229">
        <v>184</v>
      </c>
      <c r="C109" s="229">
        <v>1500</v>
      </c>
      <c r="D109" s="229">
        <v>1500</v>
      </c>
    </row>
    <row r="110" spans="1:4" ht="15.75">
      <c r="A110" s="51" t="s">
        <v>92</v>
      </c>
      <c r="B110" s="229"/>
      <c r="C110" s="229">
        <v>2000</v>
      </c>
      <c r="D110" s="229">
        <v>2000</v>
      </c>
    </row>
    <row r="111" spans="1:4" ht="15.75">
      <c r="A111" s="216" t="s">
        <v>424</v>
      </c>
      <c r="B111" s="229"/>
      <c r="C111" s="229">
        <v>-10972</v>
      </c>
      <c r="D111" s="229"/>
    </row>
    <row r="112" spans="1:4" ht="15.75">
      <c r="A112" s="224" t="s">
        <v>44</v>
      </c>
      <c r="B112" s="241">
        <f>SUM(B108:B111)</f>
        <v>26210</v>
      </c>
      <c r="C112" s="241">
        <f>SUM(C108:C111)</f>
        <v>18618</v>
      </c>
      <c r="D112" s="241">
        <f>SUM(D108:D111)</f>
        <v>29590</v>
      </c>
    </row>
    <row r="113" spans="1:4" ht="15.75">
      <c r="A113" s="246" t="s">
        <v>384</v>
      </c>
      <c r="B113" s="68"/>
      <c r="C113" s="68"/>
      <c r="D113" s="68"/>
    </row>
    <row r="114" spans="1:4" ht="15.75">
      <c r="A114" s="51" t="s">
        <v>89</v>
      </c>
      <c r="B114" s="229">
        <v>77818</v>
      </c>
      <c r="C114" s="229">
        <v>75000</v>
      </c>
      <c r="D114" s="229">
        <v>76500</v>
      </c>
    </row>
    <row r="115" spans="1:4" ht="15.75">
      <c r="A115" s="51" t="s">
        <v>90</v>
      </c>
      <c r="B115" s="229">
        <v>5989</v>
      </c>
      <c r="C115" s="229">
        <v>10100</v>
      </c>
      <c r="D115" s="229">
        <v>8600</v>
      </c>
    </row>
    <row r="116" spans="1:4" ht="15.75">
      <c r="A116" s="51" t="s">
        <v>91</v>
      </c>
      <c r="B116" s="229">
        <v>13146</v>
      </c>
      <c r="C116" s="229">
        <v>16800</v>
      </c>
      <c r="D116" s="229">
        <v>17800</v>
      </c>
    </row>
    <row r="117" spans="1:4" ht="15.75">
      <c r="A117" s="51" t="s">
        <v>92</v>
      </c>
      <c r="B117" s="229"/>
      <c r="C117" s="229">
        <v>2000</v>
      </c>
      <c r="D117" s="229">
        <v>2000</v>
      </c>
    </row>
    <row r="118" spans="1:4" ht="15.75">
      <c r="A118" s="216" t="s">
        <v>424</v>
      </c>
      <c r="B118" s="229"/>
      <c r="C118" s="229">
        <v>-45000</v>
      </c>
      <c r="D118" s="229"/>
    </row>
    <row r="119" spans="1:4" ht="15.75">
      <c r="A119" s="224" t="s">
        <v>44</v>
      </c>
      <c r="B119" s="241">
        <f>SUM(B114:B118)</f>
        <v>96953</v>
      </c>
      <c r="C119" s="241">
        <f>SUM(C114:C118)</f>
        <v>58900</v>
      </c>
      <c r="D119" s="241">
        <f>SUM(D114:D118)</f>
        <v>104900</v>
      </c>
    </row>
    <row r="120" spans="1:4" ht="15.75">
      <c r="A120" s="246" t="s">
        <v>385</v>
      </c>
      <c r="B120" s="68"/>
      <c r="C120" s="68"/>
      <c r="D120" s="68"/>
    </row>
    <row r="121" spans="1:4" ht="15.75">
      <c r="A121" s="51" t="s">
        <v>90</v>
      </c>
      <c r="B121" s="229">
        <v>0</v>
      </c>
      <c r="C121" s="229"/>
      <c r="D121" s="229">
        <v>0</v>
      </c>
    </row>
    <row r="122" spans="1:4" ht="15.75">
      <c r="A122" s="51" t="s">
        <v>91</v>
      </c>
      <c r="B122" s="229"/>
      <c r="C122" s="229"/>
      <c r="D122" s="229">
        <v>0</v>
      </c>
    </row>
    <row r="123" spans="1:4" ht="15.75">
      <c r="A123" s="224" t="s">
        <v>44</v>
      </c>
      <c r="B123" s="241">
        <f>SUM(B121:B122)</f>
        <v>0</v>
      </c>
      <c r="C123" s="241">
        <f>SUM(C121:C122)</f>
        <v>0</v>
      </c>
      <c r="D123" s="241">
        <f>SUM(D121:D122)</f>
        <v>0</v>
      </c>
    </row>
    <row r="124" spans="1:4" ht="15.75">
      <c r="A124" s="28"/>
      <c r="B124" s="68"/>
      <c r="C124" s="68"/>
      <c r="D124" s="68"/>
    </row>
    <row r="125" spans="1:4" ht="15.75">
      <c r="A125" s="224" t="s">
        <v>203</v>
      </c>
      <c r="B125" s="235">
        <f>B81+B88+B96+B103+B106+B112+B119+B123</f>
        <v>404571</v>
      </c>
      <c r="C125" s="235">
        <f>C81+C88+C96+C103+C106+C112+C119+C123</f>
        <v>432888</v>
      </c>
      <c r="D125" s="235">
        <f>D81+D88+D96+D103+D106+D112+D119+D123</f>
        <v>496860</v>
      </c>
    </row>
    <row r="126" spans="1:4" ht="15.75">
      <c r="A126" s="28"/>
      <c r="B126" s="155"/>
      <c r="C126" s="155"/>
      <c r="D126" s="155"/>
    </row>
    <row r="127" spans="1:4" ht="15.75">
      <c r="A127" s="631" t="s">
        <v>196</v>
      </c>
      <c r="B127" s="631"/>
      <c r="C127" s="631"/>
      <c r="D127" s="631"/>
    </row>
    <row r="128" spans="1:4" ht="15.75">
      <c r="A128" s="155" t="str">
        <f>inputPrYr!C2</f>
        <v>CLOUD COUNTY</v>
      </c>
      <c r="B128" s="155"/>
      <c r="C128" s="27"/>
      <c r="D128" s="248">
        <f>D1</f>
        <v>2015</v>
      </c>
    </row>
    <row r="129" spans="1:4" ht="15.75">
      <c r="A129" s="28"/>
      <c r="B129" s="155"/>
      <c r="C129" s="155"/>
      <c r="D129" s="27"/>
    </row>
    <row r="130" spans="1:4" ht="15.75">
      <c r="A130" s="236" t="s">
        <v>149</v>
      </c>
      <c r="B130" s="249"/>
      <c r="C130" s="249"/>
      <c r="D130" s="249"/>
    </row>
    <row r="131" spans="1:4" ht="15.75">
      <c r="A131" s="28" t="s">
        <v>71</v>
      </c>
      <c r="B131" s="245" t="str">
        <f aca="true" t="shared" si="1" ref="B131:D132">B4</f>
        <v>Prior Year </v>
      </c>
      <c r="C131" s="151" t="str">
        <f t="shared" si="1"/>
        <v>Current Year </v>
      </c>
      <c r="D131" s="151" t="str">
        <f t="shared" si="1"/>
        <v>Proposed Budget </v>
      </c>
    </row>
    <row r="132" spans="1:4" ht="15.75">
      <c r="A132" s="55" t="s">
        <v>88</v>
      </c>
      <c r="B132" s="238" t="str">
        <f t="shared" si="1"/>
        <v>Actual for 2013</v>
      </c>
      <c r="C132" s="238" t="str">
        <f t="shared" si="1"/>
        <v>Estimate for 2014</v>
      </c>
      <c r="D132" s="238" t="str">
        <f t="shared" si="1"/>
        <v>Year for 2015</v>
      </c>
    </row>
    <row r="133" spans="1:4" ht="15.75">
      <c r="A133" s="224" t="s">
        <v>84</v>
      </c>
      <c r="B133" s="68"/>
      <c r="C133" s="68"/>
      <c r="D133" s="68"/>
    </row>
    <row r="134" spans="1:4" ht="15.75">
      <c r="A134" s="246" t="s">
        <v>386</v>
      </c>
      <c r="B134" s="68"/>
      <c r="C134" s="68"/>
      <c r="D134" s="68"/>
    </row>
    <row r="135" spans="1:4" ht="15.75">
      <c r="A135" s="51" t="s">
        <v>90</v>
      </c>
      <c r="B135" s="229">
        <v>100000</v>
      </c>
      <c r="C135" s="229">
        <v>120000</v>
      </c>
      <c r="D135" s="229">
        <v>120000</v>
      </c>
    </row>
    <row r="136" spans="1:4" ht="15.75">
      <c r="A136" s="224" t="s">
        <v>44</v>
      </c>
      <c r="B136" s="241">
        <f>SUM(B135:B135)</f>
        <v>100000</v>
      </c>
      <c r="C136" s="241">
        <f>SUM(C135:C135)</f>
        <v>120000</v>
      </c>
      <c r="D136" s="241">
        <f>SUM(D135:D135)</f>
        <v>120000</v>
      </c>
    </row>
    <row r="137" spans="1:4" ht="15.75">
      <c r="A137" s="246" t="s">
        <v>387</v>
      </c>
      <c r="B137" s="68"/>
      <c r="C137" s="68"/>
      <c r="D137" s="68"/>
    </row>
    <row r="138" spans="1:4" ht="15.75">
      <c r="A138" s="51" t="s">
        <v>90</v>
      </c>
      <c r="B138" s="229">
        <v>13000</v>
      </c>
      <c r="C138" s="229">
        <v>13000</v>
      </c>
      <c r="D138" s="229">
        <v>13000</v>
      </c>
    </row>
    <row r="139" spans="1:4" ht="15.75">
      <c r="A139" s="224" t="s">
        <v>44</v>
      </c>
      <c r="B139" s="241">
        <f>SUM(B138:B138)</f>
        <v>13000</v>
      </c>
      <c r="C139" s="241">
        <f>SUM(C138:C138)</f>
        <v>13000</v>
      </c>
      <c r="D139" s="241">
        <f>SUM(D138:D138)</f>
        <v>13000</v>
      </c>
    </row>
    <row r="140" spans="1:4" ht="15.75">
      <c r="A140" s="246" t="s">
        <v>388</v>
      </c>
      <c r="B140" s="68"/>
      <c r="C140" s="68"/>
      <c r="D140" s="68"/>
    </row>
    <row r="141" spans="1:4" ht="15.75">
      <c r="A141" s="51" t="s">
        <v>436</v>
      </c>
      <c r="B141" s="229"/>
      <c r="C141" s="229">
        <v>300000</v>
      </c>
      <c r="D141" s="229">
        <v>300000</v>
      </c>
    </row>
    <row r="142" spans="1:4" ht="15.75">
      <c r="A142" s="51" t="s">
        <v>424</v>
      </c>
      <c r="B142" s="229"/>
      <c r="C142" s="229">
        <v>-300000</v>
      </c>
      <c r="D142" s="229">
        <v>-300000</v>
      </c>
    </row>
    <row r="143" spans="1:4" ht="15.75">
      <c r="A143" s="224" t="s">
        <v>44</v>
      </c>
      <c r="B143" s="241">
        <f>SUM(B141:B142)</f>
        <v>0</v>
      </c>
      <c r="C143" s="241">
        <f>SUM(C141:C142)</f>
        <v>0</v>
      </c>
      <c r="D143" s="241">
        <f>SUM(D141:D142)</f>
        <v>0</v>
      </c>
    </row>
    <row r="144" spans="1:4" ht="15.75">
      <c r="A144" s="246" t="s">
        <v>389</v>
      </c>
      <c r="B144" s="68"/>
      <c r="C144" s="68"/>
      <c r="D144" s="68"/>
    </row>
    <row r="145" spans="1:4" ht="15.75">
      <c r="A145" s="51" t="s">
        <v>437</v>
      </c>
      <c r="B145" s="229"/>
      <c r="C145" s="229">
        <v>125000</v>
      </c>
      <c r="D145" s="229">
        <v>125000</v>
      </c>
    </row>
    <row r="146" spans="1:4" ht="15.75">
      <c r="A146" s="51" t="s">
        <v>424</v>
      </c>
      <c r="B146" s="229"/>
      <c r="C146" s="229">
        <v>-125000</v>
      </c>
      <c r="D146" s="229">
        <v>-125000</v>
      </c>
    </row>
    <row r="147" spans="1:4" ht="15.75">
      <c r="A147" s="224" t="s">
        <v>44</v>
      </c>
      <c r="B147" s="241">
        <f>SUM(B145:B146)</f>
        <v>0</v>
      </c>
      <c r="C147" s="241">
        <f>SUM(C145:C146)</f>
        <v>0</v>
      </c>
      <c r="D147" s="241">
        <f>SUM(D145:D146)</f>
        <v>0</v>
      </c>
    </row>
    <row r="148" spans="1:4" ht="15.75">
      <c r="A148" s="246" t="s">
        <v>390</v>
      </c>
      <c r="B148" s="68"/>
      <c r="C148" s="68"/>
      <c r="D148" s="68"/>
    </row>
    <row r="149" spans="1:4" ht="15.75">
      <c r="A149" s="51" t="s">
        <v>399</v>
      </c>
      <c r="B149" s="229">
        <v>5195</v>
      </c>
      <c r="C149" s="229">
        <v>3348</v>
      </c>
      <c r="D149" s="229">
        <v>3868</v>
      </c>
    </row>
    <row r="150" spans="1:4" ht="15.75">
      <c r="A150" s="51" t="s">
        <v>438</v>
      </c>
      <c r="B150" s="229"/>
      <c r="C150" s="229">
        <v>3000</v>
      </c>
      <c r="D150" s="229">
        <v>3000</v>
      </c>
    </row>
    <row r="151" spans="1:4" ht="15.75">
      <c r="A151" s="224" t="s">
        <v>44</v>
      </c>
      <c r="B151" s="241">
        <f>SUM(B149:B150)</f>
        <v>5195</v>
      </c>
      <c r="C151" s="241">
        <f>SUM(C149:C150)</f>
        <v>6348</v>
      </c>
      <c r="D151" s="241">
        <f>SUM(D149:D150)</f>
        <v>6868</v>
      </c>
    </row>
    <row r="152" spans="1:4" ht="15.75">
      <c r="A152" s="246" t="s">
        <v>444</v>
      </c>
      <c r="B152" s="68"/>
      <c r="C152" s="68"/>
      <c r="D152" s="68"/>
    </row>
    <row r="153" spans="1:4" ht="15.75">
      <c r="A153" s="51" t="s">
        <v>90</v>
      </c>
      <c r="B153" s="229">
        <v>0</v>
      </c>
      <c r="C153" s="229">
        <v>0</v>
      </c>
      <c r="D153" s="229">
        <v>3500</v>
      </c>
    </row>
    <row r="154" spans="1:4" ht="15.75">
      <c r="A154" s="224" t="s">
        <v>44</v>
      </c>
      <c r="B154" s="241">
        <f>SUM(B153:B153)</f>
        <v>0</v>
      </c>
      <c r="C154" s="241">
        <f>SUM(C153:C153)</f>
        <v>0</v>
      </c>
      <c r="D154" s="241">
        <f>SUM(D153:D153)</f>
        <v>3500</v>
      </c>
    </row>
    <row r="155" spans="1:4" ht="15.75">
      <c r="A155" s="246" t="s">
        <v>391</v>
      </c>
      <c r="B155" s="68"/>
      <c r="C155" s="68"/>
      <c r="D155" s="68"/>
    </row>
    <row r="156" spans="1:4" ht="15.75">
      <c r="A156" s="51" t="s">
        <v>392</v>
      </c>
      <c r="B156" s="229">
        <v>6000</v>
      </c>
      <c r="C156" s="229">
        <v>3000</v>
      </c>
      <c r="D156" s="229">
        <v>3000</v>
      </c>
    </row>
    <row r="157" spans="1:4" ht="15.75">
      <c r="A157" s="224" t="s">
        <v>44</v>
      </c>
      <c r="B157" s="241">
        <f>SUM(B156:B156)</f>
        <v>6000</v>
      </c>
      <c r="C157" s="241">
        <f>SUM(C156:C156)</f>
        <v>3000</v>
      </c>
      <c r="D157" s="241">
        <f>SUM(D156:D156)</f>
        <v>3000</v>
      </c>
    </row>
    <row r="158" spans="1:4" ht="15.75">
      <c r="A158" s="246" t="s">
        <v>70</v>
      </c>
      <c r="B158" s="68"/>
      <c r="C158" s="68"/>
      <c r="D158" s="68"/>
    </row>
    <row r="159" spans="1:4" ht="15.75">
      <c r="A159" s="51" t="s">
        <v>393</v>
      </c>
      <c r="B159" s="229"/>
      <c r="C159" s="229">
        <v>10104</v>
      </c>
      <c r="D159" s="229">
        <v>10104</v>
      </c>
    </row>
    <row r="160" spans="1:4" ht="15.75">
      <c r="A160" s="224" t="s">
        <v>44</v>
      </c>
      <c r="B160" s="241">
        <f>SUM(B159:B159)</f>
        <v>0</v>
      </c>
      <c r="C160" s="241">
        <f>SUM(C159:C159)</f>
        <v>10104</v>
      </c>
      <c r="D160" s="241">
        <f>SUM(D159:D159)</f>
        <v>10104</v>
      </c>
    </row>
    <row r="161" spans="1:4" ht="15.75">
      <c r="A161" s="246" t="s">
        <v>394</v>
      </c>
      <c r="B161" s="68"/>
      <c r="C161" s="68"/>
      <c r="D161" s="68"/>
    </row>
    <row r="162" spans="1:4" ht="15.75">
      <c r="A162" s="51" t="s">
        <v>89</v>
      </c>
      <c r="B162" s="229"/>
      <c r="C162" s="229"/>
      <c r="D162" s="229"/>
    </row>
    <row r="163" spans="1:4" ht="15.75">
      <c r="A163" s="51" t="s">
        <v>90</v>
      </c>
      <c r="B163" s="229">
        <v>4085</v>
      </c>
      <c r="C163" s="229">
        <v>2500</v>
      </c>
      <c r="D163" s="229">
        <v>2500</v>
      </c>
    </row>
    <row r="164" spans="1:4" ht="15.75">
      <c r="A164" s="51" t="s">
        <v>91</v>
      </c>
      <c r="B164" s="229">
        <v>4352</v>
      </c>
      <c r="C164" s="229"/>
      <c r="D164" s="229"/>
    </row>
    <row r="165" spans="1:4" ht="15.75">
      <c r="A165" s="51" t="s">
        <v>92</v>
      </c>
      <c r="B165" s="229"/>
      <c r="C165" s="229"/>
      <c r="D165" s="229"/>
    </row>
    <row r="166" spans="1:4" ht="15.75">
      <c r="A166" s="216" t="s">
        <v>424</v>
      </c>
      <c r="B166" s="229">
        <v>-5767</v>
      </c>
      <c r="C166" s="229"/>
      <c r="D166" s="229"/>
    </row>
    <row r="167" spans="1:4" ht="15.75">
      <c r="A167" s="224" t="s">
        <v>44</v>
      </c>
      <c r="B167" s="241">
        <f>SUM(B162:B166)</f>
        <v>2670</v>
      </c>
      <c r="C167" s="241">
        <f>SUM(C162:C166)</f>
        <v>2500</v>
      </c>
      <c r="D167" s="241">
        <f>SUM(D162:D166)</f>
        <v>2500</v>
      </c>
    </row>
    <row r="168" spans="1:4" ht="15.75">
      <c r="A168" s="246" t="s">
        <v>395</v>
      </c>
      <c r="B168" s="68"/>
      <c r="C168" s="68"/>
      <c r="D168" s="68"/>
    </row>
    <row r="169" spans="1:4" ht="15.75">
      <c r="A169" s="51" t="s">
        <v>90</v>
      </c>
      <c r="B169" s="229">
        <v>17974</v>
      </c>
      <c r="C169" s="229">
        <v>20000</v>
      </c>
      <c r="D169" s="229">
        <v>20000</v>
      </c>
    </row>
    <row r="170" spans="1:4" ht="15.75">
      <c r="A170" s="224" t="s">
        <v>44</v>
      </c>
      <c r="B170" s="241">
        <f>SUM(B169:B169)</f>
        <v>17974</v>
      </c>
      <c r="C170" s="241">
        <f>SUM(C169:C169)</f>
        <v>20000</v>
      </c>
      <c r="D170" s="241">
        <f>SUM(D169:D169)</f>
        <v>20000</v>
      </c>
    </row>
    <row r="171" spans="1:4" ht="15.75">
      <c r="A171" s="246" t="s">
        <v>396</v>
      </c>
      <c r="B171" s="68"/>
      <c r="C171" s="68"/>
      <c r="D171" s="68"/>
    </row>
    <row r="172" spans="1:4" ht="15.75">
      <c r="A172" s="51" t="s">
        <v>90</v>
      </c>
      <c r="B172" s="229"/>
      <c r="C172" s="229">
        <v>10000</v>
      </c>
      <c r="D172" s="229">
        <v>10000</v>
      </c>
    </row>
    <row r="173" spans="1:4" ht="15.75">
      <c r="A173" s="224" t="s">
        <v>44</v>
      </c>
      <c r="B173" s="241">
        <f>SUM(B172:B172)</f>
        <v>0</v>
      </c>
      <c r="C173" s="241">
        <f>SUM(C172:C172)</f>
        <v>10000</v>
      </c>
      <c r="D173" s="241">
        <f>SUM(D172:D172)</f>
        <v>10000</v>
      </c>
    </row>
    <row r="174" spans="1:4" ht="15.75">
      <c r="A174" s="246"/>
      <c r="B174" s="68"/>
      <c r="C174" s="68"/>
      <c r="D174" s="68"/>
    </row>
    <row r="175" spans="1:4" ht="15.75">
      <c r="A175" s="51"/>
      <c r="B175" s="229"/>
      <c r="C175" s="229"/>
      <c r="D175" s="229"/>
    </row>
    <row r="176" spans="1:4" ht="15.75">
      <c r="A176" s="51"/>
      <c r="B176" s="229"/>
      <c r="C176" s="229"/>
      <c r="D176" s="229"/>
    </row>
    <row r="177" spans="1:4" ht="15.75">
      <c r="A177" s="224" t="s">
        <v>44</v>
      </c>
      <c r="B177" s="241">
        <f>SUM(B175:B176)</f>
        <v>0</v>
      </c>
      <c r="C177" s="241">
        <f>SUM(C175:C176)</f>
        <v>0</v>
      </c>
      <c r="D177" s="241">
        <f>SUM(D175:D176)</f>
        <v>0</v>
      </c>
    </row>
    <row r="178" spans="1:4" ht="15.75">
      <c r="A178" s="224"/>
      <c r="B178" s="68"/>
      <c r="C178" s="68"/>
      <c r="D178" s="68"/>
    </row>
    <row r="179" spans="1:4" ht="15.75">
      <c r="A179" s="224" t="s">
        <v>204</v>
      </c>
      <c r="B179" s="235">
        <f>B136+B139+B143+B147+B151+B154+B157+B160+B167+B170+B173+B177</f>
        <v>144839</v>
      </c>
      <c r="C179" s="235">
        <f>C136+C139+C143+C147+C151+C154+C157+C160+C167+C170+C173+C177</f>
        <v>184952</v>
      </c>
      <c r="D179" s="235">
        <f>D136+D139+D143+D147+D151+D154+D157+D160+D167+D170+D173+D177</f>
        <v>188972</v>
      </c>
    </row>
    <row r="180" spans="1:4" ht="15.75">
      <c r="A180" s="224"/>
      <c r="B180" s="68"/>
      <c r="C180" s="68"/>
      <c r="D180" s="68"/>
    </row>
    <row r="181" spans="1:4" ht="15.75">
      <c r="A181" s="224" t="s">
        <v>205</v>
      </c>
      <c r="B181" s="241">
        <f>B69</f>
        <v>1835123</v>
      </c>
      <c r="C181" s="241">
        <f>C69</f>
        <v>1764570</v>
      </c>
      <c r="D181" s="241">
        <f>D69</f>
        <v>2096816</v>
      </c>
    </row>
    <row r="182" spans="1:4" ht="15.75">
      <c r="A182" s="28"/>
      <c r="B182" s="68"/>
      <c r="C182" s="68"/>
      <c r="D182" s="68"/>
    </row>
    <row r="183" spans="1:4" ht="15.75">
      <c r="A183" s="224" t="s">
        <v>206</v>
      </c>
      <c r="B183" s="241">
        <f>B125</f>
        <v>404571</v>
      </c>
      <c r="C183" s="241">
        <f>C125</f>
        <v>432888</v>
      </c>
      <c r="D183" s="241">
        <f>D125</f>
        <v>496860</v>
      </c>
    </row>
    <row r="184" spans="1:4" ht="15.75">
      <c r="A184" s="28"/>
      <c r="B184" s="68"/>
      <c r="C184" s="68"/>
      <c r="D184" s="68"/>
    </row>
    <row r="185" spans="1:4" ht="16.5" thickBot="1">
      <c r="A185" s="185" t="s">
        <v>23</v>
      </c>
      <c r="B185" s="251">
        <f>SUM(B179:B184)</f>
        <v>2384533</v>
      </c>
      <c r="C185" s="251">
        <f>SUM(C179:C184)</f>
        <v>2382410</v>
      </c>
      <c r="D185" s="251">
        <f>SUM(D179:D184)</f>
        <v>2782648</v>
      </c>
    </row>
    <row r="186" spans="1:4" ht="16.5" thickTop="1">
      <c r="A186" s="252" t="s">
        <v>24</v>
      </c>
      <c r="B186" s="253"/>
      <c r="C186" s="253"/>
      <c r="D186" s="253"/>
    </row>
    <row r="187" spans="1:4" ht="15.75">
      <c r="A187" s="631" t="s">
        <v>197</v>
      </c>
      <c r="B187" s="631"/>
      <c r="C187" s="631"/>
      <c r="D187" s="631"/>
    </row>
    <row r="188" spans="2:4" ht="15.75">
      <c r="B188" s="254"/>
      <c r="C188" s="254"/>
      <c r="D188" s="254"/>
    </row>
    <row r="189" spans="2:4" ht="15.75">
      <c r="B189" s="254"/>
      <c r="C189" s="254"/>
      <c r="D189" s="254"/>
    </row>
    <row r="190" spans="2:4" ht="15.75">
      <c r="B190" s="254"/>
      <c r="C190" s="254"/>
      <c r="D190" s="254"/>
    </row>
    <row r="191" spans="2:4" ht="15.75">
      <c r="B191" s="254"/>
      <c r="C191" s="254"/>
      <c r="D191" s="254"/>
    </row>
    <row r="192" spans="2:4" ht="15.75">
      <c r="B192" s="254"/>
      <c r="C192" s="254"/>
      <c r="D192" s="254"/>
    </row>
    <row r="193" spans="2:4" ht="15.75">
      <c r="B193" s="254"/>
      <c r="C193" s="254"/>
      <c r="D193" s="254"/>
    </row>
    <row r="194" spans="2:4" ht="15.75">
      <c r="B194" s="254"/>
      <c r="C194" s="254"/>
      <c r="D194" s="254"/>
    </row>
    <row r="195" spans="2:4" ht="15.75">
      <c r="B195" s="254"/>
      <c r="C195" s="254"/>
      <c r="D195" s="254"/>
    </row>
    <row r="196" spans="2:4" ht="15.75">
      <c r="B196" s="254"/>
      <c r="C196" s="254"/>
      <c r="D196" s="254"/>
    </row>
    <row r="197" spans="2:4" ht="15.75">
      <c r="B197" s="254"/>
      <c r="C197" s="254"/>
      <c r="D197" s="254"/>
    </row>
    <row r="198" spans="2:4" ht="15.75">
      <c r="B198" s="254"/>
      <c r="C198" s="254"/>
      <c r="D198" s="254"/>
    </row>
    <row r="199" spans="2:4" ht="15.75">
      <c r="B199" s="254"/>
      <c r="C199" s="254"/>
      <c r="D199" s="254"/>
    </row>
    <row r="200" spans="2:4" ht="15.75">
      <c r="B200" s="254"/>
      <c r="C200" s="254"/>
      <c r="D200" s="254"/>
    </row>
    <row r="201" spans="2:4" ht="15.75">
      <c r="B201" s="254"/>
      <c r="C201" s="254"/>
      <c r="D201" s="254"/>
    </row>
    <row r="202" spans="2:4" ht="15.75">
      <c r="B202" s="254"/>
      <c r="C202" s="254"/>
      <c r="D202" s="254"/>
    </row>
    <row r="203" spans="2:4" ht="15.75">
      <c r="B203" s="254"/>
      <c r="C203" s="254"/>
      <c r="D203" s="254"/>
    </row>
    <row r="204" spans="2:4" ht="15.75">
      <c r="B204" s="254"/>
      <c r="C204" s="254"/>
      <c r="D204" s="254"/>
    </row>
    <row r="205" spans="2:4" ht="15.75">
      <c r="B205" s="254"/>
      <c r="C205" s="254"/>
      <c r="D205" s="254"/>
    </row>
    <row r="206" spans="2:4" ht="15.75">
      <c r="B206" s="254"/>
      <c r="C206" s="254"/>
      <c r="D206" s="254"/>
    </row>
    <row r="207" spans="2:4" ht="15.75">
      <c r="B207" s="254"/>
      <c r="C207" s="254"/>
      <c r="D207" s="254"/>
    </row>
    <row r="208" spans="2:4" ht="15.75">
      <c r="B208" s="254"/>
      <c r="C208" s="254"/>
      <c r="D208" s="254"/>
    </row>
    <row r="209" spans="2:4" ht="15.75">
      <c r="B209" s="254"/>
      <c r="C209" s="254"/>
      <c r="D209" s="254"/>
    </row>
    <row r="210" spans="2:4" ht="15.75">
      <c r="B210" s="254"/>
      <c r="C210" s="254"/>
      <c r="D210" s="254"/>
    </row>
    <row r="211" spans="2:4" ht="15.75">
      <c r="B211" s="254"/>
      <c r="C211" s="254"/>
      <c r="D211" s="254"/>
    </row>
    <row r="212" spans="2:4" ht="15.75">
      <c r="B212" s="254"/>
      <c r="C212" s="254"/>
      <c r="D212" s="254"/>
    </row>
    <row r="213" spans="2:4" ht="15.75">
      <c r="B213" s="254"/>
      <c r="C213" s="254"/>
      <c r="D213" s="254"/>
    </row>
    <row r="214" spans="2:4" ht="15.75">
      <c r="B214" s="254"/>
      <c r="C214" s="254"/>
      <c r="D214" s="254"/>
    </row>
    <row r="215" spans="2:4" ht="15.75">
      <c r="B215" s="254"/>
      <c r="C215" s="254"/>
      <c r="D215" s="254"/>
    </row>
    <row r="216" spans="2:4" ht="15.75">
      <c r="B216" s="254"/>
      <c r="C216" s="254"/>
      <c r="D216" s="254"/>
    </row>
    <row r="217" spans="2:4" ht="15.75">
      <c r="B217" s="254"/>
      <c r="C217" s="254"/>
      <c r="D217" s="254"/>
    </row>
    <row r="218" spans="2:4" ht="15.75">
      <c r="B218" s="254"/>
      <c r="C218" s="254"/>
      <c r="D218" s="254"/>
    </row>
    <row r="219" spans="2:4" ht="15.75">
      <c r="B219" s="254"/>
      <c r="C219" s="254"/>
      <c r="D219" s="254"/>
    </row>
    <row r="220" spans="2:4" ht="15.75">
      <c r="B220" s="254"/>
      <c r="C220" s="254"/>
      <c r="D220" s="254"/>
    </row>
    <row r="221" spans="2:4" ht="15.75">
      <c r="B221" s="254"/>
      <c r="C221" s="254"/>
      <c r="D221" s="254"/>
    </row>
    <row r="222" spans="2:4" ht="15.75">
      <c r="B222" s="254"/>
      <c r="C222" s="254"/>
      <c r="D222" s="254"/>
    </row>
    <row r="223" spans="2:4" ht="15.75">
      <c r="B223" s="254"/>
      <c r="C223" s="254"/>
      <c r="D223" s="254"/>
    </row>
    <row r="224" spans="2:4" ht="15.75">
      <c r="B224" s="254"/>
      <c r="C224" s="254"/>
      <c r="D224" s="254"/>
    </row>
    <row r="225" spans="2:4" ht="15.75">
      <c r="B225" s="254"/>
      <c r="C225" s="254"/>
      <c r="D225" s="254"/>
    </row>
    <row r="226" spans="2:4" ht="15.75">
      <c r="B226" s="254"/>
      <c r="C226" s="254"/>
      <c r="D226" s="254"/>
    </row>
    <row r="227" spans="2:4" ht="15.75">
      <c r="B227" s="254"/>
      <c r="C227" s="254"/>
      <c r="D227" s="254"/>
    </row>
    <row r="228" spans="2:4" ht="15.75">
      <c r="B228" s="254"/>
      <c r="C228" s="254"/>
      <c r="D228" s="254"/>
    </row>
    <row r="229" spans="2:4" ht="15.75">
      <c r="B229" s="254"/>
      <c r="C229" s="254"/>
      <c r="D229" s="254"/>
    </row>
    <row r="230" spans="2:4" ht="15.75">
      <c r="B230" s="254"/>
      <c r="C230" s="254"/>
      <c r="D230" s="254"/>
    </row>
    <row r="231" spans="2:4" ht="15.75">
      <c r="B231" s="254"/>
      <c r="C231" s="254"/>
      <c r="D231" s="254"/>
    </row>
    <row r="232" spans="2:4" ht="15.75">
      <c r="B232" s="254"/>
      <c r="C232" s="254"/>
      <c r="D232" s="254"/>
    </row>
    <row r="233" spans="2:4" ht="15.75">
      <c r="B233" s="254"/>
      <c r="C233" s="254"/>
      <c r="D233" s="254"/>
    </row>
    <row r="234" spans="2:4" ht="15.75">
      <c r="B234" s="254"/>
      <c r="C234" s="254"/>
      <c r="D234" s="254"/>
    </row>
    <row r="235" spans="2:4" ht="15.75">
      <c r="B235" s="254"/>
      <c r="C235" s="254"/>
      <c r="D235" s="254"/>
    </row>
    <row r="236" spans="2:4" ht="15.75">
      <c r="B236" s="254"/>
      <c r="C236" s="254"/>
      <c r="D236" s="254"/>
    </row>
    <row r="237" spans="2:4" ht="15.75">
      <c r="B237" s="254"/>
      <c r="C237" s="254"/>
      <c r="D237" s="254"/>
    </row>
    <row r="238" spans="2:4" ht="15.75">
      <c r="B238" s="254"/>
      <c r="C238" s="254"/>
      <c r="D238" s="254"/>
    </row>
    <row r="239" spans="2:4" ht="15.75">
      <c r="B239" s="254"/>
      <c r="C239" s="254"/>
      <c r="D239" s="254"/>
    </row>
    <row r="240" spans="2:4" ht="15.75">
      <c r="B240" s="254"/>
      <c r="C240" s="254"/>
      <c r="D240" s="254"/>
    </row>
    <row r="241" spans="2:4" ht="15.75">
      <c r="B241" s="254"/>
      <c r="C241" s="254"/>
      <c r="D241" s="254"/>
    </row>
    <row r="242" spans="2:4" ht="15.75">
      <c r="B242" s="254"/>
      <c r="C242" s="254"/>
      <c r="D242" s="254"/>
    </row>
    <row r="243" spans="2:4" ht="15.75">
      <c r="B243" s="254"/>
      <c r="C243" s="254"/>
      <c r="D243" s="254"/>
    </row>
    <row r="244" spans="2:4" ht="15.75">
      <c r="B244" s="254"/>
      <c r="C244" s="254"/>
      <c r="D244" s="254"/>
    </row>
    <row r="245" spans="2:4" ht="15.75">
      <c r="B245" s="254"/>
      <c r="C245" s="254"/>
      <c r="D245" s="254"/>
    </row>
    <row r="246" spans="2:4" ht="15.75">
      <c r="B246" s="254"/>
      <c r="C246" s="254"/>
      <c r="D246" s="254"/>
    </row>
    <row r="247" spans="2:4" ht="15.75">
      <c r="B247" s="254"/>
      <c r="C247" s="254"/>
      <c r="D247" s="254"/>
    </row>
    <row r="248" spans="2:4" ht="15.75">
      <c r="B248" s="254"/>
      <c r="C248" s="254"/>
      <c r="D248" s="254"/>
    </row>
    <row r="249" spans="2:4" ht="15.75">
      <c r="B249" s="254"/>
      <c r="C249" s="254"/>
      <c r="D249" s="254"/>
    </row>
    <row r="250" spans="2:4" ht="15.75">
      <c r="B250" s="254"/>
      <c r="C250" s="254"/>
      <c r="D250" s="254"/>
    </row>
    <row r="251" spans="2:4" ht="15.75">
      <c r="B251" s="254"/>
      <c r="C251" s="254"/>
      <c r="D251" s="254"/>
    </row>
    <row r="252" spans="2:4" ht="15.75">
      <c r="B252" s="254"/>
      <c r="C252" s="254"/>
      <c r="D252" s="254"/>
    </row>
    <row r="253" spans="2:4" ht="15.75">
      <c r="B253" s="254"/>
      <c r="C253" s="254"/>
      <c r="D253" s="254"/>
    </row>
    <row r="254" spans="2:4" ht="15.75">
      <c r="B254" s="254"/>
      <c r="C254" s="254"/>
      <c r="D254" s="254"/>
    </row>
    <row r="255" spans="2:4" ht="15.75">
      <c r="B255" s="254"/>
      <c r="C255" s="254"/>
      <c r="D255" s="254"/>
    </row>
    <row r="256" spans="2:4" ht="15.75">
      <c r="B256" s="254"/>
      <c r="C256" s="254"/>
      <c r="D256" s="254"/>
    </row>
    <row r="257" spans="2:4" ht="15.75">
      <c r="B257" s="254"/>
      <c r="C257" s="254"/>
      <c r="D257" s="254"/>
    </row>
    <row r="258" spans="2:4" ht="15.75">
      <c r="B258" s="254"/>
      <c r="C258" s="254"/>
      <c r="D258" s="254"/>
    </row>
    <row r="259" spans="2:4" ht="15.75">
      <c r="B259" s="254"/>
      <c r="C259" s="254"/>
      <c r="D259" s="254"/>
    </row>
    <row r="260" spans="2:4" ht="15.75">
      <c r="B260" s="254"/>
      <c r="C260" s="254"/>
      <c r="D260" s="254"/>
    </row>
    <row r="261" spans="2:4" ht="15.75">
      <c r="B261" s="254"/>
      <c r="C261" s="254"/>
      <c r="D261" s="254"/>
    </row>
    <row r="262" spans="2:4" ht="15.75">
      <c r="B262" s="254"/>
      <c r="C262" s="254"/>
      <c r="D262" s="254"/>
    </row>
    <row r="263" spans="2:4" ht="15.75">
      <c r="B263" s="254"/>
      <c r="C263" s="254"/>
      <c r="D263" s="254"/>
    </row>
    <row r="264" spans="2:4" ht="15.75">
      <c r="B264" s="254"/>
      <c r="C264" s="254"/>
      <c r="D264" s="254"/>
    </row>
    <row r="265" spans="2:4" ht="15.75">
      <c r="B265" s="254"/>
      <c r="C265" s="254"/>
      <c r="D265" s="254"/>
    </row>
    <row r="266" spans="2:4" ht="15.75">
      <c r="B266" s="254"/>
      <c r="C266" s="254"/>
      <c r="D266" s="254"/>
    </row>
    <row r="267" spans="2:4" ht="15.75">
      <c r="B267" s="254"/>
      <c r="C267" s="254"/>
      <c r="D267" s="254"/>
    </row>
    <row r="268" spans="2:4" ht="15.75">
      <c r="B268" s="254"/>
      <c r="C268" s="254"/>
      <c r="D268" s="254"/>
    </row>
    <row r="269" spans="2:4" ht="15.75">
      <c r="B269" s="254"/>
      <c r="C269" s="254"/>
      <c r="D269" s="254"/>
    </row>
    <row r="270" spans="2:4" ht="15.75">
      <c r="B270" s="254"/>
      <c r="C270" s="254"/>
      <c r="D270" s="254"/>
    </row>
    <row r="271" spans="2:4" ht="15.75">
      <c r="B271" s="254"/>
      <c r="C271" s="254"/>
      <c r="D271" s="254"/>
    </row>
    <row r="272" spans="2:4" ht="15.75">
      <c r="B272" s="254"/>
      <c r="C272" s="254"/>
      <c r="D272" s="254"/>
    </row>
    <row r="273" spans="2:4" ht="15.75">
      <c r="B273" s="254"/>
      <c r="C273" s="254"/>
      <c r="D273" s="254"/>
    </row>
    <row r="274" spans="2:4" ht="15.75">
      <c r="B274" s="254"/>
      <c r="C274" s="254"/>
      <c r="D274" s="254"/>
    </row>
    <row r="275" spans="2:4" ht="15.75">
      <c r="B275" s="254"/>
      <c r="C275" s="254"/>
      <c r="D275" s="254"/>
    </row>
    <row r="276" spans="2:4" ht="15.75">
      <c r="B276" s="254"/>
      <c r="C276" s="254"/>
      <c r="D276" s="254"/>
    </row>
    <row r="277" spans="2:4" ht="15.75">
      <c r="B277" s="254"/>
      <c r="C277" s="254"/>
      <c r="D277" s="254"/>
    </row>
    <row r="278" spans="2:4" ht="15.75">
      <c r="B278" s="254"/>
      <c r="C278" s="254"/>
      <c r="D278" s="254"/>
    </row>
    <row r="279" spans="2:4" ht="15.75">
      <c r="B279" s="254"/>
      <c r="C279" s="254"/>
      <c r="D279" s="254"/>
    </row>
    <row r="280" spans="2:4" ht="15.75">
      <c r="B280" s="254"/>
      <c r="C280" s="254"/>
      <c r="D280" s="254"/>
    </row>
    <row r="281" spans="2:4" ht="15.75">
      <c r="B281" s="254"/>
      <c r="C281" s="254"/>
      <c r="D281" s="254"/>
    </row>
    <row r="282" spans="2:4" ht="15.75">
      <c r="B282" s="254"/>
      <c r="C282" s="254"/>
      <c r="D282" s="254"/>
    </row>
    <row r="283" spans="2:4" ht="15.75">
      <c r="B283" s="254"/>
      <c r="C283" s="254"/>
      <c r="D283" s="254"/>
    </row>
    <row r="284" spans="2:4" ht="15.75">
      <c r="B284" s="254"/>
      <c r="C284" s="254"/>
      <c r="D284" s="254"/>
    </row>
    <row r="285" spans="2:4" ht="15.75">
      <c r="B285" s="254"/>
      <c r="C285" s="254"/>
      <c r="D285" s="254"/>
    </row>
    <row r="286" spans="2:4" ht="15.75">
      <c r="B286" s="254"/>
      <c r="C286" s="254"/>
      <c r="D286" s="254"/>
    </row>
    <row r="287" spans="2:4" ht="15.75">
      <c r="B287" s="254"/>
      <c r="C287" s="254"/>
      <c r="D287" s="254"/>
    </row>
    <row r="288" spans="2:4" ht="15.75">
      <c r="B288" s="254"/>
      <c r="C288" s="254"/>
      <c r="D288" s="254"/>
    </row>
    <row r="289" spans="2:4" ht="15.75">
      <c r="B289" s="254"/>
      <c r="C289" s="254"/>
      <c r="D289" s="254"/>
    </row>
    <row r="290" spans="2:4" ht="15.75">
      <c r="B290" s="254"/>
      <c r="C290" s="254"/>
      <c r="D290" s="254"/>
    </row>
  </sheetData>
  <sheetProtection/>
  <mergeCells count="3">
    <mergeCell ref="A187:D187"/>
    <mergeCell ref="A71:D71"/>
    <mergeCell ref="A127:D127"/>
  </mergeCells>
  <printOptions/>
  <pageMargins left="1.12" right="0.5" top="0.74" bottom="0.34" header="0.5" footer="0"/>
  <pageSetup blackAndWhite="1" horizontalDpi="120" verticalDpi="120" orientation="portrait" scale="61" r:id="rId1"/>
  <headerFooter alignWithMargins="0">
    <oddHeader>&amp;RState of Kansas
County
</oddHeader>
  </headerFooter>
  <rowBreaks count="2" manualBreakCount="2">
    <brk id="71" max="255" man="1"/>
    <brk id="127" max="3" man="1"/>
  </rowBreaks>
</worksheet>
</file>

<file path=xl/worksheets/sheet13.xml><?xml version="1.0" encoding="utf-8"?>
<worksheet xmlns="http://schemas.openxmlformats.org/spreadsheetml/2006/main" xmlns:r="http://schemas.openxmlformats.org/officeDocument/2006/relationships">
  <sheetPr>
    <pageSetUpPr fitToPage="1"/>
  </sheetPr>
  <dimension ref="B1:K71"/>
  <sheetViews>
    <sheetView view="pageBreakPreview" zoomScale="98" zoomScaleSheetLayoutView="98" zoomScalePageLayoutView="0" workbookViewId="0" topLeftCell="A1">
      <selection activeCell="E58" sqref="E58"/>
    </sheetView>
  </sheetViews>
  <sheetFormatPr defaultColWidth="8.8984375" defaultRowHeight="15"/>
  <cols>
    <col min="1" max="1" width="2.3984375" style="84" customWidth="1"/>
    <col min="2" max="2" width="31.09765625" style="84" customWidth="1"/>
    <col min="3" max="4" width="16.19921875" style="84" customWidth="1"/>
    <col min="5" max="5" width="16.296875" style="84" customWidth="1"/>
    <col min="6" max="6" width="7.3984375" style="84" customWidth="1"/>
    <col min="7" max="7" width="10.19921875" style="84" customWidth="1"/>
    <col min="8" max="8" width="8.8984375" style="84" customWidth="1"/>
    <col min="9" max="9" width="5" style="84" customWidth="1"/>
    <col min="10" max="10" width="10" style="84" customWidth="1"/>
    <col min="11" max="16384" width="8.8984375" style="84" customWidth="1"/>
  </cols>
  <sheetData>
    <row r="1" spans="2:5" ht="15.75">
      <c r="B1" s="155" t="str">
        <f>inputPrYr!C2</f>
        <v>CLOUD COUNTY</v>
      </c>
      <c r="C1" s="28"/>
      <c r="D1" s="28"/>
      <c r="E1" s="177">
        <f>inputPrYr!$C$4</f>
        <v>2015</v>
      </c>
    </row>
    <row r="2" spans="2:5" ht="15.75">
      <c r="B2" s="28"/>
      <c r="C2" s="28"/>
      <c r="D2" s="28"/>
      <c r="E2" s="162"/>
    </row>
    <row r="3" spans="2:5" ht="15.75">
      <c r="B3" s="93" t="s">
        <v>151</v>
      </c>
      <c r="C3" s="255"/>
      <c r="D3" s="255"/>
      <c r="E3" s="256"/>
    </row>
    <row r="4" spans="2:5" ht="15.75">
      <c r="B4" s="28"/>
      <c r="C4" s="249"/>
      <c r="D4" s="249"/>
      <c r="E4" s="249"/>
    </row>
    <row r="5" spans="2:5" ht="15.75">
      <c r="B5" s="27" t="s">
        <v>71</v>
      </c>
      <c r="C5" s="470" t="s">
        <v>290</v>
      </c>
      <c r="D5" s="471" t="s">
        <v>291</v>
      </c>
      <c r="E5" s="151" t="s">
        <v>292</v>
      </c>
    </row>
    <row r="6" spans="2:5" ht="15.75">
      <c r="B6" s="356" t="str">
        <f>inputPrYr!B17</f>
        <v>Debt Service</v>
      </c>
      <c r="C6" s="331" t="str">
        <f>CONCATENATE("Actual for ",E1-2,"")</f>
        <v>Actual for 2013</v>
      </c>
      <c r="D6" s="331" t="str">
        <f>CONCATENATE("Estimate for ",E1-1,"")</f>
        <v>Estimate for 2014</v>
      </c>
      <c r="E6" s="225" t="str">
        <f>CONCATENATE("Year for ",E1,"")</f>
        <v>Year for 2015</v>
      </c>
    </row>
    <row r="7" spans="2:5" ht="15.75">
      <c r="B7" s="89" t="s">
        <v>184</v>
      </c>
      <c r="C7" s="335"/>
      <c r="D7" s="337">
        <f>C51</f>
        <v>0</v>
      </c>
      <c r="E7" s="257">
        <f>D51</f>
        <v>0</v>
      </c>
    </row>
    <row r="8" spans="2:5" ht="15.75">
      <c r="B8" s="258" t="s">
        <v>186</v>
      </c>
      <c r="C8" s="336"/>
      <c r="D8" s="337"/>
      <c r="E8" s="257"/>
    </row>
    <row r="9" spans="2:5" ht="15.75">
      <c r="B9" s="89" t="s">
        <v>72</v>
      </c>
      <c r="C9" s="328"/>
      <c r="D9" s="334">
        <f>IF(inputPrYr!H17&gt;0,inputPrYr!H17,inputPrYr!E17)</f>
        <v>0</v>
      </c>
      <c r="E9" s="259" t="s">
        <v>59</v>
      </c>
    </row>
    <row r="10" spans="2:5" ht="15.75">
      <c r="B10" s="89" t="s">
        <v>73</v>
      </c>
      <c r="C10" s="328"/>
      <c r="D10" s="328"/>
      <c r="E10" s="260"/>
    </row>
    <row r="11" spans="2:5" ht="15.75">
      <c r="B11" s="89" t="s">
        <v>74</v>
      </c>
      <c r="C11" s="328"/>
      <c r="D11" s="328"/>
      <c r="E11" s="261" t="str">
        <f>mvalloc!E8</f>
        <v> </v>
      </c>
    </row>
    <row r="12" spans="2:5" ht="15.75">
      <c r="B12" s="89" t="s">
        <v>75</v>
      </c>
      <c r="C12" s="328"/>
      <c r="D12" s="328"/>
      <c r="E12" s="261" t="str">
        <f>mvalloc!F8</f>
        <v> </v>
      </c>
    </row>
    <row r="13" spans="2:5" ht="15.75">
      <c r="B13" s="262" t="s">
        <v>175</v>
      </c>
      <c r="C13" s="328"/>
      <c r="D13" s="328"/>
      <c r="E13" s="261" t="str">
        <f>mvalloc!G8</f>
        <v> </v>
      </c>
    </row>
    <row r="14" spans="2:5" ht="15.75">
      <c r="B14" s="263"/>
      <c r="C14" s="328"/>
      <c r="D14" s="328"/>
      <c r="E14" s="264"/>
    </row>
    <row r="15" spans="2:5" ht="15.75">
      <c r="B15" s="263"/>
      <c r="C15" s="328"/>
      <c r="D15" s="328"/>
      <c r="E15" s="260"/>
    </row>
    <row r="16" spans="2:5" ht="15.75">
      <c r="B16" s="263"/>
      <c r="C16" s="328"/>
      <c r="D16" s="328"/>
      <c r="E16" s="260"/>
    </row>
    <row r="17" spans="2:5" ht="15.75">
      <c r="B17" s="263"/>
      <c r="C17" s="328"/>
      <c r="D17" s="328"/>
      <c r="E17" s="260"/>
    </row>
    <row r="18" spans="2:5" ht="15.75">
      <c r="B18" s="263"/>
      <c r="C18" s="328"/>
      <c r="D18" s="328"/>
      <c r="E18" s="260"/>
    </row>
    <row r="19" spans="2:5" ht="15.75">
      <c r="B19" s="263"/>
      <c r="C19" s="328"/>
      <c r="D19" s="328"/>
      <c r="E19" s="260"/>
    </row>
    <row r="20" spans="2:5" ht="15.75">
      <c r="B20" s="263"/>
      <c r="C20" s="328"/>
      <c r="D20" s="328"/>
      <c r="E20" s="260"/>
    </row>
    <row r="21" spans="2:5" ht="15.75">
      <c r="B21" s="263"/>
      <c r="C21" s="328"/>
      <c r="D21" s="328"/>
      <c r="E21" s="260"/>
    </row>
    <row r="22" spans="2:5" ht="15.75">
      <c r="B22" s="263" t="s">
        <v>215</v>
      </c>
      <c r="C22" s="328"/>
      <c r="D22" s="328"/>
      <c r="E22" s="260"/>
    </row>
    <row r="23" spans="2:5" ht="15.75">
      <c r="B23" s="265" t="s">
        <v>79</v>
      </c>
      <c r="C23" s="328"/>
      <c r="D23" s="328"/>
      <c r="E23" s="260"/>
    </row>
    <row r="24" spans="2:5" ht="15.75">
      <c r="B24" s="232" t="s">
        <v>34</v>
      </c>
      <c r="C24" s="328"/>
      <c r="D24" s="328"/>
      <c r="E24" s="260"/>
    </row>
    <row r="25" spans="2:5" ht="15.75">
      <c r="B25" s="232" t="s">
        <v>35</v>
      </c>
      <c r="C25" s="329">
        <f>IF(C26*0.1&lt;C24,"Exceed 10% Rule","")</f>
      </c>
      <c r="D25" s="329">
        <f>IF(D26*0.1&lt;D24,"Exceed 10% Rule","")</f>
      </c>
      <c r="E25" s="266">
        <f>IF(E26*0.1+E57&lt;E24,"Exceed 10% Rule","")</f>
      </c>
    </row>
    <row r="26" spans="2:5" ht="15.75">
      <c r="B26" s="234" t="s">
        <v>80</v>
      </c>
      <c r="C26" s="338">
        <f>SUM(C9:C24)</f>
        <v>0</v>
      </c>
      <c r="D26" s="339">
        <f>SUM(D9:D24)</f>
        <v>0</v>
      </c>
      <c r="E26" s="267">
        <f>SUM(E9:E24)</f>
        <v>0</v>
      </c>
    </row>
    <row r="27" spans="2:5" ht="15.75">
      <c r="B27" s="234" t="s">
        <v>81</v>
      </c>
      <c r="C27" s="339">
        <f>C7+C26</f>
        <v>0</v>
      </c>
      <c r="D27" s="339">
        <f>D7+D26</f>
        <v>0</v>
      </c>
      <c r="E27" s="268">
        <f>E7+E26</f>
        <v>0</v>
      </c>
    </row>
    <row r="28" spans="2:5" ht="15.75">
      <c r="B28" s="258" t="s">
        <v>84</v>
      </c>
      <c r="C28" s="336"/>
      <c r="D28" s="336"/>
      <c r="E28" s="261"/>
    </row>
    <row r="29" spans="2:5" ht="15.75">
      <c r="B29" s="240"/>
      <c r="C29" s="328"/>
      <c r="D29" s="328"/>
      <c r="E29" s="260"/>
    </row>
    <row r="30" spans="2:5" ht="15.75">
      <c r="B30" s="240" t="s">
        <v>445</v>
      </c>
      <c r="C30" s="328"/>
      <c r="D30" s="328"/>
      <c r="E30" s="260">
        <v>10000</v>
      </c>
    </row>
    <row r="31" spans="2:5" ht="15.75">
      <c r="B31" s="240"/>
      <c r="C31" s="328"/>
      <c r="D31" s="328"/>
      <c r="E31" s="260"/>
    </row>
    <row r="32" spans="2:5" ht="15.75">
      <c r="B32" s="240"/>
      <c r="C32" s="328"/>
      <c r="D32" s="328"/>
      <c r="E32" s="260"/>
    </row>
    <row r="33" spans="2:5" ht="15.75">
      <c r="B33" s="240"/>
      <c r="C33" s="328"/>
      <c r="D33" s="328"/>
      <c r="E33" s="260"/>
    </row>
    <row r="34" spans="2:5" ht="15.75">
      <c r="B34" s="240"/>
      <c r="C34" s="328"/>
      <c r="D34" s="328"/>
      <c r="E34" s="260"/>
    </row>
    <row r="35" spans="2:5" ht="15.75">
      <c r="B35" s="240"/>
      <c r="C35" s="328"/>
      <c r="D35" s="328"/>
      <c r="E35" s="260"/>
    </row>
    <row r="36" spans="2:5" ht="15.75">
      <c r="B36" s="240"/>
      <c r="C36" s="328"/>
      <c r="D36" s="328"/>
      <c r="E36" s="260"/>
    </row>
    <row r="37" spans="2:5" ht="15.75">
      <c r="B37" s="240"/>
      <c r="C37" s="328"/>
      <c r="D37" s="328"/>
      <c r="E37" s="260"/>
    </row>
    <row r="38" spans="2:5" ht="15.75">
      <c r="B38" s="240"/>
      <c r="C38" s="328"/>
      <c r="D38" s="328"/>
      <c r="E38" s="260"/>
    </row>
    <row r="39" spans="2:5" ht="15.75">
      <c r="B39" s="240"/>
      <c r="C39" s="328"/>
      <c r="D39" s="328"/>
      <c r="E39" s="260"/>
    </row>
    <row r="40" spans="2:5" ht="15.75">
      <c r="B40" s="240"/>
      <c r="C40" s="328"/>
      <c r="D40" s="328"/>
      <c r="E40" s="260"/>
    </row>
    <row r="41" spans="2:5" ht="15.75">
      <c r="B41" s="240"/>
      <c r="C41" s="328"/>
      <c r="D41" s="328"/>
      <c r="E41" s="260"/>
    </row>
    <row r="42" spans="2:10" ht="16.5">
      <c r="B42" s="240"/>
      <c r="C42" s="328"/>
      <c r="D42" s="328"/>
      <c r="E42" s="260"/>
      <c r="G42" s="626" t="str">
        <f>CONCATENATE("Desired Carryover Into ",E1+1,"")</f>
        <v>Desired Carryover Into 2016</v>
      </c>
      <c r="H42" s="627"/>
      <c r="I42" s="627"/>
      <c r="J42" s="598"/>
    </row>
    <row r="43" spans="2:10" ht="15.75">
      <c r="B43" s="240"/>
      <c r="C43" s="328"/>
      <c r="D43" s="328"/>
      <c r="E43" s="260"/>
      <c r="G43" s="418"/>
      <c r="H43" s="419"/>
      <c r="I43" s="420"/>
      <c r="J43" s="421"/>
    </row>
    <row r="44" spans="2:10" ht="15.75">
      <c r="B44" s="240"/>
      <c r="C44" s="328"/>
      <c r="D44" s="328"/>
      <c r="E44" s="260"/>
      <c r="G44" s="422" t="s">
        <v>261</v>
      </c>
      <c r="H44" s="420"/>
      <c r="I44" s="420"/>
      <c r="J44" s="423">
        <v>0</v>
      </c>
    </row>
    <row r="45" spans="2:10" ht="15.75">
      <c r="B45" s="240"/>
      <c r="C45" s="328"/>
      <c r="D45" s="328"/>
      <c r="E45" s="260"/>
      <c r="G45" s="418" t="s">
        <v>262</v>
      </c>
      <c r="H45" s="419"/>
      <c r="I45" s="419"/>
      <c r="J45" s="424">
        <f>IF(J44=0,"",ROUND((J44+E57-G57)/inputOth!E6*1000,3)-G62)</f>
      </c>
    </row>
    <row r="46" spans="2:10" ht="15.75">
      <c r="B46" s="240"/>
      <c r="C46" s="328"/>
      <c r="D46" s="328"/>
      <c r="E46" s="260"/>
      <c r="G46" s="425" t="str">
        <f>CONCATENATE("",E1," Tot Exp/Non-Appr Must Be:")</f>
        <v>2015 Tot Exp/Non-Appr Must Be:</v>
      </c>
      <c r="H46" s="426"/>
      <c r="I46" s="427"/>
      <c r="J46" s="428">
        <f>IF(J44&gt;0,IF(E54&lt;E27,IF(J44=G57,E54,((J44-G57)*(1-D56))+E27),E54+(J44-G57)),0)</f>
        <v>0</v>
      </c>
    </row>
    <row r="47" spans="2:10" ht="15.75">
      <c r="B47" s="232" t="s">
        <v>36</v>
      </c>
      <c r="C47" s="328"/>
      <c r="D47" s="328"/>
      <c r="E47" s="241"/>
      <c r="G47" s="429" t="s">
        <v>288</v>
      </c>
      <c r="H47" s="430"/>
      <c r="I47" s="430"/>
      <c r="J47" s="431">
        <f>IF(J44&gt;0,J46-E54,0)</f>
        <v>0</v>
      </c>
    </row>
    <row r="48" spans="2:5" ht="15.75">
      <c r="B48" s="232" t="s">
        <v>34</v>
      </c>
      <c r="C48" s="328"/>
      <c r="D48" s="328"/>
      <c r="E48" s="260"/>
    </row>
    <row r="49" spans="2:10" ht="16.5">
      <c r="B49" s="232" t="s">
        <v>37</v>
      </c>
      <c r="C49" s="329">
        <f>IF(C50*0.1&lt;C48,"Exceed 10% Rule","")</f>
      </c>
      <c r="D49" s="329">
        <f>IF(D50*0.1&lt;D48,"Exceed 10% Rule","")</f>
      </c>
      <c r="E49" s="266">
        <f>IF(E50*0.1&lt;E48,"Exceed 10% Rule","")</f>
      </c>
      <c r="G49" s="620" t="str">
        <f>CONCATENATE("Projected Carryover Into ",E1+1,"")</f>
        <v>Projected Carryover Into 2016</v>
      </c>
      <c r="H49" s="627"/>
      <c r="I49" s="627"/>
      <c r="J49" s="598"/>
    </row>
    <row r="50" spans="2:10" ht="15.75">
      <c r="B50" s="234" t="s">
        <v>85</v>
      </c>
      <c r="C50" s="338">
        <f>SUM(C29:C48)</f>
        <v>0</v>
      </c>
      <c r="D50" s="339">
        <f>SUM(D29:D48)</f>
        <v>0</v>
      </c>
      <c r="E50" s="267">
        <f>SUM(E29:E48)</f>
        <v>10000</v>
      </c>
      <c r="G50" s="348"/>
      <c r="H50" s="362"/>
      <c r="I50" s="362"/>
      <c r="J50" s="432"/>
    </row>
    <row r="51" spans="2:10" ht="15.75">
      <c r="B51" s="89" t="s">
        <v>185</v>
      </c>
      <c r="C51" s="340">
        <f>C27-C50</f>
        <v>0</v>
      </c>
      <c r="D51" s="340">
        <f>D27-D50</f>
        <v>0</v>
      </c>
      <c r="E51" s="259" t="s">
        <v>59</v>
      </c>
      <c r="G51" s="366">
        <f>D51</f>
        <v>0</v>
      </c>
      <c r="H51" s="364" t="str">
        <f>CONCATENATE("",E1-1," Ending Cash Balance (est.)")</f>
        <v>2014 Ending Cash Balance (est.)</v>
      </c>
      <c r="I51" s="363"/>
      <c r="J51" s="433"/>
    </row>
    <row r="52" spans="2:10" ht="15.75">
      <c r="B52" s="224" t="str">
        <f>CONCATENATE("",E1-2,"/",E1-1,"/",E1," Budget Authority Amount:")</f>
        <v>2013/2014/2015 Budget Authority Amount:</v>
      </c>
      <c r="C52" s="261">
        <f>inputOth!B33</f>
        <v>0</v>
      </c>
      <c r="D52" s="261">
        <f>inputPrYr!D17</f>
        <v>0</v>
      </c>
      <c r="E52" s="188">
        <f>E50</f>
        <v>10000</v>
      </c>
      <c r="F52" s="269"/>
      <c r="G52" s="366">
        <f>E26</f>
        <v>0</v>
      </c>
      <c r="H52" s="362" t="str">
        <f>CONCATENATE("",E1," Non-AV Receipts (est.)")</f>
        <v>2015 Non-AV Receipts (est.)</v>
      </c>
      <c r="I52" s="362"/>
      <c r="J52" s="432"/>
    </row>
    <row r="53" spans="2:11" ht="16.5">
      <c r="B53" s="210"/>
      <c r="C53" s="616" t="s">
        <v>258</v>
      </c>
      <c r="D53" s="617"/>
      <c r="E53" s="53"/>
      <c r="F53" s="346">
        <f>IF(E50/0.95-E50&lt;E53,"Exceeds 5%","")</f>
      </c>
      <c r="G53" s="361">
        <f>IF(E56&gt;0,E55,E57)</f>
        <v>10000</v>
      </c>
      <c r="H53" s="362" t="str">
        <f>CONCATENATE("",E1," Ad Valorem Tax (est.)")</f>
        <v>2015 Ad Valorem Tax (est.)</v>
      </c>
      <c r="I53" s="362"/>
      <c r="J53" s="432"/>
      <c r="K53" s="434" t="str">
        <f>IF(G53=E57,"","Note: Does not include Delinquent Taxes")</f>
        <v>Note: Does not include Delinquent Taxes</v>
      </c>
    </row>
    <row r="54" spans="2:10" ht="15.75">
      <c r="B54" s="369" t="str">
        <f>CONCATENATE(C70,"     ",D70)</f>
        <v>     </v>
      </c>
      <c r="C54" s="618" t="s">
        <v>259</v>
      </c>
      <c r="D54" s="619"/>
      <c r="E54" s="188">
        <f>E50+E53</f>
        <v>10000</v>
      </c>
      <c r="G54" s="366">
        <f>SUM(G51:G53)</f>
        <v>10000</v>
      </c>
      <c r="H54" s="362" t="str">
        <f>CONCATENATE("Total ",E1," Resources Available")</f>
        <v>Total 2015 Resources Available</v>
      </c>
      <c r="I54" s="363"/>
      <c r="J54" s="433"/>
    </row>
    <row r="55" spans="2:10" ht="15.75">
      <c r="B55" s="369" t="str">
        <f>CONCATENATE(C71,"     ",D71)</f>
        <v>     </v>
      </c>
      <c r="C55" s="243"/>
      <c r="D55" s="162" t="s">
        <v>86</v>
      </c>
      <c r="E55" s="61">
        <f>IF(E54-E27&gt;0,E54-E27,0)</f>
        <v>10000</v>
      </c>
      <c r="G55" s="360"/>
      <c r="H55" s="362"/>
      <c r="I55" s="362"/>
      <c r="J55" s="432"/>
    </row>
    <row r="56" spans="2:10" ht="15.75">
      <c r="B56" s="162"/>
      <c r="C56" s="367" t="s">
        <v>260</v>
      </c>
      <c r="D56" s="417">
        <f>inputOth!$E$23</f>
        <v>0.05</v>
      </c>
      <c r="E56" s="188">
        <f>ROUND(IF(D56&gt;0,(E55*D56),0),0)</f>
        <v>500</v>
      </c>
      <c r="G56" s="361">
        <f>C50</f>
        <v>0</v>
      </c>
      <c r="H56" s="362" t="str">
        <f>CONCATENATE("Less ",E1-2," Expenditures")</f>
        <v>Less 2013 Expenditures</v>
      </c>
      <c r="I56" s="362"/>
      <c r="J56" s="432"/>
    </row>
    <row r="57" spans="2:10" ht="16.5">
      <c r="B57" s="28"/>
      <c r="C57" s="624" t="str">
        <f>CONCATENATE("Amount of  ",$E$1-1," Ad Valorem Tax")</f>
        <v>Amount of  2014 Ad Valorem Tax</v>
      </c>
      <c r="D57" s="625"/>
      <c r="E57" s="270">
        <f>E55+E56</f>
        <v>10500</v>
      </c>
      <c r="G57" s="467">
        <f>G54-G56</f>
        <v>10000</v>
      </c>
      <c r="H57" s="347" t="str">
        <f>CONCATENATE("Projected ",E1+1," carryover (est.)")</f>
        <v>Projected 2016 carryover (est.)</v>
      </c>
      <c r="I57" s="350"/>
      <c r="J57" s="435"/>
    </row>
    <row r="58" spans="2:5" ht="15.75">
      <c r="B58" s="162"/>
      <c r="C58" s="28"/>
      <c r="D58" s="28"/>
      <c r="E58" s="28"/>
    </row>
    <row r="59" spans="2:10" ht="16.5">
      <c r="B59" s="210" t="s">
        <v>106</v>
      </c>
      <c r="C59" s="271">
        <v>8</v>
      </c>
      <c r="D59" s="28"/>
      <c r="E59" s="28"/>
      <c r="G59" s="628" t="s">
        <v>289</v>
      </c>
      <c r="H59" s="629"/>
      <c r="I59" s="629"/>
      <c r="J59" s="630"/>
    </row>
    <row r="60" spans="7:10" ht="16.5">
      <c r="G60" s="436"/>
      <c r="H60" s="437"/>
      <c r="I60" s="438"/>
      <c r="J60" s="439"/>
    </row>
    <row r="61" spans="7:10" ht="16.5">
      <c r="G61" s="440">
        <f>summ!H17</f>
        <v>0.124</v>
      </c>
      <c r="H61" s="437" t="str">
        <f>CONCATENATE("",E1," Fund Mill Rate")</f>
        <v>2015 Fund Mill Rate</v>
      </c>
      <c r="I61" s="438"/>
      <c r="J61" s="439"/>
    </row>
    <row r="62" spans="7:10" ht="16.5">
      <c r="G62" s="441" t="str">
        <f>summ!E17</f>
        <v>  </v>
      </c>
      <c r="H62" s="437" t="str">
        <f>CONCATENATE("",E1-1," Fund Mill Rate")</f>
        <v>2014 Fund Mill Rate</v>
      </c>
      <c r="I62" s="438"/>
      <c r="J62" s="439"/>
    </row>
    <row r="63" spans="7:10" ht="16.5">
      <c r="G63" s="442">
        <f>summ!H48</f>
        <v>67.327</v>
      </c>
      <c r="H63" s="437" t="str">
        <f>CONCATENATE("Total ",E1," Mill Rate")</f>
        <v>Total 2015 Mill Rate</v>
      </c>
      <c r="I63" s="438"/>
      <c r="J63" s="439"/>
    </row>
    <row r="64" spans="7:10" ht="16.5">
      <c r="G64" s="441">
        <f>summ!E48</f>
        <v>66.53</v>
      </c>
      <c r="H64" s="443" t="str">
        <f>CONCATENATE("Total ",E1-1," Mill Rate")</f>
        <v>Total 2014 Mill Rate</v>
      </c>
      <c r="I64" s="444"/>
      <c r="J64" s="445"/>
    </row>
    <row r="66" spans="7:9" ht="15.75">
      <c r="G66" s="520" t="s">
        <v>307</v>
      </c>
      <c r="H66" s="488"/>
      <c r="I66" s="487" t="str">
        <f>cert!E57</f>
        <v>No</v>
      </c>
    </row>
    <row r="70" spans="3:4" ht="15.75" hidden="1">
      <c r="C70" s="84">
        <f>IF(C50&gt;C52,"SeeTab A","")</f>
      </c>
      <c r="D70" s="84">
        <f>IF(D50&gt;D52,"See Tab C","")</f>
      </c>
    </row>
    <row r="71" spans="3:4" ht="15.75" hidden="1">
      <c r="C71" s="84">
        <f>IF(C51&lt;0,"See Tab B","")</f>
      </c>
      <c r="D71" s="84">
        <f>IF(D51&lt;0,"See Tab D","")</f>
      </c>
    </row>
  </sheetData>
  <sheetProtection/>
  <mergeCells count="6">
    <mergeCell ref="G59:J59"/>
    <mergeCell ref="C53:D53"/>
    <mergeCell ref="C54:D54"/>
    <mergeCell ref="C57:D57"/>
    <mergeCell ref="G42:J42"/>
    <mergeCell ref="G49:J49"/>
  </mergeCells>
  <conditionalFormatting sqref="E48">
    <cfRule type="cellIs" priority="2" dxfId="253" operator="greaterThan" stopIfTrue="1">
      <formula>$E$50*0.1</formula>
    </cfRule>
  </conditionalFormatting>
  <conditionalFormatting sqref="E53">
    <cfRule type="cellIs" priority="3" dxfId="253" operator="greaterThan" stopIfTrue="1">
      <formula>$E$50/0.95-$E$50</formula>
    </cfRule>
  </conditionalFormatting>
  <conditionalFormatting sqref="C51">
    <cfRule type="cellIs" priority="4" dxfId="2" operator="lessThan" stopIfTrue="1">
      <formula>0</formula>
    </cfRule>
  </conditionalFormatting>
  <conditionalFormatting sqref="C50">
    <cfRule type="cellIs" priority="5" dxfId="2" operator="greaterThan" stopIfTrue="1">
      <formula>$C$52</formula>
    </cfRule>
  </conditionalFormatting>
  <conditionalFormatting sqref="D50">
    <cfRule type="cellIs" priority="6" dxfId="2" operator="greaterThan" stopIfTrue="1">
      <formula>$D$52</formula>
    </cfRule>
  </conditionalFormatting>
  <conditionalFormatting sqref="C24">
    <cfRule type="cellIs" priority="7" dxfId="2" operator="greaterThan" stopIfTrue="1">
      <formula>$C$26*0.1</formula>
    </cfRule>
  </conditionalFormatting>
  <conditionalFormatting sqref="D24">
    <cfRule type="cellIs" priority="8" dxfId="2" operator="greaterThan" stopIfTrue="1">
      <formula>$D$26*0.1</formula>
    </cfRule>
  </conditionalFormatting>
  <conditionalFormatting sqref="E24">
    <cfRule type="cellIs" priority="9" dxfId="253" operator="greaterThan" stopIfTrue="1">
      <formula>$E$26*0.1+E57</formula>
    </cfRule>
  </conditionalFormatting>
  <conditionalFormatting sqref="C48">
    <cfRule type="cellIs" priority="10" dxfId="2" operator="greaterThan" stopIfTrue="1">
      <formula>$C$50*0.1</formula>
    </cfRule>
  </conditionalFormatting>
  <conditionalFormatting sqref="D48">
    <cfRule type="cellIs" priority="11" dxfId="2" operator="greaterThan" stopIfTrue="1">
      <formula>$D$50*0.1</formula>
    </cfRule>
  </conditionalFormatting>
  <conditionalFormatting sqref="D5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County</oddHeader>
  </headerFooter>
</worksheet>
</file>

<file path=xl/worksheets/sheet14.xml><?xml version="1.0" encoding="utf-8"?>
<worksheet xmlns="http://schemas.openxmlformats.org/spreadsheetml/2006/main" xmlns:r="http://schemas.openxmlformats.org/officeDocument/2006/relationships">
  <dimension ref="B1:K59"/>
  <sheetViews>
    <sheetView view="pageBreakPreview" zoomScale="102" zoomScaleSheetLayoutView="102" zoomScalePageLayoutView="0" workbookViewId="0" topLeftCell="A27">
      <selection activeCell="E43" sqref="E43"/>
    </sheetView>
  </sheetViews>
  <sheetFormatPr defaultColWidth="8.8984375" defaultRowHeight="15"/>
  <cols>
    <col min="1" max="1" width="2.3984375" style="25" customWidth="1"/>
    <col min="2" max="2" width="31.09765625" style="25" customWidth="1"/>
    <col min="3" max="4" width="15.796875" style="25" customWidth="1"/>
    <col min="5" max="5" width="16.19921875" style="25" customWidth="1"/>
    <col min="6" max="6" width="7.3984375" style="25" customWidth="1"/>
    <col min="7" max="7" width="10.19921875" style="25" customWidth="1"/>
    <col min="8" max="8" width="8.8984375" style="25" customWidth="1"/>
    <col min="9" max="9" width="5" style="25" customWidth="1"/>
    <col min="10" max="10" width="10" style="25" customWidth="1"/>
    <col min="11"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151</v>
      </c>
      <c r="C3" s="28"/>
      <c r="D3" s="28"/>
      <c r="E3" s="223"/>
    </row>
    <row r="4" spans="2:5" ht="15.75">
      <c r="B4" s="224" t="s">
        <v>71</v>
      </c>
      <c r="C4" s="470" t="s">
        <v>290</v>
      </c>
      <c r="D4" s="471" t="s">
        <v>291</v>
      </c>
      <c r="E4" s="151" t="s">
        <v>292</v>
      </c>
    </row>
    <row r="5" spans="2:5" ht="15.75">
      <c r="B5" s="356" t="str">
        <f>inputPrYr!B18</f>
        <v>Road &amp; Bridge</v>
      </c>
      <c r="C5" s="331" t="str">
        <f>CONCATENATE("Actual for ",E1-2,"")</f>
        <v>Actual for 2013</v>
      </c>
      <c r="D5" s="331" t="str">
        <f>CONCATENATE("Estimate for ",E1-1,"")</f>
        <v>Estimate for 2014</v>
      </c>
      <c r="E5" s="225" t="str">
        <f>CONCATENATE("Year for ",E1,"")</f>
        <v>Year for 2015</v>
      </c>
    </row>
    <row r="6" spans="2:5" ht="15.75">
      <c r="B6" s="226" t="s">
        <v>184</v>
      </c>
      <c r="C6" s="328">
        <v>25514</v>
      </c>
      <c r="D6" s="332">
        <f>C41</f>
        <v>96005</v>
      </c>
      <c r="E6" s="188">
        <f>D41</f>
        <v>40783</v>
      </c>
    </row>
    <row r="7" spans="2:5" ht="15.75">
      <c r="B7" s="213" t="s">
        <v>186</v>
      </c>
      <c r="C7" s="228"/>
      <c r="D7" s="228"/>
      <c r="E7" s="68"/>
    </row>
    <row r="8" spans="2:5" ht="15.75">
      <c r="B8" s="226" t="s">
        <v>72</v>
      </c>
      <c r="C8" s="328">
        <v>1575472</v>
      </c>
      <c r="D8" s="332">
        <v>1767757</v>
      </c>
      <c r="E8" s="153" t="s">
        <v>59</v>
      </c>
    </row>
    <row r="9" spans="2:5" ht="15.75">
      <c r="B9" s="226" t="s">
        <v>73</v>
      </c>
      <c r="C9" s="328">
        <v>37414</v>
      </c>
      <c r="D9" s="328">
        <v>25000</v>
      </c>
      <c r="E9" s="229">
        <v>25000</v>
      </c>
    </row>
    <row r="10" spans="2:5" ht="15.75">
      <c r="B10" s="226" t="s">
        <v>74</v>
      </c>
      <c r="C10" s="328">
        <v>160554</v>
      </c>
      <c r="D10" s="328">
        <v>183981</v>
      </c>
      <c r="E10" s="68">
        <f>mvalloc!E9</f>
        <v>199089</v>
      </c>
    </row>
    <row r="11" spans="2:5" ht="15.75">
      <c r="B11" s="226" t="s">
        <v>75</v>
      </c>
      <c r="C11" s="328"/>
      <c r="D11" s="328">
        <v>2525</v>
      </c>
      <c r="E11" s="68">
        <f>mvalloc!F9</f>
        <v>2470</v>
      </c>
    </row>
    <row r="12" spans="2:5" ht="15.75">
      <c r="B12" s="228" t="s">
        <v>175</v>
      </c>
      <c r="C12" s="328"/>
      <c r="D12" s="328">
        <v>15206</v>
      </c>
      <c r="E12" s="68">
        <f>mvalloc!G9</f>
        <v>16388</v>
      </c>
    </row>
    <row r="13" spans="2:5" ht="15.75">
      <c r="B13" s="272" t="s">
        <v>7</v>
      </c>
      <c r="C13" s="328">
        <v>459398</v>
      </c>
      <c r="D13" s="328">
        <v>441330</v>
      </c>
      <c r="E13" s="88">
        <v>450520</v>
      </c>
    </row>
    <row r="14" spans="2:5" ht="15.75">
      <c r="B14" s="272" t="s">
        <v>8</v>
      </c>
      <c r="C14" s="328"/>
      <c r="D14" s="328"/>
      <c r="E14" s="88"/>
    </row>
    <row r="15" spans="2:5" ht="15.75">
      <c r="B15" s="231" t="s">
        <v>368</v>
      </c>
      <c r="C15" s="328">
        <v>56</v>
      </c>
      <c r="D15" s="328">
        <v>57</v>
      </c>
      <c r="E15" s="88">
        <v>57</v>
      </c>
    </row>
    <row r="16" spans="2:5" ht="15.75">
      <c r="B16" s="273" t="s">
        <v>375</v>
      </c>
      <c r="C16" s="328">
        <v>76686</v>
      </c>
      <c r="D16" s="328">
        <v>100000</v>
      </c>
      <c r="E16" s="88">
        <v>80000</v>
      </c>
    </row>
    <row r="17" spans="2:5" ht="15.75">
      <c r="B17" s="230" t="s">
        <v>372</v>
      </c>
      <c r="C17" s="560">
        <v>-10834</v>
      </c>
      <c r="D17" s="560">
        <v>-91078</v>
      </c>
      <c r="E17" s="561">
        <v>-82923</v>
      </c>
    </row>
    <row r="18" spans="2:5" ht="15.75">
      <c r="B18" s="230"/>
      <c r="C18" s="328"/>
      <c r="D18" s="328"/>
      <c r="E18" s="229"/>
    </row>
    <row r="19" spans="2:5" ht="15.75">
      <c r="B19" s="230"/>
      <c r="C19" s="328"/>
      <c r="D19" s="328"/>
      <c r="E19" s="229"/>
    </row>
    <row r="20" spans="2:5" ht="15.75">
      <c r="B20" s="230"/>
      <c r="C20" s="328"/>
      <c r="D20" s="328"/>
      <c r="E20" s="229"/>
    </row>
    <row r="21" spans="2:5" ht="15.75">
      <c r="B21" s="230"/>
      <c r="C21" s="328"/>
      <c r="D21" s="328"/>
      <c r="E21" s="229"/>
    </row>
    <row r="22" spans="2:5" ht="15.75">
      <c r="B22" s="230"/>
      <c r="C22" s="328"/>
      <c r="D22" s="328"/>
      <c r="E22" s="229"/>
    </row>
    <row r="23" spans="2:5" ht="15.75">
      <c r="B23" s="231" t="s">
        <v>79</v>
      </c>
      <c r="C23" s="328"/>
      <c r="D23" s="328"/>
      <c r="E23" s="229"/>
    </row>
    <row r="24" spans="2:5" ht="15.75">
      <c r="B24" s="232" t="s">
        <v>34</v>
      </c>
      <c r="C24" s="328"/>
      <c r="D24" s="328"/>
      <c r="E24" s="229"/>
    </row>
    <row r="25" spans="2:5" ht="15.75">
      <c r="B25" s="232" t="s">
        <v>256</v>
      </c>
      <c r="C25" s="329">
        <f>IF(C26*0.1&lt;C24,"Exceed 10% Rule","")</f>
      </c>
      <c r="D25" s="329">
        <f>IF(D26*0.1&lt;D24,"Exceed 10% Rule","")</f>
      </c>
      <c r="E25" s="266">
        <f>IF(E26*0.1+E47&lt;E24,"Exceed 10% Rule","")</f>
      </c>
    </row>
    <row r="26" spans="2:5" ht="15.75">
      <c r="B26" s="234" t="s">
        <v>80</v>
      </c>
      <c r="C26" s="330">
        <f>SUM(C8:C24)</f>
        <v>2298746</v>
      </c>
      <c r="D26" s="330">
        <f>SUM(D8:D24)</f>
        <v>2444778</v>
      </c>
      <c r="E26" s="274">
        <f>SUM(E9:E24)</f>
        <v>690601</v>
      </c>
    </row>
    <row r="27" spans="2:5" ht="15.75">
      <c r="B27" s="234" t="s">
        <v>81</v>
      </c>
      <c r="C27" s="330">
        <f>C6+C26</f>
        <v>2324260</v>
      </c>
      <c r="D27" s="330">
        <f>D6+D26</f>
        <v>2540783</v>
      </c>
      <c r="E27" s="274">
        <f>E6+E26</f>
        <v>731384</v>
      </c>
    </row>
    <row r="28" spans="2:5" ht="15.75">
      <c r="B28" s="276" t="s">
        <v>84</v>
      </c>
      <c r="C28" s="228"/>
      <c r="D28" s="228"/>
      <c r="E28" s="68"/>
    </row>
    <row r="29" spans="2:5" ht="15.75">
      <c r="B29" s="51" t="s">
        <v>89</v>
      </c>
      <c r="C29" s="328">
        <v>1121969</v>
      </c>
      <c r="D29" s="328">
        <v>1197124</v>
      </c>
      <c r="E29" s="88">
        <v>1221066</v>
      </c>
    </row>
    <row r="30" spans="2:5" ht="15.75">
      <c r="B30" s="51" t="s">
        <v>90</v>
      </c>
      <c r="C30" s="328">
        <v>34415</v>
      </c>
      <c r="D30" s="328">
        <v>75000</v>
      </c>
      <c r="E30" s="88">
        <v>75000</v>
      </c>
    </row>
    <row r="31" spans="2:5" ht="15.75">
      <c r="B31" s="51" t="s">
        <v>91</v>
      </c>
      <c r="C31" s="328">
        <v>977871</v>
      </c>
      <c r="D31" s="328">
        <v>1209876</v>
      </c>
      <c r="E31" s="88">
        <v>1185934</v>
      </c>
    </row>
    <row r="32" spans="2:5" ht="15.75">
      <c r="B32" s="51" t="s">
        <v>92</v>
      </c>
      <c r="C32" s="328">
        <v>34000</v>
      </c>
      <c r="D32" s="328">
        <v>18000</v>
      </c>
      <c r="E32" s="88">
        <v>18000</v>
      </c>
    </row>
    <row r="33" spans="2:5" ht="15.75">
      <c r="B33" s="276" t="s">
        <v>439</v>
      </c>
      <c r="C33" s="328">
        <v>60000</v>
      </c>
      <c r="D33" s="328"/>
      <c r="E33" s="88"/>
    </row>
    <row r="34" spans="2:10" ht="15.75">
      <c r="B34" s="276"/>
      <c r="C34" s="328"/>
      <c r="D34" s="328"/>
      <c r="E34" s="88"/>
      <c r="G34" s="422" t="s">
        <v>261</v>
      </c>
      <c r="H34" s="420"/>
      <c r="I34" s="420"/>
      <c r="J34" s="423">
        <v>0</v>
      </c>
    </row>
    <row r="35" spans="2:10" ht="15.75">
      <c r="B35" s="276"/>
      <c r="C35" s="328"/>
      <c r="D35" s="328"/>
      <c r="E35" s="88"/>
      <c r="G35" s="418" t="s">
        <v>262</v>
      </c>
      <c r="H35" s="419"/>
      <c r="I35" s="419"/>
      <c r="J35" s="424">
        <f>IF(J34=0,"",ROUND((J34+E47-G47)/inputOth!E6*1000,3)-G52)</f>
      </c>
    </row>
    <row r="36" spans="2:10" ht="15.75">
      <c r="B36" s="240"/>
      <c r="C36" s="328"/>
      <c r="D36" s="328"/>
      <c r="E36" s="229"/>
      <c r="G36" s="425" t="str">
        <f>CONCATENATE("",E1," Tot Exp/Non-Appr Must Be:")</f>
        <v>2015 Tot Exp/Non-Appr Must Be:</v>
      </c>
      <c r="H36" s="426"/>
      <c r="I36" s="427"/>
      <c r="J36" s="428">
        <f>IF(J34&gt;0,IF(E44&lt;E27,IF(J34=G47,E44,((J34-G47)*(1-D46))+E27),E44+(J34-G47)),0)</f>
        <v>0</v>
      </c>
    </row>
    <row r="37" spans="2:10" ht="15.75">
      <c r="B37" s="232" t="s">
        <v>36</v>
      </c>
      <c r="C37" s="328"/>
      <c r="D37" s="328"/>
      <c r="E37" s="241"/>
      <c r="G37" s="429" t="s">
        <v>288</v>
      </c>
      <c r="H37" s="430"/>
      <c r="I37" s="430"/>
      <c r="J37" s="431">
        <f>IF(J34&gt;0,J36-E44,0)</f>
        <v>0</v>
      </c>
    </row>
    <row r="38" spans="2:5" ht="15.75">
      <c r="B38" s="232" t="s">
        <v>34</v>
      </c>
      <c r="C38" s="328"/>
      <c r="D38" s="328"/>
      <c r="E38" s="229"/>
    </row>
    <row r="39" spans="2:10" ht="16.5">
      <c r="B39" s="232" t="s">
        <v>255</v>
      </c>
      <c r="C39" s="329">
        <f>IF(C40*0.1&lt;C38,"Exceed 10% Rule","")</f>
      </c>
      <c r="D39" s="329">
        <f>IF(D40*0.1&lt;D38,"Exceed 10% Rule","")</f>
      </c>
      <c r="E39" s="266">
        <f>IF(E40*0.1&lt;E38,"Exceed 10% Rule","")</f>
      </c>
      <c r="G39" s="620" t="str">
        <f>CONCATENATE("Projected Carryover Into ",E1+1,"")</f>
        <v>Projected Carryover Into 2016</v>
      </c>
      <c r="H39" s="621"/>
      <c r="I39" s="621"/>
      <c r="J39" s="622"/>
    </row>
    <row r="40" spans="2:10" ht="15.75">
      <c r="B40" s="234" t="s">
        <v>85</v>
      </c>
      <c r="C40" s="330">
        <f>SUM(C28:C38)</f>
        <v>2228255</v>
      </c>
      <c r="D40" s="330">
        <f>SUM(D28:D38)</f>
        <v>2500000</v>
      </c>
      <c r="E40" s="274">
        <f>SUM(E28:E38)</f>
        <v>2500000</v>
      </c>
      <c r="G40" s="379"/>
      <c r="H40" s="378"/>
      <c r="I40" s="378"/>
      <c r="J40" s="380"/>
    </row>
    <row r="41" spans="2:10" ht="15.75">
      <c r="B41" s="89" t="s">
        <v>185</v>
      </c>
      <c r="C41" s="333">
        <f>C27-C40</f>
        <v>96005</v>
      </c>
      <c r="D41" s="333">
        <f>D27-D40</f>
        <v>40783</v>
      </c>
      <c r="E41" s="153" t="s">
        <v>59</v>
      </c>
      <c r="G41" s="366">
        <f>D41</f>
        <v>40783</v>
      </c>
      <c r="H41" s="364" t="str">
        <f>CONCATENATE("",E1-1," Ending Cash Balance (est.)")</f>
        <v>2014 Ending Cash Balance (est.)</v>
      </c>
      <c r="I41" s="363"/>
      <c r="J41" s="380"/>
    </row>
    <row r="42" spans="2:10" ht="15.75">
      <c r="B42" s="224" t="str">
        <f>CONCATENATE("",E1-2,"/",E1-1,"/",E1," Budget Authority Amount:")</f>
        <v>2013/2014/2015 Budget Authority Amount:</v>
      </c>
      <c r="C42" s="261">
        <f>inputOth!$B34</f>
        <v>2304540</v>
      </c>
      <c r="D42" s="261">
        <f>inputPrYr!D18</f>
        <v>2500000</v>
      </c>
      <c r="E42" s="188">
        <f>E40</f>
        <v>2500000</v>
      </c>
      <c r="F42" s="242"/>
      <c r="G42" s="366">
        <f>E26</f>
        <v>690601</v>
      </c>
      <c r="H42" s="362" t="str">
        <f>CONCATENATE("",E1," Non-AV Receipts (est.)")</f>
        <v>2015 Non-AV Receipts (est.)</v>
      </c>
      <c r="I42" s="363"/>
      <c r="J42" s="380"/>
    </row>
    <row r="43" spans="2:11" ht="16.5">
      <c r="B43" s="210"/>
      <c r="C43" s="616" t="s">
        <v>258</v>
      </c>
      <c r="D43" s="617"/>
      <c r="E43" s="53"/>
      <c r="F43" s="365">
        <f>IF(E40/0.95-E40&lt;E43,"Exceeds 5%","")</f>
      </c>
      <c r="G43" s="361">
        <f>IF(E46&gt;0,E45,E47)</f>
        <v>1768616</v>
      </c>
      <c r="H43" s="362" t="str">
        <f>CONCATENATE("",E1," Ad Valorem Tax (est.)")</f>
        <v>2015 Ad Valorem Tax (est.)</v>
      </c>
      <c r="I43" s="363"/>
      <c r="J43" s="380"/>
      <c r="K43" s="434" t="str">
        <f>IF(G43=E47,"","Note: Does not include Delinquent Taxes")</f>
        <v>Note: Does not include Delinquent Taxes</v>
      </c>
    </row>
    <row r="44" spans="2:10" ht="15.75">
      <c r="B44" s="369" t="str">
        <f>CONCATENATE(C58,"     ",D58)</f>
        <v>     </v>
      </c>
      <c r="C44" s="618" t="s">
        <v>259</v>
      </c>
      <c r="D44" s="619"/>
      <c r="E44" s="188">
        <f>E40+E43</f>
        <v>2500000</v>
      </c>
      <c r="G44" s="366">
        <f>SUM(G41:G43)</f>
        <v>2500000</v>
      </c>
      <c r="H44" s="362" t="str">
        <f>CONCATENATE("Total ",E1," Resources Available")</f>
        <v>Total 2015 Resources Available</v>
      </c>
      <c r="I44" s="363"/>
      <c r="J44" s="380"/>
    </row>
    <row r="45" spans="2:10" ht="15.75">
      <c r="B45" s="369" t="str">
        <f>CONCATENATE(C59,"     ",D59)</f>
        <v>     </v>
      </c>
      <c r="C45" s="243"/>
      <c r="D45" s="162" t="s">
        <v>86</v>
      </c>
      <c r="E45" s="61">
        <f>IF(E44-E27&gt;0,E44-E27,0)</f>
        <v>1768616</v>
      </c>
      <c r="G45" s="360"/>
      <c r="H45" s="362"/>
      <c r="I45" s="362"/>
      <c r="J45" s="380"/>
    </row>
    <row r="46" spans="2:10" ht="15.75">
      <c r="B46" s="210"/>
      <c r="C46" s="367" t="s">
        <v>260</v>
      </c>
      <c r="D46" s="417">
        <f>inputOth!$E$23</f>
        <v>0.05</v>
      </c>
      <c r="E46" s="188">
        <f>IF(D46&gt;0,(E45*D46),0)</f>
        <v>88430.8</v>
      </c>
      <c r="G46" s="361">
        <f>C40*0.05+C40</f>
        <v>2339667.75</v>
      </c>
      <c r="H46" s="362" t="str">
        <f>CONCATENATE("Less ",E1-2," Expenditures + 5%")</f>
        <v>Less 2013 Expenditures + 5%</v>
      </c>
      <c r="I46" s="363"/>
      <c r="J46" s="380"/>
    </row>
    <row r="47" spans="2:10" ht="16.5">
      <c r="B47" s="28"/>
      <c r="C47" s="624" t="str">
        <f>CONCATENATE("Amount of  ",$E$1-1," Ad Valorem Tax")</f>
        <v>Amount of  2014 Ad Valorem Tax</v>
      </c>
      <c r="D47" s="625"/>
      <c r="E47" s="270">
        <f>E45+E46</f>
        <v>1857046.8</v>
      </c>
      <c r="G47" s="359">
        <f>G44-G46</f>
        <v>160332.25</v>
      </c>
      <c r="H47" s="358" t="str">
        <f>CONCATENATE("Projected ",E1," Carryover (est.)")</f>
        <v>Projected 2015 Carryover (est.)</v>
      </c>
      <c r="I47" s="350"/>
      <c r="J47" s="349"/>
    </row>
    <row r="48" spans="2:5" ht="15.75">
      <c r="B48" s="28"/>
      <c r="C48" s="28"/>
      <c r="D48" s="28"/>
      <c r="E48" s="28"/>
    </row>
    <row r="49" spans="2:10" ht="16.5">
      <c r="B49" s="210" t="s">
        <v>106</v>
      </c>
      <c r="C49" s="271">
        <v>9</v>
      </c>
      <c r="D49" s="275"/>
      <c r="E49" s="275"/>
      <c r="G49" s="628" t="s">
        <v>289</v>
      </c>
      <c r="H49" s="629"/>
      <c r="I49" s="629"/>
      <c r="J49" s="630"/>
    </row>
    <row r="50" spans="7:10" ht="16.5">
      <c r="G50" s="436"/>
      <c r="H50" s="437"/>
      <c r="I50" s="438"/>
      <c r="J50" s="439"/>
    </row>
    <row r="51" spans="7:10" ht="16.5">
      <c r="G51" s="440">
        <f>summ!H18</f>
        <v>22.007</v>
      </c>
      <c r="H51" s="437" t="str">
        <f>CONCATENATE("",E1," Fund Mill Rate")</f>
        <v>2015 Fund Mill Rate</v>
      </c>
      <c r="I51" s="438"/>
      <c r="J51" s="439"/>
    </row>
    <row r="52" spans="7:10" ht="16.5">
      <c r="G52" s="441">
        <f>summ!E18</f>
        <v>22.109</v>
      </c>
      <c r="H52" s="437" t="str">
        <f>CONCATENATE("",E1-1," Fund Mill Rate")</f>
        <v>2014 Fund Mill Rate</v>
      </c>
      <c r="I52" s="438"/>
      <c r="J52" s="439"/>
    </row>
    <row r="53" spans="7:10" ht="16.5">
      <c r="G53" s="442">
        <f>summ!H48</f>
        <v>67.327</v>
      </c>
      <c r="H53" s="437" t="str">
        <f>CONCATENATE("Total ",E1," Mill Rate")</f>
        <v>Total 2015 Mill Rate</v>
      </c>
      <c r="I53" s="438"/>
      <c r="J53" s="439"/>
    </row>
    <row r="54" spans="7:10" ht="16.5">
      <c r="G54" s="441">
        <f>summ!E48</f>
        <v>66.53</v>
      </c>
      <c r="H54" s="443" t="str">
        <f>CONCATENATE("Total ",E1-1," Mill Rate")</f>
        <v>Total 2014 Mill Rate</v>
      </c>
      <c r="I54" s="444"/>
      <c r="J54" s="445"/>
    </row>
    <row r="56" spans="7:9" ht="15.75">
      <c r="G56" s="521" t="s">
        <v>307</v>
      </c>
      <c r="H56" s="488"/>
      <c r="I56" s="487" t="str">
        <f>cert!E57</f>
        <v>No</v>
      </c>
    </row>
    <row r="58" spans="3:4" ht="15.75" hidden="1">
      <c r="C58" s="25">
        <f>IF(C40&gt;C42,"See Tab A","")</f>
      </c>
      <c r="D58" s="25">
        <f>IF(D40&gt;D42,"See Tab C","")</f>
      </c>
    </row>
    <row r="59" spans="3:4" ht="15.75" hidden="1">
      <c r="C59" s="25">
        <f>IF(C41&lt;0,"See Tab B","")</f>
      </c>
      <c r="D59" s="25">
        <f>IF(D41&lt;0,"See Tab D","")</f>
      </c>
    </row>
  </sheetData>
  <sheetProtection/>
  <mergeCells count="5">
    <mergeCell ref="C43:D43"/>
    <mergeCell ref="C44:D44"/>
    <mergeCell ref="C47:D47"/>
    <mergeCell ref="G39:J39"/>
    <mergeCell ref="G49:J49"/>
  </mergeCells>
  <conditionalFormatting sqref="E38">
    <cfRule type="cellIs" priority="2" dxfId="253" operator="greaterThan" stopIfTrue="1">
      <formula>$E$40*0.1</formula>
    </cfRule>
  </conditionalFormatting>
  <conditionalFormatting sqref="E43">
    <cfRule type="cellIs" priority="3" dxfId="253" operator="greaterThan" stopIfTrue="1">
      <formula>$E$40/0.95-$E$40</formula>
    </cfRule>
  </conditionalFormatting>
  <conditionalFormatting sqref="C24">
    <cfRule type="cellIs" priority="4" dxfId="2" operator="greaterThan" stopIfTrue="1">
      <formula>$C$26*0.1</formula>
    </cfRule>
  </conditionalFormatting>
  <conditionalFormatting sqref="D24">
    <cfRule type="cellIs" priority="5" dxfId="2" operator="greaterThan" stopIfTrue="1">
      <formula>$D$26*0.1</formula>
    </cfRule>
  </conditionalFormatting>
  <conditionalFormatting sqref="E24">
    <cfRule type="cellIs" priority="6" dxfId="253" operator="greaterThan" stopIfTrue="1">
      <formula>$E$26*0.1+E47</formula>
    </cfRule>
  </conditionalFormatting>
  <conditionalFormatting sqref="C38">
    <cfRule type="cellIs" priority="7" dxfId="2" operator="greaterThan" stopIfTrue="1">
      <formula>$C$40*0.1</formula>
    </cfRule>
  </conditionalFormatting>
  <conditionalFormatting sqref="D38">
    <cfRule type="cellIs" priority="8" dxfId="2" operator="greaterThan" stopIfTrue="1">
      <formula>$D$40*0.1</formula>
    </cfRule>
  </conditionalFormatting>
  <conditionalFormatting sqref="C40">
    <cfRule type="cellIs" priority="9" dxfId="2" operator="greaterThan" stopIfTrue="1">
      <formula>$C$42</formula>
    </cfRule>
  </conditionalFormatting>
  <conditionalFormatting sqref="C41">
    <cfRule type="cellIs" priority="10" dxfId="2" operator="lessThan" stopIfTrue="1">
      <formula>0</formula>
    </cfRule>
  </conditionalFormatting>
  <conditionalFormatting sqref="D40">
    <cfRule type="cellIs" priority="11" dxfId="2" operator="greaterThan" stopIfTrue="1">
      <formula>$D$42</formula>
    </cfRule>
  </conditionalFormatting>
  <conditionalFormatting sqref="D41">
    <cfRule type="cellIs" priority="1" dxfId="0" operator="lessThan" stopIfTrue="1">
      <formula>0</formula>
    </cfRule>
  </conditionalFormatting>
  <printOptions/>
  <pageMargins left="0.75" right="0.75" top="1" bottom="0.5" header="0.5" footer="0.5"/>
  <pageSetup blackAndWhite="1" fitToHeight="2" horizontalDpi="600" verticalDpi="600" orientation="portrait" scale="73" r:id="rId1"/>
  <headerFooter alignWithMargins="0">
    <oddHeader>&amp;RState of Kansas
County</oddHeader>
  </headerFooter>
</worksheet>
</file>

<file path=xl/worksheets/sheet15.xml><?xml version="1.0" encoding="utf-8"?>
<worksheet xmlns="http://schemas.openxmlformats.org/spreadsheetml/2006/main" xmlns:r="http://schemas.openxmlformats.org/officeDocument/2006/relationships">
  <dimension ref="B1:K89"/>
  <sheetViews>
    <sheetView view="pageBreakPreview" zoomScale="99" zoomScaleSheetLayoutView="99" zoomScalePageLayoutView="0" workbookViewId="0" topLeftCell="A1">
      <selection activeCell="E70" sqref="E70"/>
    </sheetView>
  </sheetViews>
  <sheetFormatPr defaultColWidth="8.8984375" defaultRowHeight="15"/>
  <cols>
    <col min="1" max="1" width="2.3984375" style="25" customWidth="1"/>
    <col min="2" max="2" width="31.09765625" style="25" customWidth="1"/>
    <col min="3" max="4" width="15.796875" style="25" customWidth="1"/>
    <col min="5" max="5" width="16.09765625" style="25" customWidth="1"/>
    <col min="6" max="6" width="7.3984375" style="25" customWidth="1"/>
    <col min="7" max="7" width="10.19921875" style="25" customWidth="1"/>
    <col min="8" max="8" width="8.8984375" style="25" customWidth="1"/>
    <col min="9" max="9" width="5" style="25" customWidth="1"/>
    <col min="10" max="10" width="10" style="25" customWidth="1"/>
    <col min="11"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151</v>
      </c>
      <c r="C3" s="255"/>
      <c r="D3" s="255"/>
      <c r="E3" s="256"/>
    </row>
    <row r="4" spans="2:5" ht="15.75">
      <c r="B4" s="27" t="s">
        <v>71</v>
      </c>
      <c r="C4" s="470" t="s">
        <v>290</v>
      </c>
      <c r="D4" s="471" t="s">
        <v>291</v>
      </c>
      <c r="E4" s="151" t="s">
        <v>292</v>
      </c>
    </row>
    <row r="5" spans="2:5" ht="15.75">
      <c r="B5" s="356" t="str">
        <f>inputPrYr!B19</f>
        <v>Special Bridge</v>
      </c>
      <c r="C5" s="331" t="str">
        <f>CONCATENATE("Actual for ",E1-2,"")</f>
        <v>Actual for 2013</v>
      </c>
      <c r="D5" s="331" t="str">
        <f>CONCATENATE("Estimate for ",E1-1,"")</f>
        <v>Estimate for 2014</v>
      </c>
      <c r="E5" s="225" t="str">
        <f>CONCATENATE("Year for ",E1,"")</f>
        <v>Year for 2015</v>
      </c>
    </row>
    <row r="6" spans="2:5" ht="15.75">
      <c r="B6" s="89" t="s">
        <v>184</v>
      </c>
      <c r="C6" s="328">
        <v>190186</v>
      </c>
      <c r="D6" s="332">
        <f>C31</f>
        <v>216456</v>
      </c>
      <c r="E6" s="188">
        <f>D31</f>
        <v>207018</v>
      </c>
    </row>
    <row r="7" spans="2:5" ht="15.75">
      <c r="B7" s="213" t="s">
        <v>186</v>
      </c>
      <c r="C7" s="228"/>
      <c r="D7" s="228"/>
      <c r="E7" s="68"/>
    </row>
    <row r="8" spans="2:5" ht="15.75">
      <c r="B8" s="89" t="s">
        <v>72</v>
      </c>
      <c r="C8" s="328">
        <v>41336</v>
      </c>
      <c r="D8" s="332">
        <v>14478</v>
      </c>
      <c r="E8" s="259" t="s">
        <v>59</v>
      </c>
    </row>
    <row r="9" spans="2:5" ht="15.75">
      <c r="B9" s="89" t="s">
        <v>73</v>
      </c>
      <c r="C9" s="328">
        <v>1053</v>
      </c>
      <c r="D9" s="328">
        <v>820</v>
      </c>
      <c r="E9" s="53">
        <v>750</v>
      </c>
    </row>
    <row r="10" spans="2:5" ht="15.75">
      <c r="B10" s="89" t="s">
        <v>74</v>
      </c>
      <c r="C10" s="328">
        <v>102</v>
      </c>
      <c r="D10" s="328">
        <v>4823</v>
      </c>
      <c r="E10" s="188">
        <f>mvalloc!E10</f>
        <v>1631</v>
      </c>
    </row>
    <row r="11" spans="2:5" ht="15.75">
      <c r="B11" s="89" t="s">
        <v>75</v>
      </c>
      <c r="C11" s="328"/>
      <c r="D11" s="328">
        <v>66</v>
      </c>
      <c r="E11" s="188">
        <f>mvalloc!F10</f>
        <v>20</v>
      </c>
    </row>
    <row r="12" spans="2:5" ht="15.75">
      <c r="B12" s="228" t="s">
        <v>144</v>
      </c>
      <c r="C12" s="328"/>
      <c r="D12" s="328">
        <v>399</v>
      </c>
      <c r="E12" s="188">
        <f>mvalloc!G10</f>
        <v>134</v>
      </c>
    </row>
    <row r="13" spans="2:5" ht="15.75">
      <c r="B13" s="231" t="s">
        <v>368</v>
      </c>
      <c r="C13" s="328">
        <v>1</v>
      </c>
      <c r="D13" s="328"/>
      <c r="E13" s="53"/>
    </row>
    <row r="14" spans="2:5" ht="15.75">
      <c r="B14" s="230" t="s">
        <v>372</v>
      </c>
      <c r="C14" s="560">
        <v>-284</v>
      </c>
      <c r="D14" s="560">
        <v>-24</v>
      </c>
      <c r="E14" s="561">
        <v>-683</v>
      </c>
    </row>
    <row r="15" spans="2:5" ht="15.75">
      <c r="B15" s="240" t="s">
        <v>375</v>
      </c>
      <c r="C15" s="328">
        <v>663</v>
      </c>
      <c r="D15" s="328"/>
      <c r="E15" s="53"/>
    </row>
    <row r="16" spans="2:5" ht="15.75">
      <c r="B16" s="240"/>
      <c r="C16" s="328"/>
      <c r="D16" s="328"/>
      <c r="E16" s="53"/>
    </row>
    <row r="17" spans="2:5" ht="15.75">
      <c r="B17" s="231" t="s">
        <v>79</v>
      </c>
      <c r="C17" s="328"/>
      <c r="D17" s="328"/>
      <c r="E17" s="53"/>
    </row>
    <row r="18" spans="2:5" ht="15.75">
      <c r="B18" s="232" t="s">
        <v>34</v>
      </c>
      <c r="C18" s="328"/>
      <c r="D18" s="328"/>
      <c r="E18" s="53"/>
    </row>
    <row r="19" spans="2:5" ht="15.75">
      <c r="B19" s="232" t="s">
        <v>256</v>
      </c>
      <c r="C19" s="329">
        <f>IF(C20*0.1&lt;C18,"Exceed 10% Rule","")</f>
      </c>
      <c r="D19" s="329">
        <f>IF(D20*0.1&lt;D18,"Exceed 10% Rule","")</f>
      </c>
      <c r="E19" s="266">
        <f>IF(E20*0.1+E37&lt;E18,"Exceed 10% Rule","")</f>
      </c>
    </row>
    <row r="20" spans="2:5" ht="15.75">
      <c r="B20" s="234" t="s">
        <v>80</v>
      </c>
      <c r="C20" s="330">
        <f>SUM(C8:C18)</f>
        <v>42871</v>
      </c>
      <c r="D20" s="330">
        <f>SUM(D8:D18)</f>
        <v>20562</v>
      </c>
      <c r="E20" s="274">
        <f>SUM(E8:E18)</f>
        <v>1852</v>
      </c>
    </row>
    <row r="21" spans="2:5" ht="15.75">
      <c r="B21" s="234" t="s">
        <v>81</v>
      </c>
      <c r="C21" s="330">
        <f>C6+C20</f>
        <v>233057</v>
      </c>
      <c r="D21" s="330">
        <f>D6+D20</f>
        <v>237018</v>
      </c>
      <c r="E21" s="274">
        <f>E6+E20</f>
        <v>208870</v>
      </c>
    </row>
    <row r="22" spans="2:5" ht="15.75">
      <c r="B22" s="89" t="s">
        <v>84</v>
      </c>
      <c r="C22" s="232"/>
      <c r="D22" s="232"/>
      <c r="E22" s="49"/>
    </row>
    <row r="23" spans="2:5" ht="15.75">
      <c r="B23" s="240" t="s">
        <v>397</v>
      </c>
      <c r="C23" s="328">
        <v>16601</v>
      </c>
      <c r="D23" s="328">
        <v>30000</v>
      </c>
      <c r="E23" s="53">
        <v>208870</v>
      </c>
    </row>
    <row r="24" spans="2:10" ht="16.5">
      <c r="B24" s="240"/>
      <c r="C24" s="328"/>
      <c r="D24" s="328"/>
      <c r="E24" s="53"/>
      <c r="G24" s="626" t="str">
        <f>CONCATENATE("Desired Carryover Into ",E1+1,"")</f>
        <v>Desired Carryover Into 2016</v>
      </c>
      <c r="H24" s="627"/>
      <c r="I24" s="627"/>
      <c r="J24" s="598"/>
    </row>
    <row r="25" spans="2:10" ht="15.75">
      <c r="B25" s="240"/>
      <c r="C25" s="328"/>
      <c r="D25" s="328"/>
      <c r="E25" s="53"/>
      <c r="G25" s="425" t="str">
        <f>CONCATENATE("",E1," Tot Exp/Non-Appr Must Be:")</f>
        <v>2015 Tot Exp/Non-Appr Must Be:</v>
      </c>
      <c r="H25" s="426"/>
      <c r="I25" s="427"/>
      <c r="J25" s="428" t="e">
        <f>IF(#REF!&gt;0,IF(E34&lt;E21,IF(#REF!=G36,E34,((#REF!-G36)*(1-D36))+E21),E34+(#REF!-G36)),0)</f>
        <v>#REF!</v>
      </c>
    </row>
    <row r="26" spans="2:10" ht="15.75">
      <c r="B26" s="240"/>
      <c r="C26" s="328"/>
      <c r="D26" s="328"/>
      <c r="E26" s="53"/>
      <c r="G26" s="429" t="s">
        <v>288</v>
      </c>
      <c r="H26" s="430"/>
      <c r="I26" s="430"/>
      <c r="J26" s="431" t="e">
        <f>IF(#REF!&gt;0,J25-E34,0)</f>
        <v>#REF!</v>
      </c>
    </row>
    <row r="27" spans="2:10" ht="15.75">
      <c r="B27" s="232" t="s">
        <v>36</v>
      </c>
      <c r="C27" s="328"/>
      <c r="D27" s="328"/>
      <c r="E27" s="61"/>
      <c r="G27" s="1"/>
      <c r="H27" s="1"/>
      <c r="I27" s="1"/>
      <c r="J27" s="1"/>
    </row>
    <row r="28" spans="2:10" ht="16.5">
      <c r="B28" s="232" t="s">
        <v>34</v>
      </c>
      <c r="C28" s="328"/>
      <c r="D28" s="328"/>
      <c r="E28" s="53"/>
      <c r="G28" s="626" t="str">
        <f>CONCATENATE("Projected Carryover Into ",E1+1,"")</f>
        <v>Projected Carryover Into 2016</v>
      </c>
      <c r="H28" s="632"/>
      <c r="I28" s="632"/>
      <c r="J28" s="633"/>
    </row>
    <row r="29" spans="2:10" ht="15.75">
      <c r="B29" s="232" t="s">
        <v>255</v>
      </c>
      <c r="C29" s="329">
        <f>IF(C30*0.1&lt;C28,"Exceed 10% Rule","")</f>
      </c>
      <c r="D29" s="329">
        <f>IF(D30*0.1&lt;D28,"Exceed 10% Rule","")</f>
      </c>
      <c r="E29" s="266">
        <f>IF(E30*0.1&lt;E28,"Exceed 10% Rule","")</f>
      </c>
      <c r="G29" s="418"/>
      <c r="H29" s="420"/>
      <c r="I29" s="420"/>
      <c r="J29" s="446"/>
    </row>
    <row r="30" spans="2:10" ht="15.75">
      <c r="B30" s="234" t="s">
        <v>85</v>
      </c>
      <c r="C30" s="330">
        <f>SUM(C23:C28)</f>
        <v>16601</v>
      </c>
      <c r="D30" s="330">
        <f>SUM(D23:D28)</f>
        <v>30000</v>
      </c>
      <c r="E30" s="274">
        <f>SUM(E23:E28)</f>
        <v>208870</v>
      </c>
      <c r="G30" s="447">
        <f>D31</f>
        <v>207018</v>
      </c>
      <c r="H30" s="437" t="str">
        <f>CONCATENATE("",E1-1," Ending Cash Balance (est.)")</f>
        <v>2014 Ending Cash Balance (est.)</v>
      </c>
      <c r="I30" s="448"/>
      <c r="J30" s="446"/>
    </row>
    <row r="31" spans="2:10" ht="15.75">
      <c r="B31" s="89" t="s">
        <v>185</v>
      </c>
      <c r="C31" s="333">
        <f>C21-C30</f>
        <v>216456</v>
      </c>
      <c r="D31" s="333">
        <f>D21-D30</f>
        <v>207018</v>
      </c>
      <c r="E31" s="259" t="s">
        <v>59</v>
      </c>
      <c r="G31" s="447">
        <f>E20</f>
        <v>1852</v>
      </c>
      <c r="H31" s="420" t="str">
        <f>CONCATENATE("",E1," Non-AV Receipts (est.)")</f>
        <v>2015 Non-AV Receipts (est.)</v>
      </c>
      <c r="I31" s="448"/>
      <c r="J31" s="446"/>
    </row>
    <row r="32" spans="2:11" ht="15.75">
      <c r="B32" s="224" t="str">
        <f>CONCATENATE("",E1-2,"/",E1-1,"/",E1," Budget Authority Amount:")</f>
        <v>2013/2014/2015 Budget Authority Amount:</v>
      </c>
      <c r="C32" s="261">
        <f>inputOth!B35</f>
        <v>193500</v>
      </c>
      <c r="D32" s="261">
        <f>inputPrYr!D19</f>
        <v>153500</v>
      </c>
      <c r="E32" s="188">
        <f>E30</f>
        <v>208870</v>
      </c>
      <c r="F32" s="242"/>
      <c r="G32" s="449">
        <f>IF(E36&gt;0,E35,E37)</f>
        <v>0</v>
      </c>
      <c r="H32" s="420" t="str">
        <f>CONCATENATE("",E1," Ad Valorem Tax (est.)")</f>
        <v>2015 Ad Valorem Tax (est.)</v>
      </c>
      <c r="I32" s="448"/>
      <c r="J32" s="446"/>
      <c r="K32" s="434">
        <f>IF(G32=E37,"","Note: Does not include Delinquent Taxes")</f>
      </c>
    </row>
    <row r="33" spans="2:10" ht="16.5">
      <c r="B33" s="210"/>
      <c r="C33" s="616" t="s">
        <v>258</v>
      </c>
      <c r="D33" s="617"/>
      <c r="E33" s="53"/>
      <c r="F33" s="365">
        <f>IF(E30/0.95-E30&lt;E33,"Exceeds 5%","")</f>
      </c>
      <c r="G33" s="447">
        <f>SUM(G30:G32)</f>
        <v>208870</v>
      </c>
      <c r="H33" s="420" t="str">
        <f>CONCATENATE("Total ",E1," Resources Available")</f>
        <v>Total 2015 Resources Available</v>
      </c>
      <c r="I33" s="448"/>
      <c r="J33" s="446"/>
    </row>
    <row r="34" spans="2:10" ht="15.75">
      <c r="B34" s="369" t="str">
        <f>CONCATENATE(C86,"     ",D86)</f>
        <v>     </v>
      </c>
      <c r="C34" s="618" t="s">
        <v>259</v>
      </c>
      <c r="D34" s="619"/>
      <c r="E34" s="188">
        <f>E30+E33</f>
        <v>208870</v>
      </c>
      <c r="G34" s="450"/>
      <c r="H34" s="420"/>
      <c r="I34" s="420"/>
      <c r="J34" s="446"/>
    </row>
    <row r="35" spans="2:10" ht="15.75">
      <c r="B35" s="369" t="str">
        <f>CONCATENATE(C87,"     ",D87)</f>
        <v>     </v>
      </c>
      <c r="C35" s="243"/>
      <c r="D35" s="162" t="s">
        <v>86</v>
      </c>
      <c r="E35" s="61">
        <f>IF(E34-E21&gt;0,E34-E21,0)</f>
        <v>0</v>
      </c>
      <c r="G35" s="449">
        <f>ROUND(C30*0.05+C30,0)</f>
        <v>17431</v>
      </c>
      <c r="H35" s="420" t="str">
        <f>CONCATENATE("Less ",E1-2," Expenditures + 5%")</f>
        <v>Less 2013 Expenditures + 5%</v>
      </c>
      <c r="I35" s="448"/>
      <c r="J35" s="451"/>
    </row>
    <row r="36" spans="2:10" ht="15.75">
      <c r="B36" s="162"/>
      <c r="C36" s="367" t="s">
        <v>260</v>
      </c>
      <c r="D36" s="417">
        <f>inputOth!$E$23</f>
        <v>0.05</v>
      </c>
      <c r="E36" s="188">
        <f>ROUND(IF(D36&gt;0,($E$35*D36),0),0)</f>
        <v>0</v>
      </c>
      <c r="G36" s="452">
        <f>G33-G35</f>
        <v>191439</v>
      </c>
      <c r="H36" s="453" t="str">
        <f>CONCATENATE("Projected ",E1+1," carryover (est.)")</f>
        <v>Projected 2016 carryover (est.)</v>
      </c>
      <c r="I36" s="454"/>
      <c r="J36" s="455"/>
    </row>
    <row r="37" spans="2:10" ht="16.5">
      <c r="B37" s="28"/>
      <c r="C37" s="624" t="str">
        <f>CONCATENATE("Amount of  ",$E$1-1," Ad Valorem Tax")</f>
        <v>Amount of  2014 Ad Valorem Tax</v>
      </c>
      <c r="D37" s="625"/>
      <c r="E37" s="270">
        <f>E35+E36</f>
        <v>0</v>
      </c>
      <c r="G37" s="1"/>
      <c r="H37" s="1"/>
      <c r="I37" s="1"/>
      <c r="J37" s="1"/>
    </row>
    <row r="38" spans="2:10" ht="16.5">
      <c r="B38" s="28"/>
      <c r="C38" s="249"/>
      <c r="D38" s="249"/>
      <c r="E38" s="249"/>
      <c r="G38" s="628" t="s">
        <v>289</v>
      </c>
      <c r="H38" s="629"/>
      <c r="I38" s="629"/>
      <c r="J38" s="630"/>
    </row>
    <row r="39" spans="2:10" ht="16.5">
      <c r="B39" s="27" t="s">
        <v>71</v>
      </c>
      <c r="C39" s="470" t="str">
        <f aca="true" t="shared" si="0" ref="C39:E40">C4</f>
        <v>Prior Year </v>
      </c>
      <c r="D39" s="471" t="str">
        <f t="shared" si="0"/>
        <v>Current Year </v>
      </c>
      <c r="E39" s="151" t="str">
        <f t="shared" si="0"/>
        <v>Proposed Budget </v>
      </c>
      <c r="G39" s="436"/>
      <c r="H39" s="437"/>
      <c r="I39" s="438"/>
      <c r="J39" s="439"/>
    </row>
    <row r="40" spans="2:10" ht="16.5">
      <c r="B40" s="355" t="str">
        <f>(inputPrYr!B20)</f>
        <v>Noxious Weed</v>
      </c>
      <c r="C40" s="331" t="str">
        <f t="shared" si="0"/>
        <v>Actual for 2013</v>
      </c>
      <c r="D40" s="331" t="str">
        <f t="shared" si="0"/>
        <v>Estimate for 2014</v>
      </c>
      <c r="E40" s="225" t="str">
        <f t="shared" si="0"/>
        <v>Year for 2015</v>
      </c>
      <c r="G40" s="440" t="str">
        <f>summ!H19</f>
        <v>  </v>
      </c>
      <c r="H40" s="437" t="str">
        <f>CONCATENATE("",E1," Fund Mill Rate")</f>
        <v>2015 Fund Mill Rate</v>
      </c>
      <c r="I40" s="438"/>
      <c r="J40" s="439"/>
    </row>
    <row r="41" spans="2:10" ht="16.5">
      <c r="B41" s="89" t="s">
        <v>184</v>
      </c>
      <c r="C41" s="328">
        <v>214529</v>
      </c>
      <c r="D41" s="332">
        <f>C69</f>
        <v>192582</v>
      </c>
      <c r="E41" s="188">
        <f>D69</f>
        <v>141710</v>
      </c>
      <c r="G41" s="441">
        <f>summ!E19</f>
        <v>0.182</v>
      </c>
      <c r="H41" s="437" t="str">
        <f>CONCATENATE("",E1-1," Fund Mill Rate")</f>
        <v>2014 Fund Mill Rate</v>
      </c>
      <c r="I41" s="438"/>
      <c r="J41" s="439"/>
    </row>
    <row r="42" spans="2:10" ht="16.5">
      <c r="B42" s="226" t="s">
        <v>186</v>
      </c>
      <c r="C42" s="228"/>
      <c r="D42" s="228"/>
      <c r="E42" s="68"/>
      <c r="G42" s="442">
        <f>summ!H48</f>
        <v>67.327</v>
      </c>
      <c r="H42" s="437" t="str">
        <f>CONCATENATE("Total ",E1," Mill Rate")</f>
        <v>Total 2015 Mill Rate</v>
      </c>
      <c r="I42" s="438"/>
      <c r="J42" s="439"/>
    </row>
    <row r="43" spans="2:10" ht="16.5">
      <c r="B43" s="89" t="s">
        <v>72</v>
      </c>
      <c r="C43" s="328"/>
      <c r="D43" s="332">
        <f>IF(inputPrYr!H20&gt;0,inputPrYr!H20,inputPrYr!E20)</f>
        <v>0</v>
      </c>
      <c r="E43" s="259" t="s">
        <v>59</v>
      </c>
      <c r="G43" s="441">
        <f>summ!E48</f>
        <v>66.53</v>
      </c>
      <c r="H43" s="443" t="str">
        <f>CONCATENATE("Total ",E1-1," Mill Rate")</f>
        <v>Total 2014 Mill Rate</v>
      </c>
      <c r="I43" s="444"/>
      <c r="J43" s="445"/>
    </row>
    <row r="44" spans="2:10" ht="15.75">
      <c r="B44" s="89" t="s">
        <v>73</v>
      </c>
      <c r="C44" s="328">
        <v>1637</v>
      </c>
      <c r="D44" s="328">
        <v>937</v>
      </c>
      <c r="E44" s="53">
        <v>900</v>
      </c>
      <c r="G44" s="1"/>
      <c r="H44" s="1"/>
      <c r="I44" s="1"/>
      <c r="J44" s="1"/>
    </row>
    <row r="45" spans="2:10" ht="15.75">
      <c r="B45" s="89" t="s">
        <v>74</v>
      </c>
      <c r="C45" s="328">
        <v>15050</v>
      </c>
      <c r="D45" s="328">
        <v>6935</v>
      </c>
      <c r="E45" s="188" t="str">
        <f>mvalloc!E11</f>
        <v>  </v>
      </c>
      <c r="G45" s="522" t="s">
        <v>307</v>
      </c>
      <c r="H45" s="488"/>
      <c r="I45" s="487" t="str">
        <f>cert!E57</f>
        <v>No</v>
      </c>
      <c r="J45" s="1"/>
    </row>
    <row r="46" spans="2:10" ht="15.75">
      <c r="B46" s="89" t="s">
        <v>75</v>
      </c>
      <c r="C46" s="328"/>
      <c r="D46" s="328">
        <v>82</v>
      </c>
      <c r="E46" s="188" t="str">
        <f>mvalloc!F11</f>
        <v>  </v>
      </c>
      <c r="G46" s="1"/>
      <c r="H46" s="1"/>
      <c r="I46" s="1"/>
      <c r="J46" s="1"/>
    </row>
    <row r="47" spans="2:10" ht="15.75">
      <c r="B47" s="228" t="s">
        <v>144</v>
      </c>
      <c r="C47" s="328"/>
      <c r="D47" s="328">
        <v>1174</v>
      </c>
      <c r="E47" s="188" t="str">
        <f>mvalloc!G11</f>
        <v>  </v>
      </c>
      <c r="G47" s="1"/>
      <c r="H47" s="1"/>
      <c r="I47" s="1"/>
      <c r="J47" s="1"/>
    </row>
    <row r="48" spans="2:10" ht="15.75">
      <c r="B48" s="231" t="s">
        <v>368</v>
      </c>
      <c r="C48" s="328"/>
      <c r="D48" s="328"/>
      <c r="E48" s="53"/>
      <c r="G48" s="1"/>
      <c r="H48" s="1"/>
      <c r="I48" s="1"/>
      <c r="J48" s="1"/>
    </row>
    <row r="49" spans="2:10" ht="15.75">
      <c r="B49" s="230" t="s">
        <v>372</v>
      </c>
      <c r="C49" s="560">
        <v>-13</v>
      </c>
      <c r="D49" s="560"/>
      <c r="E49" s="561"/>
      <c r="G49" s="1"/>
      <c r="H49" s="1"/>
      <c r="I49" s="1"/>
      <c r="J49" s="1"/>
    </row>
    <row r="50" spans="2:10" ht="15.75">
      <c r="B50" s="240" t="s">
        <v>398</v>
      </c>
      <c r="C50" s="328">
        <v>92857</v>
      </c>
      <c r="D50" s="328">
        <v>90000</v>
      </c>
      <c r="E50" s="53">
        <v>95000</v>
      </c>
      <c r="G50" s="1"/>
      <c r="H50" s="1"/>
      <c r="I50" s="1"/>
      <c r="J50" s="1"/>
    </row>
    <row r="51" spans="2:10" ht="15.75">
      <c r="B51" s="240"/>
      <c r="C51" s="328"/>
      <c r="D51" s="328"/>
      <c r="E51" s="53"/>
      <c r="G51" s="1"/>
      <c r="H51" s="1"/>
      <c r="I51" s="1"/>
      <c r="J51" s="1"/>
    </row>
    <row r="52" spans="2:10" ht="15.75">
      <c r="B52" s="240"/>
      <c r="C52" s="328"/>
      <c r="D52" s="328"/>
      <c r="E52" s="53"/>
      <c r="G52" s="1"/>
      <c r="H52" s="1"/>
      <c r="I52" s="1"/>
      <c r="J52" s="1"/>
    </row>
    <row r="53" spans="2:10" ht="15.75">
      <c r="B53" s="231" t="s">
        <v>79</v>
      </c>
      <c r="C53" s="328"/>
      <c r="D53" s="328"/>
      <c r="E53" s="53"/>
      <c r="G53" s="1"/>
      <c r="H53" s="1"/>
      <c r="I53" s="1"/>
      <c r="J53" s="1"/>
    </row>
    <row r="54" spans="2:10" ht="15.75">
      <c r="B54" s="232" t="s">
        <v>34</v>
      </c>
      <c r="C54" s="328"/>
      <c r="D54" s="328"/>
      <c r="E54" s="53"/>
      <c r="G54" s="1"/>
      <c r="H54" s="1"/>
      <c r="I54" s="1"/>
      <c r="J54" s="1"/>
    </row>
    <row r="55" spans="2:10" ht="15.75">
      <c r="B55" s="232" t="s">
        <v>256</v>
      </c>
      <c r="C55" s="329">
        <f>IF(C56*0.1&lt;C54,"Exceed 10% Rule","")</f>
      </c>
      <c r="D55" s="329">
        <f>IF(D56*0.1&lt;D54,"Exceed 10% Rule","")</f>
      </c>
      <c r="E55" s="266">
        <f>IF(E56*0.1+E75&lt;E54,"Exceed 10% Rule","")</f>
      </c>
      <c r="G55" s="1"/>
      <c r="H55" s="1"/>
      <c r="I55" s="1"/>
      <c r="J55" s="1"/>
    </row>
    <row r="56" spans="2:10" ht="15.75">
      <c r="B56" s="234" t="s">
        <v>80</v>
      </c>
      <c r="C56" s="330">
        <f>SUM(C43:C54)</f>
        <v>109531</v>
      </c>
      <c r="D56" s="330">
        <f>SUM(D43:D54)</f>
        <v>99128</v>
      </c>
      <c r="E56" s="274">
        <f>SUM(E43:E54)</f>
        <v>95900</v>
      </c>
      <c r="G56" s="1"/>
      <c r="H56" s="1"/>
      <c r="I56" s="1"/>
      <c r="J56" s="1"/>
    </row>
    <row r="57" spans="2:10" ht="15.75">
      <c r="B57" s="234" t="s">
        <v>81</v>
      </c>
      <c r="C57" s="330">
        <f>C41+C56</f>
        <v>324060</v>
      </c>
      <c r="D57" s="330">
        <f>D41+D56</f>
        <v>291710</v>
      </c>
      <c r="E57" s="274">
        <f>E41+E56</f>
        <v>237610</v>
      </c>
      <c r="G57" s="1"/>
      <c r="H57" s="1"/>
      <c r="I57" s="1"/>
      <c r="J57" s="1"/>
    </row>
    <row r="58" spans="2:10" ht="15.75">
      <c r="B58" s="89" t="s">
        <v>84</v>
      </c>
      <c r="C58" s="232"/>
      <c r="D58" s="232"/>
      <c r="E58" s="49"/>
      <c r="G58" s="1"/>
      <c r="H58" s="1"/>
      <c r="I58" s="1"/>
      <c r="J58" s="1"/>
    </row>
    <row r="59" spans="2:10" ht="15.75">
      <c r="B59" s="51" t="s">
        <v>89</v>
      </c>
      <c r="C59" s="328">
        <v>13300</v>
      </c>
      <c r="D59" s="328">
        <v>16300</v>
      </c>
      <c r="E59" s="53">
        <v>16626</v>
      </c>
      <c r="G59" s="1"/>
      <c r="H59" s="1"/>
      <c r="I59" s="1"/>
      <c r="J59" s="1"/>
    </row>
    <row r="60" spans="2:10" ht="16.5">
      <c r="B60" s="51" t="s">
        <v>90</v>
      </c>
      <c r="C60" s="328">
        <v>3919</v>
      </c>
      <c r="D60" s="328">
        <v>6700</v>
      </c>
      <c r="E60" s="53">
        <v>7450</v>
      </c>
      <c r="G60" s="626" t="str">
        <f>CONCATENATE("Desired Carryover Into ",E1+1,"")</f>
        <v>Desired Carryover Into 2016</v>
      </c>
      <c r="H60" s="627"/>
      <c r="I60" s="627"/>
      <c r="J60" s="598"/>
    </row>
    <row r="61" spans="2:10" ht="15.75">
      <c r="B61" s="51" t="s">
        <v>91</v>
      </c>
      <c r="C61" s="328">
        <v>114259</v>
      </c>
      <c r="D61" s="328">
        <v>125000</v>
      </c>
      <c r="E61" s="53">
        <v>151474</v>
      </c>
      <c r="G61" s="418"/>
      <c r="H61" s="419"/>
      <c r="I61" s="420"/>
      <c r="J61" s="421"/>
    </row>
    <row r="62" spans="2:10" ht="15.75">
      <c r="B62" s="51" t="s">
        <v>92</v>
      </c>
      <c r="C62" s="328"/>
      <c r="D62" s="328">
        <v>2000</v>
      </c>
      <c r="E62" s="53">
        <v>2000</v>
      </c>
      <c r="G62" s="422" t="s">
        <v>261</v>
      </c>
      <c r="H62" s="420"/>
      <c r="I62" s="420"/>
      <c r="J62" s="423">
        <v>0</v>
      </c>
    </row>
    <row r="63" spans="2:10" ht="15.75">
      <c r="B63" s="240"/>
      <c r="C63" s="328"/>
      <c r="D63" s="328"/>
      <c r="E63" s="53"/>
      <c r="G63" s="418" t="s">
        <v>262</v>
      </c>
      <c r="H63" s="419"/>
      <c r="I63" s="419"/>
      <c r="J63" s="424">
        <f>IF(J62=0,"",ROUND((J62+E75-G74)/inputOth!E6*1000,3)-G79)</f>
      </c>
    </row>
    <row r="64" spans="2:10" ht="15.75">
      <c r="B64" s="240"/>
      <c r="C64" s="328"/>
      <c r="D64" s="328"/>
      <c r="E64" s="53"/>
      <c r="G64" s="429" t="s">
        <v>288</v>
      </c>
      <c r="H64" s="430"/>
      <c r="I64" s="430"/>
      <c r="J64" s="431">
        <f>IF(J62&gt;0,#REF!-E72,0)</f>
        <v>0</v>
      </c>
    </row>
    <row r="65" spans="2:10" ht="15.75">
      <c r="B65" s="232" t="s">
        <v>36</v>
      </c>
      <c r="C65" s="328"/>
      <c r="D65" s="328"/>
      <c r="E65" s="61"/>
      <c r="G65" s="1"/>
      <c r="H65" s="1"/>
      <c r="I65" s="1"/>
      <c r="J65" s="1"/>
    </row>
    <row r="66" spans="2:10" ht="16.5">
      <c r="B66" s="232" t="s">
        <v>34</v>
      </c>
      <c r="C66" s="328"/>
      <c r="D66" s="328"/>
      <c r="E66" s="53"/>
      <c r="G66" s="626" t="str">
        <f>CONCATENATE("Projected Carryover Into ",E1+1,"")</f>
        <v>Projected Carryover Into 2016</v>
      </c>
      <c r="H66" s="634"/>
      <c r="I66" s="634"/>
      <c r="J66" s="633"/>
    </row>
    <row r="67" spans="2:10" ht="15.75">
      <c r="B67" s="232" t="s">
        <v>255</v>
      </c>
      <c r="C67" s="329">
        <f>IF(C68*0.1&lt;C66,"Exceed 10% Rule","")</f>
      </c>
      <c r="D67" s="329">
        <f>IF(D68*0.1&lt;D66,"Exceed 10% Rule","")</f>
      </c>
      <c r="E67" s="266">
        <f>IF(E68*0.1&lt;E66,"Exceed 10% Rule","")</f>
      </c>
      <c r="G67" s="456"/>
      <c r="H67" s="419"/>
      <c r="I67" s="419"/>
      <c r="J67" s="451"/>
    </row>
    <row r="68" spans="2:10" ht="15.75">
      <c r="B68" s="234" t="s">
        <v>85</v>
      </c>
      <c r="C68" s="330">
        <f>SUM(C59:C66)</f>
        <v>131478</v>
      </c>
      <c r="D68" s="330">
        <f>SUM(D59:D66)</f>
        <v>150000</v>
      </c>
      <c r="E68" s="274">
        <f>SUM(E59:E66)</f>
        <v>177550</v>
      </c>
      <c r="G68" s="447">
        <f>D69</f>
        <v>141710</v>
      </c>
      <c r="H68" s="437" t="str">
        <f>CONCATENATE("",E1-1," Ending Cash Balance (est.)")</f>
        <v>2014 Ending Cash Balance (est.)</v>
      </c>
      <c r="I68" s="448"/>
      <c r="J68" s="451"/>
    </row>
    <row r="69" spans="2:10" ht="15.75">
      <c r="B69" s="89" t="s">
        <v>185</v>
      </c>
      <c r="C69" s="333">
        <f>C57-C68</f>
        <v>192582</v>
      </c>
      <c r="D69" s="333">
        <f>D57-D68</f>
        <v>141710</v>
      </c>
      <c r="E69" s="259" t="s">
        <v>59</v>
      </c>
      <c r="G69" s="447">
        <f>E56</f>
        <v>95900</v>
      </c>
      <c r="H69" s="420" t="str">
        <f>CONCATENATE("",E1," Non-AV Receipts (est.)")</f>
        <v>2015 Non-AV Receipts (est.)</v>
      </c>
      <c r="I69" s="448"/>
      <c r="J69" s="451"/>
    </row>
    <row r="70" spans="2:11" ht="15.75">
      <c r="B70" s="224" t="str">
        <f>CONCATENATE("",E1-2,"/",E1-1,"/",E1," Budget Authority Amount:")</f>
        <v>2013/2014/2015 Budget Authority Amount:</v>
      </c>
      <c r="C70" s="261">
        <f>inputOth!B36</f>
        <v>175000</v>
      </c>
      <c r="D70" s="261">
        <f>inputPrYr!D20</f>
        <v>250020</v>
      </c>
      <c r="E70" s="188">
        <f>E68</f>
        <v>177550</v>
      </c>
      <c r="F70" s="242"/>
      <c r="G70" s="449">
        <f>IF(E74&gt;0,E73,E75)</f>
        <v>0</v>
      </c>
      <c r="H70" s="420" t="str">
        <f>CONCATENATE("",E1," Ad Valorem Tax (est.)")</f>
        <v>2015 Ad Valorem Tax (est.)</v>
      </c>
      <c r="I70" s="448"/>
      <c r="J70" s="451"/>
      <c r="K70" s="434">
        <f>IF(G70=E75,"","Note: Does not include Delinquent Taxes")</f>
      </c>
    </row>
    <row r="71" spans="2:10" ht="16.5">
      <c r="B71" s="210"/>
      <c r="C71" s="616" t="s">
        <v>258</v>
      </c>
      <c r="D71" s="617"/>
      <c r="E71" s="53"/>
      <c r="F71" s="365">
        <f>IF(E68/0.95-E68&lt;E71,"Exceeds 5%","")</f>
      </c>
      <c r="G71" s="457">
        <f>SUM(G68:G70)</f>
        <v>237610</v>
      </c>
      <c r="H71" s="420" t="str">
        <f>CONCATENATE("Total ",E1," Resources Available")</f>
        <v>Total 2015 Resources Available</v>
      </c>
      <c r="I71" s="458"/>
      <c r="J71" s="451"/>
    </row>
    <row r="72" spans="2:10" ht="15.75">
      <c r="B72" s="368" t="str">
        <f>CONCATENATE(C88,"     ",D88)</f>
        <v>     </v>
      </c>
      <c r="C72" s="618" t="s">
        <v>259</v>
      </c>
      <c r="D72" s="619"/>
      <c r="E72" s="188">
        <f>E68+E71</f>
        <v>177550</v>
      </c>
      <c r="G72" s="459"/>
      <c r="H72" s="460"/>
      <c r="I72" s="419"/>
      <c r="J72" s="451"/>
    </row>
    <row r="73" spans="2:10" ht="15.75">
      <c r="B73" s="368" t="str">
        <f>CONCATENATE(C89,"     ",D89)</f>
        <v>     </v>
      </c>
      <c r="C73" s="243"/>
      <c r="D73" s="162" t="s">
        <v>86</v>
      </c>
      <c r="E73" s="61">
        <f>IF(E72-E57&gt;0,E72-E57,0)</f>
        <v>0</v>
      </c>
      <c r="G73" s="461">
        <f>ROUND(C68*0.05+C68,0)</f>
        <v>138052</v>
      </c>
      <c r="H73" s="420" t="str">
        <f>CONCATENATE("Less ",E1-2," Expenditures + 5%")</f>
        <v>Less 2013 Expenditures + 5%</v>
      </c>
      <c r="I73" s="458"/>
      <c r="J73" s="451"/>
    </row>
    <row r="74" spans="2:10" ht="15.75">
      <c r="B74" s="162"/>
      <c r="C74" s="367" t="s">
        <v>260</v>
      </c>
      <c r="D74" s="417">
        <f>inputOth!$E$23</f>
        <v>0.05</v>
      </c>
      <c r="E74" s="188">
        <f>ROUND(IF(D74&gt;0,($E$73*D74),0),0)</f>
        <v>0</v>
      </c>
      <c r="G74" s="462">
        <f>G71-G73</f>
        <v>99558</v>
      </c>
      <c r="H74" s="453" t="str">
        <f>CONCATENATE("Projected ",E1+1," carryover (est.)")</f>
        <v>Projected 2016 carryover (est.)</v>
      </c>
      <c r="I74" s="463"/>
      <c r="J74" s="464"/>
    </row>
    <row r="75" spans="2:10" ht="16.5">
      <c r="B75" s="28"/>
      <c r="C75" s="624" t="str">
        <f>CONCATENATE("Amount of  ",$E$1-1," Ad Valorem Tax")</f>
        <v>Amount of  2014 Ad Valorem Tax</v>
      </c>
      <c r="D75" s="625"/>
      <c r="E75" s="270">
        <f>E73+E74</f>
        <v>0</v>
      </c>
      <c r="G75" s="1"/>
      <c r="H75" s="1"/>
      <c r="I75" s="1"/>
      <c r="J75" s="1"/>
    </row>
    <row r="76" spans="2:10" ht="16.5">
      <c r="B76" s="210" t="s">
        <v>106</v>
      </c>
      <c r="C76" s="271">
        <v>10</v>
      </c>
      <c r="D76" s="28"/>
      <c r="E76" s="28"/>
      <c r="G76" s="628" t="s">
        <v>289</v>
      </c>
      <c r="H76" s="629"/>
      <c r="I76" s="629"/>
      <c r="J76" s="630"/>
    </row>
    <row r="77" spans="7:10" ht="16.5">
      <c r="G77" s="436"/>
      <c r="H77" s="437"/>
      <c r="I77" s="438"/>
      <c r="J77" s="439"/>
    </row>
    <row r="78" spans="7:10" ht="16.5">
      <c r="G78" s="440" t="str">
        <f>summ!H20</f>
        <v>  </v>
      </c>
      <c r="H78" s="437" t="str">
        <f>CONCATENATE("",E1," Fund Mill Rate")</f>
        <v>2015 Fund Mill Rate</v>
      </c>
      <c r="I78" s="438"/>
      <c r="J78" s="439"/>
    </row>
    <row r="79" spans="7:10" ht="16.5">
      <c r="G79" s="441" t="str">
        <f>summ!E20</f>
        <v>  </v>
      </c>
      <c r="H79" s="437" t="str">
        <f>CONCATENATE("",E1-1," Fund Mill Rate")</f>
        <v>2014 Fund Mill Rate</v>
      </c>
      <c r="I79" s="438"/>
      <c r="J79" s="439"/>
    </row>
    <row r="80" spans="7:10" ht="16.5">
      <c r="G80" s="442">
        <f>summ!H48</f>
        <v>67.327</v>
      </c>
      <c r="H80" s="437" t="str">
        <f>CONCATENATE("Total ",E1," Mill Rate")</f>
        <v>Total 2015 Mill Rate</v>
      </c>
      <c r="I80" s="438"/>
      <c r="J80" s="439"/>
    </row>
    <row r="81" spans="7:10" ht="16.5">
      <c r="G81" s="441">
        <f>summ!E48</f>
        <v>66.53</v>
      </c>
      <c r="H81" s="443" t="str">
        <f>CONCATENATE("Total ",E1-1," Mill Rate")</f>
        <v>Total 2014 Mill Rate</v>
      </c>
      <c r="I81" s="444"/>
      <c r="J81" s="445"/>
    </row>
    <row r="83" spans="7:9" ht="15.75">
      <c r="G83" s="523" t="s">
        <v>307</v>
      </c>
      <c r="H83" s="488"/>
      <c r="I83" s="487" t="str">
        <f>cert!E57</f>
        <v>No</v>
      </c>
    </row>
    <row r="86" spans="3:4" ht="15.75" hidden="1">
      <c r="C86" s="25">
        <f>IF(C30&gt;C32,"See Tab A","")</f>
      </c>
      <c r="D86" s="25">
        <f>IF(D30&gt;D32,"See Tab C","")</f>
      </c>
    </row>
    <row r="87" spans="3:4" ht="15.75" hidden="1">
      <c r="C87" s="25">
        <f>IF(C31&lt;0,"See Tab B","")</f>
      </c>
      <c r="D87" s="25">
        <f>IF(D31&lt;0,"See Tab D","")</f>
      </c>
    </row>
    <row r="88" spans="3:4" ht="15.75" hidden="1">
      <c r="C88" s="25">
        <f>IF(C68&gt;C70,"See Tab A","")</f>
      </c>
      <c r="D88" s="25">
        <f>IF(D68&gt;D70,"See Tab C","")</f>
      </c>
    </row>
    <row r="89" spans="3:4" ht="15.75" hidden="1">
      <c r="C89" s="25">
        <f>IF(C69&lt;0,"See Tab B","")</f>
      </c>
      <c r="D89" s="25">
        <f>IF(D69&lt;0,"See Tab D","")</f>
      </c>
    </row>
  </sheetData>
  <sheetProtection/>
  <mergeCells count="12">
    <mergeCell ref="C33:D33"/>
    <mergeCell ref="C34:D34"/>
    <mergeCell ref="C71:D71"/>
    <mergeCell ref="C72:D72"/>
    <mergeCell ref="C75:D75"/>
    <mergeCell ref="C37:D37"/>
    <mergeCell ref="G24:J24"/>
    <mergeCell ref="G28:J28"/>
    <mergeCell ref="G38:J38"/>
    <mergeCell ref="G60:J60"/>
    <mergeCell ref="G66:J66"/>
    <mergeCell ref="G76:J76"/>
  </mergeCells>
  <conditionalFormatting sqref="E66">
    <cfRule type="cellIs" priority="4" dxfId="253" operator="greaterThan" stopIfTrue="1">
      <formula>$E$68*0.1</formula>
    </cfRule>
  </conditionalFormatting>
  <conditionalFormatting sqref="E71">
    <cfRule type="cellIs" priority="5" dxfId="253" operator="greaterThan" stopIfTrue="1">
      <formula>$E$68/0.95-$E$68</formula>
    </cfRule>
  </conditionalFormatting>
  <conditionalFormatting sqref="E33">
    <cfRule type="cellIs" priority="6" dxfId="253" operator="greaterThan" stopIfTrue="1">
      <formula>$E$30/0.95-$E$30</formula>
    </cfRule>
  </conditionalFormatting>
  <conditionalFormatting sqref="E28">
    <cfRule type="cellIs" priority="7" dxfId="253" operator="greaterThan" stopIfTrue="1">
      <formula>$E$30*0.1</formula>
    </cfRule>
  </conditionalFormatting>
  <conditionalFormatting sqref="C30">
    <cfRule type="cellIs" priority="8" dxfId="2" operator="greaterThan" stopIfTrue="1">
      <formula>$C$32</formula>
    </cfRule>
  </conditionalFormatting>
  <conditionalFormatting sqref="C69 C31">
    <cfRule type="cellIs" priority="9" dxfId="2" operator="lessThan" stopIfTrue="1">
      <formula>0</formula>
    </cfRule>
  </conditionalFormatting>
  <conditionalFormatting sqref="D30">
    <cfRule type="cellIs" priority="10" dxfId="2" operator="greaterThan" stopIfTrue="1">
      <formula>$D$32</formula>
    </cfRule>
  </conditionalFormatting>
  <conditionalFormatting sqref="C68">
    <cfRule type="cellIs" priority="11" dxfId="2" operator="greaterThan" stopIfTrue="1">
      <formula>$C$70</formula>
    </cfRule>
  </conditionalFormatting>
  <conditionalFormatting sqref="D68">
    <cfRule type="cellIs" priority="12" dxfId="2" operator="greaterThan" stopIfTrue="1">
      <formula>$D$70</formula>
    </cfRule>
  </conditionalFormatting>
  <conditionalFormatting sqref="C66">
    <cfRule type="cellIs" priority="13" dxfId="2" operator="greaterThan" stopIfTrue="1">
      <formula>$C$68*0.1</formula>
    </cfRule>
  </conditionalFormatting>
  <conditionalFormatting sqref="D66">
    <cfRule type="cellIs" priority="14" dxfId="2" operator="greaterThan" stopIfTrue="1">
      <formula>$D$68*0.1</formula>
    </cfRule>
  </conditionalFormatting>
  <conditionalFormatting sqref="E54">
    <cfRule type="cellIs" priority="15" dxfId="253" operator="greaterThan" stopIfTrue="1">
      <formula>$E$56*0.1+E75</formula>
    </cfRule>
  </conditionalFormatting>
  <conditionalFormatting sqref="C54">
    <cfRule type="cellIs" priority="16" dxfId="2" operator="greaterThan" stopIfTrue="1">
      <formula>$C$56*0.1</formula>
    </cfRule>
  </conditionalFormatting>
  <conditionalFormatting sqref="D54">
    <cfRule type="cellIs" priority="17" dxfId="2" operator="greaterThan" stopIfTrue="1">
      <formula>$D$56*0.1</formula>
    </cfRule>
  </conditionalFormatting>
  <conditionalFormatting sqref="C28">
    <cfRule type="cellIs" priority="18" dxfId="2" operator="greaterThan" stopIfTrue="1">
      <formula>$C$30*0.1</formula>
    </cfRule>
  </conditionalFormatting>
  <conditionalFormatting sqref="D28">
    <cfRule type="cellIs" priority="19" dxfId="2" operator="greaterThan" stopIfTrue="1">
      <formula>$D$30*0.1</formula>
    </cfRule>
  </conditionalFormatting>
  <conditionalFormatting sqref="E18">
    <cfRule type="cellIs" priority="20" dxfId="253" operator="greaterThan" stopIfTrue="1">
      <formula>$E$20*0.1+E37</formula>
    </cfRule>
  </conditionalFormatting>
  <conditionalFormatting sqref="C18">
    <cfRule type="cellIs" priority="21" dxfId="2" operator="greaterThan" stopIfTrue="1">
      <formula>$C$20*0.1</formula>
    </cfRule>
  </conditionalFormatting>
  <conditionalFormatting sqref="D18">
    <cfRule type="cellIs" priority="22" dxfId="2" operator="greaterThan" stopIfTrue="1">
      <formula>$D$20*0.1</formula>
    </cfRule>
  </conditionalFormatting>
  <conditionalFormatting sqref="D31">
    <cfRule type="cellIs" priority="2" dxfId="0" operator="lessThan" stopIfTrue="1">
      <formula>0</formula>
    </cfRule>
    <cfRule type="cellIs" priority="3" dxfId="0" operator="lessThan" stopIfTrue="1">
      <formula>0</formula>
    </cfRule>
  </conditionalFormatting>
  <conditionalFormatting sqref="D69">
    <cfRule type="cellIs" priority="1" dxfId="0" operator="lessThan" stopIfTrue="1">
      <formula>0</formula>
    </cfRule>
  </conditionalFormatting>
  <printOptions/>
  <pageMargins left="1.12" right="0.5" top="0.74" bottom="0.34" header="0.5" footer="0"/>
  <pageSetup blackAndWhite="1" horizontalDpi="120" verticalDpi="120" orientation="portrait" scale="57" r:id="rId1"/>
  <headerFooter alignWithMargins="0">
    <oddHeader>&amp;RState of Kansas
County
</oddHeader>
  </headerFooter>
</worksheet>
</file>

<file path=xl/worksheets/sheet16.xml><?xml version="1.0" encoding="utf-8"?>
<worksheet xmlns="http://schemas.openxmlformats.org/spreadsheetml/2006/main" xmlns:r="http://schemas.openxmlformats.org/officeDocument/2006/relationships">
  <dimension ref="B1:K86"/>
  <sheetViews>
    <sheetView view="pageBreakPreview" zoomScale="99" zoomScaleSheetLayoutView="99" zoomScalePageLayoutView="0" workbookViewId="0" topLeftCell="A57">
      <selection activeCell="E73" sqref="E73"/>
    </sheetView>
  </sheetViews>
  <sheetFormatPr defaultColWidth="8.8984375" defaultRowHeight="15"/>
  <cols>
    <col min="1" max="1" width="2.3984375" style="25" customWidth="1"/>
    <col min="2" max="2" width="31.09765625" style="25" customWidth="1"/>
    <col min="3" max="4" width="15.796875" style="25" customWidth="1"/>
    <col min="5" max="5" width="16.09765625" style="25" customWidth="1"/>
    <col min="6" max="6" width="7.3984375" style="25" customWidth="1"/>
    <col min="7" max="7" width="10.19921875" style="25" customWidth="1"/>
    <col min="8" max="8" width="8.8984375" style="25" customWidth="1"/>
    <col min="9" max="9" width="5" style="25" customWidth="1"/>
    <col min="10" max="10" width="10" style="25" customWidth="1"/>
    <col min="11"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151</v>
      </c>
      <c r="C3" s="255"/>
      <c r="D3" s="255"/>
      <c r="E3" s="256"/>
    </row>
    <row r="4" spans="2:5" ht="15.75">
      <c r="B4" s="27" t="s">
        <v>71</v>
      </c>
      <c r="C4" s="470" t="s">
        <v>290</v>
      </c>
      <c r="D4" s="471" t="s">
        <v>291</v>
      </c>
      <c r="E4" s="151" t="s">
        <v>292</v>
      </c>
    </row>
    <row r="5" spans="2:5" ht="15.75">
      <c r="B5" s="356" t="str">
        <f>inputPrYr!B21</f>
        <v>Conservation District</v>
      </c>
      <c r="C5" s="331" t="str">
        <f>CONCATENATE("Actual for ",E1-2,"")</f>
        <v>Actual for 2013</v>
      </c>
      <c r="D5" s="331" t="str">
        <f>CONCATENATE("Estimate for ",E1-1,"")</f>
        <v>Estimate for 2014</v>
      </c>
      <c r="E5" s="225" t="str">
        <f>CONCATENATE("Year for ",E1,"")</f>
        <v>Year for 2015</v>
      </c>
    </row>
    <row r="6" spans="2:5" ht="15.75">
      <c r="B6" s="89" t="s">
        <v>184</v>
      </c>
      <c r="C6" s="328">
        <v>1591</v>
      </c>
      <c r="D6" s="332">
        <f>C31</f>
        <v>1305</v>
      </c>
      <c r="E6" s="188">
        <f>D31</f>
        <v>769</v>
      </c>
    </row>
    <row r="7" spans="2:5" ht="15.75">
      <c r="B7" s="213" t="s">
        <v>186</v>
      </c>
      <c r="C7" s="228"/>
      <c r="D7" s="228"/>
      <c r="E7" s="68"/>
    </row>
    <row r="8" spans="2:5" ht="15.75">
      <c r="B8" s="89" t="s">
        <v>72</v>
      </c>
      <c r="C8" s="328">
        <v>16901</v>
      </c>
      <c r="D8" s="332">
        <v>18079</v>
      </c>
      <c r="E8" s="259" t="s">
        <v>59</v>
      </c>
    </row>
    <row r="9" spans="2:5" ht="15.75">
      <c r="B9" s="89" t="s">
        <v>73</v>
      </c>
      <c r="C9" s="328">
        <v>457</v>
      </c>
      <c r="D9" s="328">
        <v>200</v>
      </c>
      <c r="E9" s="53">
        <v>200</v>
      </c>
    </row>
    <row r="10" spans="2:5" ht="15.75">
      <c r="B10" s="89" t="s">
        <v>74</v>
      </c>
      <c r="C10" s="328">
        <v>2471</v>
      </c>
      <c r="D10" s="328">
        <v>1972</v>
      </c>
      <c r="E10" s="188">
        <f>mvalloc!E12</f>
        <v>2036</v>
      </c>
    </row>
    <row r="11" spans="2:5" ht="15.75">
      <c r="B11" s="89" t="s">
        <v>75</v>
      </c>
      <c r="C11" s="328"/>
      <c r="D11" s="328">
        <v>27</v>
      </c>
      <c r="E11" s="188">
        <f>mvalloc!F12</f>
        <v>25</v>
      </c>
    </row>
    <row r="12" spans="2:5" ht="15.75">
      <c r="B12" s="228" t="s">
        <v>144</v>
      </c>
      <c r="C12" s="328"/>
      <c r="D12" s="328">
        <v>163</v>
      </c>
      <c r="E12" s="188">
        <f>mvalloc!G12</f>
        <v>168</v>
      </c>
    </row>
    <row r="13" spans="2:5" ht="15.75">
      <c r="B13" s="231" t="s">
        <v>368</v>
      </c>
      <c r="C13" s="328">
        <v>1</v>
      </c>
      <c r="D13" s="328"/>
      <c r="E13" s="53"/>
    </row>
    <row r="14" spans="2:5" ht="15.75">
      <c r="B14" s="230" t="s">
        <v>372</v>
      </c>
      <c r="C14" s="560">
        <v>-116</v>
      </c>
      <c r="D14" s="560">
        <v>-977</v>
      </c>
      <c r="E14" s="561">
        <v>-851</v>
      </c>
    </row>
    <row r="15" spans="2:5" ht="15.75">
      <c r="B15" s="240"/>
      <c r="C15" s="328"/>
      <c r="D15" s="328"/>
      <c r="E15" s="53"/>
    </row>
    <row r="16" spans="2:5" ht="15.75">
      <c r="B16" s="240"/>
      <c r="C16" s="328"/>
      <c r="D16" s="328"/>
      <c r="E16" s="53"/>
    </row>
    <row r="17" spans="2:5" ht="15.75">
      <c r="B17" s="231" t="s">
        <v>79</v>
      </c>
      <c r="C17" s="328"/>
      <c r="D17" s="328"/>
      <c r="E17" s="53"/>
    </row>
    <row r="18" spans="2:5" ht="15.75">
      <c r="B18" s="232" t="s">
        <v>34</v>
      </c>
      <c r="C18" s="328"/>
      <c r="D18" s="328"/>
      <c r="E18" s="53"/>
    </row>
    <row r="19" spans="2:5" ht="15.75">
      <c r="B19" s="232" t="s">
        <v>256</v>
      </c>
      <c r="C19" s="329">
        <f>IF(C20*0.1&lt;C18,"Exceed 10% Rule","")</f>
      </c>
      <c r="D19" s="329">
        <f>IF(D20*0.1&lt;D18,"Exceed 10% Rule","")</f>
      </c>
      <c r="E19" s="266">
        <f>IF(E20*0.1+E37&lt;E18,"Exceed 10% Rule","")</f>
      </c>
    </row>
    <row r="20" spans="2:5" ht="15.75">
      <c r="B20" s="234" t="s">
        <v>80</v>
      </c>
      <c r="C20" s="330">
        <f>SUM(C8:C18)</f>
        <v>19714</v>
      </c>
      <c r="D20" s="330">
        <f>SUM(D8:D18)</f>
        <v>19464</v>
      </c>
      <c r="E20" s="274">
        <f>SUM(E8:E18)</f>
        <v>1578</v>
      </c>
    </row>
    <row r="21" spans="2:5" ht="15.75">
      <c r="B21" s="234" t="s">
        <v>81</v>
      </c>
      <c r="C21" s="330">
        <f>C6+C20</f>
        <v>21305</v>
      </c>
      <c r="D21" s="330">
        <f>D6+D20</f>
        <v>20769</v>
      </c>
      <c r="E21" s="274">
        <f>E6+E20</f>
        <v>2347</v>
      </c>
    </row>
    <row r="22" spans="2:5" ht="15.75">
      <c r="B22" s="89" t="s">
        <v>84</v>
      </c>
      <c r="C22" s="232"/>
      <c r="D22" s="232"/>
      <c r="E22" s="49"/>
    </row>
    <row r="23" spans="2:5" ht="15.75">
      <c r="B23" s="240" t="s">
        <v>399</v>
      </c>
      <c r="C23" s="328">
        <v>20000</v>
      </c>
      <c r="D23" s="328">
        <v>20000</v>
      </c>
      <c r="E23" s="53">
        <v>20000</v>
      </c>
    </row>
    <row r="24" spans="2:10" ht="16.5">
      <c r="B24" s="240"/>
      <c r="C24" s="328"/>
      <c r="D24" s="328"/>
      <c r="E24" s="53"/>
      <c r="G24" s="626" t="str">
        <f>CONCATENATE("Desired Carryover Into ",E1+1,"")</f>
        <v>Desired Carryover Into 2016</v>
      </c>
      <c r="H24" s="627"/>
      <c r="I24" s="627"/>
      <c r="J24" s="598"/>
    </row>
    <row r="25" spans="2:10" ht="15.75">
      <c r="B25" s="240"/>
      <c r="C25" s="328"/>
      <c r="D25" s="328"/>
      <c r="E25" s="53"/>
      <c r="G25" s="425" t="str">
        <f>CONCATENATE("",E1," Tot Exp/Non-Appr Must Be:")</f>
        <v>2015 Tot Exp/Non-Appr Must Be:</v>
      </c>
      <c r="H25" s="426"/>
      <c r="I25" s="427"/>
      <c r="J25" s="428" t="e">
        <f>IF(#REF!&gt;0,IF(E34&lt;E21,IF(#REF!=G36,E34,((#REF!-G36)*(1-D36))+E21),E34+(#REF!-G36)),0)</f>
        <v>#REF!</v>
      </c>
    </row>
    <row r="26" spans="2:10" ht="15.75">
      <c r="B26" s="240"/>
      <c r="C26" s="328"/>
      <c r="D26" s="328"/>
      <c r="E26" s="53"/>
      <c r="G26" s="429" t="s">
        <v>288</v>
      </c>
      <c r="H26" s="430"/>
      <c r="I26" s="430"/>
      <c r="J26" s="431" t="e">
        <f>IF(#REF!&gt;0,J25-E34,0)</f>
        <v>#REF!</v>
      </c>
    </row>
    <row r="27" spans="2:10" ht="15.75">
      <c r="B27" s="232" t="s">
        <v>36</v>
      </c>
      <c r="C27" s="328"/>
      <c r="D27" s="328"/>
      <c r="E27" s="61"/>
      <c r="G27" s="1"/>
      <c r="H27" s="1"/>
      <c r="I27" s="1"/>
      <c r="J27" s="1"/>
    </row>
    <row r="28" spans="2:10" ht="16.5">
      <c r="B28" s="232" t="s">
        <v>34</v>
      </c>
      <c r="C28" s="328"/>
      <c r="D28" s="328"/>
      <c r="E28" s="53"/>
      <c r="G28" s="626" t="str">
        <f>CONCATENATE("Projected Carryover Into ",E1+1,"")</f>
        <v>Projected Carryover Into 2016</v>
      </c>
      <c r="H28" s="632"/>
      <c r="I28" s="632"/>
      <c r="J28" s="633"/>
    </row>
    <row r="29" spans="2:10" ht="15.75">
      <c r="B29" s="232" t="s">
        <v>255</v>
      </c>
      <c r="C29" s="329">
        <f>IF(C30*0.1&lt;C28,"Exceed 10% Rule","")</f>
      </c>
      <c r="D29" s="329">
        <f>IF(D30*0.1&lt;D28,"Exceed 10% Rule","")</f>
      </c>
      <c r="E29" s="266">
        <f>IF(E30*0.1&lt;E28,"Exceed 10% Rule","")</f>
      </c>
      <c r="G29" s="418"/>
      <c r="H29" s="420"/>
      <c r="I29" s="420"/>
      <c r="J29" s="446"/>
    </row>
    <row r="30" spans="2:10" ht="15.75">
      <c r="B30" s="234" t="s">
        <v>85</v>
      </c>
      <c r="C30" s="330">
        <f>SUM(C23:C28)</f>
        <v>20000</v>
      </c>
      <c r="D30" s="330">
        <f>SUM(D23:D28)</f>
        <v>20000</v>
      </c>
      <c r="E30" s="274">
        <f>SUM(E23:E28)</f>
        <v>20000</v>
      </c>
      <c r="G30" s="447">
        <f>D31</f>
        <v>769</v>
      </c>
      <c r="H30" s="437" t="str">
        <f>CONCATENATE("",E1-1," Ending Cash Balance (est.)")</f>
        <v>2014 Ending Cash Balance (est.)</v>
      </c>
      <c r="I30" s="448"/>
      <c r="J30" s="446"/>
    </row>
    <row r="31" spans="2:10" ht="15.75">
      <c r="B31" s="89" t="s">
        <v>185</v>
      </c>
      <c r="C31" s="333">
        <f>C21-C30</f>
        <v>1305</v>
      </c>
      <c r="D31" s="333">
        <f>D21-D30</f>
        <v>769</v>
      </c>
      <c r="E31" s="259" t="s">
        <v>59</v>
      </c>
      <c r="G31" s="447">
        <f>E20</f>
        <v>1578</v>
      </c>
      <c r="H31" s="420" t="str">
        <f>CONCATENATE("",E1," Non-AV Receipts (est.)")</f>
        <v>2015 Non-AV Receipts (est.)</v>
      </c>
      <c r="I31" s="448"/>
      <c r="J31" s="446"/>
    </row>
    <row r="32" spans="2:11" ht="15.75">
      <c r="B32" s="224" t="str">
        <f>CONCATENATE("",E1-2,"/",E1-1,"/",E1," Budget Authority Amount:")</f>
        <v>2013/2014/2015 Budget Authority Amount:</v>
      </c>
      <c r="C32" s="261">
        <f>inputOth!B37</f>
        <v>20000</v>
      </c>
      <c r="D32" s="261">
        <f>inputPrYr!D21</f>
        <v>20000</v>
      </c>
      <c r="E32" s="188">
        <f>E30</f>
        <v>20000</v>
      </c>
      <c r="F32" s="242"/>
      <c r="G32" s="449">
        <f>IF(E36&gt;0,E35,E37)</f>
        <v>17653</v>
      </c>
      <c r="H32" s="420" t="str">
        <f>CONCATENATE("",E1," Ad Valorem Tax (est.)")</f>
        <v>2015 Ad Valorem Tax (est.)</v>
      </c>
      <c r="I32" s="448"/>
      <c r="J32" s="446"/>
      <c r="K32" s="434" t="str">
        <f>IF(G32=E37,"","Note: Does not include Delinquent Taxes")</f>
        <v>Note: Does not include Delinquent Taxes</v>
      </c>
    </row>
    <row r="33" spans="2:10" ht="16.5">
      <c r="B33" s="210"/>
      <c r="C33" s="616" t="s">
        <v>258</v>
      </c>
      <c r="D33" s="617"/>
      <c r="E33" s="216"/>
      <c r="F33" s="365">
        <f>IF(E30/0.95-E30&lt;E33,"Exceeds 5%","")</f>
      </c>
      <c r="G33" s="447">
        <f>SUM(G30:G32)</f>
        <v>20000</v>
      </c>
      <c r="H33" s="420" t="str">
        <f>CONCATENATE("Total ",E1," Resources Available")</f>
        <v>Total 2015 Resources Available</v>
      </c>
      <c r="I33" s="448"/>
      <c r="J33" s="446"/>
    </row>
    <row r="34" spans="2:10" ht="15.75">
      <c r="B34" s="369" t="str">
        <f>CONCATENATE(C83,"     ",D83)</f>
        <v>     </v>
      </c>
      <c r="C34" s="618" t="s">
        <v>259</v>
      </c>
      <c r="D34" s="619"/>
      <c r="E34" s="188">
        <f>E30+E33</f>
        <v>20000</v>
      </c>
      <c r="G34" s="450"/>
      <c r="H34" s="420"/>
      <c r="I34" s="420"/>
      <c r="J34" s="446"/>
    </row>
    <row r="35" spans="2:10" ht="15.75">
      <c r="B35" s="369" t="str">
        <f>CONCATENATE(C84,"     ",D84)</f>
        <v>     </v>
      </c>
      <c r="C35" s="243"/>
      <c r="D35" s="162" t="s">
        <v>86</v>
      </c>
      <c r="E35" s="61">
        <f>IF(E34-E21&gt;0,E34-E21,0)</f>
        <v>17653</v>
      </c>
      <c r="G35" s="449">
        <f>ROUND(C30*0.05+C30,0)</f>
        <v>21000</v>
      </c>
      <c r="H35" s="420" t="str">
        <f>CONCATENATE("Less ",E1-2," Expenditures + 5%")</f>
        <v>Less 2013 Expenditures + 5%</v>
      </c>
      <c r="I35" s="448"/>
      <c r="J35" s="451"/>
    </row>
    <row r="36" spans="2:10" ht="15.75">
      <c r="B36" s="162"/>
      <c r="C36" s="367" t="s">
        <v>260</v>
      </c>
      <c r="D36" s="417">
        <f>inputOth!$E$23</f>
        <v>0.05</v>
      </c>
      <c r="E36" s="188">
        <f>ROUND(IF(D36&gt;0,($E$35*D36),0),0)</f>
        <v>883</v>
      </c>
      <c r="G36" s="452">
        <f>G33-G35</f>
        <v>-1000</v>
      </c>
      <c r="H36" s="453" t="str">
        <f>CONCATENATE("Projected ",E1+1," carryover (est.)")</f>
        <v>Projected 2016 carryover (est.)</v>
      </c>
      <c r="I36" s="454"/>
      <c r="J36" s="455"/>
    </row>
    <row r="37" spans="2:10" ht="16.5">
      <c r="B37" s="28"/>
      <c r="C37" s="624" t="str">
        <f>CONCATENATE("Amount of  ",$E$1-1," Ad Valorem Tax")</f>
        <v>Amount of  2014 Ad Valorem Tax</v>
      </c>
      <c r="D37" s="625"/>
      <c r="E37" s="270">
        <f>E35+E36</f>
        <v>18536</v>
      </c>
      <c r="G37" s="1"/>
      <c r="H37" s="1"/>
      <c r="I37" s="1"/>
      <c r="J37" s="1"/>
    </row>
    <row r="38" spans="2:10" ht="16.5">
      <c r="B38" s="27" t="s">
        <v>71</v>
      </c>
      <c r="C38" s="249"/>
      <c r="D38" s="249"/>
      <c r="E38" s="249"/>
      <c r="G38" s="628" t="s">
        <v>289</v>
      </c>
      <c r="H38" s="629"/>
      <c r="I38" s="629"/>
      <c r="J38" s="630"/>
    </row>
    <row r="39" spans="2:10" ht="16.5">
      <c r="B39" s="28"/>
      <c r="C39" s="470" t="str">
        <f aca="true" t="shared" si="0" ref="C39:E40">C4</f>
        <v>Prior Year </v>
      </c>
      <c r="D39" s="471" t="str">
        <f t="shared" si="0"/>
        <v>Current Year </v>
      </c>
      <c r="E39" s="151" t="str">
        <f t="shared" si="0"/>
        <v>Proposed Budget </v>
      </c>
      <c r="G39" s="436"/>
      <c r="H39" s="437"/>
      <c r="I39" s="438"/>
      <c r="J39" s="439"/>
    </row>
    <row r="40" spans="2:10" ht="16.5">
      <c r="B40" s="355" t="str">
        <f>inputPrYr!B22</f>
        <v>Services for Aging</v>
      </c>
      <c r="C40" s="331" t="str">
        <f t="shared" si="0"/>
        <v>Actual for 2013</v>
      </c>
      <c r="D40" s="331" t="str">
        <f t="shared" si="0"/>
        <v>Estimate for 2014</v>
      </c>
      <c r="E40" s="225" t="str">
        <f t="shared" si="0"/>
        <v>Year for 2015</v>
      </c>
      <c r="G40" s="440">
        <f>summ!H21</f>
        <v>0.22</v>
      </c>
      <c r="H40" s="437" t="str">
        <f>CONCATENATE("",E1," Fund Mill Rate")</f>
        <v>2015 Fund Mill Rate</v>
      </c>
      <c r="I40" s="438"/>
      <c r="J40" s="439"/>
    </row>
    <row r="41" spans="2:10" ht="16.5">
      <c r="B41" s="89" t="s">
        <v>184</v>
      </c>
      <c r="C41" s="328">
        <v>4422</v>
      </c>
      <c r="D41" s="332">
        <f>C66</f>
        <v>4535</v>
      </c>
      <c r="E41" s="188">
        <f>D66</f>
        <v>2733</v>
      </c>
      <c r="G41" s="441">
        <f>summ!E21</f>
        <v>0.227</v>
      </c>
      <c r="H41" s="437" t="str">
        <f>CONCATENATE("",E1-1," Fund Mill Rate")</f>
        <v>2014 Fund Mill Rate</v>
      </c>
      <c r="I41" s="438"/>
      <c r="J41" s="439"/>
    </row>
    <row r="42" spans="2:10" ht="16.5">
      <c r="B42" s="226" t="s">
        <v>186</v>
      </c>
      <c r="C42" s="228"/>
      <c r="D42" s="228"/>
      <c r="E42" s="68"/>
      <c r="G42" s="442">
        <f>summ!H48</f>
        <v>67.327</v>
      </c>
      <c r="H42" s="437" t="str">
        <f>CONCATENATE("Total ",E1," Mill Rate")</f>
        <v>Total 2015 Mill Rate</v>
      </c>
      <c r="I42" s="438"/>
      <c r="J42" s="439"/>
    </row>
    <row r="43" spans="2:10" ht="16.5">
      <c r="B43" s="89" t="s">
        <v>72</v>
      </c>
      <c r="C43" s="328">
        <v>68786</v>
      </c>
      <c r="D43" s="332">
        <v>76271</v>
      </c>
      <c r="E43" s="259" t="s">
        <v>59</v>
      </c>
      <c r="G43" s="441">
        <f>summ!E48</f>
        <v>66.53</v>
      </c>
      <c r="H43" s="443" t="str">
        <f>CONCATENATE("Total ",E1-1," Mill Rate")</f>
        <v>Total 2014 Mill Rate</v>
      </c>
      <c r="I43" s="444"/>
      <c r="J43" s="445"/>
    </row>
    <row r="44" spans="2:10" ht="15.75">
      <c r="B44" s="89" t="s">
        <v>73</v>
      </c>
      <c r="C44" s="328">
        <v>1753</v>
      </c>
      <c r="D44" s="328">
        <v>900</v>
      </c>
      <c r="E44" s="53">
        <v>900</v>
      </c>
      <c r="G44" s="1"/>
      <c r="H44" s="1"/>
      <c r="I44" s="1"/>
      <c r="J44" s="1"/>
    </row>
    <row r="45" spans="2:10" ht="15.75">
      <c r="B45" s="89" t="s">
        <v>74</v>
      </c>
      <c r="C45" s="328">
        <v>9424</v>
      </c>
      <c r="D45" s="328">
        <v>8028</v>
      </c>
      <c r="E45" s="188">
        <f>mvalloc!E13</f>
        <v>8590</v>
      </c>
      <c r="G45" s="524" t="s">
        <v>307</v>
      </c>
      <c r="H45" s="488"/>
      <c r="I45" s="487" t="str">
        <f>cert!E57</f>
        <v>No</v>
      </c>
      <c r="J45" s="1"/>
    </row>
    <row r="46" spans="2:10" ht="15.75">
      <c r="B46" s="89" t="s">
        <v>75</v>
      </c>
      <c r="C46" s="328"/>
      <c r="D46" s="328">
        <v>110</v>
      </c>
      <c r="E46" s="188">
        <f>mvalloc!F13</f>
        <v>107</v>
      </c>
      <c r="G46" s="1"/>
      <c r="H46" s="1"/>
      <c r="I46" s="1"/>
      <c r="J46" s="1"/>
    </row>
    <row r="47" spans="2:10" ht="15.75">
      <c r="B47" s="228" t="s">
        <v>144</v>
      </c>
      <c r="C47" s="328"/>
      <c r="D47" s="328">
        <v>742</v>
      </c>
      <c r="E47" s="188">
        <f>mvalloc!G13</f>
        <v>707</v>
      </c>
      <c r="G47" s="1"/>
      <c r="H47" s="1"/>
      <c r="I47" s="1"/>
      <c r="J47" s="1"/>
    </row>
    <row r="48" spans="2:10" ht="15.75">
      <c r="B48" s="231" t="s">
        <v>368</v>
      </c>
      <c r="C48" s="328">
        <v>2</v>
      </c>
      <c r="D48" s="328"/>
      <c r="E48" s="53"/>
      <c r="G48" s="1"/>
      <c r="H48" s="1"/>
      <c r="I48" s="1"/>
      <c r="J48" s="1"/>
    </row>
    <row r="49" spans="2:10" ht="15.75">
      <c r="B49" s="230" t="s">
        <v>372</v>
      </c>
      <c r="C49" s="560">
        <v>-473</v>
      </c>
      <c r="D49" s="560">
        <v>-3977</v>
      </c>
      <c r="E49" s="561">
        <v>-3578</v>
      </c>
      <c r="G49" s="1"/>
      <c r="H49" s="1"/>
      <c r="I49" s="1"/>
      <c r="J49" s="1"/>
    </row>
    <row r="50" spans="2:10" ht="15.75">
      <c r="B50" s="240"/>
      <c r="C50" s="328"/>
      <c r="D50" s="328"/>
      <c r="E50" s="53"/>
      <c r="G50" s="1"/>
      <c r="H50" s="1"/>
      <c r="I50" s="1"/>
      <c r="J50" s="1"/>
    </row>
    <row r="51" spans="2:10" ht="15.75">
      <c r="B51" s="240"/>
      <c r="C51" s="328"/>
      <c r="D51" s="328"/>
      <c r="E51" s="53"/>
      <c r="G51" s="1"/>
      <c r="H51" s="1"/>
      <c r="I51" s="1"/>
      <c r="J51" s="1"/>
    </row>
    <row r="52" spans="2:10" ht="15.75">
      <c r="B52" s="231" t="s">
        <v>79</v>
      </c>
      <c r="C52" s="328"/>
      <c r="D52" s="328"/>
      <c r="E52" s="53"/>
      <c r="G52" s="1"/>
      <c r="H52" s="1"/>
      <c r="I52" s="1"/>
      <c r="J52" s="1"/>
    </row>
    <row r="53" spans="2:10" ht="15.75">
      <c r="B53" s="232" t="s">
        <v>34</v>
      </c>
      <c r="C53" s="328"/>
      <c r="D53" s="328"/>
      <c r="E53" s="53"/>
      <c r="G53" s="1"/>
      <c r="H53" s="1"/>
      <c r="I53" s="1"/>
      <c r="J53" s="1"/>
    </row>
    <row r="54" spans="2:10" ht="15.75">
      <c r="B54" s="232" t="s">
        <v>256</v>
      </c>
      <c r="C54" s="329">
        <f>IF(C55*0.1&lt;C53,"Exceed 10% Rule","")</f>
      </c>
      <c r="D54" s="329">
        <f>IF(D55*0.1&lt;D53,"Exceed 10% Rule","")</f>
      </c>
      <c r="E54" s="266">
        <f>IF(E55*0.1+E72&lt;E53,"Exceed 10% Rule","")</f>
      </c>
      <c r="G54" s="1"/>
      <c r="H54" s="1"/>
      <c r="I54" s="1"/>
      <c r="J54" s="1"/>
    </row>
    <row r="55" spans="2:10" ht="15.75">
      <c r="B55" s="234" t="s">
        <v>80</v>
      </c>
      <c r="C55" s="330">
        <f>SUM(C43:C53)</f>
        <v>79492</v>
      </c>
      <c r="D55" s="330">
        <f>SUM(D43:D53)</f>
        <v>82074</v>
      </c>
      <c r="E55" s="274">
        <f>SUM(E44:E53)</f>
        <v>6726</v>
      </c>
      <c r="G55" s="1"/>
      <c r="H55" s="1"/>
      <c r="I55" s="1"/>
      <c r="J55" s="1"/>
    </row>
    <row r="56" spans="2:10" ht="15.75">
      <c r="B56" s="234" t="s">
        <v>81</v>
      </c>
      <c r="C56" s="330">
        <f>C41+C55</f>
        <v>83914</v>
      </c>
      <c r="D56" s="330">
        <f>D41+D55</f>
        <v>86609</v>
      </c>
      <c r="E56" s="274">
        <f>E41+E55</f>
        <v>9459</v>
      </c>
      <c r="G56" s="1"/>
      <c r="H56" s="1"/>
      <c r="I56" s="1"/>
      <c r="J56" s="1"/>
    </row>
    <row r="57" spans="2:10" ht="15.75">
      <c r="B57" s="89" t="s">
        <v>84</v>
      </c>
      <c r="C57" s="232"/>
      <c r="D57" s="232"/>
      <c r="E57" s="49"/>
      <c r="G57" s="1"/>
      <c r="H57" s="1"/>
      <c r="I57" s="1"/>
      <c r="J57" s="1"/>
    </row>
    <row r="58" spans="2:10" ht="15.75">
      <c r="B58" s="240" t="s">
        <v>399</v>
      </c>
      <c r="C58" s="328">
        <v>79379</v>
      </c>
      <c r="D58" s="328">
        <v>83876</v>
      </c>
      <c r="E58" s="53">
        <v>84385</v>
      </c>
      <c r="G58" s="1"/>
      <c r="H58" s="1"/>
      <c r="I58" s="1"/>
      <c r="J58" s="1"/>
    </row>
    <row r="59" spans="2:10" ht="16.5">
      <c r="B59" s="240"/>
      <c r="C59" s="328"/>
      <c r="D59" s="328"/>
      <c r="E59" s="53"/>
      <c r="G59" s="626" t="str">
        <f>CONCATENATE("Desired Carryover Into ",E1+1,"")</f>
        <v>Desired Carryover Into 2016</v>
      </c>
      <c r="H59" s="627"/>
      <c r="I59" s="627"/>
      <c r="J59" s="598"/>
    </row>
    <row r="60" spans="2:10" ht="15.75">
      <c r="B60" s="240"/>
      <c r="C60" s="328"/>
      <c r="D60" s="328"/>
      <c r="E60" s="53"/>
      <c r="G60" s="425" t="str">
        <f>CONCATENATE("",E1," Tot Exp/Non-Appr Must Be:")</f>
        <v>2015 Tot Exp/Non-Appr Must Be:</v>
      </c>
      <c r="H60" s="426"/>
      <c r="I60" s="427"/>
      <c r="J60" s="428" t="e">
        <f>IF(#REF!&gt;0,IF(E69&lt;E56,IF(#REF!=G71,E69,((#REF!-G71)*(1-D71))+E56),E69+(#REF!-G71)),0)</f>
        <v>#REF!</v>
      </c>
    </row>
    <row r="61" spans="2:10" ht="15.75">
      <c r="B61" s="240"/>
      <c r="C61" s="328"/>
      <c r="D61" s="328"/>
      <c r="E61" s="53"/>
      <c r="G61" s="429" t="s">
        <v>288</v>
      </c>
      <c r="H61" s="430"/>
      <c r="I61" s="430"/>
      <c r="J61" s="431" t="e">
        <f>IF(#REF!&gt;0,J60-E69,0)</f>
        <v>#REF!</v>
      </c>
    </row>
    <row r="62" spans="2:10" ht="15.75">
      <c r="B62" s="232" t="s">
        <v>36</v>
      </c>
      <c r="C62" s="328"/>
      <c r="D62" s="328"/>
      <c r="E62" s="61"/>
      <c r="G62" s="1"/>
      <c r="H62" s="1"/>
      <c r="I62" s="1"/>
      <c r="J62" s="1"/>
    </row>
    <row r="63" spans="2:10" ht="16.5">
      <c r="B63" s="232" t="s">
        <v>34</v>
      </c>
      <c r="C63" s="328"/>
      <c r="D63" s="328"/>
      <c r="E63" s="53"/>
      <c r="G63" s="626" t="str">
        <f>CONCATENATE("Projected Carryover Into ",E1+1,"")</f>
        <v>Projected Carryover Into 2016</v>
      </c>
      <c r="H63" s="634"/>
      <c r="I63" s="634"/>
      <c r="J63" s="633"/>
    </row>
    <row r="64" spans="2:10" ht="15.75">
      <c r="B64" s="232" t="s">
        <v>255</v>
      </c>
      <c r="C64" s="329">
        <f>IF(C65*0.1&lt;C63,"Exceed 10% Rule","")</f>
      </c>
      <c r="D64" s="329">
        <f>IF(D65*0.1&lt;D63,"Exceed 10% Rule","")</f>
      </c>
      <c r="E64" s="266">
        <f>IF(E65*0.1&lt;E63,"Exceed 10% Rule","")</f>
      </c>
      <c r="G64" s="456"/>
      <c r="H64" s="419"/>
      <c r="I64" s="419"/>
      <c r="J64" s="451"/>
    </row>
    <row r="65" spans="2:10" ht="15.75">
      <c r="B65" s="234" t="s">
        <v>85</v>
      </c>
      <c r="C65" s="330">
        <f>SUM(C58:C63)</f>
        <v>79379</v>
      </c>
      <c r="D65" s="330">
        <f>SUM(D58:D63)</f>
        <v>83876</v>
      </c>
      <c r="E65" s="274">
        <f>SUM(E58:E63)</f>
        <v>84385</v>
      </c>
      <c r="G65" s="447">
        <f>D66</f>
        <v>2733</v>
      </c>
      <c r="H65" s="437" t="str">
        <f>CONCATENATE("",E1-1," Ending Cash Balance (est.)")</f>
        <v>2014 Ending Cash Balance (est.)</v>
      </c>
      <c r="I65" s="448"/>
      <c r="J65" s="451"/>
    </row>
    <row r="66" spans="2:10" ht="15.75">
      <c r="B66" s="89" t="s">
        <v>185</v>
      </c>
      <c r="C66" s="333">
        <f>C56-C65</f>
        <v>4535</v>
      </c>
      <c r="D66" s="333">
        <f>D56-D65</f>
        <v>2733</v>
      </c>
      <c r="E66" s="259" t="s">
        <v>59</v>
      </c>
      <c r="G66" s="447">
        <f>E55</f>
        <v>6726</v>
      </c>
      <c r="H66" s="420" t="str">
        <f>CONCATENATE("",E1," Non-AV Receipts (est.)")</f>
        <v>2015 Non-AV Receipts (est.)</v>
      </c>
      <c r="I66" s="448"/>
      <c r="J66" s="451"/>
    </row>
    <row r="67" spans="2:11" ht="15.75">
      <c r="B67" s="224" t="str">
        <f>CONCATENATE("",E1-2,"/",E1-1,"/",E1," Budget Authority Amount:")</f>
        <v>2013/2014/2015 Budget Authority Amount:</v>
      </c>
      <c r="C67" s="261">
        <f>inputOth!B38</f>
        <v>79379</v>
      </c>
      <c r="D67" s="261">
        <f>inputPrYr!D22</f>
        <v>83876</v>
      </c>
      <c r="E67" s="188">
        <f>E65</f>
        <v>84385</v>
      </c>
      <c r="F67" s="242"/>
      <c r="G67" s="449">
        <f>IF(E71&gt;0,E70,E72)</f>
        <v>74926</v>
      </c>
      <c r="H67" s="420" t="str">
        <f>CONCATENATE("",E1," Ad Valorem Tax (est.)")</f>
        <v>2015 Ad Valorem Tax (est.)</v>
      </c>
      <c r="I67" s="448"/>
      <c r="J67" s="451"/>
      <c r="K67" s="434" t="str">
        <f>IF(G67=E72,"","Note: Does not include Delinquent Taxes")</f>
        <v>Note: Does not include Delinquent Taxes</v>
      </c>
    </row>
    <row r="68" spans="2:10" ht="16.5">
      <c r="B68" s="210"/>
      <c r="C68" s="616" t="s">
        <v>258</v>
      </c>
      <c r="D68" s="617"/>
      <c r="E68" s="53"/>
      <c r="F68" s="365">
        <f>IF(E65/0.95-E65&lt;E68,"Exceeds 5%","")</f>
      </c>
      <c r="G68" s="457">
        <f>SUM(G65:G67)</f>
        <v>84385</v>
      </c>
      <c r="H68" s="420" t="str">
        <f>CONCATENATE("Total ",E1," Resources Available")</f>
        <v>Total 2015 Resources Available</v>
      </c>
      <c r="I68" s="458"/>
      <c r="J68" s="451"/>
    </row>
    <row r="69" spans="2:10" ht="15.75">
      <c r="B69" s="368" t="str">
        <f>CONCATENATE(C85,"     ",D85)</f>
        <v>     </v>
      </c>
      <c r="C69" s="618" t="s">
        <v>259</v>
      </c>
      <c r="D69" s="619"/>
      <c r="E69" s="188">
        <f>E65+E68</f>
        <v>84385</v>
      </c>
      <c r="G69" s="459"/>
      <c r="H69" s="460"/>
      <c r="I69" s="419"/>
      <c r="J69" s="451"/>
    </row>
    <row r="70" spans="2:10" ht="15.75">
      <c r="B70" s="368" t="str">
        <f>CONCATENATE(C86,"     ",D86)</f>
        <v>     </v>
      </c>
      <c r="C70" s="243"/>
      <c r="D70" s="162" t="s">
        <v>86</v>
      </c>
      <c r="E70" s="61">
        <f>IF(E69-E56&gt;0,E69-E56,0)</f>
        <v>74926</v>
      </c>
      <c r="G70" s="461">
        <f>ROUND(C65*0.05+C65,0)</f>
        <v>83348</v>
      </c>
      <c r="H70" s="420" t="str">
        <f>CONCATENATE("Less ",E1-2," Expenditures + 5%")</f>
        <v>Less 2013 Expenditures + 5%</v>
      </c>
      <c r="I70" s="458"/>
      <c r="J70" s="451"/>
    </row>
    <row r="71" spans="2:10" ht="15.75">
      <c r="B71" s="162"/>
      <c r="C71" s="367" t="s">
        <v>260</v>
      </c>
      <c r="D71" s="417">
        <f>inputOth!$E$23</f>
        <v>0.05</v>
      </c>
      <c r="E71" s="188">
        <f>ROUND(IF(D71&gt;0,($E$70*D71),0),0)</f>
        <v>3746</v>
      </c>
      <c r="G71" s="462">
        <f>G68-G70</f>
        <v>1037</v>
      </c>
      <c r="H71" s="453" t="str">
        <f>CONCATENATE("Projected ",E1+1," carryover (est.)")</f>
        <v>Projected 2016 carryover (est.)</v>
      </c>
      <c r="I71" s="463"/>
      <c r="J71" s="464"/>
    </row>
    <row r="72" spans="2:10" ht="16.5">
      <c r="B72" s="28"/>
      <c r="C72" s="624" t="str">
        <f>CONCATENATE("Amount of  ",$E$1-1," Ad Valorem Tax")</f>
        <v>Amount of  2014 Ad Valorem Tax</v>
      </c>
      <c r="D72" s="625"/>
      <c r="E72" s="270">
        <f>E70+E71</f>
        <v>78672</v>
      </c>
      <c r="G72" s="1"/>
      <c r="H72" s="1"/>
      <c r="I72" s="1"/>
      <c r="J72" s="1"/>
    </row>
    <row r="73" spans="2:10" ht="16.5">
      <c r="B73" s="210" t="s">
        <v>106</v>
      </c>
      <c r="C73" s="271">
        <v>11</v>
      </c>
      <c r="D73" s="28"/>
      <c r="E73" s="28"/>
      <c r="G73" s="628" t="s">
        <v>289</v>
      </c>
      <c r="H73" s="629"/>
      <c r="I73" s="629"/>
      <c r="J73" s="630"/>
    </row>
    <row r="74" spans="7:10" ht="16.5">
      <c r="G74" s="436"/>
      <c r="H74" s="437"/>
      <c r="I74" s="438"/>
      <c r="J74" s="439"/>
    </row>
    <row r="75" spans="7:10" ht="16.5">
      <c r="G75" s="440">
        <f>summ!H22</f>
        <v>0.932</v>
      </c>
      <c r="H75" s="437" t="str">
        <f>CONCATENATE("",E1," Fund Mill Rate")</f>
        <v>2015 Fund Mill Rate</v>
      </c>
      <c r="I75" s="438"/>
      <c r="J75" s="439"/>
    </row>
    <row r="76" spans="7:10" ht="16.5">
      <c r="G76" s="441">
        <f>summ!E22</f>
        <v>0.954</v>
      </c>
      <c r="H76" s="437" t="str">
        <f>CONCATENATE("",E1-1," Fund Mill Rate")</f>
        <v>2014 Fund Mill Rate</v>
      </c>
      <c r="I76" s="438"/>
      <c r="J76" s="439"/>
    </row>
    <row r="77" spans="7:10" ht="16.5">
      <c r="G77" s="442">
        <f>summ!H48</f>
        <v>67.327</v>
      </c>
      <c r="H77" s="437" t="str">
        <f>CONCATENATE("Total ",E1," Mill Rate")</f>
        <v>Total 2015 Mill Rate</v>
      </c>
      <c r="I77" s="438"/>
      <c r="J77" s="439"/>
    </row>
    <row r="78" spans="7:10" ht="16.5">
      <c r="G78" s="441">
        <f>summ!E48</f>
        <v>66.53</v>
      </c>
      <c r="H78" s="443" t="str">
        <f>CONCATENATE("Total ",E1-1," Mill Rate")</f>
        <v>Total 2014 Mill Rate</v>
      </c>
      <c r="I78" s="444"/>
      <c r="J78" s="445"/>
    </row>
    <row r="80" spans="7:9" ht="15.75">
      <c r="G80" s="525" t="s">
        <v>307</v>
      </c>
      <c r="H80" s="488"/>
      <c r="I80" s="487" t="str">
        <f>cert!E57</f>
        <v>No</v>
      </c>
    </row>
    <row r="83" spans="3:4" ht="15.75" hidden="1">
      <c r="C83" s="25">
        <f>IF(C30&gt;C32,"See Tab A","")</f>
      </c>
      <c r="D83" s="25">
        <f>IF(D30&gt;D32,"See Tab C","")</f>
      </c>
    </row>
    <row r="84" spans="3:4" ht="15.75" hidden="1">
      <c r="C84" s="25">
        <f>IF(C31&lt;0,"See Tab B","")</f>
      </c>
      <c r="D84" s="25">
        <f>IF(D31&lt;0,"See Tab D","")</f>
      </c>
    </row>
    <row r="85" spans="3:4" ht="15.75" hidden="1">
      <c r="C85" s="25">
        <f>IF(C65&gt;C67,"See Tab A","")</f>
      </c>
      <c r="D85" s="25">
        <f>IF(D65&gt;D67,"See Tab C","")</f>
      </c>
    </row>
    <row r="86" spans="3:4" ht="15.75" hidden="1">
      <c r="C86" s="25">
        <f>IF(C66&lt;0,"See Tab B","")</f>
      </c>
      <c r="D86" s="25">
        <f>IF(D66&lt;0,"See Tab D","")</f>
      </c>
    </row>
  </sheetData>
  <sheetProtection/>
  <mergeCells count="12">
    <mergeCell ref="C33:D33"/>
    <mergeCell ref="C34:D34"/>
    <mergeCell ref="C68:D68"/>
    <mergeCell ref="C69:D69"/>
    <mergeCell ref="C72:D72"/>
    <mergeCell ref="C37:D37"/>
    <mergeCell ref="G24:J24"/>
    <mergeCell ref="G28:J28"/>
    <mergeCell ref="G38:J38"/>
    <mergeCell ref="G59:J59"/>
    <mergeCell ref="G63:J63"/>
    <mergeCell ref="G73:J73"/>
  </mergeCells>
  <conditionalFormatting sqref="E63">
    <cfRule type="cellIs" priority="3" dxfId="253" operator="greaterThan" stopIfTrue="1">
      <formula>$E$65*0.1</formula>
    </cfRule>
  </conditionalFormatting>
  <conditionalFormatting sqref="E68">
    <cfRule type="cellIs" priority="4" dxfId="253" operator="greaterThan" stopIfTrue="1">
      <formula>$E$65/0.95-$E$65</formula>
    </cfRule>
  </conditionalFormatting>
  <conditionalFormatting sqref="E33">
    <cfRule type="cellIs" priority="5" dxfId="253" operator="greaterThan" stopIfTrue="1">
      <formula>$E$30/0.95-$E$30</formula>
    </cfRule>
  </conditionalFormatting>
  <conditionalFormatting sqref="E28">
    <cfRule type="cellIs" priority="6" dxfId="253" operator="greaterThan" stopIfTrue="1">
      <formula>$E$30*0.1</formula>
    </cfRule>
  </conditionalFormatting>
  <conditionalFormatting sqref="C30">
    <cfRule type="cellIs" priority="7" dxfId="2" operator="greaterThan" stopIfTrue="1">
      <formula>$C$32</formula>
    </cfRule>
  </conditionalFormatting>
  <conditionalFormatting sqref="C66 C31">
    <cfRule type="cellIs" priority="8" dxfId="2" operator="lessThan" stopIfTrue="1">
      <formula>0</formula>
    </cfRule>
  </conditionalFormatting>
  <conditionalFormatting sqref="D30">
    <cfRule type="cellIs" priority="9" dxfId="2" operator="greaterThan" stopIfTrue="1">
      <formula>$D$32</formula>
    </cfRule>
  </conditionalFormatting>
  <conditionalFormatting sqref="C65">
    <cfRule type="cellIs" priority="10" dxfId="2" operator="greaterThan" stopIfTrue="1">
      <formula>$C$67</formula>
    </cfRule>
  </conditionalFormatting>
  <conditionalFormatting sqref="D65">
    <cfRule type="cellIs" priority="11" dxfId="2" operator="greaterThan" stopIfTrue="1">
      <formula>$D$67</formula>
    </cfRule>
  </conditionalFormatting>
  <conditionalFormatting sqref="C63">
    <cfRule type="cellIs" priority="12" dxfId="2" operator="greaterThan" stopIfTrue="1">
      <formula>$C$65*0.1</formula>
    </cfRule>
  </conditionalFormatting>
  <conditionalFormatting sqref="D63">
    <cfRule type="cellIs" priority="13" dxfId="2" operator="greaterThan" stopIfTrue="1">
      <formula>$D$65*0.1</formula>
    </cfRule>
  </conditionalFormatting>
  <conditionalFormatting sqref="E53">
    <cfRule type="cellIs" priority="14" dxfId="253" operator="greaterThan" stopIfTrue="1">
      <formula>$E$55*0.1+E72</formula>
    </cfRule>
  </conditionalFormatting>
  <conditionalFormatting sqref="C53">
    <cfRule type="cellIs" priority="15" dxfId="2" operator="greaterThan" stopIfTrue="1">
      <formula>$C$55*0.1</formula>
    </cfRule>
  </conditionalFormatting>
  <conditionalFormatting sqref="D53">
    <cfRule type="cellIs" priority="16" dxfId="2" operator="greaterThan" stopIfTrue="1">
      <formula>$D$55*0.1</formula>
    </cfRule>
  </conditionalFormatting>
  <conditionalFormatting sqref="C28">
    <cfRule type="cellIs" priority="17" dxfId="2" operator="greaterThan" stopIfTrue="1">
      <formula>$C$30*0.1</formula>
    </cfRule>
  </conditionalFormatting>
  <conditionalFormatting sqref="D28">
    <cfRule type="cellIs" priority="18" dxfId="2" operator="greaterThan" stopIfTrue="1">
      <formula>$D$30*0.1</formula>
    </cfRule>
  </conditionalFormatting>
  <conditionalFormatting sqref="E18">
    <cfRule type="cellIs" priority="19" dxfId="253" operator="greaterThan" stopIfTrue="1">
      <formula>$E$20*0.1+E37</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66 D31">
    <cfRule type="cellIs" priority="2" dxfId="0" operator="lessThan" stopIfTrue="1">
      <formula>0</formula>
    </cfRule>
  </conditionalFormatting>
  <printOptions/>
  <pageMargins left="1.12" right="0.5" top="0.74" bottom="0.34" header="0.5" footer="0"/>
  <pageSetup blackAndWhite="1" horizontalDpi="120" verticalDpi="120" orientation="portrait" scale="59" r:id="rId1"/>
  <headerFooter alignWithMargins="0">
    <oddHeader>&amp;RState of Kansas
County
</oddHeader>
  </headerFooter>
</worksheet>
</file>

<file path=xl/worksheets/sheet17.xml><?xml version="1.0" encoding="utf-8"?>
<worksheet xmlns="http://schemas.openxmlformats.org/spreadsheetml/2006/main" xmlns:r="http://schemas.openxmlformats.org/officeDocument/2006/relationships">
  <dimension ref="B1:K88"/>
  <sheetViews>
    <sheetView view="pageBreakPreview" zoomScale="102" zoomScaleSheetLayoutView="102" zoomScalePageLayoutView="0" workbookViewId="0" topLeftCell="A21">
      <selection activeCell="E37" sqref="E37"/>
    </sheetView>
  </sheetViews>
  <sheetFormatPr defaultColWidth="8.8984375" defaultRowHeight="15"/>
  <cols>
    <col min="1" max="1" width="2.3984375" style="25" customWidth="1"/>
    <col min="2" max="2" width="31.09765625" style="25" customWidth="1"/>
    <col min="3" max="4" width="15.796875" style="25" customWidth="1"/>
    <col min="5" max="5" width="16.19921875" style="25" customWidth="1"/>
    <col min="6" max="6" width="7.3984375" style="25" customWidth="1"/>
    <col min="7" max="7" width="10.19921875" style="25" customWidth="1"/>
    <col min="8" max="8" width="8.8984375" style="25" customWidth="1"/>
    <col min="9" max="9" width="5" style="25" customWidth="1"/>
    <col min="10" max="10" width="10" style="25" customWidth="1"/>
    <col min="11"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151</v>
      </c>
      <c r="C3" s="255"/>
      <c r="D3" s="255"/>
      <c r="E3" s="256"/>
    </row>
    <row r="4" spans="2:5" ht="15.75">
      <c r="B4" s="27" t="s">
        <v>71</v>
      </c>
      <c r="C4" s="470" t="s">
        <v>290</v>
      </c>
      <c r="D4" s="471" t="s">
        <v>291</v>
      </c>
      <c r="E4" s="151" t="s">
        <v>292</v>
      </c>
    </row>
    <row r="5" spans="2:5" ht="15.75">
      <c r="B5" s="356" t="str">
        <f>inputPrYr!B23</f>
        <v>County Health</v>
      </c>
      <c r="C5" s="331" t="str">
        <f>CONCATENATE("Actual for ",E1-2,"")</f>
        <v>Actual for 2013</v>
      </c>
      <c r="D5" s="331" t="str">
        <f>CONCATENATE("Estimate for ",E1-1,"")</f>
        <v>Estimate for 2014</v>
      </c>
      <c r="E5" s="225" t="str">
        <f>CONCATENATE("Year for ",E1,"")</f>
        <v>Year for 2015</v>
      </c>
    </row>
    <row r="6" spans="2:5" ht="15.75">
      <c r="B6" s="89" t="s">
        <v>184</v>
      </c>
      <c r="C6" s="328">
        <v>36208</v>
      </c>
      <c r="D6" s="332">
        <f>C33</f>
        <v>4173</v>
      </c>
      <c r="E6" s="188">
        <f>D33</f>
        <v>0</v>
      </c>
    </row>
    <row r="7" spans="2:5" ht="15.75">
      <c r="B7" s="213" t="s">
        <v>186</v>
      </c>
      <c r="C7" s="228"/>
      <c r="D7" s="228"/>
      <c r="E7" s="68"/>
    </row>
    <row r="8" spans="2:5" ht="15.75">
      <c r="B8" s="89" t="s">
        <v>72</v>
      </c>
      <c r="C8" s="328">
        <v>144366</v>
      </c>
      <c r="D8" s="332">
        <v>147906</v>
      </c>
      <c r="E8" s="259" t="s">
        <v>59</v>
      </c>
    </row>
    <row r="9" spans="2:5" ht="15.75">
      <c r="B9" s="89" t="s">
        <v>73</v>
      </c>
      <c r="C9" s="328">
        <v>3095</v>
      </c>
      <c r="D9" s="328">
        <v>1800</v>
      </c>
      <c r="E9" s="53">
        <v>1700</v>
      </c>
    </row>
    <row r="10" spans="2:5" ht="15.75">
      <c r="B10" s="89" t="s">
        <v>74</v>
      </c>
      <c r="C10" s="328">
        <v>14666</v>
      </c>
      <c r="D10" s="328">
        <v>16854</v>
      </c>
      <c r="E10" s="188">
        <f>mvalloc!E14</f>
        <v>16657</v>
      </c>
    </row>
    <row r="11" spans="2:5" ht="15.75">
      <c r="B11" s="89" t="s">
        <v>75</v>
      </c>
      <c r="C11" s="328"/>
      <c r="D11" s="328">
        <v>231</v>
      </c>
      <c r="E11" s="188">
        <f>mvalloc!F14</f>
        <v>207</v>
      </c>
    </row>
    <row r="12" spans="2:5" ht="15.75">
      <c r="B12" s="228" t="s">
        <v>144</v>
      </c>
      <c r="C12" s="328"/>
      <c r="D12" s="328">
        <v>1393</v>
      </c>
      <c r="E12" s="188">
        <f>mvalloc!G14</f>
        <v>1371</v>
      </c>
    </row>
    <row r="13" spans="2:5" ht="15.75">
      <c r="B13" s="231" t="s">
        <v>368</v>
      </c>
      <c r="C13" s="328">
        <v>5</v>
      </c>
      <c r="D13" s="328"/>
      <c r="E13" s="53"/>
    </row>
    <row r="14" spans="2:5" ht="15.75">
      <c r="B14" s="230" t="s">
        <v>372</v>
      </c>
      <c r="C14" s="560">
        <v>-993</v>
      </c>
      <c r="D14" s="560">
        <v>-8345</v>
      </c>
      <c r="E14" s="561">
        <v>-6939</v>
      </c>
    </row>
    <row r="15" spans="2:5" ht="15.75">
      <c r="B15" s="240" t="s">
        <v>400</v>
      </c>
      <c r="C15" s="328">
        <v>585775</v>
      </c>
      <c r="D15" s="328">
        <v>578474</v>
      </c>
      <c r="E15" s="53">
        <v>580000</v>
      </c>
    </row>
    <row r="16" spans="2:5" ht="15.75">
      <c r="B16" s="240"/>
      <c r="C16" s="328"/>
      <c r="D16" s="328"/>
      <c r="E16" s="53"/>
    </row>
    <row r="17" spans="2:5" ht="15.75">
      <c r="B17" s="231" t="s">
        <v>79</v>
      </c>
      <c r="C17" s="328"/>
      <c r="D17" s="328"/>
      <c r="E17" s="53"/>
    </row>
    <row r="18" spans="2:5" ht="15.75">
      <c r="B18" s="232" t="s">
        <v>34</v>
      </c>
      <c r="C18" s="328"/>
      <c r="D18" s="328"/>
      <c r="E18" s="53"/>
    </row>
    <row r="19" spans="2:5" ht="15.75">
      <c r="B19" s="232" t="s">
        <v>256</v>
      </c>
      <c r="C19" s="329">
        <f>IF(C20*0.1&lt;C18,"Exceed 10% Rule","")</f>
      </c>
      <c r="D19" s="329">
        <f>IF(D20*0.1&lt;D18,"Exceed 10% Rule","")</f>
      </c>
      <c r="E19" s="266">
        <f>IF(E20*0.1+E39&lt;E18,"Exceed 10% Rule","")</f>
      </c>
    </row>
    <row r="20" spans="2:5" ht="15.75">
      <c r="B20" s="234" t="s">
        <v>80</v>
      </c>
      <c r="C20" s="330">
        <f>SUM(C8:C18)</f>
        <v>746914</v>
      </c>
      <c r="D20" s="330">
        <f>SUM(D8:D18)</f>
        <v>738313</v>
      </c>
      <c r="E20" s="274">
        <f>SUM(E8:E18)</f>
        <v>592996</v>
      </c>
    </row>
    <row r="21" spans="2:5" ht="15.75">
      <c r="B21" s="234" t="s">
        <v>81</v>
      </c>
      <c r="C21" s="330">
        <f>C6+C20</f>
        <v>783122</v>
      </c>
      <c r="D21" s="330">
        <f>D6+D20</f>
        <v>742486</v>
      </c>
      <c r="E21" s="274">
        <f>E6+E20</f>
        <v>592996</v>
      </c>
    </row>
    <row r="22" spans="2:5" ht="15.75">
      <c r="B22" s="89" t="s">
        <v>84</v>
      </c>
      <c r="C22" s="232"/>
      <c r="D22" s="232"/>
      <c r="E22" s="49"/>
    </row>
    <row r="23" spans="2:5" ht="15.75">
      <c r="B23" s="51" t="s">
        <v>89</v>
      </c>
      <c r="C23" s="328">
        <v>441897</v>
      </c>
      <c r="D23" s="328">
        <v>412000</v>
      </c>
      <c r="E23" s="53">
        <v>448188</v>
      </c>
    </row>
    <row r="24" spans="2:10" ht="16.5">
      <c r="B24" s="51" t="s">
        <v>90</v>
      </c>
      <c r="C24" s="328">
        <v>204713</v>
      </c>
      <c r="D24" s="328">
        <v>113700</v>
      </c>
      <c r="E24" s="53">
        <v>103872</v>
      </c>
      <c r="G24" s="626" t="str">
        <f>CONCATENATE("Desired Carryover Into ",E1+1,"")</f>
        <v>Desired Carryover Into 2016</v>
      </c>
      <c r="H24" s="627"/>
      <c r="I24" s="627"/>
      <c r="J24" s="598"/>
    </row>
    <row r="25" spans="2:10" ht="15.75">
      <c r="B25" s="51" t="s">
        <v>91</v>
      </c>
      <c r="C25" s="328">
        <v>127726</v>
      </c>
      <c r="D25" s="328">
        <v>185415</v>
      </c>
      <c r="E25" s="53">
        <v>204212</v>
      </c>
      <c r="G25" s="418"/>
      <c r="H25" s="419"/>
      <c r="I25" s="420"/>
      <c r="J25" s="421"/>
    </row>
    <row r="26" spans="2:10" ht="15.75">
      <c r="B26" s="51" t="s">
        <v>440</v>
      </c>
      <c r="C26" s="328">
        <v>4613</v>
      </c>
      <c r="D26" s="328">
        <v>31371</v>
      </c>
      <c r="E26" s="53">
        <v>31371</v>
      </c>
      <c r="G26" s="422" t="s">
        <v>261</v>
      </c>
      <c r="H26" s="420"/>
      <c r="I26" s="420"/>
      <c r="J26" s="423">
        <v>0</v>
      </c>
    </row>
    <row r="27" spans="2:10" ht="15.75">
      <c r="B27" s="240"/>
      <c r="C27" s="328"/>
      <c r="D27" s="328"/>
      <c r="E27" s="53"/>
      <c r="G27" s="418" t="s">
        <v>262</v>
      </c>
      <c r="H27" s="419"/>
      <c r="I27" s="419"/>
      <c r="J27" s="424">
        <f>IF(J26=0,"",ROUND((J26+E39-G38)/inputOth!E6*1000,3)-G43)</f>
      </c>
    </row>
    <row r="28" spans="2:10" ht="15.75">
      <c r="B28" s="240"/>
      <c r="C28" s="328"/>
      <c r="D28" s="328"/>
      <c r="E28" s="53"/>
      <c r="G28" s="429" t="s">
        <v>288</v>
      </c>
      <c r="H28" s="430"/>
      <c r="I28" s="430"/>
      <c r="J28" s="431">
        <f>IF(J26&gt;0,#REF!-E36,0)</f>
        <v>0</v>
      </c>
    </row>
    <row r="29" spans="2:10" ht="15.75">
      <c r="B29" s="232" t="s">
        <v>36</v>
      </c>
      <c r="C29" s="328"/>
      <c r="D29" s="328"/>
      <c r="E29" s="61"/>
      <c r="G29" s="1"/>
      <c r="H29" s="1"/>
      <c r="I29" s="1"/>
      <c r="J29" s="1"/>
    </row>
    <row r="30" spans="2:10" ht="16.5">
      <c r="B30" s="232" t="s">
        <v>34</v>
      </c>
      <c r="C30" s="328"/>
      <c r="D30" s="328"/>
      <c r="E30" s="53"/>
      <c r="G30" s="626" t="str">
        <f>CONCATENATE("Projected Carryover Into ",E1+1,"")</f>
        <v>Projected Carryover Into 2016</v>
      </c>
      <c r="H30" s="632"/>
      <c r="I30" s="632"/>
      <c r="J30" s="633"/>
    </row>
    <row r="31" spans="2:10" ht="15.75">
      <c r="B31" s="232" t="s">
        <v>255</v>
      </c>
      <c r="C31" s="329">
        <f>IF(C32*0.1&lt;C30,"Exceed 10% Rule","")</f>
      </c>
      <c r="D31" s="329">
        <f>IF(D32*0.1&lt;D30,"Exceed 10% Rule","")</f>
      </c>
      <c r="E31" s="266">
        <f>IF(E32*0.1&lt;E30,"Exceed 10% Rule","")</f>
      </c>
      <c r="G31" s="418"/>
      <c r="H31" s="420"/>
      <c r="I31" s="420"/>
      <c r="J31" s="446"/>
    </row>
    <row r="32" spans="2:10" ht="15.75">
      <c r="B32" s="234" t="s">
        <v>85</v>
      </c>
      <c r="C32" s="330">
        <f>SUM(C23:C30)</f>
        <v>778949</v>
      </c>
      <c r="D32" s="330">
        <f>SUM(D23:D30)</f>
        <v>742486</v>
      </c>
      <c r="E32" s="274">
        <f>SUM(E23:E30)</f>
        <v>787643</v>
      </c>
      <c r="G32" s="447">
        <f>D33</f>
        <v>0</v>
      </c>
      <c r="H32" s="437" t="str">
        <f>CONCATENATE("",E1-1," Ending Cash Balance (est.)")</f>
        <v>2014 Ending Cash Balance (est.)</v>
      </c>
      <c r="I32" s="448"/>
      <c r="J32" s="446"/>
    </row>
    <row r="33" spans="2:10" ht="15.75">
      <c r="B33" s="89" t="s">
        <v>185</v>
      </c>
      <c r="C33" s="333">
        <f>C21-C32</f>
        <v>4173</v>
      </c>
      <c r="D33" s="333">
        <f>D21-D32</f>
        <v>0</v>
      </c>
      <c r="E33" s="259" t="s">
        <v>59</v>
      </c>
      <c r="G33" s="447">
        <f>E20</f>
        <v>592996</v>
      </c>
      <c r="H33" s="420" t="str">
        <f>CONCATENATE("",E1," Non-AV Receipts (est.)")</f>
        <v>2015 Non-AV Receipts (est.)</v>
      </c>
      <c r="I33" s="448"/>
      <c r="J33" s="446"/>
    </row>
    <row r="34" spans="2:11" ht="15.75">
      <c r="B34" s="224" t="str">
        <f>CONCATENATE("",E1-2,"/",E1-1,"/",E1," Budget Authority Amount:")</f>
        <v>2013/2014/2015 Budget Authority Amount:</v>
      </c>
      <c r="C34" s="261">
        <f>inputOth!D39</f>
        <v>763125</v>
      </c>
      <c r="D34" s="261">
        <f>inputPrYr!D23</f>
        <v>768721</v>
      </c>
      <c r="E34" s="188">
        <f>E32</f>
        <v>787643</v>
      </c>
      <c r="F34" s="242"/>
      <c r="G34" s="449">
        <f>IF(E38&gt;0,E37,E39)</f>
        <v>194647</v>
      </c>
      <c r="H34" s="420" t="str">
        <f>CONCATENATE("",E1," Ad Valorem Tax (est.)")</f>
        <v>2015 Ad Valorem Tax (est.)</v>
      </c>
      <c r="I34" s="448"/>
      <c r="J34" s="446"/>
      <c r="K34" s="434" t="str">
        <f>IF(G34=E39,"","Note: Does not include Delinquent Taxes")</f>
        <v>Note: Does not include Delinquent Taxes</v>
      </c>
    </row>
    <row r="35" spans="2:10" ht="16.5">
      <c r="B35" s="210"/>
      <c r="C35" s="616" t="s">
        <v>258</v>
      </c>
      <c r="D35" s="617"/>
      <c r="E35" s="53"/>
      <c r="F35" s="365">
        <f>IF(E32/0.95-E32&lt;E35,"Exceeds 5%","")</f>
      </c>
      <c r="G35" s="447">
        <f>SUM(G32:G34)</f>
        <v>787643</v>
      </c>
      <c r="H35" s="420" t="str">
        <f>CONCATENATE("Total ",E1," Resources Available")</f>
        <v>Total 2015 Resources Available</v>
      </c>
      <c r="I35" s="448"/>
      <c r="J35" s="446"/>
    </row>
    <row r="36" spans="2:10" ht="15.75">
      <c r="B36" s="369" t="str">
        <f>CONCATENATE(C85,"     ",D85)</f>
        <v>See Tab A     </v>
      </c>
      <c r="C36" s="618" t="s">
        <v>259</v>
      </c>
      <c r="D36" s="619"/>
      <c r="E36" s="188">
        <f>E32+E35</f>
        <v>787643</v>
      </c>
      <c r="G36" s="450"/>
      <c r="H36" s="420"/>
      <c r="I36" s="420"/>
      <c r="J36" s="446"/>
    </row>
    <row r="37" spans="2:10" ht="15.75">
      <c r="B37" s="369" t="str">
        <f>CONCATENATE(C86,"     ",D86)</f>
        <v>     </v>
      </c>
      <c r="C37" s="243"/>
      <c r="D37" s="162" t="s">
        <v>86</v>
      </c>
      <c r="E37" s="61">
        <f>IF(E36-E21&gt;0,E36-E21,0)</f>
        <v>194647</v>
      </c>
      <c r="G37" s="449">
        <f>ROUND(C32*0.05+C32,0)</f>
        <v>817896</v>
      </c>
      <c r="H37" s="420" t="str">
        <f>CONCATENATE("Less ",E1-2," Expenditures + 5%")</f>
        <v>Less 2013 Expenditures + 5%</v>
      </c>
      <c r="I37" s="448"/>
      <c r="J37" s="451"/>
    </row>
    <row r="38" spans="2:10" ht="15.75">
      <c r="B38" s="162"/>
      <c r="C38" s="367" t="s">
        <v>260</v>
      </c>
      <c r="D38" s="417">
        <f>inputOth!$E$23</f>
        <v>0.05</v>
      </c>
      <c r="E38" s="188">
        <f>ROUND(IF(D38&gt;0,($E$37*D38),0),0)</f>
        <v>9732</v>
      </c>
      <c r="G38" s="452">
        <f>G35-G37</f>
        <v>-30253</v>
      </c>
      <c r="H38" s="453" t="str">
        <f>CONCATENATE("Projected ",E1+1," carryover (est.)")</f>
        <v>Projected 2016 carryover (est.)</v>
      </c>
      <c r="I38" s="454"/>
      <c r="J38" s="455"/>
    </row>
    <row r="39" spans="2:10" ht="16.5">
      <c r="B39" s="28"/>
      <c r="C39" s="624" t="str">
        <f>CONCATENATE("Amount of  ",$E$1-1," Ad Valorem Tax")</f>
        <v>Amount of  2014 Ad Valorem Tax</v>
      </c>
      <c r="D39" s="625"/>
      <c r="E39" s="270">
        <f>E37+E38</f>
        <v>204379</v>
      </c>
      <c r="G39" s="1"/>
      <c r="H39" s="1"/>
      <c r="I39" s="1"/>
      <c r="J39" s="1"/>
    </row>
    <row r="40" spans="2:10" ht="16.5">
      <c r="B40" s="28"/>
      <c r="C40" s="249"/>
      <c r="D40" s="249"/>
      <c r="E40" s="249"/>
      <c r="G40" s="628" t="s">
        <v>289</v>
      </c>
      <c r="H40" s="629"/>
      <c r="I40" s="629"/>
      <c r="J40" s="630"/>
    </row>
    <row r="41" spans="2:10" ht="16.5">
      <c r="B41" s="27" t="s">
        <v>71</v>
      </c>
      <c r="C41" s="470" t="str">
        <f aca="true" t="shared" si="0" ref="C41:E42">C4</f>
        <v>Prior Year </v>
      </c>
      <c r="D41" s="471" t="str">
        <f t="shared" si="0"/>
        <v>Current Year </v>
      </c>
      <c r="E41" s="151" t="str">
        <f t="shared" si="0"/>
        <v>Proposed Budget </v>
      </c>
      <c r="G41" s="436"/>
      <c r="H41" s="437"/>
      <c r="I41" s="438"/>
      <c r="J41" s="439"/>
    </row>
    <row r="42" spans="2:10" ht="16.5">
      <c r="B42" s="356" t="str">
        <f>inputPrYr!B24</f>
        <v>Pawnee Mental Health</v>
      </c>
      <c r="C42" s="331" t="str">
        <f t="shared" si="0"/>
        <v>Actual for 2013</v>
      </c>
      <c r="D42" s="331" t="str">
        <f t="shared" si="0"/>
        <v>Estimate for 2014</v>
      </c>
      <c r="E42" s="238" t="str">
        <f t="shared" si="0"/>
        <v>Year for 2015</v>
      </c>
      <c r="G42" s="440">
        <f>summ!H23</f>
        <v>2.422</v>
      </c>
      <c r="H42" s="437" t="str">
        <f>CONCATENATE("",E1," Fund Mill Rate")</f>
        <v>2015 Fund Mill Rate</v>
      </c>
      <c r="I42" s="438"/>
      <c r="J42" s="439"/>
    </row>
    <row r="43" spans="2:10" ht="16.5">
      <c r="B43" s="89" t="s">
        <v>184</v>
      </c>
      <c r="C43" s="328">
        <v>30818</v>
      </c>
      <c r="D43" s="332">
        <f>C68</f>
        <v>28928</v>
      </c>
      <c r="E43" s="188">
        <f>D68</f>
        <v>1681</v>
      </c>
      <c r="G43" s="441">
        <f>summ!E23</f>
        <v>1.85</v>
      </c>
      <c r="H43" s="437" t="str">
        <f>CONCATENATE("",E1-1," Fund Mill Rate")</f>
        <v>2014 Fund Mill Rate</v>
      </c>
      <c r="I43" s="438"/>
      <c r="J43" s="439"/>
    </row>
    <row r="44" spans="2:10" ht="16.5">
      <c r="B44" s="213" t="s">
        <v>186</v>
      </c>
      <c r="C44" s="228"/>
      <c r="D44" s="228"/>
      <c r="E44" s="68"/>
      <c r="G44" s="442">
        <f>summ!H48</f>
        <v>67.327</v>
      </c>
      <c r="H44" s="437" t="str">
        <f>CONCATENATE("Total ",E1," Mill Rate")</f>
        <v>Total 2015 Mill Rate</v>
      </c>
      <c r="I44" s="438"/>
      <c r="J44" s="439"/>
    </row>
    <row r="45" spans="2:10" ht="16.5">
      <c r="B45" s="89" t="s">
        <v>72</v>
      </c>
      <c r="C45" s="328">
        <v>58158</v>
      </c>
      <c r="D45" s="332">
        <v>27666</v>
      </c>
      <c r="E45" s="259" t="s">
        <v>59</v>
      </c>
      <c r="G45" s="441">
        <f>summ!E48</f>
        <v>66.53</v>
      </c>
      <c r="H45" s="443" t="str">
        <f>CONCATENATE("Total ",E1-1," Mill Rate")</f>
        <v>Total 2014 Mill Rate</v>
      </c>
      <c r="I45" s="444"/>
      <c r="J45" s="445"/>
    </row>
    <row r="46" spans="2:10" ht="15.75">
      <c r="B46" s="89" t="s">
        <v>73</v>
      </c>
      <c r="C46" s="328">
        <v>1569</v>
      </c>
      <c r="D46" s="328">
        <v>900</v>
      </c>
      <c r="E46" s="53">
        <v>900</v>
      </c>
      <c r="G46" s="1"/>
      <c r="H46" s="1"/>
      <c r="I46" s="1"/>
      <c r="J46" s="1"/>
    </row>
    <row r="47" spans="2:10" ht="15.75">
      <c r="B47" s="89" t="s">
        <v>74</v>
      </c>
      <c r="C47" s="328">
        <v>8494</v>
      </c>
      <c r="D47" s="328">
        <v>6786</v>
      </c>
      <c r="E47" s="188">
        <f>mvalloc!E15</f>
        <v>3116</v>
      </c>
      <c r="G47" s="526" t="s">
        <v>307</v>
      </c>
      <c r="H47" s="488"/>
      <c r="I47" s="487" t="str">
        <f>cert!E57</f>
        <v>No</v>
      </c>
      <c r="J47" s="1"/>
    </row>
    <row r="48" spans="2:10" ht="15.75">
      <c r="B48" s="89" t="s">
        <v>75</v>
      </c>
      <c r="C48" s="328"/>
      <c r="D48" s="328">
        <v>93</v>
      </c>
      <c r="E48" s="188">
        <f>mvalloc!F15</f>
        <v>39</v>
      </c>
      <c r="G48" s="1"/>
      <c r="H48" s="1"/>
      <c r="I48" s="1"/>
      <c r="J48" s="1"/>
    </row>
    <row r="49" spans="2:10" ht="15.75">
      <c r="B49" s="228" t="s">
        <v>144</v>
      </c>
      <c r="C49" s="328"/>
      <c r="D49" s="328">
        <v>670</v>
      </c>
      <c r="E49" s="188">
        <f>mvalloc!G15</f>
        <v>256</v>
      </c>
      <c r="G49" s="1"/>
      <c r="H49" s="1"/>
      <c r="I49" s="1"/>
      <c r="J49" s="1"/>
    </row>
    <row r="50" spans="2:10" ht="15.75">
      <c r="B50" s="231" t="s">
        <v>368</v>
      </c>
      <c r="C50" s="328">
        <v>2</v>
      </c>
      <c r="D50" s="328"/>
      <c r="E50" s="53"/>
      <c r="G50" s="1"/>
      <c r="H50" s="1"/>
      <c r="I50" s="1"/>
      <c r="J50" s="1"/>
    </row>
    <row r="51" spans="2:10" ht="15.75">
      <c r="B51" s="230" t="s">
        <v>372</v>
      </c>
      <c r="C51" s="560">
        <v>-400</v>
      </c>
      <c r="D51" s="560">
        <v>-3362</v>
      </c>
      <c r="E51" s="561">
        <v>-1301</v>
      </c>
      <c r="G51" s="1"/>
      <c r="H51" s="1"/>
      <c r="I51" s="1"/>
      <c r="J51" s="1"/>
    </row>
    <row r="52" spans="2:10" ht="15.75">
      <c r="B52" s="240"/>
      <c r="C52" s="328"/>
      <c r="D52" s="328"/>
      <c r="E52" s="53"/>
      <c r="G52" s="1"/>
      <c r="H52" s="1"/>
      <c r="I52" s="1"/>
      <c r="J52" s="1"/>
    </row>
    <row r="53" spans="2:10" ht="15.75">
      <c r="B53" s="240"/>
      <c r="C53" s="328"/>
      <c r="D53" s="328"/>
      <c r="E53" s="53"/>
      <c r="G53" s="1"/>
      <c r="H53" s="1"/>
      <c r="I53" s="1"/>
      <c r="J53" s="1"/>
    </row>
    <row r="54" spans="2:10" ht="15.75">
      <c r="B54" s="231" t="s">
        <v>79</v>
      </c>
      <c r="C54" s="328"/>
      <c r="D54" s="328"/>
      <c r="E54" s="53"/>
      <c r="G54" s="1"/>
      <c r="H54" s="1"/>
      <c r="I54" s="1"/>
      <c r="J54" s="1"/>
    </row>
    <row r="55" spans="2:10" ht="15.75">
      <c r="B55" s="232" t="s">
        <v>34</v>
      </c>
      <c r="C55" s="328"/>
      <c r="D55" s="328"/>
      <c r="E55" s="53"/>
      <c r="G55" s="1"/>
      <c r="H55" s="1"/>
      <c r="I55" s="1"/>
      <c r="J55" s="1"/>
    </row>
    <row r="56" spans="2:10" ht="15.75">
      <c r="B56" s="232" t="s">
        <v>256</v>
      </c>
      <c r="C56" s="329">
        <f>IF(C57*0.1&lt;C55,"Exceed 10% Rule","")</f>
      </c>
      <c r="D56" s="329">
        <f>IF(D57*0.1&lt;D55,"Exceed 10% Rule","")</f>
      </c>
      <c r="E56" s="266">
        <f>IF(E57*0.1+E74&lt;E55,"Exceed 10% Rule","")</f>
      </c>
      <c r="G56" s="1"/>
      <c r="H56" s="1"/>
      <c r="I56" s="1"/>
      <c r="J56" s="1"/>
    </row>
    <row r="57" spans="2:10" ht="15.75">
      <c r="B57" s="234" t="s">
        <v>80</v>
      </c>
      <c r="C57" s="330">
        <f>SUM(C45:C55)</f>
        <v>67823</v>
      </c>
      <c r="D57" s="330">
        <f>SUM(D45:D55)</f>
        <v>32753</v>
      </c>
      <c r="E57" s="274">
        <f>SUM(E45:E55)</f>
        <v>3010</v>
      </c>
      <c r="G57" s="1"/>
      <c r="H57" s="1"/>
      <c r="I57" s="1"/>
      <c r="J57" s="1"/>
    </row>
    <row r="58" spans="2:10" ht="15.75">
      <c r="B58" s="234" t="s">
        <v>81</v>
      </c>
      <c r="C58" s="330">
        <f>C43+C57</f>
        <v>98641</v>
      </c>
      <c r="D58" s="330">
        <f>D43+D57</f>
        <v>61681</v>
      </c>
      <c r="E58" s="274">
        <f>E43+E57</f>
        <v>4691</v>
      </c>
      <c r="G58" s="1"/>
      <c r="H58" s="1"/>
      <c r="I58" s="1"/>
      <c r="J58" s="1"/>
    </row>
    <row r="59" spans="2:10" ht="15.75">
      <c r="B59" s="89" t="s">
        <v>84</v>
      </c>
      <c r="C59" s="232"/>
      <c r="D59" s="232"/>
      <c r="E59" s="49"/>
      <c r="G59" s="1"/>
      <c r="H59" s="1"/>
      <c r="I59" s="1"/>
      <c r="J59" s="1"/>
    </row>
    <row r="60" spans="2:10" ht="15.75">
      <c r="B60" s="240" t="s">
        <v>399</v>
      </c>
      <c r="C60" s="328">
        <v>69713</v>
      </c>
      <c r="D60" s="328">
        <v>60000</v>
      </c>
      <c r="E60" s="53">
        <v>68875</v>
      </c>
      <c r="G60" s="1"/>
      <c r="H60" s="1"/>
      <c r="I60" s="1"/>
      <c r="J60" s="1"/>
    </row>
    <row r="61" spans="2:10" ht="16.5">
      <c r="B61" s="240"/>
      <c r="C61" s="328"/>
      <c r="D61" s="328"/>
      <c r="E61" s="53"/>
      <c r="G61" s="626" t="str">
        <f>CONCATENATE("Desired Carryover Into ",E1+1,"")</f>
        <v>Desired Carryover Into 2016</v>
      </c>
      <c r="H61" s="627"/>
      <c r="I61" s="627"/>
      <c r="J61" s="598"/>
    </row>
    <row r="62" spans="2:10" ht="15.75">
      <c r="B62" s="240"/>
      <c r="C62" s="328"/>
      <c r="D62" s="328"/>
      <c r="E62" s="53"/>
      <c r="G62" s="425" t="str">
        <f>CONCATENATE("",E1," Tot Exp/Non-Appr Must Be:")</f>
        <v>2015 Tot Exp/Non-Appr Must Be:</v>
      </c>
      <c r="H62" s="426"/>
      <c r="I62" s="427"/>
      <c r="J62" s="428" t="e">
        <f>IF(#REF!&gt;0,IF(E71&lt;E58,IF(#REF!=G73,E71,((#REF!-G73)*(1-D73))+E58),E71+(#REF!-G73)),0)</f>
        <v>#REF!</v>
      </c>
    </row>
    <row r="63" spans="2:10" ht="15.75">
      <c r="B63" s="240"/>
      <c r="C63" s="328"/>
      <c r="D63" s="328"/>
      <c r="E63" s="53"/>
      <c r="G63" s="429" t="s">
        <v>288</v>
      </c>
      <c r="H63" s="430"/>
      <c r="I63" s="430"/>
      <c r="J63" s="431" t="e">
        <f>IF(#REF!&gt;0,J62-E71,0)</f>
        <v>#REF!</v>
      </c>
    </row>
    <row r="64" spans="2:10" ht="15.75">
      <c r="B64" s="232" t="s">
        <v>36</v>
      </c>
      <c r="C64" s="328"/>
      <c r="D64" s="328"/>
      <c r="E64" s="61"/>
      <c r="G64" s="1"/>
      <c r="H64" s="1"/>
      <c r="I64" s="1"/>
      <c r="J64" s="1"/>
    </row>
    <row r="65" spans="2:10" ht="16.5">
      <c r="B65" s="232" t="s">
        <v>34</v>
      </c>
      <c r="C65" s="328"/>
      <c r="D65" s="328"/>
      <c r="E65" s="53"/>
      <c r="G65" s="626" t="str">
        <f>CONCATENATE("Projected Carryover Into ",E1+1,"")</f>
        <v>Projected Carryover Into 2016</v>
      </c>
      <c r="H65" s="634"/>
      <c r="I65" s="634"/>
      <c r="J65" s="633"/>
    </row>
    <row r="66" spans="2:10" ht="15.75">
      <c r="B66" s="232" t="s">
        <v>255</v>
      </c>
      <c r="C66" s="329">
        <f>IF(C67*0.1&lt;C65,"Exceed 10% Rule","")</f>
      </c>
      <c r="D66" s="329">
        <f>IF(D67*0.1&lt;D65,"Exceed 10% Rule","")</f>
      </c>
      <c r="E66" s="266">
        <f>IF(E67*0.1&lt;E65,"Exceed 10% Rule","")</f>
      </c>
      <c r="G66" s="456"/>
      <c r="H66" s="419"/>
      <c r="I66" s="419"/>
      <c r="J66" s="451"/>
    </row>
    <row r="67" spans="2:10" ht="15.75">
      <c r="B67" s="234" t="s">
        <v>85</v>
      </c>
      <c r="C67" s="330">
        <f>SUM(C60:C65)</f>
        <v>69713</v>
      </c>
      <c r="D67" s="330">
        <f>SUM(D60:D65)</f>
        <v>60000</v>
      </c>
      <c r="E67" s="274">
        <f>SUM(E60:E65)</f>
        <v>68875</v>
      </c>
      <c r="G67" s="447">
        <f>D68</f>
        <v>1681</v>
      </c>
      <c r="H67" s="437" t="str">
        <f>CONCATENATE("",E1-1," Ending Cash Balance (est.)")</f>
        <v>2014 Ending Cash Balance (est.)</v>
      </c>
      <c r="I67" s="448"/>
      <c r="J67" s="451"/>
    </row>
    <row r="68" spans="2:10" ht="15.75">
      <c r="B68" s="89" t="s">
        <v>185</v>
      </c>
      <c r="C68" s="333">
        <f>C58-C67</f>
        <v>28928</v>
      </c>
      <c r="D68" s="333">
        <f>D58-D67</f>
        <v>1681</v>
      </c>
      <c r="E68" s="259" t="s">
        <v>59</v>
      </c>
      <c r="G68" s="447">
        <f>E57</f>
        <v>3010</v>
      </c>
      <c r="H68" s="420" t="str">
        <f>CONCATENATE("",E1," Non-AV Receipts (est.)")</f>
        <v>2015 Non-AV Receipts (est.)</v>
      </c>
      <c r="I68" s="448"/>
      <c r="J68" s="451"/>
    </row>
    <row r="69" spans="2:11" ht="15.75">
      <c r="B69" s="224" t="str">
        <f>CONCATENATE("",E1-2,"/",E1-1,"/",E1," Budget Authority Amount:")</f>
        <v>2013/2014/2015 Budget Authority Amount:</v>
      </c>
      <c r="C69" s="261">
        <f>inputOth!B40</f>
        <v>68875</v>
      </c>
      <c r="D69" s="261">
        <f>inputPrYr!D24</f>
        <v>60000</v>
      </c>
      <c r="E69" s="188">
        <f>E67</f>
        <v>68875</v>
      </c>
      <c r="F69" s="242"/>
      <c r="G69" s="449">
        <f>IF(E73&gt;0,E72,E74)</f>
        <v>64184</v>
      </c>
      <c r="H69" s="420" t="str">
        <f>CONCATENATE("",E1," Ad Valorem Tax (est.)")</f>
        <v>2015 Ad Valorem Tax (est.)</v>
      </c>
      <c r="I69" s="448"/>
      <c r="J69" s="451"/>
      <c r="K69" s="434" t="str">
        <f>IF(G69=E74,"","Note: Does not include Delinquent Taxes")</f>
        <v>Note: Does not include Delinquent Taxes</v>
      </c>
    </row>
    <row r="70" spans="2:10" ht="16.5">
      <c r="B70" s="210"/>
      <c r="C70" s="616" t="s">
        <v>258</v>
      </c>
      <c r="D70" s="617"/>
      <c r="E70" s="53"/>
      <c r="F70" s="365">
        <f>IF(E67/0.95-E67&lt;E70,"Exceeds 5%","")</f>
      </c>
      <c r="G70" s="457">
        <f>SUM(G67:G69)</f>
        <v>68875</v>
      </c>
      <c r="H70" s="420" t="str">
        <f>CONCATENATE("Total ",E1," Resources Available")</f>
        <v>Total 2015 Resources Available</v>
      </c>
      <c r="I70" s="458"/>
      <c r="J70" s="451"/>
    </row>
    <row r="71" spans="2:10" ht="15.75">
      <c r="B71" s="368" t="str">
        <f>CONCATENATE(C87,"     ",D87)</f>
        <v>See Tab A     </v>
      </c>
      <c r="C71" s="618" t="s">
        <v>259</v>
      </c>
      <c r="D71" s="619"/>
      <c r="E71" s="188">
        <f>E67+E70</f>
        <v>68875</v>
      </c>
      <c r="G71" s="459"/>
      <c r="H71" s="460"/>
      <c r="I71" s="419"/>
      <c r="J71" s="451"/>
    </row>
    <row r="72" spans="2:10" ht="15.75">
      <c r="B72" s="368" t="str">
        <f>CONCATENATE(C88,"     ",D88)</f>
        <v>     </v>
      </c>
      <c r="C72" s="243"/>
      <c r="D72" s="162" t="s">
        <v>86</v>
      </c>
      <c r="E72" s="61">
        <f>IF(E71-E58&gt;0,E71-E58,0)</f>
        <v>64184</v>
      </c>
      <c r="G72" s="461">
        <f>ROUND(C67*0.05+C67,0)</f>
        <v>73199</v>
      </c>
      <c r="H72" s="420" t="str">
        <f>CONCATENATE("Less ",E1-2," Expenditures + 5%")</f>
        <v>Less 2013 Expenditures + 5%</v>
      </c>
      <c r="I72" s="458"/>
      <c r="J72" s="451"/>
    </row>
    <row r="73" spans="2:10" ht="15.75">
      <c r="B73" s="162"/>
      <c r="C73" s="367" t="s">
        <v>260</v>
      </c>
      <c r="D73" s="417">
        <f>inputOth!$E$23</f>
        <v>0.05</v>
      </c>
      <c r="E73" s="188">
        <f>ROUND(IF(D73&gt;0,($E$72*D73),0),0)</f>
        <v>3209</v>
      </c>
      <c r="G73" s="462">
        <f>G70-G72</f>
        <v>-4324</v>
      </c>
      <c r="H73" s="453" t="str">
        <f>CONCATENATE("Projected ",E1+1," carryover (est.)")</f>
        <v>Projected 2016 carryover (est.)</v>
      </c>
      <c r="I73" s="463"/>
      <c r="J73" s="464"/>
    </row>
    <row r="74" spans="2:10" ht="16.5">
      <c r="B74" s="28"/>
      <c r="C74" s="624" t="str">
        <f>CONCATENATE("Amount of  ",$E$1-1," Ad Valorem Tax")</f>
        <v>Amount of  2014 Ad Valorem Tax</v>
      </c>
      <c r="D74" s="625"/>
      <c r="E74" s="270">
        <f>E72+E73</f>
        <v>67393</v>
      </c>
      <c r="G74" s="1"/>
      <c r="H74" s="1"/>
      <c r="I74" s="1"/>
      <c r="J74" s="1"/>
    </row>
    <row r="75" spans="2:10" ht="16.5">
      <c r="B75" s="210" t="s">
        <v>106</v>
      </c>
      <c r="C75" s="271">
        <v>12</v>
      </c>
      <c r="D75" s="28"/>
      <c r="E75" s="28"/>
      <c r="G75" s="628" t="s">
        <v>289</v>
      </c>
      <c r="H75" s="629"/>
      <c r="I75" s="629"/>
      <c r="J75" s="630"/>
    </row>
    <row r="76" spans="7:10" ht="16.5">
      <c r="G76" s="436"/>
      <c r="H76" s="437"/>
      <c r="I76" s="438"/>
      <c r="J76" s="439"/>
    </row>
    <row r="77" spans="7:10" ht="16.5">
      <c r="G77" s="440">
        <f>summ!H24</f>
        <v>0.799</v>
      </c>
      <c r="H77" s="437" t="str">
        <f>CONCATENATE("",E1," Fund Mill Rate")</f>
        <v>2015 Fund Mill Rate</v>
      </c>
      <c r="I77" s="438"/>
      <c r="J77" s="439"/>
    </row>
    <row r="78" spans="7:10" ht="16.5">
      <c r="G78" s="441">
        <f>summ!E24</f>
        <v>0.347</v>
      </c>
      <c r="H78" s="437" t="str">
        <f>CONCATENATE("",E1-1," Fund Mill Rate")</f>
        <v>2014 Fund Mill Rate</v>
      </c>
      <c r="I78" s="438"/>
      <c r="J78" s="439"/>
    </row>
    <row r="79" spans="7:10" ht="16.5">
      <c r="G79" s="442">
        <f>summ!H48</f>
        <v>67.327</v>
      </c>
      <c r="H79" s="437" t="str">
        <f>CONCATENATE("Total ",E1," Mill Rate")</f>
        <v>Total 2015 Mill Rate</v>
      </c>
      <c r="I79" s="438"/>
      <c r="J79" s="439"/>
    </row>
    <row r="80" spans="7:10" ht="16.5">
      <c r="G80" s="441">
        <f>summ!E48</f>
        <v>66.53</v>
      </c>
      <c r="H80" s="443" t="str">
        <f>CONCATENATE("Total ",E1-1," Mill Rate")</f>
        <v>Total 2014 Mill Rate</v>
      </c>
      <c r="I80" s="444"/>
      <c r="J80" s="445"/>
    </row>
    <row r="82" spans="7:9" ht="15.75">
      <c r="G82" s="527" t="s">
        <v>307</v>
      </c>
      <c r="H82" s="488"/>
      <c r="I82" s="487" t="str">
        <f>cert!E57</f>
        <v>No</v>
      </c>
    </row>
    <row r="85" spans="3:4" ht="15.75" hidden="1">
      <c r="C85" s="25" t="str">
        <f>IF(C32&gt;C34,"See Tab A","")</f>
        <v>See Tab A</v>
      </c>
      <c r="D85" s="25">
        <f>IF(D32&gt;D34,"See Tab C","")</f>
      </c>
    </row>
    <row r="86" spans="3:4" ht="15.75" hidden="1">
      <c r="C86" s="25">
        <f>IF(C33&lt;0,"See Tab B","")</f>
      </c>
      <c r="D86" s="25">
        <f>IF(D33&lt;0,"See Tab D","")</f>
      </c>
    </row>
    <row r="87" spans="3:4" ht="15.75" hidden="1">
      <c r="C87" s="25" t="str">
        <f>IF(C67&gt;C69,"See Tab A","")</f>
        <v>See Tab A</v>
      </c>
      <c r="D87" s="25">
        <f>IF(D67&gt;D69,"See Tab C","")</f>
      </c>
    </row>
    <row r="88" spans="3:4" ht="15.75" hidden="1">
      <c r="C88" s="25">
        <f>IF(C68&lt;0,"See Tab B","")</f>
      </c>
      <c r="D88" s="25">
        <f>IF(D68&lt;0,"See Tab D","")</f>
      </c>
    </row>
  </sheetData>
  <sheetProtection/>
  <mergeCells count="12">
    <mergeCell ref="C35:D35"/>
    <mergeCell ref="C36:D36"/>
    <mergeCell ref="C70:D70"/>
    <mergeCell ref="C71:D71"/>
    <mergeCell ref="C74:D74"/>
    <mergeCell ref="C39:D39"/>
    <mergeCell ref="G24:J24"/>
    <mergeCell ref="G30:J30"/>
    <mergeCell ref="G40:J40"/>
    <mergeCell ref="G61:J61"/>
    <mergeCell ref="G65:J65"/>
    <mergeCell ref="G75:J75"/>
  </mergeCells>
  <conditionalFormatting sqref="E65">
    <cfRule type="cellIs" priority="3" dxfId="253" operator="greaterThan" stopIfTrue="1">
      <formula>$E$67*0.1</formula>
    </cfRule>
  </conditionalFormatting>
  <conditionalFormatting sqref="E70">
    <cfRule type="cellIs" priority="4" dxfId="253" operator="greaterThan" stopIfTrue="1">
      <formula>$E$67/0.95-$E$67</formula>
    </cfRule>
  </conditionalFormatting>
  <conditionalFormatting sqref="E35">
    <cfRule type="cellIs" priority="5" dxfId="253" operator="greaterThan" stopIfTrue="1">
      <formula>$E$32/0.95-$E$32</formula>
    </cfRule>
  </conditionalFormatting>
  <conditionalFormatting sqref="E30">
    <cfRule type="cellIs" priority="6" dxfId="253" operator="greaterThan" stopIfTrue="1">
      <formula>$E$32*0.1</formula>
    </cfRule>
  </conditionalFormatting>
  <conditionalFormatting sqref="C68 C33">
    <cfRule type="cellIs" priority="7" dxfId="2" operator="lessThan" stopIfTrue="1">
      <formula>0</formula>
    </cfRule>
  </conditionalFormatting>
  <conditionalFormatting sqref="C67">
    <cfRule type="cellIs" priority="8" dxfId="2" operator="greaterThan" stopIfTrue="1">
      <formula>$C$69</formula>
    </cfRule>
  </conditionalFormatting>
  <conditionalFormatting sqref="D67">
    <cfRule type="cellIs" priority="9" dxfId="2" operator="greaterThan" stopIfTrue="1">
      <formula>$D$69</formula>
    </cfRule>
  </conditionalFormatting>
  <conditionalFormatting sqref="C65">
    <cfRule type="cellIs" priority="10" dxfId="2" operator="greaterThan" stopIfTrue="1">
      <formula>$C$67*0.1</formula>
    </cfRule>
  </conditionalFormatting>
  <conditionalFormatting sqref="D65">
    <cfRule type="cellIs" priority="11" dxfId="2" operator="greaterThan" stopIfTrue="1">
      <formula>$D$67*0.1</formula>
    </cfRule>
  </conditionalFormatting>
  <conditionalFormatting sqref="E55">
    <cfRule type="cellIs" priority="12" dxfId="253" operator="greaterThan" stopIfTrue="1">
      <formula>$E$57*0.1+E74</formula>
    </cfRule>
  </conditionalFormatting>
  <conditionalFormatting sqref="C55">
    <cfRule type="cellIs" priority="13" dxfId="2" operator="greaterThan" stopIfTrue="1">
      <formula>$C$57*0.1</formula>
    </cfRule>
  </conditionalFormatting>
  <conditionalFormatting sqref="D55">
    <cfRule type="cellIs" priority="14" dxfId="2" operator="greaterThan" stopIfTrue="1">
      <formula>$D$57*0.1</formula>
    </cfRule>
  </conditionalFormatting>
  <conditionalFormatting sqref="C32">
    <cfRule type="cellIs" priority="15" dxfId="2" operator="greaterThan" stopIfTrue="1">
      <formula>$C$34</formula>
    </cfRule>
  </conditionalFormatting>
  <conditionalFormatting sqref="D32">
    <cfRule type="cellIs" priority="16" dxfId="2" operator="greaterThan" stopIfTrue="1">
      <formula>$D$34</formula>
    </cfRule>
  </conditionalFormatting>
  <conditionalFormatting sqref="C30">
    <cfRule type="cellIs" priority="17" dxfId="2" operator="greaterThan" stopIfTrue="1">
      <formula>$C$32*0.1</formula>
    </cfRule>
  </conditionalFormatting>
  <conditionalFormatting sqref="D30">
    <cfRule type="cellIs" priority="18" dxfId="2" operator="greaterThan" stopIfTrue="1">
      <formula>$D$32*0.1</formula>
    </cfRule>
  </conditionalFormatting>
  <conditionalFormatting sqref="E18">
    <cfRule type="cellIs" priority="19" dxfId="253" operator="greaterThan" stopIfTrue="1">
      <formula>$E$20*0.1+E39</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68 D33">
    <cfRule type="cellIs" priority="2" dxfId="0" operator="lessThan" stopIfTrue="1">
      <formula>0</formula>
    </cfRule>
  </conditionalFormatting>
  <printOptions/>
  <pageMargins left="1.12" right="0.5" top="0.74" bottom="0.34" header="0.5" footer="0"/>
  <pageSetup blackAndWhite="1" horizontalDpi="120" verticalDpi="120" orientation="portrait" scale="58"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86"/>
  <sheetViews>
    <sheetView view="pageBreakPreview" zoomScale="108" zoomScaleSheetLayoutView="108" zoomScalePageLayoutView="0" workbookViewId="0" topLeftCell="A46">
      <selection activeCell="E58" sqref="E58"/>
    </sheetView>
  </sheetViews>
  <sheetFormatPr defaultColWidth="8.8984375" defaultRowHeight="15"/>
  <cols>
    <col min="1" max="1" width="2.3984375" style="25" customWidth="1"/>
    <col min="2" max="2" width="31.09765625" style="25" customWidth="1"/>
    <col min="3" max="4" width="15.796875" style="25" customWidth="1"/>
    <col min="5" max="5" width="16.19921875" style="25" customWidth="1"/>
    <col min="6" max="6" width="7.3984375" style="25" customWidth="1"/>
    <col min="7" max="7" width="10.19921875" style="25" customWidth="1"/>
    <col min="8" max="8" width="8.8984375" style="25" customWidth="1"/>
    <col min="9" max="9" width="5" style="25" customWidth="1"/>
    <col min="10" max="10" width="10" style="25" customWidth="1"/>
    <col min="11"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151</v>
      </c>
      <c r="C3" s="255"/>
      <c r="D3" s="255"/>
      <c r="E3" s="256"/>
    </row>
    <row r="4" spans="2:5" ht="15.75">
      <c r="B4" s="27" t="s">
        <v>71</v>
      </c>
      <c r="C4" s="470" t="s">
        <v>290</v>
      </c>
      <c r="D4" s="471" t="s">
        <v>291</v>
      </c>
      <c r="E4" s="151" t="s">
        <v>292</v>
      </c>
    </row>
    <row r="5" spans="2:5" ht="15.75">
      <c r="B5" s="356" t="str">
        <f>inputPrYr!B25</f>
        <v>Mental Retardation</v>
      </c>
      <c r="C5" s="331" t="str">
        <f>CONCATENATE("Actual for ",E1-2,"")</f>
        <v>Actual for 2013</v>
      </c>
      <c r="D5" s="331" t="str">
        <f>CONCATENATE("Estimate for ",E1-1,"")</f>
        <v>Estimate for 2014</v>
      </c>
      <c r="E5" s="225" t="str">
        <f>CONCATENATE("Year for ",E1,"")</f>
        <v>Year for 2015</v>
      </c>
    </row>
    <row r="6" spans="2:5" ht="15.75">
      <c r="B6" s="89" t="s">
        <v>184</v>
      </c>
      <c r="C6" s="328">
        <v>7950</v>
      </c>
      <c r="D6" s="332">
        <f>C31</f>
        <v>6750</v>
      </c>
      <c r="E6" s="188">
        <f>D31</f>
        <v>4475</v>
      </c>
    </row>
    <row r="7" spans="2:5" ht="15.75">
      <c r="B7" s="213" t="s">
        <v>186</v>
      </c>
      <c r="C7" s="228"/>
      <c r="D7" s="228"/>
      <c r="E7" s="68"/>
    </row>
    <row r="8" spans="2:5" ht="15.75">
      <c r="B8" s="89" t="s">
        <v>72</v>
      </c>
      <c r="C8" s="328">
        <v>90042</v>
      </c>
      <c r="D8" s="332">
        <v>96018</v>
      </c>
      <c r="E8" s="259" t="s">
        <v>59</v>
      </c>
    </row>
    <row r="9" spans="2:5" ht="15.75">
      <c r="B9" s="89" t="s">
        <v>73</v>
      </c>
      <c r="C9" s="328">
        <v>2417</v>
      </c>
      <c r="D9" s="328">
        <v>1320</v>
      </c>
      <c r="E9" s="53">
        <v>1000</v>
      </c>
    </row>
    <row r="10" spans="2:5" ht="15.75">
      <c r="B10" s="89" t="s">
        <v>74</v>
      </c>
      <c r="C10" s="328">
        <v>13052</v>
      </c>
      <c r="D10" s="328">
        <v>10513</v>
      </c>
      <c r="E10" s="188">
        <f>mvalloc!E16</f>
        <v>10814</v>
      </c>
    </row>
    <row r="11" spans="2:5" ht="15.75">
      <c r="B11" s="89" t="s">
        <v>75</v>
      </c>
      <c r="C11" s="328"/>
      <c r="D11" s="328">
        <v>144</v>
      </c>
      <c r="E11" s="188">
        <f>mvalloc!F16</f>
        <v>134</v>
      </c>
    </row>
    <row r="12" spans="2:5" ht="15.75">
      <c r="B12" s="228" t="s">
        <v>144</v>
      </c>
      <c r="C12" s="328"/>
      <c r="D12" s="328">
        <v>1030</v>
      </c>
      <c r="E12" s="188">
        <f>mvalloc!G16</f>
        <v>890</v>
      </c>
    </row>
    <row r="13" spans="2:5" ht="15.75">
      <c r="B13" s="231" t="s">
        <v>368</v>
      </c>
      <c r="C13" s="328">
        <v>3</v>
      </c>
      <c r="D13" s="328"/>
      <c r="E13" s="53"/>
    </row>
    <row r="14" spans="2:5" ht="15.75">
      <c r="B14" s="230" t="s">
        <v>372</v>
      </c>
      <c r="C14" s="560">
        <v>-620</v>
      </c>
      <c r="D14" s="560">
        <v>-5206</v>
      </c>
      <c r="E14" s="561">
        <v>-4505</v>
      </c>
    </row>
    <row r="15" spans="2:5" ht="15.75">
      <c r="B15" s="240"/>
      <c r="C15" s="328"/>
      <c r="D15" s="328"/>
      <c r="E15" s="53"/>
    </row>
    <row r="16" spans="2:5" ht="15.75">
      <c r="B16" s="240"/>
      <c r="C16" s="328"/>
      <c r="D16" s="328"/>
      <c r="E16" s="53"/>
    </row>
    <row r="17" spans="2:5" ht="15.75">
      <c r="B17" s="231" t="s">
        <v>79</v>
      </c>
      <c r="C17" s="328"/>
      <c r="D17" s="328"/>
      <c r="E17" s="53"/>
    </row>
    <row r="18" spans="2:5" ht="15.75">
      <c r="B18" s="232" t="s">
        <v>34</v>
      </c>
      <c r="C18" s="328"/>
      <c r="D18" s="328"/>
      <c r="E18" s="53"/>
    </row>
    <row r="19" spans="2:5" ht="15.75">
      <c r="B19" s="232" t="s">
        <v>256</v>
      </c>
      <c r="C19" s="329">
        <f>IF(C20*0.1&lt;C18,"Exceed 10% Rule","")</f>
      </c>
      <c r="D19" s="329">
        <f>IF(D20*0.1&lt;D18,"Exceed 10% Rule","")</f>
      </c>
      <c r="E19" s="266">
        <f>IF(E20*0.1+E37&lt;E18,"Exceed 10% Rule","")</f>
      </c>
    </row>
    <row r="20" spans="2:5" ht="15.75">
      <c r="B20" s="234" t="s">
        <v>80</v>
      </c>
      <c r="C20" s="330">
        <f>SUM(C8:C18)</f>
        <v>104894</v>
      </c>
      <c r="D20" s="330">
        <f>SUM(D8:D18)</f>
        <v>103819</v>
      </c>
      <c r="E20" s="274">
        <f>SUM(E8:E18)</f>
        <v>8333</v>
      </c>
    </row>
    <row r="21" spans="2:5" ht="15.75">
      <c r="B21" s="234" t="s">
        <v>81</v>
      </c>
      <c r="C21" s="330">
        <f>C6+C20</f>
        <v>112844</v>
      </c>
      <c r="D21" s="330">
        <f>D6+D20</f>
        <v>110569</v>
      </c>
      <c r="E21" s="274">
        <f>E6+E20</f>
        <v>12808</v>
      </c>
    </row>
    <row r="22" spans="2:5" ht="15.75">
      <c r="B22" s="89" t="s">
        <v>84</v>
      </c>
      <c r="C22" s="232"/>
      <c r="D22" s="232"/>
      <c r="E22" s="49"/>
    </row>
    <row r="23" spans="2:5" ht="15.75">
      <c r="B23" s="240" t="s">
        <v>90</v>
      </c>
      <c r="C23" s="328">
        <v>106094</v>
      </c>
      <c r="D23" s="328">
        <v>106094</v>
      </c>
      <c r="E23" s="53">
        <v>106094</v>
      </c>
    </row>
    <row r="24" spans="2:10" ht="16.5">
      <c r="B24" s="240"/>
      <c r="C24" s="328"/>
      <c r="D24" s="328"/>
      <c r="E24" s="53"/>
      <c r="G24" s="626" t="str">
        <f>CONCATENATE("Desired Carryover Into ",E1+1,"")</f>
        <v>Desired Carryover Into 2016</v>
      </c>
      <c r="H24" s="627"/>
      <c r="I24" s="627"/>
      <c r="J24" s="598"/>
    </row>
    <row r="25" spans="2:10" ht="15.75">
      <c r="B25" s="240"/>
      <c r="C25" s="328"/>
      <c r="D25" s="328"/>
      <c r="E25" s="53"/>
      <c r="G25" s="425" t="str">
        <f>CONCATENATE("",E1," Tot Exp/Non-Appr Must Be:")</f>
        <v>2015 Tot Exp/Non-Appr Must Be:</v>
      </c>
      <c r="H25" s="426"/>
      <c r="I25" s="427"/>
      <c r="J25" s="428" t="e">
        <f>IF(#REF!&gt;0,IF(E34&lt;E21,IF(#REF!=G36,E34,((#REF!-G36)*(1-D36))+E21),E34+(#REF!-G36)),0)</f>
        <v>#REF!</v>
      </c>
    </row>
    <row r="26" spans="2:10" ht="15.75">
      <c r="B26" s="240"/>
      <c r="C26" s="328"/>
      <c r="D26" s="328"/>
      <c r="E26" s="53"/>
      <c r="G26" s="429" t="s">
        <v>288</v>
      </c>
      <c r="H26" s="430"/>
      <c r="I26" s="430"/>
      <c r="J26" s="431" t="e">
        <f>IF(#REF!&gt;0,J25-E34,0)</f>
        <v>#REF!</v>
      </c>
    </row>
    <row r="27" spans="2:10" ht="15.75">
      <c r="B27" s="232" t="s">
        <v>36</v>
      </c>
      <c r="C27" s="328"/>
      <c r="D27" s="328"/>
      <c r="E27" s="61"/>
      <c r="G27" s="1"/>
      <c r="H27" s="1"/>
      <c r="I27" s="1"/>
      <c r="J27" s="1"/>
    </row>
    <row r="28" spans="2:10" ht="16.5">
      <c r="B28" s="232" t="s">
        <v>34</v>
      </c>
      <c r="C28" s="328"/>
      <c r="D28" s="328"/>
      <c r="E28" s="53"/>
      <c r="G28" s="626" t="str">
        <f>CONCATENATE("Projected Carryover Into ",E1+1,"")</f>
        <v>Projected Carryover Into 2016</v>
      </c>
      <c r="H28" s="632"/>
      <c r="I28" s="632"/>
      <c r="J28" s="633"/>
    </row>
    <row r="29" spans="2:10" ht="15.75">
      <c r="B29" s="232" t="s">
        <v>255</v>
      </c>
      <c r="C29" s="329">
        <f>IF(C30*0.1&lt;C28,"Exceed 10% Rule","")</f>
      </c>
      <c r="D29" s="329">
        <f>IF(D30*0.1&lt;D28,"Exceed 10% Rule","")</f>
      </c>
      <c r="E29" s="266">
        <f>IF(E30*0.1&lt;E28,"Exceed 10% Rule","")</f>
      </c>
      <c r="G29" s="418"/>
      <c r="H29" s="420"/>
      <c r="I29" s="420"/>
      <c r="J29" s="446"/>
    </row>
    <row r="30" spans="2:10" ht="15.75">
      <c r="B30" s="234" t="s">
        <v>85</v>
      </c>
      <c r="C30" s="330">
        <f>SUM(C23:C28)</f>
        <v>106094</v>
      </c>
      <c r="D30" s="330">
        <f>SUM(D23:D28)</f>
        <v>106094</v>
      </c>
      <c r="E30" s="274">
        <f>SUM(E23:E28)</f>
        <v>106094</v>
      </c>
      <c r="G30" s="447">
        <f>D31</f>
        <v>4475</v>
      </c>
      <c r="H30" s="437" t="str">
        <f>CONCATENATE("",E1-1," Ending Cash Balance (est.)")</f>
        <v>2014 Ending Cash Balance (est.)</v>
      </c>
      <c r="I30" s="448"/>
      <c r="J30" s="446"/>
    </row>
    <row r="31" spans="2:10" ht="15.75">
      <c r="B31" s="89" t="s">
        <v>185</v>
      </c>
      <c r="C31" s="333">
        <f>C21-C30</f>
        <v>6750</v>
      </c>
      <c r="D31" s="333">
        <f>D21-D30</f>
        <v>4475</v>
      </c>
      <c r="E31" s="259" t="s">
        <v>59</v>
      </c>
      <c r="G31" s="447">
        <f>E20</f>
        <v>8333</v>
      </c>
      <c r="H31" s="420" t="str">
        <f>CONCATENATE("",E1," Non-AV Receipts (est.)")</f>
        <v>2015 Non-AV Receipts (est.)</v>
      </c>
      <c r="I31" s="448"/>
      <c r="J31" s="446"/>
    </row>
    <row r="32" spans="2:11" ht="15.75">
      <c r="B32" s="224" t="str">
        <f>CONCATENATE("",E1-2,"/",E1-1,"/",E1," Budget Authority Amount:")</f>
        <v>2013/2014/2015 Budget Authority Amount:</v>
      </c>
      <c r="C32" s="261">
        <f>inputOth!B41</f>
        <v>106094</v>
      </c>
      <c r="D32" s="261">
        <f>inputPrYr!D25</f>
        <v>106094</v>
      </c>
      <c r="E32" s="188">
        <f>E30</f>
        <v>106094</v>
      </c>
      <c r="F32" s="242"/>
      <c r="G32" s="449">
        <f>IF(E36&gt;0,E35,E37)</f>
        <v>93286</v>
      </c>
      <c r="H32" s="420" t="str">
        <f>CONCATENATE("",E1," Ad Valorem Tax (est.)")</f>
        <v>2015 Ad Valorem Tax (est.)</v>
      </c>
      <c r="I32" s="448"/>
      <c r="J32" s="446"/>
      <c r="K32" s="434" t="str">
        <f>IF(G32=E37,"","Note: Does not include Delinquent Taxes")</f>
        <v>Note: Does not include Delinquent Taxes</v>
      </c>
    </row>
    <row r="33" spans="2:10" ht="16.5">
      <c r="B33" s="210"/>
      <c r="C33" s="616" t="s">
        <v>258</v>
      </c>
      <c r="D33" s="617"/>
      <c r="E33" s="53"/>
      <c r="F33" s="365">
        <f>IF(E30/0.95-E30&lt;E33,"Exceeds 5%","")</f>
      </c>
      <c r="G33" s="447">
        <f>SUM(G30:G32)</f>
        <v>106094</v>
      </c>
      <c r="H33" s="420" t="str">
        <f>CONCATENATE("Total ",E1," Resources Available")</f>
        <v>Total 2015 Resources Available</v>
      </c>
      <c r="I33" s="448"/>
      <c r="J33" s="446"/>
    </row>
    <row r="34" spans="2:10" ht="15.75">
      <c r="B34" s="369" t="str">
        <f>CONCATENATE(C83,"     ",D83)</f>
        <v>     </v>
      </c>
      <c r="C34" s="618" t="s">
        <v>259</v>
      </c>
      <c r="D34" s="619"/>
      <c r="E34" s="188">
        <f>E30+E33</f>
        <v>106094</v>
      </c>
      <c r="G34" s="450"/>
      <c r="H34" s="420"/>
      <c r="I34" s="420"/>
      <c r="J34" s="446"/>
    </row>
    <row r="35" spans="2:10" ht="15.75">
      <c r="B35" s="369" t="str">
        <f>CONCATENATE(C84,"     ",D84)</f>
        <v>     </v>
      </c>
      <c r="C35" s="243"/>
      <c r="D35" s="162" t="s">
        <v>86</v>
      </c>
      <c r="E35" s="61">
        <f>IF(E34-E21&gt;0,E34-E21,0)</f>
        <v>93286</v>
      </c>
      <c r="G35" s="449">
        <f>ROUND(C30*0.05+C30,0)</f>
        <v>111399</v>
      </c>
      <c r="H35" s="420" t="str">
        <f>CONCATENATE("Less ",E1-2," Expenditures + 5%")</f>
        <v>Less 2013 Expenditures + 5%</v>
      </c>
      <c r="I35" s="448"/>
      <c r="J35" s="451"/>
    </row>
    <row r="36" spans="2:10" ht="15.75">
      <c r="B36" s="162"/>
      <c r="C36" s="367" t="s">
        <v>260</v>
      </c>
      <c r="D36" s="417">
        <f>inputOth!$E$23</f>
        <v>0.05</v>
      </c>
      <c r="E36" s="188">
        <f>ROUND(IF(D36&gt;0,($E$35*D36),0),0)</f>
        <v>4664</v>
      </c>
      <c r="G36" s="452">
        <f>G33-G35</f>
        <v>-5305</v>
      </c>
      <c r="H36" s="453" t="str">
        <f>CONCATENATE("Projected ",E1+1," carryover (est.)")</f>
        <v>Projected 2016 carryover (est.)</v>
      </c>
      <c r="I36" s="454"/>
      <c r="J36" s="455"/>
    </row>
    <row r="37" spans="2:10" ht="16.5">
      <c r="B37" s="28"/>
      <c r="C37" s="624" t="str">
        <f>CONCATENATE("Amount of  ",$E$1-1," Ad Valorem Tax")</f>
        <v>Amount of  2014 Ad Valorem Tax</v>
      </c>
      <c r="D37" s="625"/>
      <c r="E37" s="270">
        <f>E35+E36</f>
        <v>97950</v>
      </c>
      <c r="G37" s="1"/>
      <c r="H37" s="1"/>
      <c r="I37" s="1"/>
      <c r="J37" s="1"/>
    </row>
    <row r="38" spans="2:10" ht="16.5">
      <c r="B38" s="28"/>
      <c r="C38" s="249"/>
      <c r="D38" s="249"/>
      <c r="E38" s="249"/>
      <c r="G38" s="628" t="s">
        <v>289</v>
      </c>
      <c r="H38" s="629"/>
      <c r="I38" s="629"/>
      <c r="J38" s="630"/>
    </row>
    <row r="39" spans="2:10" ht="16.5">
      <c r="B39" s="27" t="s">
        <v>71</v>
      </c>
      <c r="C39" s="470" t="str">
        <f aca="true" t="shared" si="0" ref="C39:E40">C4</f>
        <v>Prior Year </v>
      </c>
      <c r="D39" s="471" t="str">
        <f t="shared" si="0"/>
        <v>Current Year </v>
      </c>
      <c r="E39" s="151" t="str">
        <f t="shared" si="0"/>
        <v>Proposed Budget </v>
      </c>
      <c r="G39" s="436"/>
      <c r="H39" s="437"/>
      <c r="I39" s="438"/>
      <c r="J39" s="439"/>
    </row>
    <row r="40" spans="2:10" ht="16.5">
      <c r="B40" s="355" t="str">
        <f>inputPrYr!B26</f>
        <v>County Fair</v>
      </c>
      <c r="C40" s="331" t="str">
        <f t="shared" si="0"/>
        <v>Actual for 2013</v>
      </c>
      <c r="D40" s="331" t="str">
        <f t="shared" si="0"/>
        <v>Estimate for 2014</v>
      </c>
      <c r="E40" s="225" t="str">
        <f t="shared" si="0"/>
        <v>Year for 2015</v>
      </c>
      <c r="G40" s="440">
        <f>summ!H25</f>
        <v>1.161</v>
      </c>
      <c r="H40" s="437" t="str">
        <f>CONCATENATE("",E1," Fund Mill Rate")</f>
        <v>2015 Fund Mill Rate</v>
      </c>
      <c r="I40" s="438"/>
      <c r="J40" s="439"/>
    </row>
    <row r="41" spans="2:10" ht="16.5">
      <c r="B41" s="89" t="s">
        <v>184</v>
      </c>
      <c r="C41" s="328">
        <v>2762</v>
      </c>
      <c r="D41" s="332">
        <f>C66</f>
        <v>2272</v>
      </c>
      <c r="E41" s="188">
        <f>D66</f>
        <v>1496</v>
      </c>
      <c r="G41" s="441">
        <f>summ!E25</f>
        <v>1.201</v>
      </c>
      <c r="H41" s="437" t="str">
        <f>CONCATENATE("",E1-1," Fund Mill Rate")</f>
        <v>2014 Fund Mill Rate</v>
      </c>
      <c r="I41" s="438"/>
      <c r="J41" s="439"/>
    </row>
    <row r="42" spans="2:10" ht="16.5">
      <c r="B42" s="226" t="s">
        <v>186</v>
      </c>
      <c r="C42" s="228"/>
      <c r="D42" s="228"/>
      <c r="E42" s="68"/>
      <c r="G42" s="442">
        <f>summ!H48</f>
        <v>67.327</v>
      </c>
      <c r="H42" s="437" t="str">
        <f>CONCATENATE("Total ",E1," Mill Rate")</f>
        <v>Total 2015 Mill Rate</v>
      </c>
      <c r="I42" s="438"/>
      <c r="J42" s="439"/>
    </row>
    <row r="43" spans="2:10" ht="16.5">
      <c r="B43" s="89" t="s">
        <v>72</v>
      </c>
      <c r="C43" s="328">
        <v>29596</v>
      </c>
      <c r="D43" s="332">
        <v>31661</v>
      </c>
      <c r="E43" s="259" t="s">
        <v>59</v>
      </c>
      <c r="G43" s="441">
        <f>summ!E48</f>
        <v>66.53</v>
      </c>
      <c r="H43" s="443" t="str">
        <f>CONCATENATE("Total ",E1-1," Mill Rate")</f>
        <v>Total 2014 Mill Rate</v>
      </c>
      <c r="I43" s="444"/>
      <c r="J43" s="445"/>
    </row>
    <row r="44" spans="2:10" ht="15.75">
      <c r="B44" s="89" t="s">
        <v>73</v>
      </c>
      <c r="C44" s="328">
        <v>798</v>
      </c>
      <c r="D44" s="328">
        <v>435</v>
      </c>
      <c r="E44" s="53">
        <v>400</v>
      </c>
      <c r="G44" s="1"/>
      <c r="H44" s="1"/>
      <c r="I44" s="1"/>
      <c r="J44" s="1"/>
    </row>
    <row r="45" spans="2:10" ht="15.75">
      <c r="B45" s="89" t="s">
        <v>74</v>
      </c>
      <c r="C45" s="328">
        <v>4319</v>
      </c>
      <c r="D45" s="328">
        <v>3451</v>
      </c>
      <c r="E45" s="188">
        <f>mvalloc!E17</f>
        <v>3566</v>
      </c>
      <c r="G45" s="528" t="s">
        <v>307</v>
      </c>
      <c r="H45" s="488"/>
      <c r="I45" s="487" t="str">
        <f>cert!E57</f>
        <v>No</v>
      </c>
      <c r="J45" s="1"/>
    </row>
    <row r="46" spans="2:10" ht="15.75">
      <c r="B46" s="89" t="s">
        <v>75</v>
      </c>
      <c r="C46" s="328"/>
      <c r="D46" s="328">
        <v>47</v>
      </c>
      <c r="E46" s="188">
        <f>mvalloc!F17</f>
        <v>44</v>
      </c>
      <c r="G46" s="1"/>
      <c r="H46" s="1"/>
      <c r="I46" s="1"/>
      <c r="J46" s="1"/>
    </row>
    <row r="47" spans="2:10" ht="15.75">
      <c r="B47" s="228" t="s">
        <v>144</v>
      </c>
      <c r="C47" s="328"/>
      <c r="D47" s="328">
        <v>341</v>
      </c>
      <c r="E47" s="188">
        <f>mvalloc!G17</f>
        <v>294</v>
      </c>
      <c r="G47" s="1"/>
      <c r="H47" s="1"/>
      <c r="I47" s="1"/>
      <c r="J47" s="1"/>
    </row>
    <row r="48" spans="2:10" ht="15.75">
      <c r="B48" s="231" t="s">
        <v>368</v>
      </c>
      <c r="C48" s="328">
        <v>1</v>
      </c>
      <c r="D48" s="328"/>
      <c r="E48" s="53"/>
      <c r="G48" s="1"/>
      <c r="H48" s="1"/>
      <c r="I48" s="1"/>
      <c r="J48" s="1"/>
    </row>
    <row r="49" spans="2:10" ht="15.75">
      <c r="B49" s="230" t="s">
        <v>372</v>
      </c>
      <c r="C49" s="560">
        <v>-204</v>
      </c>
      <c r="D49" s="560">
        <v>-1711</v>
      </c>
      <c r="E49" s="561">
        <v>-1485</v>
      </c>
      <c r="G49" s="1"/>
      <c r="H49" s="1"/>
      <c r="I49" s="1"/>
      <c r="J49" s="1"/>
    </row>
    <row r="50" spans="2:10" ht="15.75">
      <c r="B50" s="240"/>
      <c r="C50" s="328"/>
      <c r="D50" s="328"/>
      <c r="E50" s="53"/>
      <c r="G50" s="1"/>
      <c r="H50" s="1"/>
      <c r="I50" s="1"/>
      <c r="J50" s="1"/>
    </row>
    <row r="51" spans="2:10" ht="15.75">
      <c r="B51" s="240"/>
      <c r="C51" s="328"/>
      <c r="D51" s="328"/>
      <c r="E51" s="53"/>
      <c r="G51" s="1"/>
      <c r="H51" s="1"/>
      <c r="I51" s="1"/>
      <c r="J51" s="1"/>
    </row>
    <row r="52" spans="2:10" ht="15.75">
      <c r="B52" s="231" t="s">
        <v>79</v>
      </c>
      <c r="C52" s="328"/>
      <c r="D52" s="328"/>
      <c r="E52" s="53"/>
      <c r="G52" s="1"/>
      <c r="H52" s="1"/>
      <c r="I52" s="1"/>
      <c r="J52" s="1"/>
    </row>
    <row r="53" spans="2:10" ht="15.75">
      <c r="B53" s="232" t="s">
        <v>34</v>
      </c>
      <c r="C53" s="328"/>
      <c r="D53" s="328"/>
      <c r="E53" s="53"/>
      <c r="G53" s="1"/>
      <c r="H53" s="1"/>
      <c r="I53" s="1"/>
      <c r="J53" s="1"/>
    </row>
    <row r="54" spans="2:10" ht="15.75">
      <c r="B54" s="232" t="s">
        <v>256</v>
      </c>
      <c r="C54" s="329">
        <f>IF(C55*0.1&lt;C53,"Exceed 10% Rule","")</f>
      </c>
      <c r="D54" s="329">
        <f>IF(D55*0.1&lt;D53,"Exceed 10% Rule","")</f>
      </c>
      <c r="E54" s="266">
        <f>IF(E55*0.1+E72&lt;E53,"Exceed 10% Rule","")</f>
      </c>
      <c r="G54" s="1"/>
      <c r="H54" s="1"/>
      <c r="I54" s="1"/>
      <c r="J54" s="1"/>
    </row>
    <row r="55" spans="2:10" ht="15.75">
      <c r="B55" s="234" t="s">
        <v>80</v>
      </c>
      <c r="C55" s="330">
        <f>SUM(C43:C53)</f>
        <v>34510</v>
      </c>
      <c r="D55" s="330">
        <f>SUM(D43:D53)</f>
        <v>34224</v>
      </c>
      <c r="E55" s="274">
        <f>SUM(E43:E53)</f>
        <v>2819</v>
      </c>
      <c r="G55" s="1"/>
      <c r="H55" s="1"/>
      <c r="I55" s="1"/>
      <c r="J55" s="1"/>
    </row>
    <row r="56" spans="2:10" ht="15.75">
      <c r="B56" s="234" t="s">
        <v>81</v>
      </c>
      <c r="C56" s="330">
        <f>C41+C55</f>
        <v>37272</v>
      </c>
      <c r="D56" s="330">
        <f>D41+D55</f>
        <v>36496</v>
      </c>
      <c r="E56" s="274">
        <f>E41+E55</f>
        <v>4315</v>
      </c>
      <c r="G56" s="1"/>
      <c r="H56" s="1"/>
      <c r="I56" s="1"/>
      <c r="J56" s="1"/>
    </row>
    <row r="57" spans="2:10" ht="15.75">
      <c r="B57" s="89" t="s">
        <v>84</v>
      </c>
      <c r="C57" s="232"/>
      <c r="D57" s="232"/>
      <c r="E57" s="49"/>
      <c r="G57" s="1"/>
      <c r="H57" s="1"/>
      <c r="I57" s="1"/>
      <c r="J57" s="1"/>
    </row>
    <row r="58" spans="2:10" ht="15.75">
      <c r="B58" s="240" t="s">
        <v>399</v>
      </c>
      <c r="C58" s="328">
        <v>35000</v>
      </c>
      <c r="D58" s="328">
        <v>35000</v>
      </c>
      <c r="E58" s="53">
        <v>40000</v>
      </c>
      <c r="G58" s="1"/>
      <c r="H58" s="1"/>
      <c r="I58" s="1"/>
      <c r="J58" s="1"/>
    </row>
    <row r="59" spans="2:10" ht="16.5">
      <c r="B59" s="240"/>
      <c r="C59" s="328"/>
      <c r="D59" s="328"/>
      <c r="E59" s="53"/>
      <c r="G59" s="626" t="str">
        <f>CONCATENATE("Desired Carryover Into ",E1+1,"")</f>
        <v>Desired Carryover Into 2016</v>
      </c>
      <c r="H59" s="627"/>
      <c r="I59" s="627"/>
      <c r="J59" s="598"/>
    </row>
    <row r="60" spans="2:10" ht="15.75">
      <c r="B60" s="240"/>
      <c r="C60" s="328"/>
      <c r="D60" s="328"/>
      <c r="E60" s="53"/>
      <c r="G60" s="425" t="str">
        <f>CONCATENATE("",E1," Tot Exp/Non-Appr Must Be:")</f>
        <v>2015 Tot Exp/Non-Appr Must Be:</v>
      </c>
      <c r="H60" s="426"/>
      <c r="I60" s="427"/>
      <c r="J60" s="428" t="e">
        <f>IF(#REF!&gt;0,IF(E69&lt;E56,IF(#REF!=G71,E69,((#REF!-G71)*(1-D71))+E56),E69+(#REF!-G71)),0)</f>
        <v>#REF!</v>
      </c>
    </row>
    <row r="61" spans="2:10" ht="15.75">
      <c r="B61" s="240"/>
      <c r="C61" s="328"/>
      <c r="D61" s="328"/>
      <c r="E61" s="53"/>
      <c r="G61" s="429" t="s">
        <v>288</v>
      </c>
      <c r="H61" s="430"/>
      <c r="I61" s="430"/>
      <c r="J61" s="431" t="e">
        <f>IF(#REF!&gt;0,J60-E69,0)</f>
        <v>#REF!</v>
      </c>
    </row>
    <row r="62" spans="2:10" ht="15.75">
      <c r="B62" s="232" t="s">
        <v>36</v>
      </c>
      <c r="C62" s="328"/>
      <c r="D62" s="328"/>
      <c r="E62" s="61"/>
      <c r="G62" s="1"/>
      <c r="H62" s="1"/>
      <c r="I62" s="1"/>
      <c r="J62" s="1"/>
    </row>
    <row r="63" spans="2:10" ht="16.5">
      <c r="B63" s="232" t="s">
        <v>34</v>
      </c>
      <c r="C63" s="328"/>
      <c r="D63" s="328"/>
      <c r="E63" s="53"/>
      <c r="G63" s="626" t="str">
        <f>CONCATENATE("Projected Carryover Into ",E1+1,"")</f>
        <v>Projected Carryover Into 2016</v>
      </c>
      <c r="H63" s="634"/>
      <c r="I63" s="634"/>
      <c r="J63" s="633"/>
    </row>
    <row r="64" spans="2:10" ht="15.75">
      <c r="B64" s="232" t="s">
        <v>255</v>
      </c>
      <c r="C64" s="329">
        <f>IF(C65*0.1&lt;C63,"Exceed 10% Rule","")</f>
      </c>
      <c r="D64" s="329">
        <f>IF(D65*0.1&lt;D63,"Exceed 10% Rule","")</f>
      </c>
      <c r="E64" s="266">
        <f>IF(E65*0.1&lt;E63,"Exceed 10% Rule","")</f>
      </c>
      <c r="G64" s="456"/>
      <c r="H64" s="419"/>
      <c r="I64" s="419"/>
      <c r="J64" s="451"/>
    </row>
    <row r="65" spans="2:10" ht="15.75">
      <c r="B65" s="234" t="s">
        <v>85</v>
      </c>
      <c r="C65" s="330">
        <f>SUM(C58:C63)</f>
        <v>35000</v>
      </c>
      <c r="D65" s="330">
        <f>SUM(D58:D63)</f>
        <v>35000</v>
      </c>
      <c r="E65" s="274">
        <f>SUM(E58:E63)</f>
        <v>40000</v>
      </c>
      <c r="G65" s="447">
        <f>D66</f>
        <v>1496</v>
      </c>
      <c r="H65" s="437" t="str">
        <f>CONCATENATE("",E1-1," Ending Cash Balance (est.)")</f>
        <v>2014 Ending Cash Balance (est.)</v>
      </c>
      <c r="I65" s="448"/>
      <c r="J65" s="451"/>
    </row>
    <row r="66" spans="2:10" ht="15.75">
      <c r="B66" s="89" t="s">
        <v>185</v>
      </c>
      <c r="C66" s="333">
        <f>C56-C65</f>
        <v>2272</v>
      </c>
      <c r="D66" s="333">
        <f>D56-D65</f>
        <v>1496</v>
      </c>
      <c r="E66" s="259" t="s">
        <v>59</v>
      </c>
      <c r="G66" s="447">
        <f>E55</f>
        <v>2819</v>
      </c>
      <c r="H66" s="420" t="str">
        <f>CONCATENATE("",E1," Non-AV Receipts (est.)")</f>
        <v>2015 Non-AV Receipts (est.)</v>
      </c>
      <c r="I66" s="448"/>
      <c r="J66" s="451"/>
    </row>
    <row r="67" spans="2:11" ht="15.75">
      <c r="B67" s="224" t="str">
        <f>CONCATENATE("",E1-2,"/",E1-1,"/",E1," Budget Authority Amount:")</f>
        <v>2013/2014/2015 Budget Authority Amount:</v>
      </c>
      <c r="C67" s="261">
        <f>inputOth!B42</f>
        <v>35000</v>
      </c>
      <c r="D67" s="261">
        <f>inputPrYr!D26</f>
        <v>35000</v>
      </c>
      <c r="E67" s="188">
        <f>E65</f>
        <v>40000</v>
      </c>
      <c r="F67" s="242"/>
      <c r="G67" s="449">
        <f>IF(E71&gt;0,E70,E72)</f>
        <v>35685</v>
      </c>
      <c r="H67" s="420" t="str">
        <f>CONCATENATE("",E1," Ad Valorem Tax (est.)")</f>
        <v>2015 Ad Valorem Tax (est.)</v>
      </c>
      <c r="I67" s="448"/>
      <c r="J67" s="451"/>
      <c r="K67" s="434" t="str">
        <f>IF(G67=E72,"","Note: Does not include Delinquent Taxes")</f>
        <v>Note: Does not include Delinquent Taxes</v>
      </c>
    </row>
    <row r="68" spans="2:10" ht="16.5">
      <c r="B68" s="210"/>
      <c r="C68" s="616" t="s">
        <v>258</v>
      </c>
      <c r="D68" s="617"/>
      <c r="E68" s="53"/>
      <c r="F68" s="365">
        <f>IF(E65/0.95-E65&lt;E68,"Exceeds 5%","")</f>
      </c>
      <c r="G68" s="457">
        <f>SUM(G65:G67)</f>
        <v>40000</v>
      </c>
      <c r="H68" s="420" t="str">
        <f>CONCATENATE("Total ",E1," Resources Available")</f>
        <v>Total 2015 Resources Available</v>
      </c>
      <c r="I68" s="458"/>
      <c r="J68" s="451"/>
    </row>
    <row r="69" spans="2:10" ht="15.75">
      <c r="B69" s="368" t="str">
        <f>CONCATENATE(C85,"     ",D85)</f>
        <v>     </v>
      </c>
      <c r="C69" s="618" t="s">
        <v>259</v>
      </c>
      <c r="D69" s="619"/>
      <c r="E69" s="188">
        <f>E65+E68</f>
        <v>40000</v>
      </c>
      <c r="G69" s="459"/>
      <c r="H69" s="460"/>
      <c r="I69" s="419"/>
      <c r="J69" s="451"/>
    </row>
    <row r="70" spans="2:10" ht="15.75">
      <c r="B70" s="368" t="str">
        <f>CONCATENATE(C86,"     ",D86)</f>
        <v>     </v>
      </c>
      <c r="C70" s="243"/>
      <c r="D70" s="162" t="s">
        <v>86</v>
      </c>
      <c r="E70" s="61">
        <f>IF(E69-E56&gt;0,E69-E56,0)</f>
        <v>35685</v>
      </c>
      <c r="G70" s="461">
        <f>ROUND(C65*0.05+C65,0)</f>
        <v>36750</v>
      </c>
      <c r="H70" s="420" t="str">
        <f>CONCATENATE("Less ",E1-2," Expenditures + 5%")</f>
        <v>Less 2013 Expenditures + 5%</v>
      </c>
      <c r="I70" s="458"/>
      <c r="J70" s="451"/>
    </row>
    <row r="71" spans="2:10" ht="15.75">
      <c r="B71" s="162"/>
      <c r="C71" s="367" t="s">
        <v>260</v>
      </c>
      <c r="D71" s="417">
        <f>inputOth!$E$23</f>
        <v>0.05</v>
      </c>
      <c r="E71" s="188">
        <f>ROUND(IF(D71&gt;0,($E$70*D71),0),0)</f>
        <v>1784</v>
      </c>
      <c r="G71" s="462">
        <f>G68-G70</f>
        <v>3250</v>
      </c>
      <c r="H71" s="453" t="str">
        <f>CONCATENATE("Projected ",E1+1," carryover (est.)")</f>
        <v>Projected 2016 carryover (est.)</v>
      </c>
      <c r="I71" s="463"/>
      <c r="J71" s="464"/>
    </row>
    <row r="72" spans="2:10" ht="16.5">
      <c r="B72" s="28"/>
      <c r="C72" s="624" t="str">
        <f>CONCATENATE("Amount of  ",$E$1-1," Ad Valorem Tax")</f>
        <v>Amount of  2014 Ad Valorem Tax</v>
      </c>
      <c r="D72" s="625"/>
      <c r="E72" s="270">
        <f>E70+E71</f>
        <v>37469</v>
      </c>
      <c r="G72" s="1"/>
      <c r="H72" s="1"/>
      <c r="I72" s="1"/>
      <c r="J72" s="1"/>
    </row>
    <row r="73" spans="2:10" ht="16.5">
      <c r="B73" s="210" t="s">
        <v>106</v>
      </c>
      <c r="C73" s="271">
        <v>13</v>
      </c>
      <c r="D73" s="28"/>
      <c r="E73" s="28"/>
      <c r="G73" s="628" t="s">
        <v>289</v>
      </c>
      <c r="H73" s="629"/>
      <c r="I73" s="629"/>
      <c r="J73" s="630"/>
    </row>
    <row r="74" spans="7:10" ht="16.5">
      <c r="G74" s="436"/>
      <c r="H74" s="437"/>
      <c r="I74" s="438"/>
      <c r="J74" s="439"/>
    </row>
    <row r="75" spans="7:10" ht="16.5">
      <c r="G75" s="440">
        <f>summ!H26</f>
        <v>0.444</v>
      </c>
      <c r="H75" s="437" t="str">
        <f>CONCATENATE("",E1," Fund Mill Rate")</f>
        <v>2015 Fund Mill Rate</v>
      </c>
      <c r="I75" s="438"/>
      <c r="J75" s="439"/>
    </row>
    <row r="76" spans="7:10" ht="16.5">
      <c r="G76" s="441">
        <f>summ!E26</f>
        <v>0.396</v>
      </c>
      <c r="H76" s="437" t="str">
        <f>CONCATENATE("",E1-1," Fund Mill Rate")</f>
        <v>2014 Fund Mill Rate</v>
      </c>
      <c r="I76" s="438"/>
      <c r="J76" s="439"/>
    </row>
    <row r="77" spans="7:10" ht="16.5">
      <c r="G77" s="442">
        <f>summ!H48</f>
        <v>67.327</v>
      </c>
      <c r="H77" s="437" t="str">
        <f>CONCATENATE("Total ",E1," Mill Rate")</f>
        <v>Total 2015 Mill Rate</v>
      </c>
      <c r="I77" s="438"/>
      <c r="J77" s="439"/>
    </row>
    <row r="78" spans="7:10" ht="16.5">
      <c r="G78" s="441">
        <f>summ!E48</f>
        <v>66.53</v>
      </c>
      <c r="H78" s="443" t="str">
        <f>CONCATENATE("Total ",E1-1," Mill Rate")</f>
        <v>Total 2014 Mill Rate</v>
      </c>
      <c r="I78" s="444"/>
      <c r="J78" s="445"/>
    </row>
    <row r="80" spans="7:9" ht="15.75">
      <c r="G80" s="529" t="s">
        <v>307</v>
      </c>
      <c r="H80" s="488"/>
      <c r="I80" s="487" t="str">
        <f>cert!E57</f>
        <v>No</v>
      </c>
    </row>
    <row r="83" spans="3:4" ht="15.75" hidden="1">
      <c r="C83" s="25">
        <f>IF(C30&gt;C32,"See Tab A","")</f>
      </c>
      <c r="D83" s="25">
        <f>IF(D30&gt;D32,"See Tab C","")</f>
      </c>
    </row>
    <row r="84" spans="3:4" ht="15.75" hidden="1">
      <c r="C84" s="25">
        <f>IF(C31&lt;0,"See Tab B","")</f>
      </c>
      <c r="D84" s="25">
        <f>IF(D31&lt;0,"See Tab D","")</f>
      </c>
    </row>
    <row r="85" spans="3:4" ht="15.75" hidden="1">
      <c r="C85" s="25">
        <f>IF(C65&gt;C67,"See Tab A","")</f>
      </c>
      <c r="D85" s="25">
        <f>IF(D65&gt;D67,"See Tab C","")</f>
      </c>
    </row>
    <row r="86" spans="3:4" ht="15.75" hidden="1">
      <c r="C86" s="25">
        <f>IF(C66&lt;0,"See Tab B","")</f>
      </c>
      <c r="D86" s="25">
        <f>IF(D66&lt;0,"See Tab D","")</f>
      </c>
    </row>
  </sheetData>
  <sheetProtection/>
  <mergeCells count="12">
    <mergeCell ref="G24:J24"/>
    <mergeCell ref="G28:J28"/>
    <mergeCell ref="G38:J38"/>
    <mergeCell ref="G59:J59"/>
    <mergeCell ref="G63:J63"/>
    <mergeCell ref="G73:J73"/>
    <mergeCell ref="C33:D33"/>
    <mergeCell ref="C34:D34"/>
    <mergeCell ref="C68:D68"/>
    <mergeCell ref="C69:D69"/>
    <mergeCell ref="C72:D72"/>
    <mergeCell ref="C37:D37"/>
  </mergeCells>
  <conditionalFormatting sqref="E63">
    <cfRule type="cellIs" priority="3" dxfId="253" operator="greaterThan" stopIfTrue="1">
      <formula>$E$65*0.1</formula>
    </cfRule>
  </conditionalFormatting>
  <conditionalFormatting sqref="E68">
    <cfRule type="cellIs" priority="4" dxfId="253" operator="greaterThan" stopIfTrue="1">
      <formula>$E$65/0.95-$E$65</formula>
    </cfRule>
  </conditionalFormatting>
  <conditionalFormatting sqref="E33">
    <cfRule type="cellIs" priority="5" dxfId="253" operator="greaterThan" stopIfTrue="1">
      <formula>$E$30/0.95-$E$30</formula>
    </cfRule>
  </conditionalFormatting>
  <conditionalFormatting sqref="E28">
    <cfRule type="cellIs" priority="6" dxfId="253" operator="greaterThan" stopIfTrue="1">
      <formula>$E$30*0.1</formula>
    </cfRule>
  </conditionalFormatting>
  <conditionalFormatting sqref="C66 C31">
    <cfRule type="cellIs" priority="7" dxfId="2" operator="lessThan" stopIfTrue="1">
      <formula>0</formula>
    </cfRule>
  </conditionalFormatting>
  <conditionalFormatting sqref="C65">
    <cfRule type="cellIs" priority="8" dxfId="2" operator="greaterThan" stopIfTrue="1">
      <formula>$C$67</formula>
    </cfRule>
  </conditionalFormatting>
  <conditionalFormatting sqref="D65">
    <cfRule type="cellIs" priority="9" dxfId="2" operator="greaterThan" stopIfTrue="1">
      <formula>$D$67</formula>
    </cfRule>
  </conditionalFormatting>
  <conditionalFormatting sqref="C63">
    <cfRule type="cellIs" priority="10" dxfId="2" operator="greaterThan" stopIfTrue="1">
      <formula>$C$65*0.1</formula>
    </cfRule>
  </conditionalFormatting>
  <conditionalFormatting sqref="D63">
    <cfRule type="cellIs" priority="11" dxfId="2" operator="greaterThan" stopIfTrue="1">
      <formula>$D$65*0.1</formula>
    </cfRule>
  </conditionalFormatting>
  <conditionalFormatting sqref="E53">
    <cfRule type="cellIs" priority="12" dxfId="253" operator="greaterThan" stopIfTrue="1">
      <formula>$E$55*0.1+E72</formula>
    </cfRule>
  </conditionalFormatting>
  <conditionalFormatting sqref="C53">
    <cfRule type="cellIs" priority="13" dxfId="2" operator="greaterThan" stopIfTrue="1">
      <formula>$C$55*0.1</formula>
    </cfRule>
  </conditionalFormatting>
  <conditionalFormatting sqref="D53">
    <cfRule type="cellIs" priority="14" dxfId="2" operator="greaterThan" stopIfTrue="1">
      <formula>$D$55*0.1</formula>
    </cfRule>
  </conditionalFormatting>
  <conditionalFormatting sqref="C30">
    <cfRule type="cellIs" priority="15" dxfId="2" operator="greaterThan" stopIfTrue="1">
      <formula>$C$32</formula>
    </cfRule>
  </conditionalFormatting>
  <conditionalFormatting sqref="D30">
    <cfRule type="cellIs" priority="16" dxfId="2" operator="greaterThan" stopIfTrue="1">
      <formula>$D$32</formula>
    </cfRule>
  </conditionalFormatting>
  <conditionalFormatting sqref="C28">
    <cfRule type="cellIs" priority="17" dxfId="2" operator="greaterThan" stopIfTrue="1">
      <formula>$C$30*0.1</formula>
    </cfRule>
  </conditionalFormatting>
  <conditionalFormatting sqref="D28">
    <cfRule type="cellIs" priority="18" dxfId="2" operator="greaterThan" stopIfTrue="1">
      <formula>$D$30*0.1</formula>
    </cfRule>
  </conditionalFormatting>
  <conditionalFormatting sqref="E18">
    <cfRule type="cellIs" priority="19" dxfId="253" operator="greaterThan" stopIfTrue="1">
      <formula>$E$20*0.1+E37</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66 D3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9"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89"/>
  <sheetViews>
    <sheetView view="pageBreakPreview" zoomScale="96" zoomScaleSheetLayoutView="96" zoomScalePageLayoutView="0" workbookViewId="0" topLeftCell="A36">
      <selection activeCell="E38" sqref="E38"/>
    </sheetView>
  </sheetViews>
  <sheetFormatPr defaultColWidth="8.8984375" defaultRowHeight="15"/>
  <cols>
    <col min="1" max="1" width="2.3984375" style="25" customWidth="1"/>
    <col min="2" max="2" width="31.09765625" style="25" customWidth="1"/>
    <col min="3" max="4" width="15.796875" style="25" customWidth="1"/>
    <col min="5" max="5" width="16.09765625" style="25" customWidth="1"/>
    <col min="6" max="6" width="7.3984375" style="25" customWidth="1"/>
    <col min="7" max="7" width="10.19921875" style="25" customWidth="1"/>
    <col min="8" max="8" width="8.8984375" style="25" customWidth="1"/>
    <col min="9" max="9" width="5" style="25" customWidth="1"/>
    <col min="10" max="10" width="10" style="25" customWidth="1"/>
    <col min="11"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151</v>
      </c>
      <c r="C3" s="255"/>
      <c r="D3" s="255"/>
      <c r="E3" s="256"/>
    </row>
    <row r="4" spans="2:5" ht="15.75">
      <c r="B4" s="27" t="s">
        <v>71</v>
      </c>
      <c r="C4" s="470" t="s">
        <v>290</v>
      </c>
      <c r="D4" s="471" t="s">
        <v>291</v>
      </c>
      <c r="E4" s="151" t="s">
        <v>292</v>
      </c>
    </row>
    <row r="5" spans="2:5" ht="15.75">
      <c r="B5" s="356" t="str">
        <f>inputPrYr!B27</f>
        <v>Election Expense</v>
      </c>
      <c r="C5" s="331" t="str">
        <f>CONCATENATE("Actual for ",E1-2,"")</f>
        <v>Actual for 2013</v>
      </c>
      <c r="D5" s="331" t="str">
        <f>CONCATENATE("Estimate for ",E1-1,"")</f>
        <v>Estimate for 2014</v>
      </c>
      <c r="E5" s="225" t="str">
        <f>CONCATENATE("Year for ",E1,"")</f>
        <v>Year for 2015</v>
      </c>
    </row>
    <row r="6" spans="2:5" ht="15.75">
      <c r="B6" s="89" t="s">
        <v>184</v>
      </c>
      <c r="C6" s="328">
        <v>30720</v>
      </c>
      <c r="D6" s="332">
        <f>C34</f>
        <v>19806</v>
      </c>
      <c r="E6" s="188">
        <f>D34</f>
        <v>14053</v>
      </c>
    </row>
    <row r="7" spans="2:5" ht="15.75">
      <c r="B7" s="213" t="s">
        <v>186</v>
      </c>
      <c r="C7" s="228"/>
      <c r="D7" s="228"/>
      <c r="E7" s="68"/>
    </row>
    <row r="8" spans="2:5" ht="15.75">
      <c r="B8" s="89" t="s">
        <v>72</v>
      </c>
      <c r="C8" s="328">
        <v>63766</v>
      </c>
      <c r="D8" s="332">
        <v>98642</v>
      </c>
      <c r="E8" s="259" t="s">
        <v>59</v>
      </c>
    </row>
    <row r="9" spans="2:5" ht="15.75">
      <c r="B9" s="89" t="s">
        <v>73</v>
      </c>
      <c r="C9" s="328">
        <v>1925</v>
      </c>
      <c r="D9" s="328">
        <v>1050</v>
      </c>
      <c r="E9" s="53">
        <v>1000</v>
      </c>
    </row>
    <row r="10" spans="2:5" ht="15.75">
      <c r="B10" s="89" t="s">
        <v>74</v>
      </c>
      <c r="C10" s="328">
        <v>12129</v>
      </c>
      <c r="D10" s="328">
        <v>7443</v>
      </c>
      <c r="E10" s="188">
        <f>mvalloc!E18</f>
        <v>11109</v>
      </c>
    </row>
    <row r="11" spans="2:5" ht="15.75">
      <c r="B11" s="89" t="s">
        <v>75</v>
      </c>
      <c r="C11" s="328"/>
      <c r="D11" s="328">
        <v>102</v>
      </c>
      <c r="E11" s="188">
        <f>mvalloc!F18</f>
        <v>138</v>
      </c>
    </row>
    <row r="12" spans="2:5" ht="15.75">
      <c r="B12" s="228" t="s">
        <v>144</v>
      </c>
      <c r="C12" s="328"/>
      <c r="D12" s="328">
        <v>1051</v>
      </c>
      <c r="E12" s="188">
        <f>mvalloc!G18</f>
        <v>914</v>
      </c>
    </row>
    <row r="13" spans="2:5" ht="15.75">
      <c r="B13" s="231" t="s">
        <v>368</v>
      </c>
      <c r="C13" s="328">
        <v>2</v>
      </c>
      <c r="D13" s="328">
        <v>3</v>
      </c>
      <c r="E13" s="53">
        <v>3</v>
      </c>
    </row>
    <row r="14" spans="2:5" ht="15.75">
      <c r="B14" s="230" t="s">
        <v>372</v>
      </c>
      <c r="C14" s="560">
        <v>-440</v>
      </c>
      <c r="D14" s="560">
        <v>-3686</v>
      </c>
      <c r="E14" s="561">
        <v>-4628</v>
      </c>
    </row>
    <row r="15" spans="2:5" ht="15.75">
      <c r="B15" s="240" t="s">
        <v>375</v>
      </c>
      <c r="C15" s="328">
        <v>17117</v>
      </c>
      <c r="D15" s="328">
        <v>5000</v>
      </c>
      <c r="E15" s="53">
        <v>5000</v>
      </c>
    </row>
    <row r="16" spans="2:5" ht="15.75">
      <c r="B16" s="240"/>
      <c r="C16" s="328"/>
      <c r="D16" s="328"/>
      <c r="E16" s="53"/>
    </row>
    <row r="17" spans="2:5" ht="15.75">
      <c r="B17" s="231" t="s">
        <v>79</v>
      </c>
      <c r="C17" s="328"/>
      <c r="D17" s="328"/>
      <c r="E17" s="53"/>
    </row>
    <row r="18" spans="2:5" ht="15.75">
      <c r="B18" s="232" t="s">
        <v>34</v>
      </c>
      <c r="C18" s="328"/>
      <c r="D18" s="328"/>
      <c r="E18" s="53"/>
    </row>
    <row r="19" spans="2:5" ht="15.75">
      <c r="B19" s="232" t="s">
        <v>256</v>
      </c>
      <c r="C19" s="329">
        <f>IF(C20*0.1&lt;C18,"Exceed 10% Rule","")</f>
      </c>
      <c r="D19" s="329">
        <f>IF(D20*0.1&lt;D18,"Exceed 10% Rule","")</f>
      </c>
      <c r="E19" s="266">
        <f>IF(E20*0.1+E40&lt;E18,"Exceed 10% Rule","")</f>
      </c>
    </row>
    <row r="20" spans="2:5" ht="15.75">
      <c r="B20" s="234" t="s">
        <v>80</v>
      </c>
      <c r="C20" s="330">
        <f>SUM(C8:C18)</f>
        <v>94499</v>
      </c>
      <c r="D20" s="330">
        <f>SUM(D8:D18)</f>
        <v>109605</v>
      </c>
      <c r="E20" s="274">
        <f>SUM(E8:E18)</f>
        <v>13536</v>
      </c>
    </row>
    <row r="21" spans="2:5" ht="15.75">
      <c r="B21" s="234" t="s">
        <v>81</v>
      </c>
      <c r="C21" s="330">
        <f>C6+C20</f>
        <v>125219</v>
      </c>
      <c r="D21" s="330">
        <f>D6+D20</f>
        <v>129411</v>
      </c>
      <c r="E21" s="274">
        <f>E6+E20</f>
        <v>27589</v>
      </c>
    </row>
    <row r="22" spans="2:5" ht="15.75">
      <c r="B22" s="89" t="s">
        <v>84</v>
      </c>
      <c r="C22" s="232"/>
      <c r="D22" s="232"/>
      <c r="E22" s="49"/>
    </row>
    <row r="23" spans="2:5" ht="15.75">
      <c r="B23" s="51" t="s">
        <v>89</v>
      </c>
      <c r="C23" s="328">
        <v>37930</v>
      </c>
      <c r="D23" s="328">
        <v>33758</v>
      </c>
      <c r="E23" s="53">
        <v>34433</v>
      </c>
    </row>
    <row r="24" spans="2:10" ht="16.5">
      <c r="B24" s="51" t="s">
        <v>90</v>
      </c>
      <c r="C24" s="328">
        <v>19475</v>
      </c>
      <c r="D24" s="328">
        <v>40100</v>
      </c>
      <c r="E24" s="53">
        <v>20100</v>
      </c>
      <c r="G24" s="626" t="str">
        <f>CONCATENATE("Desired Carryover Into ",E1+1,"")</f>
        <v>Desired Carryover Into 2016</v>
      </c>
      <c r="H24" s="627"/>
      <c r="I24" s="627"/>
      <c r="J24" s="598"/>
    </row>
    <row r="25" spans="2:10" ht="15.75">
      <c r="B25" s="51" t="s">
        <v>91</v>
      </c>
      <c r="C25" s="328">
        <v>18008</v>
      </c>
      <c r="D25" s="328">
        <v>30500</v>
      </c>
      <c r="E25" s="53">
        <v>20000</v>
      </c>
      <c r="G25" s="418"/>
      <c r="H25" s="419"/>
      <c r="I25" s="420"/>
      <c r="J25" s="421"/>
    </row>
    <row r="26" spans="2:10" ht="15.75">
      <c r="B26" s="51" t="s">
        <v>92</v>
      </c>
      <c r="C26" s="328"/>
      <c r="D26" s="328">
        <v>5000</v>
      </c>
      <c r="E26" s="53">
        <v>4325</v>
      </c>
      <c r="G26" s="422" t="s">
        <v>261</v>
      </c>
      <c r="H26" s="420"/>
      <c r="I26" s="420"/>
      <c r="J26" s="423">
        <v>0</v>
      </c>
    </row>
    <row r="27" spans="2:10" ht="15.75">
      <c r="B27" s="240" t="s">
        <v>441</v>
      </c>
      <c r="C27" s="328">
        <v>30000</v>
      </c>
      <c r="D27" s="328">
        <v>6000</v>
      </c>
      <c r="E27" s="53">
        <v>36500</v>
      </c>
      <c r="G27" s="418" t="s">
        <v>262</v>
      </c>
      <c r="H27" s="419"/>
      <c r="I27" s="419"/>
      <c r="J27" s="424">
        <f>IF(J26=0,"",ROUND((J26+E40-G39)/inputOth!E6*1000,3)-G44)</f>
      </c>
    </row>
    <row r="28" spans="2:10" ht="15.75">
      <c r="B28" s="240"/>
      <c r="C28" s="328"/>
      <c r="D28" s="328"/>
      <c r="E28" s="53"/>
      <c r="G28" s="425" t="str">
        <f>CONCATENATE("",E1," Tot Exp/Non-Appr Must Be:")</f>
        <v>2015 Tot Exp/Non-Appr Must Be:</v>
      </c>
      <c r="H28" s="426"/>
      <c r="I28" s="427"/>
      <c r="J28" s="428">
        <f>IF(J26&gt;0,IF(E37&lt;E21,IF(J26=G39,E37,((J26-G39)*(1-D39))+E21),E37+(J26-G39)),0)</f>
        <v>0</v>
      </c>
    </row>
    <row r="29" spans="2:10" ht="15.75">
      <c r="B29" s="240"/>
      <c r="C29" s="328"/>
      <c r="D29" s="328"/>
      <c r="E29" s="53"/>
      <c r="G29" s="429" t="s">
        <v>288</v>
      </c>
      <c r="H29" s="430"/>
      <c r="I29" s="430"/>
      <c r="J29" s="431">
        <f>IF(J26&gt;0,J28-E37,0)</f>
        <v>0</v>
      </c>
    </row>
    <row r="30" spans="2:10" ht="15.75">
      <c r="B30" s="232" t="s">
        <v>36</v>
      </c>
      <c r="C30" s="328"/>
      <c r="D30" s="328"/>
      <c r="E30" s="61"/>
      <c r="G30" s="1"/>
      <c r="H30" s="1"/>
      <c r="I30" s="1"/>
      <c r="J30" s="1"/>
    </row>
    <row r="31" spans="2:10" ht="16.5">
      <c r="B31" s="232" t="s">
        <v>34</v>
      </c>
      <c r="C31" s="328"/>
      <c r="D31" s="328"/>
      <c r="E31" s="53"/>
      <c r="G31" s="626" t="str">
        <f>CONCATENATE("Projected Carryover Into ",E1+1,"")</f>
        <v>Projected Carryover Into 2016</v>
      </c>
      <c r="H31" s="632"/>
      <c r="I31" s="632"/>
      <c r="J31" s="633"/>
    </row>
    <row r="32" spans="2:10" ht="15.75">
      <c r="B32" s="232" t="s">
        <v>255</v>
      </c>
      <c r="C32" s="329">
        <f>IF(C33*0.1&lt;C31,"Exceed 10% Rule","")</f>
      </c>
      <c r="D32" s="329">
        <f>IF(D33*0.1&lt;D31,"Exceed 10% Rule","")</f>
      </c>
      <c r="E32" s="266">
        <f>IF(E33*0.1&lt;E31,"Exceed 10% Rule","")</f>
      </c>
      <c r="G32" s="418"/>
      <c r="H32" s="420"/>
      <c r="I32" s="420"/>
      <c r="J32" s="446"/>
    </row>
    <row r="33" spans="2:10" ht="15.75">
      <c r="B33" s="234" t="s">
        <v>85</v>
      </c>
      <c r="C33" s="330">
        <f>SUM(C23:C31)</f>
        <v>105413</v>
      </c>
      <c r="D33" s="330">
        <f>SUM(D23:D31)</f>
        <v>115358</v>
      </c>
      <c r="E33" s="274">
        <f>SUM(E23:E31)</f>
        <v>115358</v>
      </c>
      <c r="G33" s="447">
        <f>D34</f>
        <v>14053</v>
      </c>
      <c r="H33" s="437" t="str">
        <f>CONCATENATE("",E1-1," Ending Cash Balance (est.)")</f>
        <v>2014 Ending Cash Balance (est.)</v>
      </c>
      <c r="I33" s="448"/>
      <c r="J33" s="446"/>
    </row>
    <row r="34" spans="2:10" ht="15.75">
      <c r="B34" s="89" t="s">
        <v>185</v>
      </c>
      <c r="C34" s="333">
        <f>C21-C33</f>
        <v>19806</v>
      </c>
      <c r="D34" s="333">
        <f>D21-D33</f>
        <v>14053</v>
      </c>
      <c r="E34" s="259" t="s">
        <v>59</v>
      </c>
      <c r="G34" s="447">
        <f>E20</f>
        <v>13536</v>
      </c>
      <c r="H34" s="420" t="str">
        <f>CONCATENATE("",E1," Non-AV Receipts (est.)")</f>
        <v>2015 Non-AV Receipts (est.)</v>
      </c>
      <c r="I34" s="448"/>
      <c r="J34" s="446"/>
    </row>
    <row r="35" spans="2:11" ht="15.75">
      <c r="B35" s="224" t="str">
        <f>CONCATENATE("",E1-2,"/",E1-1,"/",E1," Budget Authority Amount:")</f>
        <v>2013/2014/2015 Budget Authority Amount:</v>
      </c>
      <c r="C35" s="261">
        <f>inputOth!D43</f>
        <v>120875</v>
      </c>
      <c r="D35" s="261">
        <f>inputPrYr!D27</f>
        <v>115358</v>
      </c>
      <c r="E35" s="188">
        <f>E33</f>
        <v>115358</v>
      </c>
      <c r="F35" s="242"/>
      <c r="G35" s="449">
        <f>IF(E39&gt;0,E38,E40)</f>
        <v>87769</v>
      </c>
      <c r="H35" s="420" t="str">
        <f>CONCATENATE("",E1," Ad Valorem Tax (est.)")</f>
        <v>2015 Ad Valorem Tax (est.)</v>
      </c>
      <c r="I35" s="448"/>
      <c r="J35" s="446"/>
      <c r="K35" s="434" t="str">
        <f>IF(G35=E40,"","Note: Does not include Delinquent Taxes")</f>
        <v>Note: Does not include Delinquent Taxes</v>
      </c>
    </row>
    <row r="36" spans="2:10" ht="16.5">
      <c r="B36" s="210"/>
      <c r="C36" s="616" t="s">
        <v>258</v>
      </c>
      <c r="D36" s="617"/>
      <c r="E36" s="53"/>
      <c r="F36" s="365">
        <f>IF(E33/0.95-E33&lt;E36,"Exceeds 5%","")</f>
      </c>
      <c r="G36" s="447">
        <f>SUM(G33:G35)</f>
        <v>115358</v>
      </c>
      <c r="H36" s="420" t="str">
        <f>CONCATENATE("Total ",E1," Resources Available")</f>
        <v>Total 2015 Resources Available</v>
      </c>
      <c r="I36" s="448"/>
      <c r="J36" s="446"/>
    </row>
    <row r="37" spans="2:10" ht="15.75">
      <c r="B37" s="369" t="str">
        <f>CONCATENATE(C86,"     ",D86)</f>
        <v>     </v>
      </c>
      <c r="C37" s="618" t="s">
        <v>259</v>
      </c>
      <c r="D37" s="619"/>
      <c r="E37" s="188">
        <f>E33+E36</f>
        <v>115358</v>
      </c>
      <c r="G37" s="450"/>
      <c r="H37" s="420"/>
      <c r="I37" s="420"/>
      <c r="J37" s="446"/>
    </row>
    <row r="38" spans="2:10" ht="15.75">
      <c r="B38" s="369" t="str">
        <f>CONCATENATE(C87,"     ",D87)</f>
        <v>     </v>
      </c>
      <c r="C38" s="243"/>
      <c r="D38" s="162" t="s">
        <v>86</v>
      </c>
      <c r="E38" s="61">
        <f>IF(E37-E21&gt;0,E37-E21,0)</f>
        <v>87769</v>
      </c>
      <c r="G38" s="449">
        <f>ROUND(C33*0.05+C33,0)</f>
        <v>110684</v>
      </c>
      <c r="H38" s="420" t="str">
        <f>CONCATENATE("Less ",E1-2," Expenditures + 5%")</f>
        <v>Less 2013 Expenditures + 5%</v>
      </c>
      <c r="I38" s="448"/>
      <c r="J38" s="451"/>
    </row>
    <row r="39" spans="2:10" ht="15.75">
      <c r="B39" s="162"/>
      <c r="C39" s="367" t="s">
        <v>260</v>
      </c>
      <c r="D39" s="417">
        <f>inputOth!$E$23</f>
        <v>0.05</v>
      </c>
      <c r="E39" s="188">
        <f>ROUND(IF(D39&gt;0,($E$38*D39),0),0)</f>
        <v>4388</v>
      </c>
      <c r="G39" s="452">
        <f>G36-G38</f>
        <v>4674</v>
      </c>
      <c r="H39" s="453" t="str">
        <f>CONCATENATE("Projected ",E1+1," carryover (est.)")</f>
        <v>Projected 2016 carryover (est.)</v>
      </c>
      <c r="I39" s="454"/>
      <c r="J39" s="455"/>
    </row>
    <row r="40" spans="2:10" ht="16.5">
      <c r="B40" s="28"/>
      <c r="C40" s="624" t="str">
        <f>CONCATENATE("Amount of  ",$E$1-1," Ad Valorem Tax")</f>
        <v>Amount of  2014 Ad Valorem Tax</v>
      </c>
      <c r="D40" s="625"/>
      <c r="E40" s="270">
        <f>E38+E39</f>
        <v>92157</v>
      </c>
      <c r="G40" s="1"/>
      <c r="H40" s="1"/>
      <c r="I40" s="1"/>
      <c r="J40" s="1"/>
    </row>
    <row r="41" spans="2:10" ht="16.5">
      <c r="B41" s="28"/>
      <c r="C41" s="249"/>
      <c r="D41" s="249"/>
      <c r="E41" s="249"/>
      <c r="G41" s="628" t="s">
        <v>289</v>
      </c>
      <c r="H41" s="629"/>
      <c r="I41" s="629"/>
      <c r="J41" s="630"/>
    </row>
    <row r="42" spans="2:10" ht="16.5">
      <c r="B42" s="27" t="s">
        <v>71</v>
      </c>
      <c r="C42" s="470" t="str">
        <f aca="true" t="shared" si="0" ref="C42:E43">C4</f>
        <v>Prior Year </v>
      </c>
      <c r="D42" s="471" t="str">
        <f t="shared" si="0"/>
        <v>Current Year </v>
      </c>
      <c r="E42" s="151" t="str">
        <f t="shared" si="0"/>
        <v>Proposed Budget </v>
      </c>
      <c r="G42" s="436"/>
      <c r="H42" s="437"/>
      <c r="I42" s="438"/>
      <c r="J42" s="439"/>
    </row>
    <row r="43" spans="2:10" ht="16.5">
      <c r="B43" s="355" t="str">
        <f>inputPrYr!B28</f>
        <v>Special Building</v>
      </c>
      <c r="C43" s="331" t="str">
        <f t="shared" si="0"/>
        <v>Actual for 2013</v>
      </c>
      <c r="D43" s="331" t="str">
        <f t="shared" si="0"/>
        <v>Estimate for 2014</v>
      </c>
      <c r="E43" s="225" t="str">
        <f t="shared" si="0"/>
        <v>Year for 2015</v>
      </c>
      <c r="G43" s="440">
        <f>summ!H27</f>
        <v>1.092</v>
      </c>
      <c r="H43" s="437" t="str">
        <f>CONCATENATE("",E1," Fund Mill Rate")</f>
        <v>2015 Fund Mill Rate</v>
      </c>
      <c r="I43" s="438"/>
      <c r="J43" s="439"/>
    </row>
    <row r="44" spans="2:10" ht="16.5">
      <c r="B44" s="89" t="s">
        <v>184</v>
      </c>
      <c r="C44" s="560">
        <v>-8918</v>
      </c>
      <c r="D44" s="562">
        <f>C69</f>
        <v>57566</v>
      </c>
      <c r="E44" s="188">
        <f>D69</f>
        <v>77410</v>
      </c>
      <c r="G44" s="441">
        <f>summ!E27</f>
        <v>1.234</v>
      </c>
      <c r="H44" s="437" t="str">
        <f>CONCATENATE("",E1-1," Fund Mill Rate")</f>
        <v>2014 Fund Mill Rate</v>
      </c>
      <c r="I44" s="438"/>
      <c r="J44" s="439"/>
    </row>
    <row r="45" spans="2:10" ht="16.5">
      <c r="B45" s="226" t="s">
        <v>186</v>
      </c>
      <c r="C45" s="228"/>
      <c r="D45" s="228"/>
      <c r="E45" s="68"/>
      <c r="G45" s="442">
        <f>summ!H48</f>
        <v>67.327</v>
      </c>
      <c r="H45" s="437" t="str">
        <f>CONCATENATE("Total ",E1," Mill Rate")</f>
        <v>Total 2015 Mill Rate</v>
      </c>
      <c r="I45" s="438"/>
      <c r="J45" s="439"/>
    </row>
    <row r="46" spans="2:10" ht="16.5">
      <c r="B46" s="89" t="s">
        <v>72</v>
      </c>
      <c r="C46" s="328">
        <v>73000</v>
      </c>
      <c r="D46" s="332">
        <v>78648</v>
      </c>
      <c r="E46" s="259" t="s">
        <v>59</v>
      </c>
      <c r="G46" s="441">
        <f>summ!E48</f>
        <v>66.53</v>
      </c>
      <c r="H46" s="443" t="str">
        <f>CONCATENATE("Total ",E1-1," Mill Rate")</f>
        <v>Total 2014 Mill Rate</v>
      </c>
      <c r="I46" s="444"/>
      <c r="J46" s="445"/>
    </row>
    <row r="47" spans="2:10" ht="15.75">
      <c r="B47" s="89" t="s">
        <v>73</v>
      </c>
      <c r="C47" s="328">
        <v>849</v>
      </c>
      <c r="D47" s="328">
        <v>570</v>
      </c>
      <c r="E47" s="53">
        <v>500</v>
      </c>
      <c r="G47" s="1"/>
      <c r="H47" s="1"/>
      <c r="I47" s="1"/>
      <c r="J47" s="1"/>
    </row>
    <row r="48" spans="2:10" ht="15.75">
      <c r="B48" s="89" t="s">
        <v>74</v>
      </c>
      <c r="C48" s="328"/>
      <c r="D48" s="328">
        <v>8519</v>
      </c>
      <c r="E48" s="188">
        <f>mvalloc!E19</f>
        <v>8857</v>
      </c>
      <c r="G48" s="530" t="s">
        <v>307</v>
      </c>
      <c r="H48" s="488"/>
      <c r="I48" s="487" t="str">
        <f>cert!E57</f>
        <v>No</v>
      </c>
      <c r="J48" s="1"/>
    </row>
    <row r="49" spans="2:10" ht="15.75">
      <c r="B49" s="89" t="s">
        <v>75</v>
      </c>
      <c r="C49" s="328"/>
      <c r="D49" s="328">
        <v>117</v>
      </c>
      <c r="E49" s="188">
        <f>mvalloc!F19</f>
        <v>110</v>
      </c>
      <c r="G49" s="1"/>
      <c r="H49" s="1"/>
      <c r="I49" s="1"/>
      <c r="J49" s="1"/>
    </row>
    <row r="50" spans="2:10" ht="15.75">
      <c r="B50" s="228" t="s">
        <v>144</v>
      </c>
      <c r="C50" s="328"/>
      <c r="D50" s="328">
        <v>704</v>
      </c>
      <c r="E50" s="188">
        <f>mvalloc!G19</f>
        <v>729</v>
      </c>
      <c r="G50" s="1"/>
      <c r="H50" s="1"/>
      <c r="I50" s="1"/>
      <c r="J50" s="1"/>
    </row>
    <row r="51" spans="2:10" ht="15.75">
      <c r="B51" s="231" t="s">
        <v>368</v>
      </c>
      <c r="C51" s="328">
        <v>3</v>
      </c>
      <c r="D51" s="328">
        <v>3</v>
      </c>
      <c r="E51" s="53">
        <v>3</v>
      </c>
      <c r="G51" s="1"/>
      <c r="H51" s="1"/>
      <c r="I51" s="1"/>
      <c r="J51" s="1"/>
    </row>
    <row r="52" spans="2:10" ht="15.75">
      <c r="B52" s="230" t="s">
        <v>372</v>
      </c>
      <c r="C52" s="560">
        <v>-501</v>
      </c>
      <c r="D52" s="560">
        <v>-4220</v>
      </c>
      <c r="E52" s="561">
        <v>-3691</v>
      </c>
      <c r="G52" s="1"/>
      <c r="H52" s="1"/>
      <c r="I52" s="1"/>
      <c r="J52" s="1"/>
    </row>
    <row r="53" spans="2:10" ht="15.75">
      <c r="B53" s="240"/>
      <c r="C53" s="328"/>
      <c r="D53" s="328"/>
      <c r="E53" s="53"/>
      <c r="G53" s="1"/>
      <c r="H53" s="1"/>
      <c r="I53" s="1"/>
      <c r="J53" s="1"/>
    </row>
    <row r="54" spans="2:10" ht="15.75">
      <c r="B54" s="240"/>
      <c r="C54" s="328"/>
      <c r="D54" s="328"/>
      <c r="E54" s="53"/>
      <c r="G54" s="1"/>
      <c r="H54" s="1"/>
      <c r="I54" s="1"/>
      <c r="J54" s="1"/>
    </row>
    <row r="55" spans="2:10" ht="15.75">
      <c r="B55" s="231" t="s">
        <v>79</v>
      </c>
      <c r="C55" s="328"/>
      <c r="D55" s="328"/>
      <c r="E55" s="53"/>
      <c r="G55" s="1"/>
      <c r="H55" s="1"/>
      <c r="I55" s="1"/>
      <c r="J55" s="1"/>
    </row>
    <row r="56" spans="2:10" ht="15.75">
      <c r="B56" s="232" t="s">
        <v>34</v>
      </c>
      <c r="C56" s="328"/>
      <c r="D56" s="328"/>
      <c r="E56" s="53"/>
      <c r="G56" s="1"/>
      <c r="H56" s="1"/>
      <c r="I56" s="1"/>
      <c r="J56" s="1"/>
    </row>
    <row r="57" spans="2:10" ht="15.75">
      <c r="B57" s="232" t="s">
        <v>256</v>
      </c>
      <c r="C57" s="329">
        <f>IF(C58*0.1&lt;C56,"Exceed 10% Rule","")</f>
      </c>
      <c r="D57" s="329">
        <f>IF(D58*0.1&lt;D56,"Exceed 10% Rule","")</f>
      </c>
      <c r="E57" s="266">
        <f>IF(E58*0.1+E75&lt;E56,"Exceed 10% Rule","")</f>
      </c>
      <c r="G57" s="1"/>
      <c r="H57" s="1"/>
      <c r="I57" s="1"/>
      <c r="J57" s="1"/>
    </row>
    <row r="58" spans="2:10" ht="15.75">
      <c r="B58" s="234" t="s">
        <v>80</v>
      </c>
      <c r="C58" s="330">
        <f>SUM(C46:C56)</f>
        <v>73351</v>
      </c>
      <c r="D58" s="330">
        <f>SUM(D46:D56)</f>
        <v>84341</v>
      </c>
      <c r="E58" s="274">
        <f>SUM(E46:E56)</f>
        <v>6508</v>
      </c>
      <c r="G58" s="1"/>
      <c r="H58" s="1"/>
      <c r="I58" s="1"/>
      <c r="J58" s="1"/>
    </row>
    <row r="59" spans="2:10" ht="15.75">
      <c r="B59" s="234" t="s">
        <v>81</v>
      </c>
      <c r="C59" s="330">
        <f>C44+C58</f>
        <v>64433</v>
      </c>
      <c r="D59" s="330">
        <f>D44+D58</f>
        <v>141907</v>
      </c>
      <c r="E59" s="274">
        <f>E44+E58</f>
        <v>83918</v>
      </c>
      <c r="G59" s="1"/>
      <c r="H59" s="1"/>
      <c r="I59" s="1"/>
      <c r="J59" s="1"/>
    </row>
    <row r="60" spans="2:10" ht="15.75">
      <c r="B60" s="89" t="s">
        <v>84</v>
      </c>
      <c r="C60" s="232"/>
      <c r="D60" s="232"/>
      <c r="E60" s="49"/>
      <c r="G60" s="1"/>
      <c r="H60" s="1"/>
      <c r="I60" s="1"/>
      <c r="J60" s="1"/>
    </row>
    <row r="61" spans="2:10" ht="15.75">
      <c r="B61" s="240" t="s">
        <v>401</v>
      </c>
      <c r="C61" s="328">
        <v>6867</v>
      </c>
      <c r="D61" s="328">
        <v>64497</v>
      </c>
      <c r="E61" s="53">
        <v>83918</v>
      </c>
      <c r="G61" s="1"/>
      <c r="H61" s="1"/>
      <c r="I61" s="1"/>
      <c r="J61" s="1"/>
    </row>
    <row r="62" spans="2:10" ht="16.5">
      <c r="B62" s="240"/>
      <c r="C62" s="328"/>
      <c r="D62" s="328"/>
      <c r="E62" s="53"/>
      <c r="G62" s="626" t="str">
        <f>CONCATENATE("Desired Carryover Into ",E1+1,"")</f>
        <v>Desired Carryover Into 2016</v>
      </c>
      <c r="H62" s="627"/>
      <c r="I62" s="627"/>
      <c r="J62" s="598"/>
    </row>
    <row r="63" spans="2:10" ht="15.75">
      <c r="B63" s="240"/>
      <c r="C63" s="328"/>
      <c r="D63" s="328"/>
      <c r="E63" s="53"/>
      <c r="G63" s="425" t="str">
        <f>CONCATENATE("",E1," Tot Exp/Non-Appr Must Be:")</f>
        <v>2015 Tot Exp/Non-Appr Must Be:</v>
      </c>
      <c r="H63" s="426"/>
      <c r="I63" s="427"/>
      <c r="J63" s="428" t="e">
        <f>IF(#REF!&gt;0,IF(E72&lt;E59,IF(#REF!=G74,E72,((#REF!-G74)*(1-D74))+E59),E72+(#REF!-G74)),0)</f>
        <v>#REF!</v>
      </c>
    </row>
    <row r="64" spans="2:10" ht="15.75">
      <c r="B64" s="240"/>
      <c r="C64" s="328"/>
      <c r="D64" s="328"/>
      <c r="E64" s="53"/>
      <c r="G64" s="429" t="s">
        <v>288</v>
      </c>
      <c r="H64" s="430"/>
      <c r="I64" s="430"/>
      <c r="J64" s="431" t="e">
        <f>IF(#REF!&gt;0,J63-E72,0)</f>
        <v>#REF!</v>
      </c>
    </row>
    <row r="65" spans="2:10" ht="15.75">
      <c r="B65" s="232" t="s">
        <v>36</v>
      </c>
      <c r="C65" s="328"/>
      <c r="D65" s="328"/>
      <c r="E65" s="61"/>
      <c r="G65" s="1"/>
      <c r="H65" s="1"/>
      <c r="I65" s="1"/>
      <c r="J65" s="1"/>
    </row>
    <row r="66" spans="2:10" ht="16.5">
      <c r="B66" s="232" t="s">
        <v>34</v>
      </c>
      <c r="C66" s="328"/>
      <c r="D66" s="328"/>
      <c r="E66" s="53"/>
      <c r="G66" s="626" t="str">
        <f>CONCATENATE("Projected Carryover Into ",E1+1,"")</f>
        <v>Projected Carryover Into 2016</v>
      </c>
      <c r="H66" s="634"/>
      <c r="I66" s="634"/>
      <c r="J66" s="633"/>
    </row>
    <row r="67" spans="2:10" ht="15.75">
      <c r="B67" s="232" t="s">
        <v>255</v>
      </c>
      <c r="C67" s="329">
        <f>IF(C68*0.1&lt;C66,"Exceed 10% Rule","")</f>
      </c>
      <c r="D67" s="329">
        <f>IF(D68*0.1&lt;D66,"Exceed 10% Rule","")</f>
      </c>
      <c r="E67" s="266">
        <f>IF(E68*0.1&lt;E66,"Exceed 10% Rule","")</f>
      </c>
      <c r="G67" s="456"/>
      <c r="H67" s="419"/>
      <c r="I67" s="419"/>
      <c r="J67" s="451"/>
    </row>
    <row r="68" spans="2:10" ht="15.75">
      <c r="B68" s="234" t="s">
        <v>85</v>
      </c>
      <c r="C68" s="330">
        <f>SUM(C61:C66)</f>
        <v>6867</v>
      </c>
      <c r="D68" s="330">
        <f>SUM(D61:D66)</f>
        <v>64497</v>
      </c>
      <c r="E68" s="274">
        <f>SUM(E61:E66)</f>
        <v>83918</v>
      </c>
      <c r="G68" s="447">
        <f>D69</f>
        <v>77410</v>
      </c>
      <c r="H68" s="437" t="str">
        <f>CONCATENATE("",E1-1," Ending Cash Balance (est.)")</f>
        <v>2014 Ending Cash Balance (est.)</v>
      </c>
      <c r="I68" s="448"/>
      <c r="J68" s="451"/>
    </row>
    <row r="69" spans="2:10" ht="15.75">
      <c r="B69" s="89" t="s">
        <v>185</v>
      </c>
      <c r="C69" s="333">
        <f>C59-C68</f>
        <v>57566</v>
      </c>
      <c r="D69" s="333">
        <f>D59-D68</f>
        <v>77410</v>
      </c>
      <c r="E69" s="259" t="s">
        <v>59</v>
      </c>
      <c r="G69" s="447">
        <f>E58</f>
        <v>6508</v>
      </c>
      <c r="H69" s="420" t="str">
        <f>CONCATENATE("",E1," Non-AV Receipts (est.)")</f>
        <v>2015 Non-AV Receipts (est.)</v>
      </c>
      <c r="I69" s="448"/>
      <c r="J69" s="451"/>
    </row>
    <row r="70" spans="2:11" ht="15.75">
      <c r="B70" s="224" t="str">
        <f>CONCATENATE("",E1-2,"/",E1-1,"/",E1," Budget Authority Amount:")</f>
        <v>2013/2014/2015 Budget Authority Amount:</v>
      </c>
      <c r="C70" s="261">
        <f>inputOth!B44</f>
        <v>75000</v>
      </c>
      <c r="D70" s="261">
        <f>inputPrYr!D28</f>
        <v>83918</v>
      </c>
      <c r="E70" s="188">
        <f>E68</f>
        <v>83918</v>
      </c>
      <c r="F70" s="242"/>
      <c r="G70" s="449">
        <f>IF(E74&gt;0,E73,E75)</f>
        <v>0</v>
      </c>
      <c r="H70" s="420" t="str">
        <f>CONCATENATE("",E1," Ad Valorem Tax (est.)")</f>
        <v>2015 Ad Valorem Tax (est.)</v>
      </c>
      <c r="I70" s="448"/>
      <c r="J70" s="451"/>
      <c r="K70" s="434">
        <f>IF(G70=E75,"","Note: Does not include Delinquent Taxes")</f>
      </c>
    </row>
    <row r="71" spans="2:10" ht="16.5">
      <c r="B71" s="210"/>
      <c r="C71" s="616" t="s">
        <v>258</v>
      </c>
      <c r="D71" s="617"/>
      <c r="E71" s="53"/>
      <c r="F71" s="365">
        <f>IF(E68/0.95-E68&lt;E71,"Exceeds 5%","")</f>
      </c>
      <c r="G71" s="457">
        <f>SUM(G68:G70)</f>
        <v>83918</v>
      </c>
      <c r="H71" s="420" t="str">
        <f>CONCATENATE("Total ",E1," Resources Available")</f>
        <v>Total 2015 Resources Available</v>
      </c>
      <c r="I71" s="458"/>
      <c r="J71" s="451"/>
    </row>
    <row r="72" spans="2:10" ht="15.75">
      <c r="B72" s="368" t="str">
        <f>CONCATENATE(C88,"     ",D88)</f>
        <v>     </v>
      </c>
      <c r="C72" s="618" t="s">
        <v>259</v>
      </c>
      <c r="D72" s="619"/>
      <c r="E72" s="188">
        <f>E68+E71</f>
        <v>83918</v>
      </c>
      <c r="G72" s="459"/>
      <c r="H72" s="460"/>
      <c r="I72" s="419"/>
      <c r="J72" s="451"/>
    </row>
    <row r="73" spans="2:10" ht="15.75">
      <c r="B73" s="368" t="str">
        <f>CONCATENATE(C89,"     ",D89)</f>
        <v>     </v>
      </c>
      <c r="C73" s="243"/>
      <c r="D73" s="162" t="s">
        <v>86</v>
      </c>
      <c r="E73" s="61">
        <f>IF(E72-E59&gt;0,E72-E59,0)</f>
        <v>0</v>
      </c>
      <c r="G73" s="461">
        <f>ROUND(C68*0.05+C68,0)</f>
        <v>7210</v>
      </c>
      <c r="H73" s="420" t="str">
        <f>CONCATENATE("Less ",E1-2," Expenditures + 5%")</f>
        <v>Less 2013 Expenditures + 5%</v>
      </c>
      <c r="I73" s="458"/>
      <c r="J73" s="451"/>
    </row>
    <row r="74" spans="2:10" ht="15.75">
      <c r="B74" s="162"/>
      <c r="C74" s="367" t="s">
        <v>260</v>
      </c>
      <c r="D74" s="417">
        <f>inputOth!$E$23</f>
        <v>0.05</v>
      </c>
      <c r="E74" s="188">
        <f>ROUND(IF(D74&gt;0,($E$73*D74),0),0)</f>
        <v>0</v>
      </c>
      <c r="G74" s="462">
        <f>G71-G73</f>
        <v>76708</v>
      </c>
      <c r="H74" s="453" t="str">
        <f>CONCATENATE("Projected ",E1+1," carryover (est.)")</f>
        <v>Projected 2016 carryover (est.)</v>
      </c>
      <c r="I74" s="463"/>
      <c r="J74" s="464"/>
    </row>
    <row r="75" spans="2:10" ht="16.5">
      <c r="B75" s="224"/>
      <c r="C75" s="624" t="str">
        <f>CONCATENATE("Amount of  ",$E$1-1," Ad Valorem Tax")</f>
        <v>Amount of  2014 Ad Valorem Tax</v>
      </c>
      <c r="D75" s="625"/>
      <c r="E75" s="270">
        <f>E73+E74</f>
        <v>0</v>
      </c>
      <c r="G75" s="1"/>
      <c r="H75" s="1"/>
      <c r="I75" s="1"/>
      <c r="J75" s="1"/>
    </row>
    <row r="76" spans="2:10" ht="16.5">
      <c r="B76" s="210" t="s">
        <v>106</v>
      </c>
      <c r="C76" s="271">
        <v>14</v>
      </c>
      <c r="D76" s="28"/>
      <c r="E76" s="28"/>
      <c r="G76" s="628" t="s">
        <v>289</v>
      </c>
      <c r="H76" s="629"/>
      <c r="I76" s="629"/>
      <c r="J76" s="630"/>
    </row>
    <row r="77" spans="7:10" ht="16.5">
      <c r="G77" s="436"/>
      <c r="H77" s="437"/>
      <c r="I77" s="438"/>
      <c r="J77" s="439"/>
    </row>
    <row r="78" spans="7:10" ht="16.5">
      <c r="G78" s="440" t="str">
        <f>summ!H28</f>
        <v>  </v>
      </c>
      <c r="H78" s="437" t="str">
        <f>CONCATENATE("",E1," Fund Mill Rate")</f>
        <v>2015 Fund Mill Rate</v>
      </c>
      <c r="I78" s="438"/>
      <c r="J78" s="439"/>
    </row>
    <row r="79" spans="7:10" ht="16.5">
      <c r="G79" s="441">
        <f>summ!E28</f>
        <v>0.984</v>
      </c>
      <c r="H79" s="437" t="str">
        <f>CONCATENATE("",E1-1," Fund Mill Rate")</f>
        <v>2014 Fund Mill Rate</v>
      </c>
      <c r="I79" s="438"/>
      <c r="J79" s="439"/>
    </row>
    <row r="80" spans="7:10" ht="16.5">
      <c r="G80" s="442">
        <f>summ!H48</f>
        <v>67.327</v>
      </c>
      <c r="H80" s="437" t="str">
        <f>CONCATENATE("Total ",E1," Mill Rate")</f>
        <v>Total 2015 Mill Rate</v>
      </c>
      <c r="I80" s="438"/>
      <c r="J80" s="439"/>
    </row>
    <row r="81" spans="7:10" ht="16.5">
      <c r="G81" s="441">
        <f>summ!E48</f>
        <v>66.53</v>
      </c>
      <c r="H81" s="443" t="str">
        <f>CONCATENATE("Total ",E1-1," Mill Rate")</f>
        <v>Total 2014 Mill Rate</v>
      </c>
      <c r="I81" s="444"/>
      <c r="J81" s="445"/>
    </row>
    <row r="83" spans="7:9" ht="15.75">
      <c r="G83" s="531" t="s">
        <v>307</v>
      </c>
      <c r="H83" s="488"/>
      <c r="I83" s="487" t="str">
        <f>cert!E57</f>
        <v>No</v>
      </c>
    </row>
    <row r="86" spans="3:4" ht="15.75" hidden="1">
      <c r="C86" s="25">
        <f>IF(C33&gt;C35,"See Tab A","")</f>
      </c>
      <c r="D86" s="25">
        <f>IF(D33&gt;D35,"See Tab C","")</f>
      </c>
    </row>
    <row r="87" spans="3:4" ht="15.75" hidden="1">
      <c r="C87" s="25">
        <f>IF(C34&lt;0,"See Tab B","")</f>
      </c>
      <c r="D87" s="25">
        <f>IF(D34&lt;0,"See Tab D","")</f>
      </c>
    </row>
    <row r="88" spans="3:4" ht="15.75" hidden="1">
      <c r="C88" s="25">
        <f>IF(C68&gt;C70,"See Tab A","")</f>
      </c>
      <c r="D88" s="25">
        <f>IF(D68&gt;D70,"See Tab C","")</f>
      </c>
    </row>
    <row r="89" spans="3:4" ht="15.75" hidden="1">
      <c r="C89" s="25">
        <f>IF(C69&lt;0,"See Tab B","")</f>
      </c>
      <c r="D89" s="25">
        <f>IF(D69&lt;0,"See Tab D","")</f>
      </c>
    </row>
  </sheetData>
  <sheetProtection/>
  <mergeCells count="12">
    <mergeCell ref="G24:J24"/>
    <mergeCell ref="G31:J31"/>
    <mergeCell ref="G41:J41"/>
    <mergeCell ref="G62:J62"/>
    <mergeCell ref="G66:J66"/>
    <mergeCell ref="G76:J76"/>
    <mergeCell ref="C71:D71"/>
    <mergeCell ref="C72:D72"/>
    <mergeCell ref="C36:D36"/>
    <mergeCell ref="C37:D37"/>
    <mergeCell ref="C75:D75"/>
    <mergeCell ref="C40:D40"/>
  </mergeCells>
  <conditionalFormatting sqref="E66">
    <cfRule type="cellIs" priority="3" dxfId="253" operator="greaterThan" stopIfTrue="1">
      <formula>$E$68*0.1</formula>
    </cfRule>
  </conditionalFormatting>
  <conditionalFormatting sqref="E71">
    <cfRule type="cellIs" priority="4" dxfId="253" operator="greaterThan" stopIfTrue="1">
      <formula>$E$68/0.95-$E$68</formula>
    </cfRule>
  </conditionalFormatting>
  <conditionalFormatting sqref="E36">
    <cfRule type="cellIs" priority="5" dxfId="253" operator="greaterThan" stopIfTrue="1">
      <formula>$E$33/0.95-$E$33</formula>
    </cfRule>
  </conditionalFormatting>
  <conditionalFormatting sqref="E31">
    <cfRule type="cellIs" priority="6" dxfId="253" operator="greaterThan" stopIfTrue="1">
      <formula>$E$33*0.1</formula>
    </cfRule>
  </conditionalFormatting>
  <conditionalFormatting sqref="C69 C34">
    <cfRule type="cellIs" priority="7" dxfId="2" operator="lessThan" stopIfTrue="1">
      <formula>0</formula>
    </cfRule>
  </conditionalFormatting>
  <conditionalFormatting sqref="C68">
    <cfRule type="cellIs" priority="8" dxfId="2" operator="greaterThan" stopIfTrue="1">
      <formula>$C$70</formula>
    </cfRule>
  </conditionalFormatting>
  <conditionalFormatting sqref="D68">
    <cfRule type="cellIs" priority="9" dxfId="2" operator="greaterThan" stopIfTrue="1">
      <formula>$D$70</formula>
    </cfRule>
  </conditionalFormatting>
  <conditionalFormatting sqref="C66">
    <cfRule type="cellIs" priority="10" dxfId="2" operator="greaterThan" stopIfTrue="1">
      <formula>$C$68*0.1</formula>
    </cfRule>
  </conditionalFormatting>
  <conditionalFormatting sqref="D66">
    <cfRule type="cellIs" priority="11" dxfId="2" operator="greaterThan" stopIfTrue="1">
      <formula>$D$68*0.1</formula>
    </cfRule>
  </conditionalFormatting>
  <conditionalFormatting sqref="E56">
    <cfRule type="cellIs" priority="12" dxfId="253" operator="greaterThan" stopIfTrue="1">
      <formula>$E$58*0.1+E75</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253"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69 D3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7"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dimension ref="A1:E62"/>
  <sheetViews>
    <sheetView view="pageBreakPreview" zoomScale="102" zoomScaleSheetLayoutView="102" zoomScalePageLayoutView="0" workbookViewId="0" topLeftCell="A31">
      <selection activeCell="D43" sqref="D43"/>
    </sheetView>
  </sheetViews>
  <sheetFormatPr defaultColWidth="8.8984375" defaultRowHeight="15"/>
  <cols>
    <col min="1" max="1" width="19.3984375" style="25" customWidth="1"/>
    <col min="2" max="2" width="20.796875" style="25" customWidth="1"/>
    <col min="3" max="3" width="9.796875" style="25" customWidth="1"/>
    <col min="4" max="4" width="15.296875" style="25" customWidth="1"/>
    <col min="5" max="5" width="15.796875" style="25" customWidth="1"/>
    <col min="6" max="16384" width="8.8984375" style="25" customWidth="1"/>
  </cols>
  <sheetData>
    <row r="1" spans="1:5" ht="15.75">
      <c r="A1" s="85" t="str">
        <f>inputPrYr!C2</f>
        <v>CLOUD COUNTY</v>
      </c>
      <c r="B1" s="66"/>
      <c r="C1" s="66"/>
      <c r="D1" s="66"/>
      <c r="E1" s="66">
        <f>inputPrYr!C4</f>
        <v>2015</v>
      </c>
    </row>
    <row r="2" spans="1:5" ht="15.75">
      <c r="A2" s="85"/>
      <c r="B2" s="66"/>
      <c r="C2" s="66"/>
      <c r="D2" s="66"/>
      <c r="E2" s="66"/>
    </row>
    <row r="3" spans="1:5" ht="16.5">
      <c r="A3" s="573" t="s">
        <v>27</v>
      </c>
      <c r="B3" s="574"/>
      <c r="C3" s="574"/>
      <c r="D3" s="574"/>
      <c r="E3" s="574"/>
    </row>
    <row r="4" spans="1:5" ht="15.75">
      <c r="A4" s="66"/>
      <c r="B4" s="66"/>
      <c r="C4" s="66"/>
      <c r="D4" s="66"/>
      <c r="E4" s="66"/>
    </row>
    <row r="5" spans="1:5" ht="15.75">
      <c r="A5" s="65" t="str">
        <f>CONCATENATE("From the County Clerks ",E1," Budget Information:")</f>
        <v>From the County Clerks 2015 Budget Information:</v>
      </c>
      <c r="B5" s="67"/>
      <c r="C5" s="36"/>
      <c r="D5" s="28"/>
      <c r="E5" s="86"/>
    </row>
    <row r="6" spans="1:5" ht="15.75">
      <c r="A6" s="87" t="str">
        <f>CONCATENATE("Total Assessed Valuation for ",E1-1,"")</f>
        <v>Total Assessed Valuation for 2014</v>
      </c>
      <c r="B6" s="73"/>
      <c r="C6" s="73"/>
      <c r="D6" s="73"/>
      <c r="E6" s="53">
        <v>84385003</v>
      </c>
    </row>
    <row r="7" spans="1:5" ht="15.75">
      <c r="A7" s="87" t="str">
        <f>CONCATENATE("New Improvements for ",E1-1,"")</f>
        <v>New Improvements for 2014</v>
      </c>
      <c r="B7" s="73"/>
      <c r="C7" s="73"/>
      <c r="D7" s="73"/>
      <c r="E7" s="88">
        <v>515982</v>
      </c>
    </row>
    <row r="8" spans="1:5" ht="15.75">
      <c r="A8" s="87" t="str">
        <f>CONCATENATE("Personal Property excluding oil, gas, and mobile homes- ",E1-1,"")</f>
        <v>Personal Property excluding oil, gas, and mobile homes- 2014</v>
      </c>
      <c r="B8" s="73"/>
      <c r="C8" s="73"/>
      <c r="D8" s="73"/>
      <c r="E8" s="88">
        <v>2578983</v>
      </c>
    </row>
    <row r="9" spans="1:5" ht="15.75">
      <c r="A9" s="87" t="str">
        <f>CONCATENATE("Property that has changed in use for ",E1-1,"")</f>
        <v>Property that has changed in use for 2014</v>
      </c>
      <c r="B9" s="73"/>
      <c r="C9" s="73"/>
      <c r="D9" s="73"/>
      <c r="E9" s="88">
        <v>2448009</v>
      </c>
    </row>
    <row r="10" spans="1:5" ht="15.75">
      <c r="A10" s="87" t="str">
        <f>CONCATENATE("Personal Property excluding oil, gas, and mobile homes- ",E1-2,"")</f>
        <v>Personal Property excluding oil, gas, and mobile homes- 2013</v>
      </c>
      <c r="B10" s="73"/>
      <c r="C10" s="73"/>
      <c r="D10" s="73"/>
      <c r="E10" s="88">
        <v>3294196</v>
      </c>
    </row>
    <row r="11" spans="1:5" ht="15.75">
      <c r="A11" s="87" t="str">
        <f>CONCATENATE("Gross earnings (intangible) tax esitmate for ",E1,"")</f>
        <v>Gross earnings (intangible) tax esitmate for 2015</v>
      </c>
      <c r="B11" s="73"/>
      <c r="C11" s="73"/>
      <c r="D11" s="73"/>
      <c r="E11" s="53">
        <v>36149</v>
      </c>
    </row>
    <row r="12" spans="1:5" ht="15.75">
      <c r="A12" s="89" t="s">
        <v>216</v>
      </c>
      <c r="B12" s="73"/>
      <c r="C12" s="73"/>
      <c r="D12" s="56"/>
      <c r="E12" s="53"/>
    </row>
    <row r="13" spans="1:5" ht="15.75">
      <c r="A13" s="28"/>
      <c r="B13" s="28"/>
      <c r="C13" s="28"/>
      <c r="D13" s="42"/>
      <c r="E13" s="42"/>
    </row>
    <row r="14" spans="1:5" ht="15.75">
      <c r="A14" s="65" t="str">
        <f>CONCATENATE("From the County Treasurer's ",E1," Budget Information:")</f>
        <v>From the County Treasurer's 2015 Budget Information:</v>
      </c>
      <c r="B14" s="67"/>
      <c r="C14" s="67"/>
      <c r="D14" s="86"/>
      <c r="E14" s="86"/>
    </row>
    <row r="15" spans="1:5" ht="15.75">
      <c r="A15" s="54" t="s">
        <v>45</v>
      </c>
      <c r="B15" s="55"/>
      <c r="C15" s="55"/>
      <c r="D15" s="90"/>
      <c r="E15" s="53">
        <v>599052</v>
      </c>
    </row>
    <row r="16" spans="1:5" ht="15.75">
      <c r="A16" s="87" t="s">
        <v>46</v>
      </c>
      <c r="B16" s="73"/>
      <c r="C16" s="73"/>
      <c r="D16" s="91"/>
      <c r="E16" s="53">
        <v>7431</v>
      </c>
    </row>
    <row r="17" spans="1:5" ht="15.75">
      <c r="A17" s="87" t="s">
        <v>156</v>
      </c>
      <c r="B17" s="73"/>
      <c r="C17" s="73"/>
      <c r="D17" s="91"/>
      <c r="E17" s="53">
        <v>49312</v>
      </c>
    </row>
    <row r="18" spans="1:5" ht="15.75">
      <c r="A18" s="87" t="s">
        <v>217</v>
      </c>
      <c r="B18" s="73"/>
      <c r="C18" s="73"/>
      <c r="D18" s="92"/>
      <c r="E18" s="53"/>
    </row>
    <row r="19" spans="1:5" ht="15.75">
      <c r="A19" s="87" t="s">
        <v>218</v>
      </c>
      <c r="B19" s="73"/>
      <c r="C19" s="73"/>
      <c r="D19" s="92"/>
      <c r="E19" s="53"/>
    </row>
    <row r="20" spans="1:5" ht="15.75">
      <c r="A20" s="28"/>
      <c r="B20" s="28"/>
      <c r="C20" s="28"/>
      <c r="D20" s="28"/>
      <c r="E20" s="28"/>
    </row>
    <row r="21" spans="1:5" ht="15.75">
      <c r="A21" s="93" t="s">
        <v>219</v>
      </c>
      <c r="B21" s="28"/>
      <c r="C21" s="28"/>
      <c r="D21" s="28"/>
      <c r="E21" s="28"/>
    </row>
    <row r="22" spans="1:5" ht="15.75">
      <c r="A22" s="466" t="str">
        <f>CONCATENATE("Actual Delinquency for ",E1-3," Tax - (rate .01213 = 1.213%, key in 1.2)")</f>
        <v>Actual Delinquency for 2012 Tax - (rate .01213 = 1.213%, key in 1.2)</v>
      </c>
      <c r="B22" s="55"/>
      <c r="C22" s="55"/>
      <c r="D22" s="60"/>
      <c r="E22" s="465">
        <v>0.05</v>
      </c>
    </row>
    <row r="23" spans="1:5" ht="15.75">
      <c r="A23" s="469" t="s">
        <v>285</v>
      </c>
      <c r="B23" s="55"/>
      <c r="C23" s="55"/>
      <c r="D23" s="55"/>
      <c r="E23" s="468">
        <v>0.05</v>
      </c>
    </row>
    <row r="24" spans="1:5" ht="15.75">
      <c r="A24" s="26" t="s">
        <v>220</v>
      </c>
      <c r="B24" s="26"/>
      <c r="C24" s="26"/>
      <c r="D24" s="26"/>
      <c r="E24" s="26"/>
    </row>
    <row r="25" spans="1:5" ht="16.5">
      <c r="A25" s="94"/>
      <c r="B25" s="94"/>
      <c r="C25" s="94"/>
      <c r="D25" s="94"/>
      <c r="E25" s="94"/>
    </row>
    <row r="26" spans="1:5" ht="16.5">
      <c r="A26" s="578" t="str">
        <f>CONCATENATE("From the ",E1-2," Budget Certificate Page")</f>
        <v>From the 2013 Budget Certificate Page</v>
      </c>
      <c r="B26" s="579"/>
      <c r="C26" s="94"/>
      <c r="D26" s="94"/>
      <c r="E26" s="94"/>
    </row>
    <row r="27" spans="1:5" ht="16.5">
      <c r="A27" s="95"/>
      <c r="B27" s="580" t="str">
        <f>CONCATENATE("",E1-2,"                         Expenditure Amt Budget Authority")</f>
        <v>2013                         Expenditure Amt Budget Authority</v>
      </c>
      <c r="C27" s="583" t="str">
        <f>CONCATENATE("Note: If the ",E1-2," budget was amended, then the")</f>
        <v>Note: If the 2013 budget was amended, then the</v>
      </c>
      <c r="D27" s="584"/>
      <c r="E27" s="584"/>
    </row>
    <row r="28" spans="1:5" ht="16.5">
      <c r="A28" s="96" t="s">
        <v>30</v>
      </c>
      <c r="B28" s="581"/>
      <c r="C28" s="97" t="s">
        <v>31</v>
      </c>
      <c r="D28" s="98"/>
      <c r="E28" s="98"/>
    </row>
    <row r="29" spans="1:5" ht="16.5">
      <c r="A29" s="99"/>
      <c r="B29" s="582"/>
      <c r="C29" s="97" t="s">
        <v>32</v>
      </c>
      <c r="D29" s="98"/>
      <c r="E29" s="98"/>
    </row>
    <row r="30" spans="1:5" ht="16.5">
      <c r="A30" s="99"/>
      <c r="B30" s="559"/>
      <c r="C30" s="563" t="s">
        <v>446</v>
      </c>
      <c r="D30" s="564" t="s">
        <v>448</v>
      </c>
      <c r="E30" s="98"/>
    </row>
    <row r="31" spans="1:5" ht="16.5">
      <c r="A31" s="99"/>
      <c r="B31" s="559"/>
      <c r="C31" s="565" t="s">
        <v>447</v>
      </c>
      <c r="D31" s="566" t="s">
        <v>446</v>
      </c>
      <c r="E31" s="98"/>
    </row>
    <row r="32" spans="1:5" ht="16.5">
      <c r="A32" s="100" t="str">
        <f>inputPrYr!B16</f>
        <v>General</v>
      </c>
      <c r="B32" s="101">
        <v>2232299</v>
      </c>
      <c r="C32" s="567"/>
      <c r="D32" s="568">
        <f>SUM(B32:C32)</f>
        <v>2232299</v>
      </c>
      <c r="E32" s="98"/>
    </row>
    <row r="33" spans="1:5" ht="16.5">
      <c r="A33" s="100" t="str">
        <f>inputPrYr!B17</f>
        <v>Debt Service</v>
      </c>
      <c r="B33" s="46"/>
      <c r="C33" s="567"/>
      <c r="D33" s="568">
        <f aca="true" t="shared" si="0" ref="D33:D47">SUM(B33:C33)</f>
        <v>0</v>
      </c>
      <c r="E33" s="98"/>
    </row>
    <row r="34" spans="1:5" ht="16.5">
      <c r="A34" s="100" t="str">
        <f>inputPrYr!B18</f>
        <v>Road &amp; Bridge</v>
      </c>
      <c r="B34" s="46">
        <v>2304540</v>
      </c>
      <c r="C34" s="569"/>
      <c r="D34" s="568">
        <f t="shared" si="0"/>
        <v>2304540</v>
      </c>
      <c r="E34" s="94"/>
    </row>
    <row r="35" spans="1:5" ht="16.5">
      <c r="A35" s="100" t="str">
        <f>inputPrYr!B19</f>
        <v>Special Bridge</v>
      </c>
      <c r="B35" s="46">
        <v>193500</v>
      </c>
      <c r="C35" s="569"/>
      <c r="D35" s="568">
        <f t="shared" si="0"/>
        <v>193500</v>
      </c>
      <c r="E35" s="94"/>
    </row>
    <row r="36" spans="1:5" ht="16.5">
      <c r="A36" s="100" t="str">
        <f>inputPrYr!B20</f>
        <v>Noxious Weed</v>
      </c>
      <c r="B36" s="46">
        <v>175000</v>
      </c>
      <c r="C36" s="569"/>
      <c r="D36" s="568">
        <f t="shared" si="0"/>
        <v>175000</v>
      </c>
      <c r="E36" s="94"/>
    </row>
    <row r="37" spans="1:5" ht="16.5">
      <c r="A37" s="100" t="str">
        <f>inputPrYr!B21</f>
        <v>Conservation District</v>
      </c>
      <c r="B37" s="46">
        <v>20000</v>
      </c>
      <c r="C37" s="569"/>
      <c r="D37" s="568">
        <f t="shared" si="0"/>
        <v>20000</v>
      </c>
      <c r="E37" s="94"/>
    </row>
    <row r="38" spans="1:5" ht="16.5">
      <c r="A38" s="100" t="str">
        <f>inputPrYr!B22</f>
        <v>Services for Aging</v>
      </c>
      <c r="B38" s="46">
        <v>79379</v>
      </c>
      <c r="C38" s="569"/>
      <c r="D38" s="568">
        <f t="shared" si="0"/>
        <v>79379</v>
      </c>
      <c r="E38" s="94"/>
    </row>
    <row r="39" spans="1:5" ht="16.5">
      <c r="A39" s="100" t="str">
        <f>inputPrYr!B23</f>
        <v>County Health</v>
      </c>
      <c r="B39" s="46">
        <v>737350</v>
      </c>
      <c r="C39" s="569">
        <v>25775</v>
      </c>
      <c r="D39" s="568">
        <f t="shared" si="0"/>
        <v>763125</v>
      </c>
      <c r="E39" s="94"/>
    </row>
    <row r="40" spans="1:5" ht="16.5">
      <c r="A40" s="100" t="str">
        <f>inputPrYr!B24</f>
        <v>Pawnee Mental Health</v>
      </c>
      <c r="B40" s="46">
        <v>68875</v>
      </c>
      <c r="C40" s="569"/>
      <c r="D40" s="568">
        <f t="shared" si="0"/>
        <v>68875</v>
      </c>
      <c r="E40" s="94"/>
    </row>
    <row r="41" spans="1:5" ht="16.5">
      <c r="A41" s="100" t="str">
        <f>inputPrYr!B25</f>
        <v>Mental Retardation</v>
      </c>
      <c r="B41" s="46">
        <v>106094</v>
      </c>
      <c r="C41" s="569"/>
      <c r="D41" s="568">
        <f t="shared" si="0"/>
        <v>106094</v>
      </c>
      <c r="E41" s="94"/>
    </row>
    <row r="42" spans="1:5" ht="16.5">
      <c r="A42" s="100" t="str">
        <f>inputPrYr!B26</f>
        <v>County Fair</v>
      </c>
      <c r="B42" s="46">
        <v>35000</v>
      </c>
      <c r="C42" s="569"/>
      <c r="D42" s="568">
        <f t="shared" si="0"/>
        <v>35000</v>
      </c>
      <c r="E42" s="94"/>
    </row>
    <row r="43" spans="1:5" ht="16.5">
      <c r="A43" s="100" t="str">
        <f>inputPrYr!B27</f>
        <v>Election Expense</v>
      </c>
      <c r="B43" s="46">
        <v>103758</v>
      </c>
      <c r="C43" s="569">
        <v>17117</v>
      </c>
      <c r="D43" s="568">
        <f t="shared" si="0"/>
        <v>120875</v>
      </c>
      <c r="E43" s="94"/>
    </row>
    <row r="44" spans="1:5" ht="16.5">
      <c r="A44" s="100" t="str">
        <f>inputPrYr!B28</f>
        <v>Special Building</v>
      </c>
      <c r="B44" s="46">
        <v>75000</v>
      </c>
      <c r="C44" s="569"/>
      <c r="D44" s="568">
        <f t="shared" si="0"/>
        <v>75000</v>
      </c>
      <c r="E44" s="94"/>
    </row>
    <row r="45" spans="1:5" ht="16.5">
      <c r="A45" s="100" t="str">
        <f>inputPrYr!B29</f>
        <v>Historical Building</v>
      </c>
      <c r="B45" s="46">
        <v>36000</v>
      </c>
      <c r="C45" s="569"/>
      <c r="D45" s="568">
        <f t="shared" si="0"/>
        <v>36000</v>
      </c>
      <c r="E45" s="94"/>
    </row>
    <row r="46" spans="1:5" ht="16.5">
      <c r="A46" s="100" t="str">
        <f>inputPrYr!B30</f>
        <v>Appraisers</v>
      </c>
      <c r="B46" s="46">
        <v>148500</v>
      </c>
      <c r="C46" s="569"/>
      <c r="D46" s="568">
        <f t="shared" si="0"/>
        <v>148500</v>
      </c>
      <c r="E46" s="94"/>
    </row>
    <row r="47" spans="1:5" ht="16.5">
      <c r="A47" s="100" t="str">
        <f>inputPrYr!B31</f>
        <v>Employee Benefits</v>
      </c>
      <c r="B47" s="46">
        <v>1760000</v>
      </c>
      <c r="C47" s="569"/>
      <c r="D47" s="568">
        <f t="shared" si="0"/>
        <v>1760000</v>
      </c>
      <c r="E47" s="94"/>
    </row>
    <row r="48" spans="1:5" ht="16.5">
      <c r="A48" s="100"/>
      <c r="B48" s="46"/>
      <c r="C48" s="569"/>
      <c r="D48" s="569"/>
      <c r="E48" s="94"/>
    </row>
    <row r="49" spans="1:5" ht="16.5">
      <c r="A49" s="100"/>
      <c r="B49" s="46"/>
      <c r="C49" s="569"/>
      <c r="D49" s="569"/>
      <c r="E49" s="94"/>
    </row>
    <row r="50" spans="1:5" ht="16.5">
      <c r="A50" s="100"/>
      <c r="B50" s="46"/>
      <c r="C50" s="569"/>
      <c r="D50" s="569"/>
      <c r="E50" s="94"/>
    </row>
    <row r="51" spans="1:5" ht="16.5">
      <c r="A51" s="100" t="str">
        <f>inputPrYr!B37</f>
        <v>Noxious Weed C.O.</v>
      </c>
      <c r="B51" s="46">
        <v>30025</v>
      </c>
      <c r="C51" s="569"/>
      <c r="D51" s="569"/>
      <c r="E51" s="94"/>
    </row>
    <row r="52" spans="1:5" ht="16.5">
      <c r="A52" s="100" t="str">
        <f>inputPrYr!B38</f>
        <v>Election C.O.</v>
      </c>
      <c r="B52" s="46">
        <v>61000</v>
      </c>
      <c r="C52" s="569"/>
      <c r="D52" s="569"/>
      <c r="E52" s="94"/>
    </row>
    <row r="53" spans="1:5" ht="16.5">
      <c r="A53" s="100" t="str">
        <f>inputPrYr!B39</f>
        <v>Special Alcohol &amp; Drug</v>
      </c>
      <c r="B53" s="46">
        <v>38922</v>
      </c>
      <c r="C53" s="569"/>
      <c r="D53" s="569"/>
      <c r="E53" s="94"/>
    </row>
    <row r="54" spans="1:5" ht="16.5">
      <c r="A54" s="100" t="str">
        <f>inputPrYr!B40</f>
        <v>Convention &amp; Tourism</v>
      </c>
      <c r="B54" s="46">
        <v>168747</v>
      </c>
      <c r="C54" s="569"/>
      <c r="D54" s="569"/>
      <c r="E54" s="94"/>
    </row>
    <row r="55" spans="1:5" ht="16.5">
      <c r="A55" s="100" t="str">
        <f>inputPrYr!B41</f>
        <v>Reg. of Deeds Technology</v>
      </c>
      <c r="B55" s="46">
        <v>18246</v>
      </c>
      <c r="C55" s="569"/>
      <c r="D55" s="569"/>
      <c r="E55" s="94"/>
    </row>
    <row r="56" spans="1:5" ht="16.5">
      <c r="A56" s="100" t="str">
        <f>inputPrYr!B42</f>
        <v>Solid Waste</v>
      </c>
      <c r="B56" s="46">
        <v>769668</v>
      </c>
      <c r="C56" s="569"/>
      <c r="D56" s="569"/>
      <c r="E56" s="94"/>
    </row>
    <row r="57" spans="1:5" ht="16.5">
      <c r="A57" s="100" t="str">
        <f>inputPrYr!B43</f>
        <v>Spec. Econ. Dev.-Horizons</v>
      </c>
      <c r="B57" s="46">
        <v>371604</v>
      </c>
      <c r="C57" s="569"/>
      <c r="D57" s="569"/>
      <c r="E57" s="94"/>
    </row>
    <row r="58" spans="1:5" ht="16.5">
      <c r="A58" s="100" t="str">
        <f>inputPrYr!B44</f>
        <v>Law Enforcement</v>
      </c>
      <c r="B58" s="46"/>
      <c r="C58" s="569"/>
      <c r="D58" s="569"/>
      <c r="E58" s="94"/>
    </row>
    <row r="59" spans="1:5" ht="16.5">
      <c r="A59" s="100"/>
      <c r="B59" s="46"/>
      <c r="C59" s="569"/>
      <c r="D59" s="569"/>
      <c r="E59" s="94"/>
    </row>
    <row r="60" spans="1:5" ht="16.5">
      <c r="A60" s="100"/>
      <c r="B60" s="46"/>
      <c r="C60" s="569"/>
      <c r="D60" s="569"/>
      <c r="E60" s="94"/>
    </row>
    <row r="61" spans="3:4" ht="15.75">
      <c r="C61" s="570"/>
      <c r="D61" s="570"/>
    </row>
    <row r="62" spans="2:4" ht="15.75">
      <c r="B62" s="304">
        <f>SUM(B32:B60)</f>
        <v>9533507</v>
      </c>
      <c r="C62" s="570"/>
      <c r="D62" s="570"/>
    </row>
  </sheetData>
  <sheetProtection/>
  <mergeCells count="4">
    <mergeCell ref="A3:E3"/>
    <mergeCell ref="A26:B26"/>
    <mergeCell ref="B27:B29"/>
    <mergeCell ref="C27:E27"/>
  </mergeCells>
  <printOptions/>
  <pageMargins left="0.75" right="0.75" top="1" bottom="1" header="0.5" footer="0.5"/>
  <pageSetup horizontalDpi="600" verticalDpi="600" orientation="portrait" scale="86" r:id="rId1"/>
</worksheet>
</file>

<file path=xl/worksheets/sheet20.xml><?xml version="1.0" encoding="utf-8"?>
<worksheet xmlns="http://schemas.openxmlformats.org/spreadsheetml/2006/main" xmlns:r="http://schemas.openxmlformats.org/officeDocument/2006/relationships">
  <sheetPr>
    <pageSetUpPr fitToPage="1"/>
  </sheetPr>
  <dimension ref="B1:K90"/>
  <sheetViews>
    <sheetView view="pageBreakPreview" zoomScale="98" zoomScaleSheetLayoutView="98" zoomScalePageLayoutView="0" workbookViewId="0" topLeftCell="A54">
      <selection activeCell="E70" sqref="E70"/>
    </sheetView>
  </sheetViews>
  <sheetFormatPr defaultColWidth="8.8984375" defaultRowHeight="15"/>
  <cols>
    <col min="1" max="1" width="2.3984375" style="25" customWidth="1"/>
    <col min="2" max="2" width="31.09765625" style="25" customWidth="1"/>
    <col min="3" max="4" width="15.796875" style="25" customWidth="1"/>
    <col min="5" max="5" width="16.09765625" style="25" customWidth="1"/>
    <col min="6" max="6" width="7.3984375" style="25" customWidth="1"/>
    <col min="7" max="7" width="10.19921875" style="25" customWidth="1"/>
    <col min="8" max="8" width="8.8984375" style="25" customWidth="1"/>
    <col min="9" max="9" width="5" style="25" customWidth="1"/>
    <col min="10" max="10" width="10" style="25" customWidth="1"/>
    <col min="11"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151</v>
      </c>
      <c r="C3" s="255"/>
      <c r="D3" s="255"/>
      <c r="E3" s="256"/>
    </row>
    <row r="4" spans="2:5" ht="15.75">
      <c r="B4" s="27" t="s">
        <v>71</v>
      </c>
      <c r="C4" s="470" t="s">
        <v>290</v>
      </c>
      <c r="D4" s="471" t="s">
        <v>291</v>
      </c>
      <c r="E4" s="151" t="s">
        <v>292</v>
      </c>
    </row>
    <row r="5" spans="2:5" ht="15.75">
      <c r="B5" s="356" t="str">
        <f>inputPrYr!B29</f>
        <v>Historical Building</v>
      </c>
      <c r="C5" s="331" t="str">
        <f>CONCATENATE("Actual for ",E1-2,"")</f>
        <v>Actual for 2013</v>
      </c>
      <c r="D5" s="331" t="str">
        <f>CONCATENATE("Estimate for ",E1-1,"")</f>
        <v>Estimate for 2014</v>
      </c>
      <c r="E5" s="225" t="str">
        <f>CONCATENATE("Year for ",E1,"")</f>
        <v>Year for 2015</v>
      </c>
    </row>
    <row r="6" spans="2:5" ht="15.75">
      <c r="B6" s="89" t="s">
        <v>184</v>
      </c>
      <c r="C6" s="328">
        <v>2428</v>
      </c>
      <c r="D6" s="332">
        <f>C31</f>
        <v>2287</v>
      </c>
      <c r="E6" s="188">
        <f>D31</f>
        <v>1313</v>
      </c>
    </row>
    <row r="7" spans="2:5" ht="15.75">
      <c r="B7" s="213" t="s">
        <v>186</v>
      </c>
      <c r="C7" s="228"/>
      <c r="D7" s="228"/>
      <c r="E7" s="68"/>
    </row>
    <row r="8" spans="2:5" ht="15.75">
      <c r="B8" s="89" t="s">
        <v>72</v>
      </c>
      <c r="C8" s="328">
        <v>30924</v>
      </c>
      <c r="D8" s="332">
        <v>32460</v>
      </c>
      <c r="E8" s="259" t="s">
        <v>59</v>
      </c>
    </row>
    <row r="9" spans="2:5" ht="15.75">
      <c r="B9" s="89" t="s">
        <v>73</v>
      </c>
      <c r="C9" s="328">
        <v>816</v>
      </c>
      <c r="D9" s="328">
        <v>400</v>
      </c>
      <c r="E9" s="53">
        <v>400</v>
      </c>
    </row>
    <row r="10" spans="2:5" ht="15.75">
      <c r="B10" s="89" t="s">
        <v>74</v>
      </c>
      <c r="C10" s="328">
        <v>4331</v>
      </c>
      <c r="D10" s="328">
        <v>3607</v>
      </c>
      <c r="E10" s="188">
        <f>mvalloc!E20</f>
        <v>3656</v>
      </c>
    </row>
    <row r="11" spans="2:5" ht="15.75">
      <c r="B11" s="89" t="s">
        <v>75</v>
      </c>
      <c r="C11" s="328"/>
      <c r="D11" s="328">
        <v>49</v>
      </c>
      <c r="E11" s="188">
        <f>mvalloc!F20</f>
        <v>45</v>
      </c>
    </row>
    <row r="12" spans="2:5" ht="15.75">
      <c r="B12" s="228" t="s">
        <v>144</v>
      </c>
      <c r="C12" s="328"/>
      <c r="D12" s="328">
        <v>298</v>
      </c>
      <c r="E12" s="188">
        <f>mvalloc!G20</f>
        <v>301</v>
      </c>
    </row>
    <row r="13" spans="2:5" ht="15.75">
      <c r="B13" s="231" t="s">
        <v>368</v>
      </c>
      <c r="C13" s="328">
        <v>1</v>
      </c>
      <c r="D13" s="328"/>
      <c r="E13" s="53"/>
    </row>
    <row r="14" spans="2:5" ht="15.75">
      <c r="B14" s="230" t="s">
        <v>372</v>
      </c>
      <c r="C14" s="560">
        <v>-213</v>
      </c>
      <c r="D14" s="560">
        <v>-1788</v>
      </c>
      <c r="E14" s="561">
        <v>-1523</v>
      </c>
    </row>
    <row r="15" spans="2:5" ht="15.75">
      <c r="B15" s="240"/>
      <c r="C15" s="328"/>
      <c r="D15" s="328"/>
      <c r="E15" s="53"/>
    </row>
    <row r="16" spans="2:5" ht="15.75">
      <c r="B16" s="240"/>
      <c r="C16" s="328"/>
      <c r="D16" s="328"/>
      <c r="E16" s="53"/>
    </row>
    <row r="17" spans="2:5" ht="15.75">
      <c r="B17" s="231" t="s">
        <v>79</v>
      </c>
      <c r="C17" s="328"/>
      <c r="D17" s="328"/>
      <c r="E17" s="53"/>
    </row>
    <row r="18" spans="2:5" ht="15.75">
      <c r="B18" s="232" t="s">
        <v>34</v>
      </c>
      <c r="C18" s="328"/>
      <c r="D18" s="328"/>
      <c r="E18" s="53"/>
    </row>
    <row r="19" spans="2:5" ht="15.75">
      <c r="B19" s="232" t="s">
        <v>35</v>
      </c>
      <c r="C19" s="329">
        <f>IF(C20*0.1&lt;C18,"Exceed 10% Rule","")</f>
      </c>
      <c r="D19" s="329">
        <f>IF(D20*0.1&lt;D18,"Exceed 10% Rule","")</f>
      </c>
      <c r="E19" s="266">
        <f>IF(E20*0.1+E37&lt;E18,"Exceed 10% Rule","")</f>
      </c>
    </row>
    <row r="20" spans="2:5" ht="15.75">
      <c r="B20" s="234" t="s">
        <v>80</v>
      </c>
      <c r="C20" s="330">
        <f>SUM(C8:C18)</f>
        <v>35859</v>
      </c>
      <c r="D20" s="330">
        <f>SUM(D8:D18)</f>
        <v>35026</v>
      </c>
      <c r="E20" s="274">
        <f>SUM(E8:E18)</f>
        <v>2879</v>
      </c>
    </row>
    <row r="21" spans="2:5" ht="15.75">
      <c r="B21" s="234" t="s">
        <v>81</v>
      </c>
      <c r="C21" s="330">
        <f>C6+C20</f>
        <v>38287</v>
      </c>
      <c r="D21" s="330">
        <f>D6+D20</f>
        <v>37313</v>
      </c>
      <c r="E21" s="274">
        <f>E6+E20</f>
        <v>4192</v>
      </c>
    </row>
    <row r="22" spans="2:5" ht="15.75">
      <c r="B22" s="89" t="s">
        <v>84</v>
      </c>
      <c r="C22" s="232"/>
      <c r="D22" s="232"/>
      <c r="E22" s="49"/>
    </row>
    <row r="23" spans="2:5" ht="15.75">
      <c r="B23" s="240" t="s">
        <v>399</v>
      </c>
      <c r="C23" s="328">
        <v>36000</v>
      </c>
      <c r="D23" s="328">
        <v>36000</v>
      </c>
      <c r="E23" s="53">
        <v>36000</v>
      </c>
    </row>
    <row r="24" spans="2:10" ht="16.5">
      <c r="B24" s="240"/>
      <c r="C24" s="328"/>
      <c r="D24" s="328"/>
      <c r="E24" s="53"/>
      <c r="G24" s="626" t="str">
        <f>CONCATENATE("Desired Carryover Into ",E1+1,"")</f>
        <v>Desired Carryover Into 2016</v>
      </c>
      <c r="H24" s="627"/>
      <c r="I24" s="627"/>
      <c r="J24" s="598"/>
    </row>
    <row r="25" spans="2:10" ht="15.75">
      <c r="B25" s="240"/>
      <c r="C25" s="328"/>
      <c r="D25" s="328"/>
      <c r="E25" s="53"/>
      <c r="G25" s="425" t="str">
        <f>CONCATENATE("",E1," Tot Exp/Non-Appr Must Be:")</f>
        <v>2015 Tot Exp/Non-Appr Must Be:</v>
      </c>
      <c r="H25" s="426"/>
      <c r="I25" s="427"/>
      <c r="J25" s="428" t="e">
        <f>IF(#REF!&gt;0,IF(E34&lt;E21,IF(#REF!=G36,E34,((#REF!-G36)*(1-D36))+E21),E34+(#REF!-G36)),0)</f>
        <v>#REF!</v>
      </c>
    </row>
    <row r="26" spans="2:10" ht="15.75">
      <c r="B26" s="240"/>
      <c r="C26" s="328"/>
      <c r="D26" s="328"/>
      <c r="E26" s="53"/>
      <c r="G26" s="429" t="s">
        <v>288</v>
      </c>
      <c r="H26" s="430"/>
      <c r="I26" s="430"/>
      <c r="J26" s="431" t="e">
        <f>IF(#REF!&gt;0,J25-E34,0)</f>
        <v>#REF!</v>
      </c>
    </row>
    <row r="27" spans="2:10" ht="15.75">
      <c r="B27" s="232" t="s">
        <v>36</v>
      </c>
      <c r="C27" s="328"/>
      <c r="D27" s="328"/>
      <c r="E27" s="61"/>
      <c r="G27" s="1"/>
      <c r="H27" s="1"/>
      <c r="I27" s="1"/>
      <c r="J27" s="1"/>
    </row>
    <row r="28" spans="2:10" ht="16.5">
      <c r="B28" s="232" t="s">
        <v>34</v>
      </c>
      <c r="C28" s="328"/>
      <c r="D28" s="328"/>
      <c r="E28" s="53"/>
      <c r="G28" s="626" t="str">
        <f>CONCATENATE("Projected Carryover Into ",E1+1,"")</f>
        <v>Projected Carryover Into 2016</v>
      </c>
      <c r="H28" s="632"/>
      <c r="I28" s="632"/>
      <c r="J28" s="633"/>
    </row>
    <row r="29" spans="2:10" ht="15.75">
      <c r="B29" s="232" t="s">
        <v>37</v>
      </c>
      <c r="C29" s="329">
        <f>IF(C30*0.1&lt;C28,"Exceed 10% Rule","")</f>
      </c>
      <c r="D29" s="329">
        <f>IF(D30*0.1&lt;D28,"Exceed 10% Rule","")</f>
      </c>
      <c r="E29" s="266">
        <f>IF(E30*0.1&lt;E28,"Exceed 10% Rule","")</f>
      </c>
      <c r="G29" s="418"/>
      <c r="H29" s="420"/>
      <c r="I29" s="420"/>
      <c r="J29" s="446"/>
    </row>
    <row r="30" spans="2:10" ht="15.75">
      <c r="B30" s="234" t="s">
        <v>85</v>
      </c>
      <c r="C30" s="330">
        <f>SUM(C23:C28)</f>
        <v>36000</v>
      </c>
      <c r="D30" s="330">
        <f>SUM(D23:D28)</f>
        <v>36000</v>
      </c>
      <c r="E30" s="274">
        <f>SUM(E23:E28)</f>
        <v>36000</v>
      </c>
      <c r="G30" s="447">
        <f>D31</f>
        <v>1313</v>
      </c>
      <c r="H30" s="437" t="str">
        <f>CONCATENATE("",E1-1," Ending Cash Balance (est.)")</f>
        <v>2014 Ending Cash Balance (est.)</v>
      </c>
      <c r="I30" s="448"/>
      <c r="J30" s="446"/>
    </row>
    <row r="31" spans="2:10" ht="15.75">
      <c r="B31" s="89" t="s">
        <v>185</v>
      </c>
      <c r="C31" s="333">
        <f>C21-C30</f>
        <v>2287</v>
      </c>
      <c r="D31" s="333">
        <f>D21-D30</f>
        <v>1313</v>
      </c>
      <c r="E31" s="259" t="s">
        <v>59</v>
      </c>
      <c r="G31" s="447">
        <f>E20</f>
        <v>2879</v>
      </c>
      <c r="H31" s="420" t="str">
        <f>CONCATENATE("",E1," Non-AV Receipts (est.)")</f>
        <v>2015 Non-AV Receipts (est.)</v>
      </c>
      <c r="I31" s="448"/>
      <c r="J31" s="446"/>
    </row>
    <row r="32" spans="2:11" ht="15.75">
      <c r="B32" s="224" t="str">
        <f>CONCATENATE("",E1-2,"/",E1-1,"/",E1," Budget Authority Amount:")</f>
        <v>2013/2014/2015 Budget Authority Amount:</v>
      </c>
      <c r="C32" s="261">
        <f>inputOth!B45</f>
        <v>36000</v>
      </c>
      <c r="D32" s="261">
        <f>inputPrYr!D29</f>
        <v>36000</v>
      </c>
      <c r="E32" s="188">
        <f>E30</f>
        <v>36000</v>
      </c>
      <c r="F32" s="242"/>
      <c r="G32" s="449">
        <f>IF(E36&gt;0,E35,E37)</f>
        <v>31808</v>
      </c>
      <c r="H32" s="420" t="str">
        <f>CONCATENATE("",E1," Ad Valorem Tax (est.)")</f>
        <v>2015 Ad Valorem Tax (est.)</v>
      </c>
      <c r="I32" s="448"/>
      <c r="J32" s="446"/>
      <c r="K32" s="434" t="str">
        <f>IF(G32=E37,"","Note: Does not include Delinquent Taxes")</f>
        <v>Note: Does not include Delinquent Taxes</v>
      </c>
    </row>
    <row r="33" spans="2:10" ht="16.5">
      <c r="B33" s="210"/>
      <c r="C33" s="616" t="s">
        <v>258</v>
      </c>
      <c r="D33" s="617"/>
      <c r="E33" s="53"/>
      <c r="F33" s="365">
        <f>IF(E30/0.95-E30&lt;E33,"Exceeds 5%","")</f>
      </c>
      <c r="G33" s="447">
        <f>SUM(G30:G32)</f>
        <v>36000</v>
      </c>
      <c r="H33" s="420" t="str">
        <f>CONCATENATE("Total ",E1," Resources Available")</f>
        <v>Total 2015 Resources Available</v>
      </c>
      <c r="I33" s="448"/>
      <c r="J33" s="446"/>
    </row>
    <row r="34" spans="2:10" ht="15.75">
      <c r="B34" s="369" t="str">
        <f>CONCATENATE(C87,"     ",D87)</f>
        <v>     </v>
      </c>
      <c r="C34" s="618" t="s">
        <v>259</v>
      </c>
      <c r="D34" s="619"/>
      <c r="E34" s="188">
        <f>E30+E33</f>
        <v>36000</v>
      </c>
      <c r="G34" s="450"/>
      <c r="H34" s="420"/>
      <c r="I34" s="420"/>
      <c r="J34" s="446"/>
    </row>
    <row r="35" spans="2:10" ht="15.75">
      <c r="B35" s="369" t="str">
        <f>CONCATENATE(C88,"     ",D88)</f>
        <v>     </v>
      </c>
      <c r="C35" s="243"/>
      <c r="D35" s="162" t="s">
        <v>86</v>
      </c>
      <c r="E35" s="61">
        <f>IF(E34-E21&gt;0,E34-E21,0)</f>
        <v>31808</v>
      </c>
      <c r="G35" s="449">
        <f>ROUND(C30*0.05+C30,0)</f>
        <v>37800</v>
      </c>
      <c r="H35" s="420" t="str">
        <f>CONCATENATE("Less ",E1-2," Expenditures + 5%")</f>
        <v>Less 2013 Expenditures + 5%</v>
      </c>
      <c r="I35" s="448"/>
      <c r="J35" s="451"/>
    </row>
    <row r="36" spans="2:10" ht="15.75">
      <c r="B36" s="162"/>
      <c r="C36" s="367" t="s">
        <v>260</v>
      </c>
      <c r="D36" s="417">
        <f>inputOth!$E$23</f>
        <v>0.05</v>
      </c>
      <c r="E36" s="188">
        <f>ROUND(IF(D36&gt;0,($E$35*D36),0),0)</f>
        <v>1590</v>
      </c>
      <c r="G36" s="452">
        <f>G33-G35</f>
        <v>-1800</v>
      </c>
      <c r="H36" s="453" t="str">
        <f>CONCATENATE("Projected ",E1+1," carryover (est.)")</f>
        <v>Projected 2016 carryover (est.)</v>
      </c>
      <c r="I36" s="454"/>
      <c r="J36" s="455"/>
    </row>
    <row r="37" spans="2:10" ht="16.5">
      <c r="B37" s="28"/>
      <c r="C37" s="624" t="str">
        <f>CONCATENATE("Amount of  ",$E$1-1," Ad Valorem Tax")</f>
        <v>Amount of  2014 Ad Valorem Tax</v>
      </c>
      <c r="D37" s="625"/>
      <c r="E37" s="270">
        <f>E35+E36</f>
        <v>33398</v>
      </c>
      <c r="G37" s="1"/>
      <c r="H37" s="1"/>
      <c r="I37" s="1"/>
      <c r="J37" s="1"/>
    </row>
    <row r="38" spans="2:10" ht="16.5">
      <c r="B38" s="28"/>
      <c r="C38" s="249"/>
      <c r="D38" s="249"/>
      <c r="E38" s="249"/>
      <c r="G38" s="628" t="s">
        <v>289</v>
      </c>
      <c r="H38" s="629"/>
      <c r="I38" s="629"/>
      <c r="J38" s="630"/>
    </row>
    <row r="39" spans="2:10" ht="16.5">
      <c r="B39" s="27" t="s">
        <v>71</v>
      </c>
      <c r="C39" s="470" t="str">
        <f aca="true" t="shared" si="0" ref="C39:E40">C4</f>
        <v>Prior Year </v>
      </c>
      <c r="D39" s="471" t="str">
        <f t="shared" si="0"/>
        <v>Current Year </v>
      </c>
      <c r="E39" s="151" t="str">
        <f t="shared" si="0"/>
        <v>Proposed Budget </v>
      </c>
      <c r="G39" s="436"/>
      <c r="H39" s="437"/>
      <c r="I39" s="438"/>
      <c r="J39" s="439"/>
    </row>
    <row r="40" spans="2:10" ht="16.5">
      <c r="B40" s="355" t="str">
        <f>inputPrYr!B30</f>
        <v>Appraisers</v>
      </c>
      <c r="C40" s="331" t="str">
        <f t="shared" si="0"/>
        <v>Actual for 2013</v>
      </c>
      <c r="D40" s="331" t="str">
        <f t="shared" si="0"/>
        <v>Estimate for 2014</v>
      </c>
      <c r="E40" s="225" t="str">
        <f t="shared" si="0"/>
        <v>Year for 2015</v>
      </c>
      <c r="G40" s="440">
        <f>summ!H29</f>
        <v>0.396</v>
      </c>
      <c r="H40" s="437" t="str">
        <f>CONCATENATE("",E1," Fund Mill Rate")</f>
        <v>2015 Fund Mill Rate</v>
      </c>
      <c r="I40" s="438"/>
      <c r="J40" s="439"/>
    </row>
    <row r="41" spans="2:10" ht="16.5">
      <c r="B41" s="89" t="s">
        <v>184</v>
      </c>
      <c r="C41" s="328">
        <v>30314</v>
      </c>
      <c r="D41" s="332">
        <f>C70</f>
        <v>24271</v>
      </c>
      <c r="E41" s="188">
        <f>D70</f>
        <v>13986</v>
      </c>
      <c r="G41" s="441">
        <f>summ!E29</f>
        <v>0.406</v>
      </c>
      <c r="H41" s="437" t="str">
        <f>CONCATENATE("",E1-1," Fund Mill Rate")</f>
        <v>2014 Fund Mill Rate</v>
      </c>
      <c r="I41" s="438"/>
      <c r="J41" s="439"/>
    </row>
    <row r="42" spans="2:10" ht="16.5">
      <c r="B42" s="226" t="s">
        <v>186</v>
      </c>
      <c r="C42" s="228"/>
      <c r="D42" s="228"/>
      <c r="E42" s="68"/>
      <c r="G42" s="442">
        <f>summ!H48</f>
        <v>67.327</v>
      </c>
      <c r="H42" s="437" t="str">
        <f>CONCATENATE("Total ",E1," Mill Rate")</f>
        <v>Total 2015 Mill Rate</v>
      </c>
      <c r="I42" s="438"/>
      <c r="J42" s="439"/>
    </row>
    <row r="43" spans="2:10" ht="16.5">
      <c r="B43" s="89" t="s">
        <v>72</v>
      </c>
      <c r="C43" s="328">
        <v>117203</v>
      </c>
      <c r="D43" s="332">
        <v>124255</v>
      </c>
      <c r="E43" s="259" t="s">
        <v>59</v>
      </c>
      <c r="G43" s="441">
        <f>summ!E48</f>
        <v>66.53</v>
      </c>
      <c r="H43" s="443" t="str">
        <f>CONCATENATE("Total ",E1-1," Mill Rate")</f>
        <v>Total 2014 Mill Rate</v>
      </c>
      <c r="I43" s="444"/>
      <c r="J43" s="445"/>
    </row>
    <row r="44" spans="2:10" ht="15.75">
      <c r="B44" s="89" t="s">
        <v>73</v>
      </c>
      <c r="C44" s="328">
        <v>3070</v>
      </c>
      <c r="D44" s="328">
        <v>1700</v>
      </c>
      <c r="E44" s="53">
        <v>1700</v>
      </c>
      <c r="G44" s="1"/>
      <c r="H44" s="1"/>
      <c r="I44" s="1"/>
      <c r="J44" s="1"/>
    </row>
    <row r="45" spans="2:10" ht="15.75">
      <c r="B45" s="89" t="s">
        <v>74</v>
      </c>
      <c r="C45" s="328">
        <v>15367</v>
      </c>
      <c r="D45" s="328">
        <v>13685</v>
      </c>
      <c r="E45" s="188">
        <f>mvalloc!E21</f>
        <v>13994</v>
      </c>
      <c r="G45" s="532" t="s">
        <v>307</v>
      </c>
      <c r="H45" s="488"/>
      <c r="I45" s="487" t="str">
        <f>cert!E57</f>
        <v>No</v>
      </c>
      <c r="J45" s="1"/>
    </row>
    <row r="46" spans="2:10" ht="15.75">
      <c r="B46" s="89" t="s">
        <v>75</v>
      </c>
      <c r="C46" s="328"/>
      <c r="D46" s="328">
        <v>188</v>
      </c>
      <c r="E46" s="188">
        <f>mvalloc!F21</f>
        <v>174</v>
      </c>
      <c r="G46" s="1"/>
      <c r="H46" s="1"/>
      <c r="I46" s="1"/>
      <c r="J46" s="1"/>
    </row>
    <row r="47" spans="2:10" ht="15.75">
      <c r="B47" s="228" t="s">
        <v>144</v>
      </c>
      <c r="C47" s="328"/>
      <c r="D47" s="328">
        <v>1158</v>
      </c>
      <c r="E47" s="188">
        <f>mvalloc!G21</f>
        <v>1152</v>
      </c>
      <c r="G47" s="1"/>
      <c r="H47" s="1"/>
      <c r="I47" s="1"/>
      <c r="J47" s="1"/>
    </row>
    <row r="48" spans="2:10" ht="15.75">
      <c r="B48" s="231" t="s">
        <v>368</v>
      </c>
      <c r="C48" s="328">
        <v>4</v>
      </c>
      <c r="D48" s="328">
        <v>4</v>
      </c>
      <c r="E48" s="53">
        <v>4</v>
      </c>
      <c r="G48" s="1"/>
      <c r="H48" s="1"/>
      <c r="I48" s="1"/>
      <c r="J48" s="1"/>
    </row>
    <row r="49" spans="2:10" ht="15.75">
      <c r="B49" s="230" t="s">
        <v>372</v>
      </c>
      <c r="C49" s="560">
        <v>-807</v>
      </c>
      <c r="D49" s="560">
        <v>-6775</v>
      </c>
      <c r="E49" s="561">
        <v>-5832</v>
      </c>
      <c r="G49" s="1"/>
      <c r="H49" s="1"/>
      <c r="I49" s="1"/>
      <c r="J49" s="1"/>
    </row>
    <row r="50" spans="2:10" ht="15.75">
      <c r="B50" s="240" t="s">
        <v>375</v>
      </c>
      <c r="C50" s="328">
        <v>4104</v>
      </c>
      <c r="D50" s="328">
        <v>3000</v>
      </c>
      <c r="E50" s="53">
        <v>2500</v>
      </c>
      <c r="G50" s="1"/>
      <c r="H50" s="1"/>
      <c r="I50" s="1"/>
      <c r="J50" s="1"/>
    </row>
    <row r="51" spans="2:10" ht="15.75">
      <c r="B51" s="240"/>
      <c r="C51" s="328"/>
      <c r="D51" s="328"/>
      <c r="E51" s="53"/>
      <c r="G51" s="1"/>
      <c r="H51" s="1"/>
      <c r="I51" s="1"/>
      <c r="J51" s="1"/>
    </row>
    <row r="52" spans="2:10" ht="15.75">
      <c r="B52" s="240"/>
      <c r="C52" s="328"/>
      <c r="D52" s="328"/>
      <c r="E52" s="53"/>
      <c r="G52" s="1"/>
      <c r="H52" s="1"/>
      <c r="I52" s="1"/>
      <c r="J52" s="1"/>
    </row>
    <row r="53" spans="2:10" ht="15.75">
      <c r="B53" s="231" t="s">
        <v>79</v>
      </c>
      <c r="C53" s="328"/>
      <c r="D53" s="328"/>
      <c r="E53" s="53"/>
      <c r="G53" s="1"/>
      <c r="H53" s="1"/>
      <c r="I53" s="1"/>
      <c r="J53" s="1"/>
    </row>
    <row r="54" spans="2:10" ht="15.75">
      <c r="B54" s="232" t="s">
        <v>34</v>
      </c>
      <c r="C54" s="328"/>
      <c r="D54" s="328"/>
      <c r="E54" s="53"/>
      <c r="G54" s="1"/>
      <c r="H54" s="1"/>
      <c r="I54" s="1"/>
      <c r="J54" s="1"/>
    </row>
    <row r="55" spans="2:10" ht="15.75">
      <c r="B55" s="232" t="s">
        <v>35</v>
      </c>
      <c r="C55" s="329">
        <f>IF(C56*0.1&lt;C54,"Exceed 10% Rule","")</f>
      </c>
      <c r="D55" s="329">
        <f>IF(D56*0.1&lt;D54,"Exceed 10% Rule","")</f>
      </c>
      <c r="E55" s="266">
        <f>IF(E56*0.1+E76&lt;E54,"Exceed 10% Rule","")</f>
      </c>
      <c r="G55" s="1"/>
      <c r="H55" s="1"/>
      <c r="I55" s="1"/>
      <c r="J55" s="1"/>
    </row>
    <row r="56" spans="2:10" ht="15.75">
      <c r="B56" s="234" t="s">
        <v>80</v>
      </c>
      <c r="C56" s="330">
        <f>SUM(C43:C54)</f>
        <v>138941</v>
      </c>
      <c r="D56" s="330">
        <f>SUM(D43:D54)</f>
        <v>137215</v>
      </c>
      <c r="E56" s="274">
        <f>SUM(E43:E54)</f>
        <v>13692</v>
      </c>
      <c r="G56" s="1"/>
      <c r="H56" s="1"/>
      <c r="I56" s="1"/>
      <c r="J56" s="1"/>
    </row>
    <row r="57" spans="2:10" ht="15.75">
      <c r="B57" s="234" t="s">
        <v>81</v>
      </c>
      <c r="C57" s="330">
        <f>C41+C56</f>
        <v>169255</v>
      </c>
      <c r="D57" s="330">
        <f>D41+D56</f>
        <v>161486</v>
      </c>
      <c r="E57" s="274">
        <f>E41+E56</f>
        <v>27678</v>
      </c>
      <c r="G57" s="1"/>
      <c r="H57" s="1"/>
      <c r="I57" s="1"/>
      <c r="J57" s="1"/>
    </row>
    <row r="58" spans="2:10" ht="15.75">
      <c r="B58" s="89" t="s">
        <v>84</v>
      </c>
      <c r="C58" s="232"/>
      <c r="D58" s="232"/>
      <c r="E58" s="49"/>
      <c r="G58" s="1"/>
      <c r="H58" s="1"/>
      <c r="I58" s="1"/>
      <c r="J58" s="1"/>
    </row>
    <row r="59" spans="2:10" ht="15.75">
      <c r="B59" s="51" t="s">
        <v>89</v>
      </c>
      <c r="C59" s="328">
        <v>122885</v>
      </c>
      <c r="D59" s="328">
        <v>121500</v>
      </c>
      <c r="E59" s="53">
        <v>125460</v>
      </c>
      <c r="G59" s="1"/>
      <c r="H59" s="1"/>
      <c r="I59" s="1"/>
      <c r="J59" s="1"/>
    </row>
    <row r="60" spans="2:10" ht="16.5">
      <c r="B60" s="51" t="s">
        <v>90</v>
      </c>
      <c r="C60" s="328">
        <v>5755</v>
      </c>
      <c r="D60" s="328">
        <v>8000</v>
      </c>
      <c r="E60" s="53">
        <v>14540</v>
      </c>
      <c r="G60" s="626" t="str">
        <f>CONCATENATE("Desired Carryover Into ",E1+1,"")</f>
        <v>Desired Carryover Into 2016</v>
      </c>
      <c r="H60" s="627"/>
      <c r="I60" s="627"/>
      <c r="J60" s="598"/>
    </row>
    <row r="61" spans="2:10" ht="15.75">
      <c r="B61" s="51" t="s">
        <v>91</v>
      </c>
      <c r="C61" s="328">
        <v>11322</v>
      </c>
      <c r="D61" s="328">
        <v>8000</v>
      </c>
      <c r="E61" s="53">
        <v>15000</v>
      </c>
      <c r="G61" s="418"/>
      <c r="H61" s="419"/>
      <c r="I61" s="420"/>
      <c r="J61" s="421"/>
    </row>
    <row r="62" spans="2:10" ht="15.75">
      <c r="B62" s="51" t="s">
        <v>92</v>
      </c>
      <c r="C62" s="328">
        <v>4622</v>
      </c>
      <c r="D62" s="328">
        <v>4000</v>
      </c>
      <c r="E62" s="53">
        <v>5000</v>
      </c>
      <c r="G62" s="422" t="s">
        <v>261</v>
      </c>
      <c r="H62" s="420"/>
      <c r="I62" s="420"/>
      <c r="J62" s="423">
        <v>0</v>
      </c>
    </row>
    <row r="63" spans="2:10" ht="15.75">
      <c r="B63" s="240" t="s">
        <v>442</v>
      </c>
      <c r="C63" s="328">
        <v>400</v>
      </c>
      <c r="D63" s="328">
        <v>6000</v>
      </c>
      <c r="E63" s="53">
        <v>6000</v>
      </c>
      <c r="G63" s="418" t="s">
        <v>262</v>
      </c>
      <c r="H63" s="419"/>
      <c r="I63" s="419"/>
      <c r="J63" s="424">
        <f>IF(J62=0,"",ROUND((J62+E76-G75)/inputOth!E6*1000,3)-G80)</f>
      </c>
    </row>
    <row r="64" spans="2:10" ht="15.75">
      <c r="B64" s="240"/>
      <c r="C64" s="328"/>
      <c r="D64" s="328"/>
      <c r="E64" s="53"/>
      <c r="G64" s="425" t="str">
        <f>CONCATENATE("",E1," Tot Exp/Non-Appr Must Be:")</f>
        <v>2015 Tot Exp/Non-Appr Must Be:</v>
      </c>
      <c r="H64" s="426"/>
      <c r="I64" s="427"/>
      <c r="J64" s="428">
        <f>IF(J62&gt;0,IF(E73&lt;E57,IF(J62=G75,E73,((J62-G75)*(1-D75))+E57),E73+(J62-G75)),0)</f>
        <v>0</v>
      </c>
    </row>
    <row r="65" spans="2:10" ht="15.75">
      <c r="B65" s="240"/>
      <c r="C65" s="328"/>
      <c r="D65" s="328"/>
      <c r="E65" s="53"/>
      <c r="G65" s="429" t="s">
        <v>288</v>
      </c>
      <c r="H65" s="430"/>
      <c r="I65" s="430"/>
      <c r="J65" s="431">
        <f>IF(J62&gt;0,J64-E73,0)</f>
        <v>0</v>
      </c>
    </row>
    <row r="66" spans="2:10" ht="15.75">
      <c r="B66" s="232" t="s">
        <v>36</v>
      </c>
      <c r="C66" s="328"/>
      <c r="D66" s="328"/>
      <c r="E66" s="61"/>
      <c r="G66" s="1"/>
      <c r="H66" s="1"/>
      <c r="I66" s="1"/>
      <c r="J66" s="1"/>
    </row>
    <row r="67" spans="2:10" ht="16.5">
      <c r="B67" s="232" t="s">
        <v>34</v>
      </c>
      <c r="C67" s="328"/>
      <c r="D67" s="328"/>
      <c r="E67" s="53"/>
      <c r="G67" s="626" t="str">
        <f>CONCATENATE("Projected Carryover Into ",E1+1,"")</f>
        <v>Projected Carryover Into 2016</v>
      </c>
      <c r="H67" s="634"/>
      <c r="I67" s="634"/>
      <c r="J67" s="633"/>
    </row>
    <row r="68" spans="2:10" ht="15.75">
      <c r="B68" s="232" t="s">
        <v>37</v>
      </c>
      <c r="C68" s="329">
        <f>IF(C69*0.1&lt;C67,"Exceed 10% Rule","")</f>
      </c>
      <c r="D68" s="329">
        <f>IF(D69*0.1&lt;D67,"Exceed 10% Rule","")</f>
      </c>
      <c r="E68" s="266">
        <f>IF(E69*0.1&lt;E67,"Exceed 10% Rule","")</f>
      </c>
      <c r="G68" s="456"/>
      <c r="H68" s="419"/>
      <c r="I68" s="419"/>
      <c r="J68" s="451"/>
    </row>
    <row r="69" spans="2:10" ht="15.75">
      <c r="B69" s="234" t="s">
        <v>85</v>
      </c>
      <c r="C69" s="330">
        <f>SUM(C59:C67)</f>
        <v>144984</v>
      </c>
      <c r="D69" s="330">
        <f>SUM(D59:D67)</f>
        <v>147500</v>
      </c>
      <c r="E69" s="274">
        <f>SUM(E59:E67)</f>
        <v>166000</v>
      </c>
      <c r="G69" s="447">
        <f>D70</f>
        <v>13986</v>
      </c>
      <c r="H69" s="437" t="str">
        <f>CONCATENATE("",E1-1," Ending Cash Balance (est.)")</f>
        <v>2014 Ending Cash Balance (est.)</v>
      </c>
      <c r="I69" s="448"/>
      <c r="J69" s="451"/>
    </row>
    <row r="70" spans="2:10" ht="15.75">
      <c r="B70" s="89" t="s">
        <v>185</v>
      </c>
      <c r="C70" s="333">
        <f>C57-C69</f>
        <v>24271</v>
      </c>
      <c r="D70" s="333">
        <f>D57-D69</f>
        <v>13986</v>
      </c>
      <c r="E70" s="259" t="s">
        <v>59</v>
      </c>
      <c r="G70" s="447">
        <f>E56</f>
        <v>13692</v>
      </c>
      <c r="H70" s="420" t="str">
        <f>CONCATENATE("",E1," Non-AV Receipts (est.)")</f>
        <v>2015 Non-AV Receipts (est.)</v>
      </c>
      <c r="I70" s="448"/>
      <c r="J70" s="451"/>
    </row>
    <row r="71" spans="2:11" ht="15.75">
      <c r="B71" s="224" t="str">
        <f>CONCATENATE("",E1-2,"/",E1-1,"/",E1," Budget Authority Amount:")</f>
        <v>2013/2014/2015 Budget Authority Amount:</v>
      </c>
      <c r="C71" s="261">
        <f>inputOth!B46</f>
        <v>148500</v>
      </c>
      <c r="D71" s="261">
        <f>inputPrYr!D30</f>
        <v>147500</v>
      </c>
      <c r="E71" s="188">
        <f>E69</f>
        <v>166000</v>
      </c>
      <c r="F71" s="242"/>
      <c r="G71" s="449">
        <f>IF(E75&gt;0,E74,E76)</f>
        <v>138322</v>
      </c>
      <c r="H71" s="420" t="str">
        <f>CONCATENATE("",E1," Ad Valorem Tax (est.)")</f>
        <v>2015 Ad Valorem Tax (est.)</v>
      </c>
      <c r="I71" s="448"/>
      <c r="J71" s="451"/>
      <c r="K71" s="434" t="str">
        <f>IF(G71=E76,"","Note: Does not include Delinquent Taxes")</f>
        <v>Note: Does not include Delinquent Taxes</v>
      </c>
    </row>
    <row r="72" spans="2:10" ht="16.5">
      <c r="B72" s="210"/>
      <c r="C72" s="616" t="s">
        <v>258</v>
      </c>
      <c r="D72" s="617"/>
      <c r="E72" s="53"/>
      <c r="F72" s="365">
        <f>IF(E69/0.95-E69&lt;E72,"Exceeds 5%","")</f>
      </c>
      <c r="G72" s="457">
        <f>SUM(G69:G71)</f>
        <v>166000</v>
      </c>
      <c r="H72" s="420" t="str">
        <f>CONCATENATE("Total ",E1," Resources Available")</f>
        <v>Total 2015 Resources Available</v>
      </c>
      <c r="I72" s="458"/>
      <c r="J72" s="451"/>
    </row>
    <row r="73" spans="2:10" ht="15.75">
      <c r="B73" s="368" t="str">
        <f>CONCATENATE(C89,"     ",D89)</f>
        <v>     </v>
      </c>
      <c r="C73" s="618" t="s">
        <v>259</v>
      </c>
      <c r="D73" s="619"/>
      <c r="E73" s="188">
        <f>E69+E72</f>
        <v>166000</v>
      </c>
      <c r="G73" s="459"/>
      <c r="H73" s="460"/>
      <c r="I73" s="419"/>
      <c r="J73" s="451"/>
    </row>
    <row r="74" spans="2:10" ht="15.75">
      <c r="B74" s="368" t="str">
        <f>CONCATENATE(C90,"     ",D90)</f>
        <v>     </v>
      </c>
      <c r="C74" s="243"/>
      <c r="D74" s="162" t="s">
        <v>86</v>
      </c>
      <c r="E74" s="61">
        <f>IF(E73-E57&gt;0,E73-E57,0)</f>
        <v>138322</v>
      </c>
      <c r="G74" s="461">
        <f>ROUND(C69*0.05+C69,0)</f>
        <v>152233</v>
      </c>
      <c r="H74" s="420" t="str">
        <f>CONCATENATE("Less ",E1-2," Expenditures + 5%")</f>
        <v>Less 2013 Expenditures + 5%</v>
      </c>
      <c r="I74" s="458"/>
      <c r="J74" s="451"/>
    </row>
    <row r="75" spans="2:10" ht="15.75">
      <c r="B75" s="162"/>
      <c r="C75" s="367" t="s">
        <v>260</v>
      </c>
      <c r="D75" s="417">
        <f>inputOth!$E$23</f>
        <v>0.05</v>
      </c>
      <c r="E75" s="188">
        <f>ROUND(IF(D75&gt;0,($E$74*D75),0),0)</f>
        <v>6916</v>
      </c>
      <c r="G75" s="462">
        <f>G72-G74</f>
        <v>13767</v>
      </c>
      <c r="H75" s="453" t="str">
        <f>CONCATENATE("Projected ",E1+1," carryover (est.)")</f>
        <v>Projected 2016 carryover (est.)</v>
      </c>
      <c r="I75" s="463"/>
      <c r="J75" s="464"/>
    </row>
    <row r="76" spans="2:10" ht="16.5">
      <c r="B76" s="28"/>
      <c r="C76" s="624" t="str">
        <f>CONCATENATE("Amount of  ",$E$1-1," Ad Valorem Tax")</f>
        <v>Amount of  2014 Ad Valorem Tax</v>
      </c>
      <c r="D76" s="625"/>
      <c r="E76" s="270">
        <f>E74+E75</f>
        <v>145238</v>
      </c>
      <c r="G76" s="1"/>
      <c r="H76" s="1"/>
      <c r="I76" s="1"/>
      <c r="J76" s="1"/>
    </row>
    <row r="77" spans="2:10" ht="16.5">
      <c r="B77" s="210" t="s">
        <v>106</v>
      </c>
      <c r="C77" s="271">
        <v>15</v>
      </c>
      <c r="D77" s="28"/>
      <c r="E77" s="28"/>
      <c r="G77" s="628" t="s">
        <v>289</v>
      </c>
      <c r="H77" s="629"/>
      <c r="I77" s="629"/>
      <c r="J77" s="630"/>
    </row>
    <row r="78" spans="7:10" ht="16.5">
      <c r="G78" s="436"/>
      <c r="H78" s="437"/>
      <c r="I78" s="438"/>
      <c r="J78" s="439"/>
    </row>
    <row r="79" spans="7:10" ht="16.5">
      <c r="G79" s="440">
        <f>summ!H30</f>
        <v>1.721</v>
      </c>
      <c r="H79" s="437" t="str">
        <f>CONCATENATE("",E1," Fund Mill Rate")</f>
        <v>2015 Fund Mill Rate</v>
      </c>
      <c r="I79" s="438"/>
      <c r="J79" s="439"/>
    </row>
    <row r="80" spans="7:10" ht="16.5">
      <c r="G80" s="441">
        <f>summ!E30</f>
        <v>1.555</v>
      </c>
      <c r="H80" s="437" t="str">
        <f>CONCATENATE("",E1-1," Fund Mill Rate")</f>
        <v>2014 Fund Mill Rate</v>
      </c>
      <c r="I80" s="438"/>
      <c r="J80" s="439"/>
    </row>
    <row r="81" spans="7:10" ht="16.5">
      <c r="G81" s="442">
        <f>summ!H48</f>
        <v>67.327</v>
      </c>
      <c r="H81" s="437" t="str">
        <f>CONCATENATE("Total ",E1," Mill Rate")</f>
        <v>Total 2015 Mill Rate</v>
      </c>
      <c r="I81" s="438"/>
      <c r="J81" s="439"/>
    </row>
    <row r="82" spans="7:10" ht="16.5">
      <c r="G82" s="441">
        <f>summ!E48</f>
        <v>66.53</v>
      </c>
      <c r="H82" s="443" t="str">
        <f>CONCATENATE("Total ",E1-1," Mill Rate")</f>
        <v>Total 2014 Mill Rate</v>
      </c>
      <c r="I82" s="444"/>
      <c r="J82" s="445"/>
    </row>
    <row r="84" spans="7:9" ht="15.75">
      <c r="G84" s="533" t="s">
        <v>307</v>
      </c>
      <c r="H84" s="488"/>
      <c r="I84" s="487" t="str">
        <f>cert!E57</f>
        <v>No</v>
      </c>
    </row>
    <row r="87" spans="3:4" ht="15.75" hidden="1">
      <c r="C87" s="25">
        <f>IF(C30&gt;C32,"See Tab A","")</f>
      </c>
      <c r="D87" s="25">
        <f>IF(D30&gt;D32,"See Tab C","")</f>
      </c>
    </row>
    <row r="88" spans="3:4" ht="15.75" hidden="1">
      <c r="C88" s="25">
        <f>IF(C31&lt;0,"See Tab B","")</f>
      </c>
      <c r="D88" s="25">
        <f>IF(D31&lt;0,"See Tab D","")</f>
      </c>
    </row>
    <row r="89" spans="3:4" ht="15.75" hidden="1">
      <c r="C89" s="25">
        <f>IF(C69&gt;C71,"See Tab A","")</f>
      </c>
      <c r="D89" s="25">
        <f>IF(D69&gt;D71,"See Tab C","")</f>
      </c>
    </row>
    <row r="90" spans="3:4" ht="15.75" hidden="1">
      <c r="C90" s="25">
        <f>IF(C70&lt;0,"See Tab B","")</f>
      </c>
      <c r="D90" s="25">
        <f>IF(D70&lt;0,"See Tab D","")</f>
      </c>
    </row>
  </sheetData>
  <sheetProtection/>
  <mergeCells count="12">
    <mergeCell ref="G24:J24"/>
    <mergeCell ref="G28:J28"/>
    <mergeCell ref="G38:J38"/>
    <mergeCell ref="G60:J60"/>
    <mergeCell ref="G67:J67"/>
    <mergeCell ref="G77:J77"/>
    <mergeCell ref="C33:D33"/>
    <mergeCell ref="C34:D34"/>
    <mergeCell ref="C72:D72"/>
    <mergeCell ref="C73:D73"/>
    <mergeCell ref="C76:D76"/>
    <mergeCell ref="C37:D37"/>
  </mergeCells>
  <conditionalFormatting sqref="E67">
    <cfRule type="cellIs" priority="3" dxfId="253" operator="greaterThan" stopIfTrue="1">
      <formula>$E$69*0.1</formula>
    </cfRule>
  </conditionalFormatting>
  <conditionalFormatting sqref="E72">
    <cfRule type="cellIs" priority="4" dxfId="253" operator="greaterThan" stopIfTrue="1">
      <formula>$E$69/0.95-$E$69</formula>
    </cfRule>
  </conditionalFormatting>
  <conditionalFormatting sqref="E33">
    <cfRule type="cellIs" priority="5" dxfId="253" operator="greaterThan" stopIfTrue="1">
      <formula>$E$30/0.95-$E$30</formula>
    </cfRule>
  </conditionalFormatting>
  <conditionalFormatting sqref="E28">
    <cfRule type="cellIs" priority="6" dxfId="253" operator="greaterThan" stopIfTrue="1">
      <formula>$E$30*0.1</formula>
    </cfRule>
  </conditionalFormatting>
  <conditionalFormatting sqref="C70 C31">
    <cfRule type="cellIs" priority="7" dxfId="2" operator="lessThan" stopIfTrue="1">
      <formula>0</formula>
    </cfRule>
  </conditionalFormatting>
  <conditionalFormatting sqref="C69">
    <cfRule type="cellIs" priority="8" dxfId="2" operator="greaterThan" stopIfTrue="1">
      <formula>$C$71</formula>
    </cfRule>
  </conditionalFormatting>
  <conditionalFormatting sqref="D69">
    <cfRule type="cellIs" priority="9" dxfId="2" operator="greaterThan" stopIfTrue="1">
      <formula>$D$71</formula>
    </cfRule>
  </conditionalFormatting>
  <conditionalFormatting sqref="C67">
    <cfRule type="cellIs" priority="10" dxfId="2" operator="greaterThan" stopIfTrue="1">
      <formula>$C$69*0.1</formula>
    </cfRule>
  </conditionalFormatting>
  <conditionalFormatting sqref="D67">
    <cfRule type="cellIs" priority="11" dxfId="2" operator="greaterThan" stopIfTrue="1">
      <formula>$D$69*0.1</formula>
    </cfRule>
  </conditionalFormatting>
  <conditionalFormatting sqref="E54">
    <cfRule type="cellIs" priority="12" dxfId="253" operator="greaterThan" stopIfTrue="1">
      <formula>$E$56*0.1+E76</formula>
    </cfRule>
  </conditionalFormatting>
  <conditionalFormatting sqref="C54">
    <cfRule type="cellIs" priority="13" dxfId="2" operator="greaterThan" stopIfTrue="1">
      <formula>$C$56*0.1</formula>
    </cfRule>
  </conditionalFormatting>
  <conditionalFormatting sqref="D54">
    <cfRule type="cellIs" priority="14" dxfId="2" operator="greaterThan" stopIfTrue="1">
      <formula>$D$56*0.1</formula>
    </cfRule>
  </conditionalFormatting>
  <conditionalFormatting sqref="C30">
    <cfRule type="cellIs" priority="15" dxfId="2" operator="greaterThan" stopIfTrue="1">
      <formula>$C$32</formula>
    </cfRule>
  </conditionalFormatting>
  <conditionalFormatting sqref="D30">
    <cfRule type="cellIs" priority="16" dxfId="2" operator="greaterThan" stopIfTrue="1">
      <formula>$D$32</formula>
    </cfRule>
  </conditionalFormatting>
  <conditionalFormatting sqref="C28">
    <cfRule type="cellIs" priority="17" dxfId="2" operator="greaterThan" stopIfTrue="1">
      <formula>$C$30*0.1</formula>
    </cfRule>
  </conditionalFormatting>
  <conditionalFormatting sqref="D28">
    <cfRule type="cellIs" priority="18" dxfId="2" operator="greaterThan" stopIfTrue="1">
      <formula>$D$30*0.1</formula>
    </cfRule>
  </conditionalFormatting>
  <conditionalFormatting sqref="E18">
    <cfRule type="cellIs" priority="19" dxfId="253" operator="greaterThan" stopIfTrue="1">
      <formula>$E$20*0.1+E37</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70 D3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86"/>
  <sheetViews>
    <sheetView view="pageBreakPreview" zoomScale="93" zoomScaleSheetLayoutView="93" zoomScalePageLayoutView="0" workbookViewId="0" topLeftCell="A4">
      <selection activeCell="D56" sqref="D56"/>
    </sheetView>
  </sheetViews>
  <sheetFormatPr defaultColWidth="8.8984375" defaultRowHeight="15"/>
  <cols>
    <col min="1" max="1" width="2.3984375" style="25" customWidth="1"/>
    <col min="2" max="2" width="31.09765625" style="25" customWidth="1"/>
    <col min="3" max="4" width="15.796875" style="25" customWidth="1"/>
    <col min="5" max="5" width="16.19921875" style="25" customWidth="1"/>
    <col min="6" max="6" width="7.3984375" style="25" customWidth="1"/>
    <col min="7" max="7" width="10.19921875" style="25" customWidth="1"/>
    <col min="8" max="8" width="8.8984375" style="25" customWidth="1"/>
    <col min="9" max="9" width="5" style="25" customWidth="1"/>
    <col min="10" max="10" width="10" style="25" customWidth="1"/>
    <col min="11"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151</v>
      </c>
      <c r="C3" s="255"/>
      <c r="D3" s="255"/>
      <c r="E3" s="256"/>
    </row>
    <row r="4" spans="2:5" ht="15.75">
      <c r="B4" s="27" t="s">
        <v>71</v>
      </c>
      <c r="C4" s="470" t="s">
        <v>290</v>
      </c>
      <c r="D4" s="471" t="s">
        <v>291</v>
      </c>
      <c r="E4" s="151" t="s">
        <v>292</v>
      </c>
    </row>
    <row r="5" spans="2:5" ht="15.75">
      <c r="B5" s="356" t="str">
        <f>inputPrYr!B31</f>
        <v>Employee Benefits</v>
      </c>
      <c r="C5" s="331" t="str">
        <f>CONCATENATE("Actual for ",E1-2,"")</f>
        <v>Actual for 2013</v>
      </c>
      <c r="D5" s="331" t="str">
        <f>CONCATENATE("Estimate for ",E1-1,"")</f>
        <v>Estimate for 2014</v>
      </c>
      <c r="E5" s="225" t="str">
        <f>CONCATENATE("Year for ",E1,"")</f>
        <v>Year for 2015</v>
      </c>
    </row>
    <row r="6" spans="2:5" ht="15.75">
      <c r="B6" s="89" t="s">
        <v>184</v>
      </c>
      <c r="C6" s="328">
        <v>210976</v>
      </c>
      <c r="D6" s="332">
        <f>C34</f>
        <v>320821</v>
      </c>
      <c r="E6" s="188">
        <f>D34</f>
        <v>306664</v>
      </c>
    </row>
    <row r="7" spans="2:5" ht="15.75">
      <c r="B7" s="213" t="s">
        <v>186</v>
      </c>
      <c r="C7" s="228"/>
      <c r="D7" s="228"/>
      <c r="E7" s="68"/>
    </row>
    <row r="8" spans="2:5" ht="15.75">
      <c r="B8" s="89" t="s">
        <v>72</v>
      </c>
      <c r="C8" s="328">
        <v>1434337</v>
      </c>
      <c r="D8" s="332">
        <v>1531812</v>
      </c>
      <c r="E8" s="259" t="s">
        <v>59</v>
      </c>
    </row>
    <row r="9" spans="2:5" ht="15.75">
      <c r="B9" s="89" t="s">
        <v>73</v>
      </c>
      <c r="C9" s="328">
        <v>33469</v>
      </c>
      <c r="D9" s="328">
        <v>19036</v>
      </c>
      <c r="E9" s="53">
        <v>17000</v>
      </c>
    </row>
    <row r="10" spans="2:5" ht="15.75">
      <c r="B10" s="89" t="s">
        <v>74</v>
      </c>
      <c r="C10" s="328">
        <v>195660</v>
      </c>
      <c r="D10" s="328">
        <v>167503</v>
      </c>
      <c r="E10" s="188">
        <f>mvalloc!E22</f>
        <v>172516</v>
      </c>
    </row>
    <row r="11" spans="2:5" ht="15.75">
      <c r="B11" s="89" t="s">
        <v>75</v>
      </c>
      <c r="C11" s="328"/>
      <c r="D11" s="328">
        <v>2299</v>
      </c>
      <c r="E11" s="188">
        <f>mvalloc!F22</f>
        <v>2140</v>
      </c>
    </row>
    <row r="12" spans="2:5" ht="15.75">
      <c r="B12" s="228" t="s">
        <v>144</v>
      </c>
      <c r="C12" s="328"/>
      <c r="D12" s="328">
        <v>16329</v>
      </c>
      <c r="E12" s="188">
        <f>mvalloc!G22</f>
        <v>14201</v>
      </c>
    </row>
    <row r="13" spans="2:5" ht="15.75">
      <c r="B13" s="231" t="s">
        <v>368</v>
      </c>
      <c r="C13" s="328">
        <v>51</v>
      </c>
      <c r="D13" s="328"/>
      <c r="E13" s="53"/>
    </row>
    <row r="14" spans="2:5" ht="15.75">
      <c r="B14" s="230" t="s">
        <v>372</v>
      </c>
      <c r="C14" s="560">
        <v>-9875</v>
      </c>
      <c r="D14" s="560">
        <v>-82921</v>
      </c>
      <c r="E14" s="561">
        <v>-71855</v>
      </c>
    </row>
    <row r="15" spans="2:5" ht="15.75">
      <c r="B15" s="240" t="s">
        <v>375</v>
      </c>
      <c r="C15" s="328">
        <v>188938</v>
      </c>
      <c r="D15" s="328">
        <v>174821</v>
      </c>
      <c r="E15" s="53">
        <v>125000</v>
      </c>
    </row>
    <row r="16" spans="2:5" ht="15.75">
      <c r="B16" s="240"/>
      <c r="C16" s="328"/>
      <c r="D16" s="328"/>
      <c r="E16" s="53"/>
    </row>
    <row r="17" spans="2:5" ht="15.75">
      <c r="B17" s="231" t="s">
        <v>79</v>
      </c>
      <c r="C17" s="328"/>
      <c r="D17" s="328"/>
      <c r="E17" s="53"/>
    </row>
    <row r="18" spans="2:5" ht="15.75">
      <c r="B18" s="232" t="s">
        <v>34</v>
      </c>
      <c r="C18" s="328"/>
      <c r="D18" s="328"/>
      <c r="E18" s="53"/>
    </row>
    <row r="19" spans="2:5" ht="15.75">
      <c r="B19" s="232" t="s">
        <v>256</v>
      </c>
      <c r="C19" s="329">
        <f>IF(C20*0.1&lt;C18,"Exceed 10% Rule","")</f>
      </c>
      <c r="D19" s="329">
        <f>IF(D20*0.1&lt;D18,"Exceed 10% Rule","")</f>
      </c>
      <c r="E19" s="266">
        <f>IF(E20*0.1+E40&lt;E18,"Exceed 10% Rule","")</f>
      </c>
    </row>
    <row r="20" spans="2:5" ht="15.75">
      <c r="B20" s="234" t="s">
        <v>80</v>
      </c>
      <c r="C20" s="330">
        <f>SUM(C8:C18)</f>
        <v>1842580</v>
      </c>
      <c r="D20" s="330">
        <f>SUM(D8:D18)</f>
        <v>1828879</v>
      </c>
      <c r="E20" s="274">
        <f>SUM(E8:E18)</f>
        <v>259002</v>
      </c>
    </row>
    <row r="21" spans="2:5" ht="15.75">
      <c r="B21" s="234" t="s">
        <v>81</v>
      </c>
      <c r="C21" s="330">
        <f>C6+C20</f>
        <v>2053556</v>
      </c>
      <c r="D21" s="330">
        <f>D6+D20</f>
        <v>2149700</v>
      </c>
      <c r="E21" s="274">
        <f>E6+E20</f>
        <v>565666</v>
      </c>
    </row>
    <row r="22" spans="2:5" ht="15.75">
      <c r="B22" s="89" t="s">
        <v>84</v>
      </c>
      <c r="C22" s="232"/>
      <c r="D22" s="232"/>
      <c r="E22" s="49"/>
    </row>
    <row r="23" spans="2:5" ht="15.75">
      <c r="B23" s="240" t="s">
        <v>99</v>
      </c>
      <c r="C23" s="328">
        <v>243872</v>
      </c>
      <c r="D23" s="328">
        <v>238000</v>
      </c>
      <c r="E23" s="53">
        <v>250000</v>
      </c>
    </row>
    <row r="24" spans="2:10" ht="16.5">
      <c r="B24" s="240" t="s">
        <v>402</v>
      </c>
      <c r="C24" s="328">
        <v>277098</v>
      </c>
      <c r="D24" s="328">
        <v>270000</v>
      </c>
      <c r="E24" s="53">
        <v>320000</v>
      </c>
      <c r="G24" s="626" t="str">
        <f>CONCATENATE("Desired Carryover Into ",E1+1,"")</f>
        <v>Desired Carryover Into 2016</v>
      </c>
      <c r="H24" s="627"/>
      <c r="I24" s="627"/>
      <c r="J24" s="598"/>
    </row>
    <row r="25" spans="2:10" ht="15.75">
      <c r="B25" s="240" t="s">
        <v>403</v>
      </c>
      <c r="C25" s="328">
        <v>71265</v>
      </c>
      <c r="D25" s="328">
        <v>70000</v>
      </c>
      <c r="E25" s="53">
        <v>72000</v>
      </c>
      <c r="G25" s="418"/>
      <c r="H25" s="419"/>
      <c r="I25" s="420"/>
      <c r="J25" s="421"/>
    </row>
    <row r="26" spans="2:10" ht="15.75">
      <c r="B26" s="240" t="s">
        <v>404</v>
      </c>
      <c r="C26" s="328">
        <v>19801</v>
      </c>
      <c r="D26" s="328">
        <v>24000</v>
      </c>
      <c r="E26" s="53">
        <v>20000</v>
      </c>
      <c r="G26" s="422" t="s">
        <v>261</v>
      </c>
      <c r="H26" s="420"/>
      <c r="I26" s="420"/>
      <c r="J26" s="423">
        <v>0</v>
      </c>
    </row>
    <row r="27" spans="2:10" ht="15.75">
      <c r="B27" s="240" t="s">
        <v>405</v>
      </c>
      <c r="C27" s="328">
        <v>1084683</v>
      </c>
      <c r="D27" s="328">
        <v>1201570</v>
      </c>
      <c r="E27" s="53">
        <v>1101000</v>
      </c>
      <c r="G27" s="418" t="s">
        <v>262</v>
      </c>
      <c r="H27" s="419"/>
      <c r="I27" s="419"/>
      <c r="J27" s="424">
        <f>IF(J26=0,"",ROUND((J26+E40-G39)/inputOth!E6*1000,3)-G44)</f>
      </c>
    </row>
    <row r="28" spans="2:10" ht="15.75">
      <c r="B28" s="240" t="s">
        <v>406</v>
      </c>
      <c r="C28" s="328">
        <v>36016</v>
      </c>
      <c r="D28" s="328">
        <v>39466</v>
      </c>
      <c r="E28" s="53">
        <v>37000</v>
      </c>
      <c r="G28" s="425" t="str">
        <f>CONCATENATE("",E1," Tot Exp/Non-Appr Must Be:")</f>
        <v>2015 Tot Exp/Non-Appr Must Be:</v>
      </c>
      <c r="H28" s="426"/>
      <c r="I28" s="427"/>
      <c r="J28" s="428">
        <f>IF(J26&gt;0,IF(E37&lt;E21,IF(J26=G39,E37,((J26-G39)*(1-D39))+E21),E37+(J26-G39)),0)</f>
        <v>0</v>
      </c>
    </row>
    <row r="29" spans="2:10" ht="15.75">
      <c r="B29" s="240"/>
      <c r="C29" s="328"/>
      <c r="D29" s="328"/>
      <c r="E29" s="53"/>
      <c r="G29" s="429" t="s">
        <v>288</v>
      </c>
      <c r="H29" s="430"/>
      <c r="I29" s="430"/>
      <c r="J29" s="431">
        <f>IF(J26&gt;0,J28-E37,0)</f>
        <v>0</v>
      </c>
    </row>
    <row r="30" spans="2:10" ht="15.75">
      <c r="B30" s="232" t="s">
        <v>36</v>
      </c>
      <c r="C30" s="328"/>
      <c r="D30" s="328"/>
      <c r="E30" s="61"/>
      <c r="G30" s="1"/>
      <c r="H30" s="1"/>
      <c r="I30" s="1"/>
      <c r="J30" s="1"/>
    </row>
    <row r="31" spans="2:10" ht="16.5">
      <c r="B31" s="232" t="s">
        <v>34</v>
      </c>
      <c r="C31" s="328"/>
      <c r="D31" s="328"/>
      <c r="E31" s="53"/>
      <c r="G31" s="626" t="str">
        <f>CONCATENATE("Projected Carryover Into ",E1+1,"")</f>
        <v>Projected Carryover Into 2016</v>
      </c>
      <c r="H31" s="632"/>
      <c r="I31" s="632"/>
      <c r="J31" s="633"/>
    </row>
    <row r="32" spans="2:10" ht="15.75">
      <c r="B32" s="232" t="s">
        <v>255</v>
      </c>
      <c r="C32" s="329">
        <f>IF(C33*0.1&lt;C31,"Exceed 10% Rule","")</f>
      </c>
      <c r="D32" s="329">
        <f>IF(D33*0.1&lt;D31,"Exceed 10% Rule","")</f>
      </c>
      <c r="E32" s="266">
        <f>IF(E33*0.1&lt;E31,"Exceed 10% Rule","")</f>
      </c>
      <c r="G32" s="418"/>
      <c r="H32" s="420"/>
      <c r="I32" s="420"/>
      <c r="J32" s="446"/>
    </row>
    <row r="33" spans="2:10" ht="15.75">
      <c r="B33" s="234" t="s">
        <v>85</v>
      </c>
      <c r="C33" s="330">
        <f>SUM(C23:C31)</f>
        <v>1732735</v>
      </c>
      <c r="D33" s="330">
        <f>SUM(D23:D31)</f>
        <v>1843036</v>
      </c>
      <c r="E33" s="274">
        <f>SUM(E23:E31)</f>
        <v>1800000</v>
      </c>
      <c r="G33" s="447">
        <f>D34</f>
        <v>306664</v>
      </c>
      <c r="H33" s="437" t="str">
        <f>CONCATENATE("",E1-1," Ending Cash Balance (est.)")</f>
        <v>2014 Ending Cash Balance (est.)</v>
      </c>
      <c r="I33" s="448"/>
      <c r="J33" s="446"/>
    </row>
    <row r="34" spans="2:10" ht="15.75">
      <c r="B34" s="89" t="s">
        <v>185</v>
      </c>
      <c r="C34" s="333">
        <f>C21-C33</f>
        <v>320821</v>
      </c>
      <c r="D34" s="333">
        <f>D21-D33</f>
        <v>306664</v>
      </c>
      <c r="E34" s="259" t="s">
        <v>59</v>
      </c>
      <c r="G34" s="447">
        <f>E20</f>
        <v>259002</v>
      </c>
      <c r="H34" s="420" t="str">
        <f>CONCATENATE("",E1," Non-AV Receipts (est.)")</f>
        <v>2015 Non-AV Receipts (est.)</v>
      </c>
      <c r="I34" s="448"/>
      <c r="J34" s="446"/>
    </row>
    <row r="35" spans="2:11" ht="15.75">
      <c r="B35" s="224" t="str">
        <f>CONCATENATE("",E1-2,"/",E1-1,"/",E1," Budget Authority Amount:")</f>
        <v>2013/2014/2015 Budget Authority Amount:</v>
      </c>
      <c r="C35" s="261">
        <f>inputOth!B47</f>
        <v>1760000</v>
      </c>
      <c r="D35" s="261">
        <f>inputPrYr!D31</f>
        <v>1843036</v>
      </c>
      <c r="E35" s="188">
        <f>E33</f>
        <v>1800000</v>
      </c>
      <c r="F35" s="242"/>
      <c r="G35" s="449">
        <f>IF(E39&gt;0,E38,E40)</f>
        <v>1234334</v>
      </c>
      <c r="H35" s="420" t="str">
        <f>CONCATENATE("",E1," Ad Valorem Tax (est.)")</f>
        <v>2015 Ad Valorem Tax (est.)</v>
      </c>
      <c r="I35" s="448"/>
      <c r="J35" s="446"/>
      <c r="K35" s="434" t="str">
        <f>IF(G35=E40,"","Note: Does not include Delinquent Taxes")</f>
        <v>Note: Does not include Delinquent Taxes</v>
      </c>
    </row>
    <row r="36" spans="2:10" ht="16.5">
      <c r="B36" s="210"/>
      <c r="C36" s="616" t="s">
        <v>258</v>
      </c>
      <c r="D36" s="617"/>
      <c r="E36" s="53"/>
      <c r="F36" s="365">
        <f>IF(E33/0.95-E33&lt;E36,"Exceeds 5%","")</f>
      </c>
      <c r="G36" s="447">
        <f>SUM(G33:G35)</f>
        <v>1800000</v>
      </c>
      <c r="H36" s="420" t="str">
        <f>CONCATENATE("Total ",E1," Resources Available")</f>
        <v>Total 2015 Resources Available</v>
      </c>
      <c r="I36" s="448"/>
      <c r="J36" s="446"/>
    </row>
    <row r="37" spans="2:10" ht="15.75">
      <c r="B37" s="369" t="str">
        <f>CONCATENATE(C83,"     ",D83)</f>
        <v>     </v>
      </c>
      <c r="C37" s="618" t="s">
        <v>259</v>
      </c>
      <c r="D37" s="619"/>
      <c r="E37" s="188">
        <f>E33+E36</f>
        <v>1800000</v>
      </c>
      <c r="G37" s="450"/>
      <c r="H37" s="420"/>
      <c r="I37" s="420"/>
      <c r="J37" s="446"/>
    </row>
    <row r="38" spans="2:10" ht="15.75">
      <c r="B38" s="369" t="str">
        <f>CONCATENATE(C84,"     ",D84)</f>
        <v>     </v>
      </c>
      <c r="C38" s="243"/>
      <c r="D38" s="162" t="s">
        <v>86</v>
      </c>
      <c r="E38" s="61">
        <f>IF(E37-E21&gt;0,E37-E21,0)</f>
        <v>1234334</v>
      </c>
      <c r="G38" s="449">
        <f>ROUND(C33*0.05+C33,0)</f>
        <v>1819372</v>
      </c>
      <c r="H38" s="420" t="str">
        <f>CONCATENATE("Less ",E1-2," Expenditures + 5%")</f>
        <v>Less 2013 Expenditures + 5%</v>
      </c>
      <c r="I38" s="448"/>
      <c r="J38" s="451"/>
    </row>
    <row r="39" spans="2:10" ht="15.75">
      <c r="B39" s="162"/>
      <c r="C39" s="367" t="s">
        <v>260</v>
      </c>
      <c r="D39" s="417">
        <f>inputOth!$E$23</f>
        <v>0.05</v>
      </c>
      <c r="E39" s="188">
        <f>ROUND(IF(D39&gt;0,($E$38*D39),0),0)</f>
        <v>61717</v>
      </c>
      <c r="G39" s="452">
        <f>G36-G38</f>
        <v>-19372</v>
      </c>
      <c r="H39" s="453" t="str">
        <f>CONCATENATE("Projected ",E1+1," carryover (est.)")</f>
        <v>Projected 2016 carryover (est.)</v>
      </c>
      <c r="I39" s="454"/>
      <c r="J39" s="455"/>
    </row>
    <row r="40" spans="2:10" ht="16.5">
      <c r="B40" s="28"/>
      <c r="C40" s="624" t="str">
        <f>CONCATENATE("Amount of  ",$E$1-1," Ad Valorem Tax")</f>
        <v>Amount of  2014 Ad Valorem Tax</v>
      </c>
      <c r="D40" s="625"/>
      <c r="E40" s="270">
        <f>E38+E39</f>
        <v>1296051</v>
      </c>
      <c r="G40" s="1"/>
      <c r="H40" s="1"/>
      <c r="I40" s="1"/>
      <c r="J40" s="1"/>
    </row>
    <row r="41" spans="2:10" ht="16.5">
      <c r="B41" s="28"/>
      <c r="C41" s="249"/>
      <c r="D41" s="249"/>
      <c r="E41" s="249"/>
      <c r="G41" s="628" t="s">
        <v>289</v>
      </c>
      <c r="H41" s="629"/>
      <c r="I41" s="629"/>
      <c r="J41" s="630"/>
    </row>
    <row r="42" spans="2:10" ht="16.5">
      <c r="B42" s="27" t="s">
        <v>71</v>
      </c>
      <c r="C42" s="470" t="str">
        <f aca="true" t="shared" si="0" ref="C42:E43">C4</f>
        <v>Prior Year </v>
      </c>
      <c r="D42" s="471" t="str">
        <f t="shared" si="0"/>
        <v>Current Year </v>
      </c>
      <c r="E42" s="151" t="str">
        <f t="shared" si="0"/>
        <v>Proposed Budget </v>
      </c>
      <c r="G42" s="436"/>
      <c r="H42" s="437"/>
      <c r="I42" s="438"/>
      <c r="J42" s="439"/>
    </row>
    <row r="43" spans="2:10" ht="16.5">
      <c r="B43" s="355">
        <f>inputPrYr!B32</f>
        <v>0</v>
      </c>
      <c r="C43" s="331" t="str">
        <f t="shared" si="0"/>
        <v>Actual for 2013</v>
      </c>
      <c r="D43" s="331" t="str">
        <f t="shared" si="0"/>
        <v>Estimate for 2014</v>
      </c>
      <c r="E43" s="225" t="str">
        <f t="shared" si="0"/>
        <v>Year for 2015</v>
      </c>
      <c r="G43" s="440">
        <f>summ!H31</f>
        <v>15.359</v>
      </c>
      <c r="H43" s="437" t="str">
        <f>CONCATENATE("",E1," Fund Mill Rate")</f>
        <v>2015 Fund Mill Rate</v>
      </c>
      <c r="I43" s="438"/>
      <c r="J43" s="439"/>
    </row>
    <row r="44" spans="2:10" ht="16.5">
      <c r="B44" s="89" t="s">
        <v>184</v>
      </c>
      <c r="C44" s="328"/>
      <c r="D44" s="332">
        <f>C66</f>
        <v>0</v>
      </c>
      <c r="E44" s="188">
        <f>D66</f>
        <v>0</v>
      </c>
      <c r="G44" s="441">
        <f>summ!E31</f>
        <v>19.158</v>
      </c>
      <c r="H44" s="437" t="str">
        <f>CONCATENATE("",E1-1," Fund Mill Rate")</f>
        <v>2014 Fund Mill Rate</v>
      </c>
      <c r="I44" s="438"/>
      <c r="J44" s="439"/>
    </row>
    <row r="45" spans="2:10" ht="16.5">
      <c r="B45" s="226" t="s">
        <v>186</v>
      </c>
      <c r="C45" s="228"/>
      <c r="D45" s="228"/>
      <c r="E45" s="68"/>
      <c r="G45" s="442">
        <f>summ!H48</f>
        <v>67.327</v>
      </c>
      <c r="H45" s="437" t="str">
        <f>CONCATENATE("Total ",E1," Mill Rate")</f>
        <v>Total 2015 Mill Rate</v>
      </c>
      <c r="I45" s="438"/>
      <c r="J45" s="439"/>
    </row>
    <row r="46" spans="2:10" ht="16.5">
      <c r="B46" s="89" t="s">
        <v>72</v>
      </c>
      <c r="C46" s="328"/>
      <c r="D46" s="332">
        <f>IF(inputPrYr!H32&gt;0,inputPrYr!H32,inputPrYr!E32)</f>
        <v>0</v>
      </c>
      <c r="E46" s="259" t="s">
        <v>59</v>
      </c>
      <c r="G46" s="441">
        <f>summ!E48</f>
        <v>66.53</v>
      </c>
      <c r="H46" s="443" t="str">
        <f>CONCATENATE("Total ",E1-1," Mill Rate")</f>
        <v>Total 2014 Mill Rate</v>
      </c>
      <c r="I46" s="444"/>
      <c r="J46" s="445"/>
    </row>
    <row r="47" spans="2:10" ht="15.75">
      <c r="B47" s="89" t="s">
        <v>73</v>
      </c>
      <c r="C47" s="328"/>
      <c r="D47" s="328"/>
      <c r="E47" s="53"/>
      <c r="G47" s="1"/>
      <c r="H47" s="1"/>
      <c r="I47" s="1"/>
      <c r="J47" s="1"/>
    </row>
    <row r="48" spans="2:10" ht="15.75">
      <c r="B48" s="89" t="s">
        <v>74</v>
      </c>
      <c r="C48" s="328"/>
      <c r="D48" s="328"/>
      <c r="E48" s="188" t="str">
        <f>mvalloc!E23</f>
        <v>  </v>
      </c>
      <c r="G48" s="534" t="s">
        <v>307</v>
      </c>
      <c r="H48" s="488"/>
      <c r="I48" s="487" t="str">
        <f>cert!E57</f>
        <v>No</v>
      </c>
      <c r="J48" s="1"/>
    </row>
    <row r="49" spans="2:10" ht="15.75">
      <c r="B49" s="89" t="s">
        <v>75</v>
      </c>
      <c r="C49" s="328"/>
      <c r="D49" s="328"/>
      <c r="E49" s="188" t="str">
        <f>mvalloc!F23</f>
        <v>  </v>
      </c>
      <c r="G49" s="1"/>
      <c r="H49" s="1"/>
      <c r="I49" s="1"/>
      <c r="J49" s="1"/>
    </row>
    <row r="50" spans="2:10" ht="15.75">
      <c r="B50" s="228" t="s">
        <v>144</v>
      </c>
      <c r="C50" s="328"/>
      <c r="D50" s="328"/>
      <c r="E50" s="188" t="str">
        <f>mvalloc!G23</f>
        <v>  </v>
      </c>
      <c r="G50" s="1"/>
      <c r="H50" s="1"/>
      <c r="I50" s="1"/>
      <c r="J50" s="1"/>
    </row>
    <row r="51" spans="2:10" ht="15.75">
      <c r="B51" s="240"/>
      <c r="C51" s="328"/>
      <c r="D51" s="328"/>
      <c r="E51" s="53"/>
      <c r="G51" s="1"/>
      <c r="H51" s="1"/>
      <c r="I51" s="1"/>
      <c r="J51" s="1"/>
    </row>
    <row r="52" spans="2:10" ht="15.75">
      <c r="B52" s="240"/>
      <c r="C52" s="328"/>
      <c r="D52" s="328"/>
      <c r="E52" s="53"/>
      <c r="G52" s="1"/>
      <c r="H52" s="1"/>
      <c r="I52" s="1"/>
      <c r="J52" s="1"/>
    </row>
    <row r="53" spans="2:10" ht="15.75">
      <c r="B53" s="231" t="s">
        <v>79</v>
      </c>
      <c r="C53" s="328"/>
      <c r="D53" s="328"/>
      <c r="E53" s="53"/>
      <c r="G53" s="1"/>
      <c r="H53" s="1"/>
      <c r="I53" s="1"/>
      <c r="J53" s="1"/>
    </row>
    <row r="54" spans="2:10" ht="15.75">
      <c r="B54" s="232" t="s">
        <v>34</v>
      </c>
      <c r="C54" s="328"/>
      <c r="D54" s="328"/>
      <c r="E54" s="53"/>
      <c r="G54" s="1"/>
      <c r="H54" s="1"/>
      <c r="I54" s="1"/>
      <c r="J54" s="1"/>
    </row>
    <row r="55" spans="2:10" ht="15.75">
      <c r="B55" s="232" t="s">
        <v>256</v>
      </c>
      <c r="C55" s="329">
        <f>IF(C56*0.1&lt;C54,"Exceed 10% Rule","")</f>
      </c>
      <c r="D55" s="329">
        <f>IF(D56*0.1&lt;D54,"Exceed 10% Rule","")</f>
      </c>
      <c r="E55" s="266">
        <f>IF(E56*0.1+E72&lt;E54,"Exceed 10% Rule","")</f>
      </c>
      <c r="G55" s="1"/>
      <c r="H55" s="1"/>
      <c r="I55" s="1"/>
      <c r="J55" s="1"/>
    </row>
    <row r="56" spans="2:10" ht="15.75">
      <c r="B56" s="234" t="s">
        <v>80</v>
      </c>
      <c r="C56" s="330">
        <f>SUM(C46:C54)</f>
        <v>0</v>
      </c>
      <c r="D56" s="330">
        <f>SUM(D46:D54)</f>
        <v>0</v>
      </c>
      <c r="E56" s="274">
        <f>SUM(E46:E54)</f>
        <v>0</v>
      </c>
      <c r="G56" s="1"/>
      <c r="H56" s="1"/>
      <c r="I56" s="1"/>
      <c r="J56" s="1"/>
    </row>
    <row r="57" spans="2:10" ht="15.75">
      <c r="B57" s="234" t="s">
        <v>81</v>
      </c>
      <c r="C57" s="330">
        <f>C44+C56</f>
        <v>0</v>
      </c>
      <c r="D57" s="330">
        <f>D44+D56</f>
        <v>0</v>
      </c>
      <c r="E57" s="274">
        <f>E44+E56</f>
        <v>0</v>
      </c>
      <c r="G57" s="1"/>
      <c r="H57" s="1"/>
      <c r="I57" s="1"/>
      <c r="J57" s="1"/>
    </row>
    <row r="58" spans="2:10" ht="15.75">
      <c r="B58" s="89" t="s">
        <v>84</v>
      </c>
      <c r="C58" s="232"/>
      <c r="D58" s="232"/>
      <c r="E58" s="49"/>
      <c r="G58" s="1"/>
      <c r="H58" s="1"/>
      <c r="I58" s="1"/>
      <c r="J58" s="1"/>
    </row>
    <row r="59" spans="2:10" ht="15.75">
      <c r="B59" s="240"/>
      <c r="C59" s="328"/>
      <c r="D59" s="328"/>
      <c r="E59" s="53"/>
      <c r="G59" s="1"/>
      <c r="H59" s="1"/>
      <c r="I59" s="1"/>
      <c r="J59" s="1"/>
    </row>
    <row r="60" spans="2:10" ht="16.5">
      <c r="B60" s="240"/>
      <c r="C60" s="328"/>
      <c r="D60" s="328"/>
      <c r="E60" s="53"/>
      <c r="G60" s="626" t="str">
        <f>CONCATENATE("Desired Carryover Into ",E1+1,"")</f>
        <v>Desired Carryover Into 2016</v>
      </c>
      <c r="H60" s="627"/>
      <c r="I60" s="627"/>
      <c r="J60" s="598"/>
    </row>
    <row r="61" spans="2:10" ht="15.75">
      <c r="B61" s="240"/>
      <c r="C61" s="328"/>
      <c r="D61" s="328"/>
      <c r="E61" s="53"/>
      <c r="G61" s="429" t="s">
        <v>288</v>
      </c>
      <c r="H61" s="430"/>
      <c r="I61" s="430"/>
      <c r="J61" s="431" t="e">
        <f>IF(#REF!&gt;0,#REF!-E69,0)</f>
        <v>#REF!</v>
      </c>
    </row>
    <row r="62" spans="2:10" ht="15.75">
      <c r="B62" s="232" t="s">
        <v>36</v>
      </c>
      <c r="C62" s="328"/>
      <c r="D62" s="328"/>
      <c r="E62" s="61"/>
      <c r="G62" s="1"/>
      <c r="H62" s="1"/>
      <c r="I62" s="1"/>
      <c r="J62" s="1"/>
    </row>
    <row r="63" spans="2:10" ht="16.5">
      <c r="B63" s="232" t="s">
        <v>34</v>
      </c>
      <c r="C63" s="328"/>
      <c r="D63" s="328"/>
      <c r="E63" s="53"/>
      <c r="G63" s="626" t="str">
        <f>CONCATENATE("Projected Carryover Into ",E1+1,"")</f>
        <v>Projected Carryover Into 2016</v>
      </c>
      <c r="H63" s="634"/>
      <c r="I63" s="634"/>
      <c r="J63" s="633"/>
    </row>
    <row r="64" spans="2:10" ht="15.75">
      <c r="B64" s="232" t="s">
        <v>255</v>
      </c>
      <c r="C64" s="329">
        <f>IF(C65*0.1&lt;C63,"Exceed 10% Rule","")</f>
      </c>
      <c r="D64" s="329">
        <f>IF(D65*0.1&lt;D63,"Exceed 10% Rule","")</f>
      </c>
      <c r="E64" s="266">
        <f>IF(E65*0.1&lt;E63,"Exceed 10% Rule","")</f>
      </c>
      <c r="G64" s="456"/>
      <c r="H64" s="419"/>
      <c r="I64" s="419"/>
      <c r="J64" s="451"/>
    </row>
    <row r="65" spans="2:10" ht="15.75">
      <c r="B65" s="234" t="s">
        <v>85</v>
      </c>
      <c r="C65" s="330">
        <f>SUM(C59:C63)</f>
        <v>0</v>
      </c>
      <c r="D65" s="330">
        <f>SUM(D59:D63)</f>
        <v>0</v>
      </c>
      <c r="E65" s="274">
        <f>SUM(E59:E63)</f>
        <v>0</v>
      </c>
      <c r="G65" s="447">
        <f>D66</f>
        <v>0</v>
      </c>
      <c r="H65" s="437" t="str">
        <f>CONCATENATE("",E1-1," Ending Cash Balance (est.)")</f>
        <v>2014 Ending Cash Balance (est.)</v>
      </c>
      <c r="I65" s="448"/>
      <c r="J65" s="451"/>
    </row>
    <row r="66" spans="2:10" ht="15.75">
      <c r="B66" s="89" t="s">
        <v>185</v>
      </c>
      <c r="C66" s="333">
        <f>C57-C65</f>
        <v>0</v>
      </c>
      <c r="D66" s="333">
        <f>D57-D65</f>
        <v>0</v>
      </c>
      <c r="E66" s="259" t="s">
        <v>59</v>
      </c>
      <c r="G66" s="447">
        <f>E56</f>
        <v>0</v>
      </c>
      <c r="H66" s="420" t="str">
        <f>CONCATENATE("",E1," Non-AV Receipts (est.)")</f>
        <v>2015 Non-AV Receipts (est.)</v>
      </c>
      <c r="I66" s="448"/>
      <c r="J66" s="451"/>
    </row>
    <row r="67" spans="2:11" ht="15.75">
      <c r="B67" s="224" t="str">
        <f>CONCATENATE("",E1-2,"/",E1-1,"/",E1," Budget Authority Amount:")</f>
        <v>2013/2014/2015 Budget Authority Amount:</v>
      </c>
      <c r="C67" s="261">
        <f>inputOth!B48</f>
        <v>0</v>
      </c>
      <c r="D67" s="261">
        <f>inputPrYr!D32</f>
        <v>0</v>
      </c>
      <c r="E67" s="188">
        <f>E65</f>
        <v>0</v>
      </c>
      <c r="F67" s="242"/>
      <c r="G67" s="449">
        <f>IF(E71&gt;0,E70,E72)</f>
        <v>0</v>
      </c>
      <c r="H67" s="420" t="str">
        <f>CONCATENATE("",E1," Ad Valorem Tax (est.)")</f>
        <v>2015 Ad Valorem Tax (est.)</v>
      </c>
      <c r="I67" s="448"/>
      <c r="J67" s="451"/>
      <c r="K67" s="434">
        <f>IF(G67=E72,"","Note: Does not include Delinquent Taxes")</f>
      </c>
    </row>
    <row r="68" spans="2:10" ht="16.5">
      <c r="B68" s="210"/>
      <c r="C68" s="616" t="s">
        <v>258</v>
      </c>
      <c r="D68" s="617"/>
      <c r="E68" s="53"/>
      <c r="F68" s="365">
        <f>IF(E65/0.95-E65&lt;E68,"Exceeds 5%","")</f>
      </c>
      <c r="G68" s="457">
        <f>SUM(G65:G67)</f>
        <v>0</v>
      </c>
      <c r="H68" s="420" t="str">
        <f>CONCATENATE("Total ",E1," Resources Available")</f>
        <v>Total 2015 Resources Available</v>
      </c>
      <c r="I68" s="458"/>
      <c r="J68" s="451"/>
    </row>
    <row r="69" spans="2:10" ht="15.75">
      <c r="B69" s="368" t="str">
        <f>CONCATENATE(C85,"     ",D85)</f>
        <v>     </v>
      </c>
      <c r="C69" s="618" t="s">
        <v>259</v>
      </c>
      <c r="D69" s="619"/>
      <c r="E69" s="188">
        <f>E65+E68</f>
        <v>0</v>
      </c>
      <c r="G69" s="459"/>
      <c r="H69" s="460"/>
      <c r="I69" s="419"/>
      <c r="J69" s="451"/>
    </row>
    <row r="70" spans="2:10" ht="15.75">
      <c r="B70" s="368" t="str">
        <f>CONCATENATE(C86,"     ",D86)</f>
        <v>     </v>
      </c>
      <c r="C70" s="243"/>
      <c r="D70" s="162" t="s">
        <v>86</v>
      </c>
      <c r="E70" s="61">
        <f>IF(E69-E57&gt;0,E69-E57,0)</f>
        <v>0</v>
      </c>
      <c r="G70" s="461">
        <f>ROUND(C65*0.05+C65,0)</f>
        <v>0</v>
      </c>
      <c r="H70" s="420" t="str">
        <f>CONCATENATE("Less ",E1-2," Expenditures + 5%")</f>
        <v>Less 2013 Expenditures + 5%</v>
      </c>
      <c r="I70" s="458"/>
      <c r="J70" s="451"/>
    </row>
    <row r="71" spans="2:10" ht="15.75">
      <c r="B71" s="162"/>
      <c r="C71" s="367" t="s">
        <v>260</v>
      </c>
      <c r="D71" s="417">
        <f>inputOth!$E$23</f>
        <v>0.05</v>
      </c>
      <c r="E71" s="188">
        <f>ROUND(IF(D71&gt;0,($E$70*D71),0),0)</f>
        <v>0</v>
      </c>
      <c r="G71" s="462">
        <f>G68-G70</f>
        <v>0</v>
      </c>
      <c r="H71" s="453" t="str">
        <f>CONCATENATE("Projected ",E1+1," carryover (est.)")</f>
        <v>Projected 2016 carryover (est.)</v>
      </c>
      <c r="I71" s="463"/>
      <c r="J71" s="464"/>
    </row>
    <row r="72" spans="2:10" ht="16.5">
      <c r="B72" s="28"/>
      <c r="C72" s="624" t="str">
        <f>CONCATENATE("Amount of  ",$E$1-1," Ad Valorem Tax")</f>
        <v>Amount of  2014 Ad Valorem Tax</v>
      </c>
      <c r="D72" s="625"/>
      <c r="E72" s="270">
        <f>E70+E71</f>
        <v>0</v>
      </c>
      <c r="G72" s="1"/>
      <c r="H72" s="1"/>
      <c r="I72" s="1"/>
      <c r="J72" s="1"/>
    </row>
    <row r="73" spans="2:10" ht="16.5">
      <c r="B73" s="210" t="s">
        <v>106</v>
      </c>
      <c r="C73" s="271">
        <v>16</v>
      </c>
      <c r="D73" s="28"/>
      <c r="E73" s="28"/>
      <c r="G73" s="628" t="s">
        <v>289</v>
      </c>
      <c r="H73" s="629"/>
      <c r="I73" s="629"/>
      <c r="J73" s="630"/>
    </row>
    <row r="74" spans="7:10" ht="16.5">
      <c r="G74" s="436"/>
      <c r="H74" s="437"/>
      <c r="I74" s="438"/>
      <c r="J74" s="439"/>
    </row>
    <row r="75" spans="7:10" ht="16.5">
      <c r="G75" s="440" t="str">
        <f>summ!H32</f>
        <v>  </v>
      </c>
      <c r="H75" s="437" t="str">
        <f>CONCATENATE("",E1," Fund Mill Rate")</f>
        <v>2015 Fund Mill Rate</v>
      </c>
      <c r="I75" s="438"/>
      <c r="J75" s="439"/>
    </row>
    <row r="76" spans="7:10" ht="16.5">
      <c r="G76" s="441" t="str">
        <f>summ!E32</f>
        <v>  </v>
      </c>
      <c r="H76" s="437" t="str">
        <f>CONCATENATE("",E1-1," Fund Mill Rate")</f>
        <v>2014 Fund Mill Rate</v>
      </c>
      <c r="I76" s="438"/>
      <c r="J76" s="439"/>
    </row>
    <row r="77" spans="7:10" ht="16.5">
      <c r="G77" s="442">
        <f>summ!H48</f>
        <v>67.327</v>
      </c>
      <c r="H77" s="437" t="str">
        <f>CONCATENATE("Total ",E1," Mill Rate")</f>
        <v>Total 2015 Mill Rate</v>
      </c>
      <c r="I77" s="438"/>
      <c r="J77" s="439"/>
    </row>
    <row r="78" spans="7:10" ht="16.5">
      <c r="G78" s="441">
        <f>summ!E48</f>
        <v>66.53</v>
      </c>
      <c r="H78" s="443" t="str">
        <f>CONCATENATE("Total ",E1-1," Mill Rate")</f>
        <v>Total 2014 Mill Rate</v>
      </c>
      <c r="I78" s="444"/>
      <c r="J78" s="445"/>
    </row>
    <row r="80" spans="7:9" ht="15.75">
      <c r="G80" s="535" t="s">
        <v>307</v>
      </c>
      <c r="H80" s="488"/>
      <c r="I80" s="487" t="str">
        <f>cert!E57</f>
        <v>No</v>
      </c>
    </row>
    <row r="83" spans="3:4" ht="15.75" hidden="1">
      <c r="C83" s="25">
        <f>IF(C33&gt;C35,"See Tab A","")</f>
      </c>
      <c r="D83" s="25">
        <f>IF(D33&gt;D35,"See Tab C","")</f>
      </c>
    </row>
    <row r="84" spans="3:4" ht="15.75" hidden="1">
      <c r="C84" s="25">
        <f>IF(C34&lt;0,"See Tab B","")</f>
      </c>
      <c r="D84" s="25">
        <f>IF(D34&lt;0,"See Tab D","")</f>
      </c>
    </row>
    <row r="85" spans="3:4" ht="15.75" hidden="1">
      <c r="C85" s="25">
        <f>IF(C65&gt;C67,"See Tab A","")</f>
      </c>
      <c r="D85" s="25">
        <f>IF(D65&gt;D67,"See Tab C","")</f>
      </c>
    </row>
    <row r="86" spans="3:4" ht="15.75" hidden="1">
      <c r="C86" s="25">
        <f>IF(C66&lt;0,"See Tab B","")</f>
      </c>
      <c r="D86" s="25">
        <f>IF(D66&lt;0,"See Tab D","")</f>
      </c>
    </row>
  </sheetData>
  <sheetProtection/>
  <mergeCells count="12">
    <mergeCell ref="G24:J24"/>
    <mergeCell ref="G31:J31"/>
    <mergeCell ref="G41:J41"/>
    <mergeCell ref="G60:J60"/>
    <mergeCell ref="G63:J63"/>
    <mergeCell ref="G73:J73"/>
    <mergeCell ref="C36:D36"/>
    <mergeCell ref="C37:D37"/>
    <mergeCell ref="C68:D68"/>
    <mergeCell ref="C69:D69"/>
    <mergeCell ref="C72:D72"/>
    <mergeCell ref="C40:D40"/>
  </mergeCells>
  <conditionalFormatting sqref="E63">
    <cfRule type="cellIs" priority="3" dxfId="253" operator="greaterThan" stopIfTrue="1">
      <formula>$E$65*0.1</formula>
    </cfRule>
  </conditionalFormatting>
  <conditionalFormatting sqref="E68">
    <cfRule type="cellIs" priority="4" dxfId="253" operator="greaterThan" stopIfTrue="1">
      <formula>$E$65/0.95-$E$65</formula>
    </cfRule>
  </conditionalFormatting>
  <conditionalFormatting sqref="E36">
    <cfRule type="cellIs" priority="5" dxfId="253" operator="greaterThan" stopIfTrue="1">
      <formula>$E$33/0.95-$E$33</formula>
    </cfRule>
  </conditionalFormatting>
  <conditionalFormatting sqref="E31">
    <cfRule type="cellIs" priority="6" dxfId="253" operator="greaterThan" stopIfTrue="1">
      <formula>$E$33*0.1</formula>
    </cfRule>
  </conditionalFormatting>
  <conditionalFormatting sqref="C66 C34">
    <cfRule type="cellIs" priority="7" dxfId="2" operator="lessThan" stopIfTrue="1">
      <formula>0</formula>
    </cfRule>
  </conditionalFormatting>
  <conditionalFormatting sqref="C65">
    <cfRule type="cellIs" priority="8" dxfId="2" operator="greaterThan" stopIfTrue="1">
      <formula>$C$67</formula>
    </cfRule>
  </conditionalFormatting>
  <conditionalFormatting sqref="D65">
    <cfRule type="cellIs" priority="9" dxfId="2" operator="greaterThan" stopIfTrue="1">
      <formula>$D$67</formula>
    </cfRule>
  </conditionalFormatting>
  <conditionalFormatting sqref="C63">
    <cfRule type="cellIs" priority="10" dxfId="2" operator="greaterThan" stopIfTrue="1">
      <formula>$C$65*0.1</formula>
    </cfRule>
  </conditionalFormatting>
  <conditionalFormatting sqref="D63">
    <cfRule type="cellIs" priority="11" dxfId="2" operator="greaterThan" stopIfTrue="1">
      <formula>$D$65*0.1</formula>
    </cfRule>
  </conditionalFormatting>
  <conditionalFormatting sqref="E54">
    <cfRule type="cellIs" priority="12" dxfId="253" operator="greaterThan" stopIfTrue="1">
      <formula>$E$56*0.1+E72</formula>
    </cfRule>
  </conditionalFormatting>
  <conditionalFormatting sqref="C54">
    <cfRule type="cellIs" priority="13" dxfId="2" operator="greaterThan" stopIfTrue="1">
      <formula>$C$56*0.1</formula>
    </cfRule>
  </conditionalFormatting>
  <conditionalFormatting sqref="D54">
    <cfRule type="cellIs" priority="14" dxfId="2" operator="greaterThan" stopIfTrue="1">
      <formula>$D$56*0.1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8">
    <cfRule type="cellIs" priority="19" dxfId="253" operator="greaterThan" stopIfTrue="1">
      <formula>$E$20*0.1+E40</formula>
    </cfRule>
  </conditionalFormatting>
  <conditionalFormatting sqref="C18">
    <cfRule type="cellIs" priority="20" dxfId="2" operator="greaterThan" stopIfTrue="1">
      <formula>$C$20*0.1</formula>
    </cfRule>
  </conditionalFormatting>
  <conditionalFormatting sqref="D18">
    <cfRule type="cellIs" priority="21" dxfId="2" operator="greaterThan" stopIfTrue="1">
      <formula>$D$20*0.1</formula>
    </cfRule>
  </conditionalFormatting>
  <conditionalFormatting sqref="D66 D3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69"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6"/>
  <sheetViews>
    <sheetView view="pageBreakPreview" zoomScale="108" zoomScaleSheetLayoutView="108" zoomScalePageLayoutView="0" workbookViewId="0" topLeftCell="A34">
      <selection activeCell="C67" sqref="C67"/>
    </sheetView>
  </sheetViews>
  <sheetFormatPr defaultColWidth="8.8984375" defaultRowHeight="15"/>
  <cols>
    <col min="1" max="1" width="2.3984375" style="25" customWidth="1"/>
    <col min="2" max="2" width="31.09765625" style="25" customWidth="1"/>
    <col min="3" max="4" width="15.796875" style="25" customWidth="1"/>
    <col min="5" max="5" width="16.09765625" style="25" customWidth="1"/>
    <col min="6"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152</v>
      </c>
      <c r="C3" s="255"/>
      <c r="D3" s="255"/>
      <c r="E3" s="256"/>
    </row>
    <row r="4" spans="2:5" ht="15.75">
      <c r="B4" s="28"/>
      <c r="C4" s="249"/>
      <c r="D4" s="249"/>
      <c r="E4" s="249"/>
    </row>
    <row r="5" spans="2:5" ht="15.75">
      <c r="B5" s="27" t="s">
        <v>71</v>
      </c>
      <c r="C5" s="245" t="str">
        <f>general!C4</f>
        <v>Prior Year </v>
      </c>
      <c r="D5" s="151" t="str">
        <f>general!D4</f>
        <v>Current Year </v>
      </c>
      <c r="E5" s="151" t="str">
        <f>general!E4</f>
        <v>Proposed Budget </v>
      </c>
    </row>
    <row r="6" spans="2:5" ht="15.75">
      <c r="B6" s="356" t="str">
        <f>inputPrYr!B37</f>
        <v>Noxious Weed C.O.</v>
      </c>
      <c r="C6" s="238" t="str">
        <f>general!C5</f>
        <v>Actual for 2013</v>
      </c>
      <c r="D6" s="238" t="str">
        <f>general!D5</f>
        <v>Estimate for 2014</v>
      </c>
      <c r="E6" s="225" t="str">
        <f>general!E5</f>
        <v>Year for 2015</v>
      </c>
    </row>
    <row r="7" spans="2:5" ht="15.75">
      <c r="B7" s="89" t="s">
        <v>184</v>
      </c>
      <c r="C7" s="53">
        <v>33025</v>
      </c>
      <c r="D7" s="188">
        <f>C30</f>
        <v>33025</v>
      </c>
      <c r="E7" s="188">
        <f>D30</f>
        <v>23025</v>
      </c>
    </row>
    <row r="8" spans="2:5" ht="15.75">
      <c r="B8" s="258" t="s">
        <v>186</v>
      </c>
      <c r="C8" s="49"/>
      <c r="D8" s="49"/>
      <c r="E8" s="49"/>
    </row>
    <row r="9" spans="2:5" ht="15.75">
      <c r="B9" s="240"/>
      <c r="C9" s="53"/>
      <c r="D9" s="53"/>
      <c r="E9" s="53"/>
    </row>
    <row r="10" spans="2:5" ht="15.75">
      <c r="B10" s="240"/>
      <c r="C10" s="53"/>
      <c r="D10" s="53"/>
      <c r="E10" s="53"/>
    </row>
    <row r="11" spans="2:5" ht="15.75">
      <c r="B11" s="240"/>
      <c r="C11" s="53"/>
      <c r="D11" s="53"/>
      <c r="E11" s="53"/>
    </row>
    <row r="12" spans="2:5" ht="15.75">
      <c r="B12" s="231" t="s">
        <v>79</v>
      </c>
      <c r="C12" s="53"/>
      <c r="D12" s="53"/>
      <c r="E12" s="53"/>
    </row>
    <row r="13" spans="2:5" ht="15.75">
      <c r="B13" s="232" t="s">
        <v>34</v>
      </c>
      <c r="C13" s="53"/>
      <c r="D13" s="227"/>
      <c r="E13" s="227"/>
    </row>
    <row r="14" spans="2:5" ht="15.75">
      <c r="B14" s="232" t="s">
        <v>256</v>
      </c>
      <c r="C14" s="353">
        <f>IF(C15*0.1&lt;C13,"Exceed 10% Rule","")</f>
      </c>
      <c r="D14" s="233">
        <f>IF(D15*0.1&lt;D13,"Exceed 10% Rule","")</f>
      </c>
      <c r="E14" s="233">
        <f>IF(E15*0.1&lt;E13,"Exceed 10% Rule","")</f>
      </c>
    </row>
    <row r="15" spans="2:5" ht="15.75">
      <c r="B15" s="234" t="s">
        <v>80</v>
      </c>
      <c r="C15" s="274">
        <f>SUM(C9:C13)</f>
        <v>0</v>
      </c>
      <c r="D15" s="274">
        <f>SUM(D9:D13)</f>
        <v>0</v>
      </c>
      <c r="E15" s="274">
        <f>SUM(E9:E13)</f>
        <v>0</v>
      </c>
    </row>
    <row r="16" spans="2:5" ht="15.75">
      <c r="B16" s="234" t="s">
        <v>81</v>
      </c>
      <c r="C16" s="274">
        <f>C15+C7</f>
        <v>33025</v>
      </c>
      <c r="D16" s="274">
        <f>D15+D7</f>
        <v>33025</v>
      </c>
      <c r="E16" s="274">
        <f>E15+E7</f>
        <v>23025</v>
      </c>
    </row>
    <row r="17" spans="2:5" ht="15.75">
      <c r="B17" s="89" t="s">
        <v>84</v>
      </c>
      <c r="C17" s="188"/>
      <c r="D17" s="188"/>
      <c r="E17" s="188"/>
    </row>
    <row r="18" spans="2:5" ht="15.75">
      <c r="B18" s="240" t="s">
        <v>407</v>
      </c>
      <c r="C18" s="53"/>
      <c r="D18" s="53">
        <v>10000</v>
      </c>
      <c r="E18" s="53">
        <v>23025</v>
      </c>
    </row>
    <row r="19" spans="2:5" ht="15.75">
      <c r="B19" s="240"/>
      <c r="C19" s="53"/>
      <c r="D19" s="53"/>
      <c r="E19" s="53"/>
    </row>
    <row r="20" spans="2:5" ht="15.75">
      <c r="B20" s="240"/>
      <c r="C20" s="53"/>
      <c r="D20" s="53"/>
      <c r="E20" s="53"/>
    </row>
    <row r="21" spans="2:5" ht="15.75">
      <c r="B21" s="240"/>
      <c r="C21" s="53"/>
      <c r="D21" s="53"/>
      <c r="E21" s="53"/>
    </row>
    <row r="22" spans="2:5" ht="15.75">
      <c r="B22" s="240"/>
      <c r="C22" s="53"/>
      <c r="D22" s="53"/>
      <c r="E22" s="53"/>
    </row>
    <row r="23" spans="2:5" ht="15.75">
      <c r="B23" s="240"/>
      <c r="C23" s="53"/>
      <c r="D23" s="53"/>
      <c r="E23" s="53"/>
    </row>
    <row r="24" spans="2:5" ht="15.75">
      <c r="B24" s="240"/>
      <c r="C24" s="53"/>
      <c r="D24" s="53"/>
      <c r="E24" s="53"/>
    </row>
    <row r="25" spans="2:5" ht="15.75">
      <c r="B25" s="240"/>
      <c r="C25" s="53"/>
      <c r="D25" s="53"/>
      <c r="E25" s="53"/>
    </row>
    <row r="26" spans="2:5" ht="15.75">
      <c r="B26" s="240"/>
      <c r="C26" s="53"/>
      <c r="D26" s="53"/>
      <c r="E26" s="53"/>
    </row>
    <row r="27" spans="2:5" ht="15.75">
      <c r="B27" s="232" t="s">
        <v>34</v>
      </c>
      <c r="C27" s="53"/>
      <c r="D27" s="227"/>
      <c r="E27" s="227"/>
    </row>
    <row r="28" spans="2:5" ht="15.75">
      <c r="B28" s="232" t="s">
        <v>255</v>
      </c>
      <c r="C28" s="353">
        <f>IF(C29*0.1&lt;C27,"Exceed 10% Rule","")</f>
      </c>
      <c r="D28" s="233">
        <f>IF(D29*0.1&lt;D27,"Exceed 10% Rule","")</f>
      </c>
      <c r="E28" s="233">
        <f>IF(E29*0.1&lt;E27,"Exceed 10% Rule","")</f>
      </c>
    </row>
    <row r="29" spans="2:5" ht="15.75">
      <c r="B29" s="234" t="s">
        <v>85</v>
      </c>
      <c r="C29" s="274">
        <f>SUM(C18:C27)</f>
        <v>0</v>
      </c>
      <c r="D29" s="274">
        <f>SUM(D18:D27)</f>
        <v>10000</v>
      </c>
      <c r="E29" s="274">
        <f>SUM(E18:E27)</f>
        <v>23025</v>
      </c>
    </row>
    <row r="30" spans="2:5" ht="15.75">
      <c r="B30" s="89" t="s">
        <v>185</v>
      </c>
      <c r="C30" s="61">
        <f>C16-C29</f>
        <v>33025</v>
      </c>
      <c r="D30" s="61">
        <f>D16-D29</f>
        <v>23025</v>
      </c>
      <c r="E30" s="61">
        <f>E16-E29</f>
        <v>0</v>
      </c>
    </row>
    <row r="31" spans="2:5" ht="15.75">
      <c r="B31" s="224" t="str">
        <f>CONCATENATE("",E1-2,"/",E1-1,"/",E1," Budget Authority Amount:")</f>
        <v>2013/2014/2015 Budget Authority Amount:</v>
      </c>
      <c r="C31" s="261">
        <f>inputOth!B51</f>
        <v>30025</v>
      </c>
      <c r="D31" s="261">
        <f>inputPrYr!D37</f>
        <v>23025</v>
      </c>
      <c r="E31" s="494">
        <f>E29</f>
        <v>23025</v>
      </c>
    </row>
    <row r="32" spans="2:5" ht="15.75">
      <c r="B32" s="210"/>
      <c r="C32" s="243">
        <f>IF(C29&gt;C31,"See Tab A","")</f>
      </c>
      <c r="D32" s="243">
        <f>IF(D29&gt;D31,"See Tab C","")</f>
      </c>
      <c r="E32" s="495">
        <f>IF(E30&lt;0,"See Tab E","")</f>
      </c>
    </row>
    <row r="33" spans="2:5" ht="15.75">
      <c r="B33" s="210"/>
      <c r="C33" s="243">
        <f>IF(C30&lt;0,"See Tab B","")</f>
      </c>
      <c r="D33" s="243">
        <f>IF(D30&lt;0,"See Tab D","")</f>
      </c>
      <c r="E33" s="86"/>
    </row>
    <row r="34" spans="2:5" ht="15.75">
      <c r="B34" s="28"/>
      <c r="C34" s="86"/>
      <c r="D34" s="86"/>
      <c r="E34" s="86"/>
    </row>
    <row r="35" spans="2:5" ht="15.75">
      <c r="B35" s="27" t="s">
        <v>71</v>
      </c>
      <c r="C35" s="249"/>
      <c r="D35" s="249"/>
      <c r="E35" s="249"/>
    </row>
    <row r="36" spans="2:5" ht="15.75">
      <c r="B36" s="28"/>
      <c r="C36" s="245" t="str">
        <f aca="true" t="shared" si="0" ref="C36:E37">C5</f>
        <v>Prior Year </v>
      </c>
      <c r="D36" s="151" t="str">
        <f t="shared" si="0"/>
        <v>Current Year </v>
      </c>
      <c r="E36" s="151" t="str">
        <f t="shared" si="0"/>
        <v>Proposed Budget </v>
      </c>
    </row>
    <row r="37" spans="2:5" ht="15.75">
      <c r="B37" s="355" t="str">
        <f>inputPrYr!B38</f>
        <v>Election C.O.</v>
      </c>
      <c r="C37" s="238" t="str">
        <f t="shared" si="0"/>
        <v>Actual for 2013</v>
      </c>
      <c r="D37" s="238" t="str">
        <f t="shared" si="0"/>
        <v>Estimate for 2014</v>
      </c>
      <c r="E37" s="225" t="str">
        <f t="shared" si="0"/>
        <v>Year for 2015</v>
      </c>
    </row>
    <row r="38" spans="2:5" ht="15.75">
      <c r="B38" s="89" t="s">
        <v>184</v>
      </c>
      <c r="C38" s="53">
        <v>36000</v>
      </c>
      <c r="D38" s="188">
        <f>C61</f>
        <v>66000</v>
      </c>
      <c r="E38" s="188">
        <f>D61</f>
        <v>52000</v>
      </c>
    </row>
    <row r="39" spans="2:5" ht="15.75">
      <c r="B39" s="89" t="s">
        <v>186</v>
      </c>
      <c r="C39" s="49"/>
      <c r="D39" s="49"/>
      <c r="E39" s="49"/>
    </row>
    <row r="40" spans="2:5" ht="15.75">
      <c r="B40" s="240" t="s">
        <v>408</v>
      </c>
      <c r="C40" s="53">
        <v>30000</v>
      </c>
      <c r="D40" s="53">
        <v>6000</v>
      </c>
      <c r="E40" s="53">
        <v>36500</v>
      </c>
    </row>
    <row r="41" spans="2:5" ht="15.75">
      <c r="B41" s="240"/>
      <c r="C41" s="53"/>
      <c r="D41" s="53"/>
      <c r="E41" s="53"/>
    </row>
    <row r="42" spans="2:5" ht="15.75">
      <c r="B42" s="240"/>
      <c r="C42" s="53"/>
      <c r="D42" s="53"/>
      <c r="E42" s="53"/>
    </row>
    <row r="43" spans="2:5" ht="15.75">
      <c r="B43" s="231" t="s">
        <v>79</v>
      </c>
      <c r="C43" s="53"/>
      <c r="D43" s="53"/>
      <c r="E43" s="53"/>
    </row>
    <row r="44" spans="2:5" ht="15.75">
      <c r="B44" s="232" t="s">
        <v>34</v>
      </c>
      <c r="C44" s="53"/>
      <c r="D44" s="227"/>
      <c r="E44" s="227"/>
    </row>
    <row r="45" spans="2:5" ht="15.75">
      <c r="B45" s="232" t="s">
        <v>256</v>
      </c>
      <c r="C45" s="353">
        <f>IF(C46*0.1&lt;C44,"Exceed 10% Rule","")</f>
      </c>
      <c r="D45" s="233">
        <f>IF(D46*0.1&lt;D44,"Exceed 10% Rule","")</f>
      </c>
      <c r="E45" s="233">
        <f>IF(E46*0.1&lt;E44,"Exceed 10% Rule","")</f>
      </c>
    </row>
    <row r="46" spans="2:5" ht="15.75">
      <c r="B46" s="234" t="s">
        <v>80</v>
      </c>
      <c r="C46" s="274">
        <f>SUM(C40:C44)</f>
        <v>30000</v>
      </c>
      <c r="D46" s="274">
        <f>SUM(D40:D44)</f>
        <v>6000</v>
      </c>
      <c r="E46" s="274">
        <f>SUM(E40:E44)</f>
        <v>36500</v>
      </c>
    </row>
    <row r="47" spans="2:5" ht="15.75">
      <c r="B47" s="234" t="s">
        <v>81</v>
      </c>
      <c r="C47" s="274">
        <f>C38+C46</f>
        <v>66000</v>
      </c>
      <c r="D47" s="274">
        <f>D38+D46</f>
        <v>72000</v>
      </c>
      <c r="E47" s="274">
        <f>E38+E46</f>
        <v>88500</v>
      </c>
    </row>
    <row r="48" spans="2:5" ht="15.75">
      <c r="B48" s="89" t="s">
        <v>84</v>
      </c>
      <c r="C48" s="188"/>
      <c r="D48" s="188"/>
      <c r="E48" s="188"/>
    </row>
    <row r="49" spans="2:5" ht="15.75">
      <c r="B49" s="240" t="s">
        <v>407</v>
      </c>
      <c r="C49" s="53"/>
      <c r="D49" s="53">
        <v>20000</v>
      </c>
      <c r="E49" s="53">
        <v>88500</v>
      </c>
    </row>
    <row r="50" spans="2:5" ht="15.75">
      <c r="B50" s="240"/>
      <c r="C50" s="53"/>
      <c r="D50" s="53"/>
      <c r="E50" s="53"/>
    </row>
    <row r="51" spans="2:5" ht="15.75">
      <c r="B51" s="240"/>
      <c r="C51" s="53"/>
      <c r="D51" s="53"/>
      <c r="E51" s="53"/>
    </row>
    <row r="52" spans="2:5" ht="15.75">
      <c r="B52" s="240"/>
      <c r="C52" s="53"/>
      <c r="D52" s="53"/>
      <c r="E52" s="53"/>
    </row>
    <row r="53" spans="2:5" ht="15.75">
      <c r="B53" s="240"/>
      <c r="C53" s="53"/>
      <c r="D53" s="53"/>
      <c r="E53" s="53"/>
    </row>
    <row r="54" spans="2:5" ht="15.75">
      <c r="B54" s="240"/>
      <c r="C54" s="53"/>
      <c r="D54" s="53"/>
      <c r="E54" s="53"/>
    </row>
    <row r="55" spans="2:5" ht="15.75">
      <c r="B55" s="240"/>
      <c r="C55" s="53"/>
      <c r="D55" s="53"/>
      <c r="E55" s="53"/>
    </row>
    <row r="56" spans="2:5" ht="15.75">
      <c r="B56" s="240"/>
      <c r="C56" s="53"/>
      <c r="D56" s="53"/>
      <c r="E56" s="53"/>
    </row>
    <row r="57" spans="2:5" ht="15.75">
      <c r="B57" s="240"/>
      <c r="C57" s="53"/>
      <c r="D57" s="53"/>
      <c r="E57" s="53"/>
    </row>
    <row r="58" spans="2:5" ht="15.75">
      <c r="B58" s="232" t="s">
        <v>34</v>
      </c>
      <c r="C58" s="53"/>
      <c r="D58" s="227"/>
      <c r="E58" s="227"/>
    </row>
    <row r="59" spans="2:5" ht="15.75">
      <c r="B59" s="232" t="s">
        <v>255</v>
      </c>
      <c r="C59" s="353">
        <f>IF(C60*0.1&lt;C58,"Exceed 10% Rule","")</f>
      </c>
      <c r="D59" s="233">
        <f>IF(D60*0.1&lt;D58,"Exceed 10% Rule","")</f>
      </c>
      <c r="E59" s="233">
        <f>IF(E60*0.1&lt;E58,"Exceed 10% Rule","")</f>
      </c>
    </row>
    <row r="60" spans="2:5" ht="15.75">
      <c r="B60" s="234" t="s">
        <v>85</v>
      </c>
      <c r="C60" s="274">
        <f>SUM(C49:C58)</f>
        <v>0</v>
      </c>
      <c r="D60" s="274">
        <f>SUM(D49:D58)</f>
        <v>20000</v>
      </c>
      <c r="E60" s="274">
        <f>SUM(E49:E58)</f>
        <v>88500</v>
      </c>
    </row>
    <row r="61" spans="2:5" ht="15.75">
      <c r="B61" s="89" t="s">
        <v>185</v>
      </c>
      <c r="C61" s="61">
        <f>C47-C60</f>
        <v>66000</v>
      </c>
      <c r="D61" s="61">
        <f>D47-D60</f>
        <v>52000</v>
      </c>
      <c r="E61" s="61">
        <f>E47-E60</f>
        <v>0</v>
      </c>
    </row>
    <row r="62" spans="2:5" ht="15.75">
      <c r="B62" s="224" t="str">
        <f>CONCATENATE("",E1-2,"/",E1-1,"/",E1," Budget Authority Amount:")</f>
        <v>2013/2014/2015 Budget Authority Amount:</v>
      </c>
      <c r="C62" s="261">
        <f>inputOth!B52</f>
        <v>61000</v>
      </c>
      <c r="D62" s="261">
        <f>inputPrYr!D38</f>
        <v>62000</v>
      </c>
      <c r="E62" s="494">
        <f>E60</f>
        <v>88500</v>
      </c>
    </row>
    <row r="63" spans="2:5" ht="15.75">
      <c r="B63" s="210"/>
      <c r="C63" s="243">
        <f>IF(C60&gt;C62,"See Tab A","")</f>
      </c>
      <c r="D63" s="243">
        <f>IF(D60&gt;D62,"See Tab C","")</f>
      </c>
      <c r="E63" s="496">
        <f>IF(E61&lt;0,"See Tab E","")</f>
      </c>
    </row>
    <row r="64" spans="2:5" ht="15.75">
      <c r="B64" s="210"/>
      <c r="C64" s="243">
        <f>IF(C61&lt;0,"See Tab B","")</f>
      </c>
      <c r="D64" s="243">
        <f>IF(D61&lt;0,"See Tab D","")</f>
      </c>
      <c r="E64" s="28"/>
    </row>
    <row r="65" spans="2:5" ht="15.75">
      <c r="B65" s="28"/>
      <c r="C65" s="28"/>
      <c r="D65" s="28"/>
      <c r="E65" s="28"/>
    </row>
    <row r="66" spans="2:5" ht="15.75">
      <c r="B66" s="210" t="s">
        <v>106</v>
      </c>
      <c r="C66" s="271">
        <v>17</v>
      </c>
      <c r="D66" s="28"/>
      <c r="E66" s="28"/>
    </row>
  </sheetData>
  <sheetProtection sheet="1"/>
  <conditionalFormatting sqref="C27">
    <cfRule type="cellIs" priority="7" dxfId="253" operator="greaterThan" stopIfTrue="1">
      <formula>$C$29*0.1</formula>
    </cfRule>
  </conditionalFormatting>
  <conditionalFormatting sqref="D27">
    <cfRule type="cellIs" priority="8" dxfId="253" operator="greaterThan" stopIfTrue="1">
      <formula>$D$29*0.1</formula>
    </cfRule>
  </conditionalFormatting>
  <conditionalFormatting sqref="E27">
    <cfRule type="cellIs" priority="9" dxfId="253" operator="greaterThan" stopIfTrue="1">
      <formula>$E$29*0.1</formula>
    </cfRule>
  </conditionalFormatting>
  <conditionalFormatting sqref="C13">
    <cfRule type="cellIs" priority="10" dxfId="253" operator="greaterThan" stopIfTrue="1">
      <formula>$C$15*0.1</formula>
    </cfRule>
  </conditionalFormatting>
  <conditionalFormatting sqref="D13">
    <cfRule type="cellIs" priority="11" dxfId="253" operator="greaterThan" stopIfTrue="1">
      <formula>$D$15*0.1</formula>
    </cfRule>
  </conditionalFormatting>
  <conditionalFormatting sqref="E13">
    <cfRule type="cellIs" priority="12" dxfId="253" operator="greaterThan" stopIfTrue="1">
      <formula>$E$15*0.1</formula>
    </cfRule>
  </conditionalFormatting>
  <conditionalFormatting sqref="C44">
    <cfRule type="cellIs" priority="13" dxfId="253" operator="greaterThan" stopIfTrue="1">
      <formula>$C$46*0.1</formula>
    </cfRule>
  </conditionalFormatting>
  <conditionalFormatting sqref="D44">
    <cfRule type="cellIs" priority="14" dxfId="253" operator="greaterThan" stopIfTrue="1">
      <formula>$D$46*0.1</formula>
    </cfRule>
  </conditionalFormatting>
  <conditionalFormatting sqref="E44">
    <cfRule type="cellIs" priority="15" dxfId="253" operator="greaterThan" stopIfTrue="1">
      <formula>$E$46*0.1</formula>
    </cfRule>
  </conditionalFormatting>
  <conditionalFormatting sqref="C58">
    <cfRule type="cellIs" priority="16" dxfId="253" operator="greaterThan" stopIfTrue="1">
      <formula>$C$60*0.1</formula>
    </cfRule>
  </conditionalFormatting>
  <conditionalFormatting sqref="D58">
    <cfRule type="cellIs" priority="17" dxfId="253" operator="greaterThan" stopIfTrue="1">
      <formula>$D$60*0.1</formula>
    </cfRule>
  </conditionalFormatting>
  <conditionalFormatting sqref="E58">
    <cfRule type="cellIs" priority="18" dxfId="253" operator="greaterThan" stopIfTrue="1">
      <formula>$E$60*0.1</formula>
    </cfRule>
  </conditionalFormatting>
  <conditionalFormatting sqref="E61 C61 E30">
    <cfRule type="cellIs" priority="19" dxfId="2" operator="lessThan" stopIfTrue="1">
      <formula>0</formula>
    </cfRule>
  </conditionalFormatting>
  <conditionalFormatting sqref="D60">
    <cfRule type="cellIs" priority="20" dxfId="2" operator="greaterThan" stopIfTrue="1">
      <formula>$D$62</formula>
    </cfRule>
  </conditionalFormatting>
  <conditionalFormatting sqref="C60">
    <cfRule type="cellIs" priority="21" dxfId="2" operator="greaterThan" stopIfTrue="1">
      <formula>$C$62</formula>
    </cfRule>
  </conditionalFormatting>
  <conditionalFormatting sqref="C29">
    <cfRule type="cellIs" priority="6" dxfId="0" operator="greaterThan" stopIfTrue="1">
      <formula>$C$31</formula>
    </cfRule>
  </conditionalFormatting>
  <conditionalFormatting sqref="D29">
    <cfRule type="cellIs" priority="5" dxfId="0" operator="greaterThan" stopIfTrue="1">
      <formula>$D$31</formula>
    </cfRule>
  </conditionalFormatting>
  <conditionalFormatting sqref="C30">
    <cfRule type="cellIs" priority="4" dxfId="0" operator="lessThan" stopIfTrue="1">
      <formula>0</formula>
    </cfRule>
  </conditionalFormatting>
  <conditionalFormatting sqref="D30">
    <cfRule type="cellIs" priority="2" dxfId="0" operator="lessThan" stopIfTrue="1">
      <formula>0</formula>
    </cfRule>
    <cfRule type="cellIs" priority="3"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6"/>
  <sheetViews>
    <sheetView view="pageBreakPreview" zoomScale="98" zoomScaleSheetLayoutView="98" zoomScalePageLayoutView="0" workbookViewId="0" topLeftCell="A1">
      <selection activeCell="F10" sqref="F10:F11"/>
    </sheetView>
  </sheetViews>
  <sheetFormatPr defaultColWidth="8.8984375" defaultRowHeight="15"/>
  <cols>
    <col min="1" max="1" width="2.3984375" style="25" customWidth="1"/>
    <col min="2" max="2" width="31.09765625" style="25" customWidth="1"/>
    <col min="3" max="4" width="15.796875" style="25" customWidth="1"/>
    <col min="5" max="5" width="16.09765625" style="25" customWidth="1"/>
    <col min="6"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152</v>
      </c>
      <c r="C3" s="255"/>
      <c r="D3" s="255"/>
      <c r="E3" s="256"/>
    </row>
    <row r="4" spans="2:5" ht="15.75">
      <c r="B4" s="28"/>
      <c r="C4" s="249"/>
      <c r="D4" s="249"/>
      <c r="E4" s="249"/>
    </row>
    <row r="5" spans="2:5" ht="15.75">
      <c r="B5" s="27" t="s">
        <v>71</v>
      </c>
      <c r="C5" s="245" t="str">
        <f>general!C4</f>
        <v>Prior Year </v>
      </c>
      <c r="D5" s="151" t="str">
        <f>general!D4</f>
        <v>Current Year </v>
      </c>
      <c r="E5" s="151" t="str">
        <f>general!E4</f>
        <v>Proposed Budget </v>
      </c>
    </row>
    <row r="6" spans="2:5" ht="15.75">
      <c r="B6" s="356" t="str">
        <f>inputPrYr!B39</f>
        <v>Special Alcohol &amp; Drug</v>
      </c>
      <c r="C6" s="238" t="str">
        <f>general!C5</f>
        <v>Actual for 2013</v>
      </c>
      <c r="D6" s="238" t="str">
        <f>general!D5</f>
        <v>Estimate for 2014</v>
      </c>
      <c r="E6" s="225" t="str">
        <f>general!E5</f>
        <v>Year for 2015</v>
      </c>
    </row>
    <row r="7" spans="2:5" ht="15.75">
      <c r="B7" s="89" t="s">
        <v>184</v>
      </c>
      <c r="C7" s="53">
        <v>14102</v>
      </c>
      <c r="D7" s="188">
        <f>C30</f>
        <v>-2004</v>
      </c>
      <c r="E7" s="188">
        <f>D30</f>
        <v>0</v>
      </c>
    </row>
    <row r="8" spans="2:5" ht="15.75">
      <c r="B8" s="258" t="s">
        <v>186</v>
      </c>
      <c r="C8" s="49"/>
      <c r="D8" s="49"/>
      <c r="E8" s="49"/>
    </row>
    <row r="9" spans="2:5" ht="15.75">
      <c r="B9" s="240" t="s">
        <v>409</v>
      </c>
      <c r="C9" s="53">
        <v>18215</v>
      </c>
      <c r="D9" s="53">
        <v>16162</v>
      </c>
      <c r="E9" s="53">
        <v>16162</v>
      </c>
    </row>
    <row r="10" spans="2:5" ht="15.75">
      <c r="B10" s="240"/>
      <c r="C10" s="53"/>
      <c r="D10" s="53"/>
      <c r="E10" s="53"/>
    </row>
    <row r="11" spans="2:5" ht="15.75">
      <c r="B11" s="240"/>
      <c r="C11" s="53"/>
      <c r="D11" s="53"/>
      <c r="E11" s="53"/>
    </row>
    <row r="12" spans="2:5" ht="15.75">
      <c r="B12" s="231" t="s">
        <v>79</v>
      </c>
      <c r="C12" s="53"/>
      <c r="D12" s="53"/>
      <c r="E12" s="53"/>
    </row>
    <row r="13" spans="2:5" ht="15.75">
      <c r="B13" s="232" t="s">
        <v>34</v>
      </c>
      <c r="C13" s="53"/>
      <c r="D13" s="227"/>
      <c r="E13" s="227"/>
    </row>
    <row r="14" spans="2:5" ht="15.75">
      <c r="B14" s="232" t="s">
        <v>256</v>
      </c>
      <c r="C14" s="353">
        <f>IF(C15*0.1&lt;C13,"Exceed 10% Rule","")</f>
      </c>
      <c r="D14" s="233">
        <f>IF(D15*0.1&lt;D13,"Exceed 10% Rule","")</f>
      </c>
      <c r="E14" s="233">
        <f>IF(E15*0.1&lt;E13,"Exceed 10% Rule","")</f>
      </c>
    </row>
    <row r="15" spans="2:5" ht="15.75">
      <c r="B15" s="234" t="s">
        <v>80</v>
      </c>
      <c r="C15" s="274">
        <f>SUM(C9:C13)</f>
        <v>18215</v>
      </c>
      <c r="D15" s="274">
        <f>SUM(D9:D13)</f>
        <v>16162</v>
      </c>
      <c r="E15" s="274">
        <f>SUM(E9:E13)</f>
        <v>16162</v>
      </c>
    </row>
    <row r="16" spans="2:5" ht="15.75">
      <c r="B16" s="234" t="s">
        <v>81</v>
      </c>
      <c r="C16" s="274">
        <f>C15+C7</f>
        <v>32317</v>
      </c>
      <c r="D16" s="274">
        <f>D15+D7</f>
        <v>14158</v>
      </c>
      <c r="E16" s="274">
        <f>E15+E7</f>
        <v>16162</v>
      </c>
    </row>
    <row r="17" spans="2:5" ht="15.75">
      <c r="B17" s="89" t="s">
        <v>84</v>
      </c>
      <c r="C17" s="188"/>
      <c r="D17" s="188"/>
      <c r="E17" s="188"/>
    </row>
    <row r="18" spans="2:5" ht="15.75">
      <c r="B18" s="240" t="s">
        <v>410</v>
      </c>
      <c r="C18" s="53">
        <v>34321</v>
      </c>
      <c r="D18" s="53">
        <v>14158</v>
      </c>
      <c r="E18" s="53">
        <v>16162</v>
      </c>
    </row>
    <row r="19" spans="2:5" ht="15.75">
      <c r="B19" s="240"/>
      <c r="C19" s="53"/>
      <c r="D19" s="53"/>
      <c r="E19" s="53"/>
    </row>
    <row r="20" spans="2:5" ht="15.75">
      <c r="B20" s="240"/>
      <c r="C20" s="53"/>
      <c r="D20" s="53"/>
      <c r="E20" s="53"/>
    </row>
    <row r="21" spans="2:5" ht="15.75">
      <c r="B21" s="240"/>
      <c r="C21" s="53"/>
      <c r="D21" s="53"/>
      <c r="E21" s="53"/>
    </row>
    <row r="22" spans="2:5" ht="15.75">
      <c r="B22" s="240"/>
      <c r="C22" s="53"/>
      <c r="D22" s="53"/>
      <c r="E22" s="53"/>
    </row>
    <row r="23" spans="2:5" ht="15.75">
      <c r="B23" s="240"/>
      <c r="C23" s="53"/>
      <c r="D23" s="53"/>
      <c r="E23" s="53"/>
    </row>
    <row r="24" spans="2:5" ht="15.75">
      <c r="B24" s="240"/>
      <c r="C24" s="53"/>
      <c r="D24" s="53"/>
      <c r="E24" s="53"/>
    </row>
    <row r="25" spans="2:5" ht="15.75">
      <c r="B25" s="240"/>
      <c r="C25" s="53"/>
      <c r="D25" s="53"/>
      <c r="E25" s="53"/>
    </row>
    <row r="26" spans="2:5" ht="15.75">
      <c r="B26" s="240"/>
      <c r="C26" s="53"/>
      <c r="D26" s="53"/>
      <c r="E26" s="53"/>
    </row>
    <row r="27" spans="2:5" ht="15.75">
      <c r="B27" s="232" t="s">
        <v>34</v>
      </c>
      <c r="C27" s="53"/>
      <c r="D27" s="227"/>
      <c r="E27" s="227"/>
    </row>
    <row r="28" spans="2:5" ht="15.75">
      <c r="B28" s="232" t="s">
        <v>255</v>
      </c>
      <c r="C28" s="353">
        <f>IF(C29*0.1&lt;C27,"Exceed 10% Rule","")</f>
      </c>
      <c r="D28" s="233">
        <f>IF(D29*0.1&lt;D27,"Exceed 10% Rule","")</f>
      </c>
      <c r="E28" s="233">
        <f>IF(E29*0.1&lt;E27,"Exceed 10% Rule","")</f>
      </c>
    </row>
    <row r="29" spans="2:5" ht="15.75">
      <c r="B29" s="234" t="s">
        <v>85</v>
      </c>
      <c r="C29" s="274">
        <f>SUM(C18:C27)</f>
        <v>34321</v>
      </c>
      <c r="D29" s="274">
        <f>SUM(D18:D27)</f>
        <v>14158</v>
      </c>
      <c r="E29" s="274">
        <f>SUM(E18:E27)</f>
        <v>16162</v>
      </c>
    </row>
    <row r="30" spans="2:5" ht="15.75">
      <c r="B30" s="89" t="s">
        <v>185</v>
      </c>
      <c r="C30" s="61">
        <f>C16-C29</f>
        <v>-2004</v>
      </c>
      <c r="D30" s="61">
        <f>D16-D29</f>
        <v>0</v>
      </c>
      <c r="E30" s="61">
        <f>E16-E29</f>
        <v>0</v>
      </c>
    </row>
    <row r="31" spans="2:5" ht="15.75">
      <c r="B31" s="224" t="str">
        <f>CONCATENATE("",E1-2,"/",E1-1,"/",E1," Budget Authority Amount:")</f>
        <v>2013/2014/2015 Budget Authority Amount:</v>
      </c>
      <c r="C31" s="261">
        <f>inputOth!B53</f>
        <v>38922</v>
      </c>
      <c r="D31" s="261">
        <f>inputPrYr!D39</f>
        <v>29766</v>
      </c>
      <c r="E31" s="494">
        <f>E29</f>
        <v>16162</v>
      </c>
    </row>
    <row r="32" spans="2:5" ht="15.75">
      <c r="B32" s="210"/>
      <c r="C32" s="243">
        <f>IF(C29&gt;C31,"See Tab A","")</f>
      </c>
      <c r="D32" s="243">
        <f>IF(D29&gt;D31,"See Tab C","")</f>
      </c>
      <c r="E32" s="495">
        <f>IF(E30&lt;0,"See Tab E","")</f>
      </c>
    </row>
    <row r="33" spans="2:5" ht="15.75">
      <c r="B33" s="210"/>
      <c r="C33" s="243" t="str">
        <f>IF(C30&lt;0,"See Tab B","")</f>
        <v>See Tab B</v>
      </c>
      <c r="D33" s="243">
        <f>IF(D30&lt;0,"See Tab D","")</f>
      </c>
      <c r="E33" s="86"/>
    </row>
    <row r="34" spans="2:5" ht="15.75">
      <c r="B34" s="28"/>
      <c r="C34" s="86"/>
      <c r="D34" s="86"/>
      <c r="E34" s="86"/>
    </row>
    <row r="35" spans="2:5" ht="15.75">
      <c r="B35" s="27" t="s">
        <v>71</v>
      </c>
      <c r="C35" s="249"/>
      <c r="D35" s="249"/>
      <c r="E35" s="249"/>
    </row>
    <row r="36" spans="2:5" ht="15.75">
      <c r="B36" s="28"/>
      <c r="C36" s="245" t="str">
        <f aca="true" t="shared" si="0" ref="C36:E37">C5</f>
        <v>Prior Year </v>
      </c>
      <c r="D36" s="151" t="str">
        <f t="shared" si="0"/>
        <v>Current Year </v>
      </c>
      <c r="E36" s="151" t="str">
        <f t="shared" si="0"/>
        <v>Proposed Budget </v>
      </c>
    </row>
    <row r="37" spans="2:5" ht="15.75">
      <c r="B37" s="355" t="str">
        <f>inputPrYr!B40</f>
        <v>Convention &amp; Tourism</v>
      </c>
      <c r="C37" s="238" t="str">
        <f t="shared" si="0"/>
        <v>Actual for 2013</v>
      </c>
      <c r="D37" s="238" t="str">
        <f t="shared" si="0"/>
        <v>Estimate for 2014</v>
      </c>
      <c r="E37" s="238" t="str">
        <f t="shared" si="0"/>
        <v>Year for 2015</v>
      </c>
    </row>
    <row r="38" spans="2:5" ht="15.75">
      <c r="B38" s="89" t="s">
        <v>184</v>
      </c>
      <c r="C38" s="53">
        <v>44432</v>
      </c>
      <c r="D38" s="188">
        <f>C61</f>
        <v>53945</v>
      </c>
      <c r="E38" s="188">
        <f>D61</f>
        <v>40095</v>
      </c>
    </row>
    <row r="39" spans="2:5" ht="15.75">
      <c r="B39" s="89" t="s">
        <v>186</v>
      </c>
      <c r="C39" s="49"/>
      <c r="D39" s="49"/>
      <c r="E39" s="49"/>
    </row>
    <row r="40" spans="2:5" ht="15.75">
      <c r="B40" s="240" t="s">
        <v>411</v>
      </c>
      <c r="C40" s="53">
        <v>126489</v>
      </c>
      <c r="D40" s="53">
        <v>122000</v>
      </c>
      <c r="E40" s="53">
        <v>125000</v>
      </c>
    </row>
    <row r="41" spans="2:5" ht="15.75">
      <c r="B41" s="240"/>
      <c r="C41" s="53"/>
      <c r="D41" s="53"/>
      <c r="E41" s="53"/>
    </row>
    <row r="42" spans="2:5" ht="15.75">
      <c r="B42" s="240"/>
      <c r="C42" s="53"/>
      <c r="D42" s="53"/>
      <c r="E42" s="53"/>
    </row>
    <row r="43" spans="2:5" ht="15.75">
      <c r="B43" s="231" t="s">
        <v>79</v>
      </c>
      <c r="C43" s="53"/>
      <c r="D43" s="53"/>
      <c r="E43" s="53"/>
    </row>
    <row r="44" spans="2:5" ht="15.75">
      <c r="B44" s="232" t="s">
        <v>34</v>
      </c>
      <c r="C44" s="53"/>
      <c r="D44" s="227"/>
      <c r="E44" s="227"/>
    </row>
    <row r="45" spans="2:5" ht="15.75">
      <c r="B45" s="232" t="s">
        <v>256</v>
      </c>
      <c r="C45" s="353">
        <f>IF(C46*0.1&lt;C44,"Exceed 10% Rule","")</f>
      </c>
      <c r="D45" s="233">
        <f>IF(D46*0.1&lt;D44,"Exceed 10% Rule","")</f>
      </c>
      <c r="E45" s="233">
        <f>IF(E46*0.1&lt;E44,"Exceed 10% Rule","")</f>
      </c>
    </row>
    <row r="46" spans="2:5" ht="15.75">
      <c r="B46" s="234" t="s">
        <v>80</v>
      </c>
      <c r="C46" s="274">
        <f>SUM(C40:C44)</f>
        <v>126489</v>
      </c>
      <c r="D46" s="274">
        <f>SUM(D40:D44)</f>
        <v>122000</v>
      </c>
      <c r="E46" s="274">
        <f>SUM(E40:E44)</f>
        <v>125000</v>
      </c>
    </row>
    <row r="47" spans="2:5" ht="15.75">
      <c r="B47" s="234" t="s">
        <v>81</v>
      </c>
      <c r="C47" s="274">
        <f>C38+C46</f>
        <v>170921</v>
      </c>
      <c r="D47" s="274">
        <f>D38+D46</f>
        <v>175945</v>
      </c>
      <c r="E47" s="274">
        <f>E38+E46</f>
        <v>165095</v>
      </c>
    </row>
    <row r="48" spans="2:5" ht="15.75">
      <c r="B48" s="89" t="s">
        <v>84</v>
      </c>
      <c r="C48" s="188"/>
      <c r="D48" s="188"/>
      <c r="E48" s="188"/>
    </row>
    <row r="49" spans="2:5" ht="15.75">
      <c r="B49" s="240" t="s">
        <v>412</v>
      </c>
      <c r="C49" s="53">
        <v>116976</v>
      </c>
      <c r="D49" s="53">
        <v>135850</v>
      </c>
      <c r="E49" s="53">
        <v>148600</v>
      </c>
    </row>
    <row r="50" spans="2:5" ht="15.75">
      <c r="B50" s="240"/>
      <c r="C50" s="53"/>
      <c r="D50" s="53"/>
      <c r="E50" s="53"/>
    </row>
    <row r="51" spans="2:5" ht="15.75">
      <c r="B51" s="240"/>
      <c r="C51" s="53"/>
      <c r="D51" s="53"/>
      <c r="E51" s="53"/>
    </row>
    <row r="52" spans="2:5" ht="15.75">
      <c r="B52" s="240"/>
      <c r="C52" s="53"/>
      <c r="D52" s="53"/>
      <c r="E52" s="53"/>
    </row>
    <row r="53" spans="2:5" ht="15.75">
      <c r="B53" s="240"/>
      <c r="C53" s="53"/>
      <c r="D53" s="53"/>
      <c r="E53" s="53"/>
    </row>
    <row r="54" spans="2:5" ht="15.75">
      <c r="B54" s="240"/>
      <c r="C54" s="53"/>
      <c r="D54" s="53"/>
      <c r="E54" s="53"/>
    </row>
    <row r="55" spans="2:5" ht="15.75">
      <c r="B55" s="240"/>
      <c r="C55" s="53"/>
      <c r="D55" s="53"/>
      <c r="E55" s="53"/>
    </row>
    <row r="56" spans="2:5" ht="15.75">
      <c r="B56" s="240"/>
      <c r="C56" s="53"/>
      <c r="D56" s="53"/>
      <c r="E56" s="53"/>
    </row>
    <row r="57" spans="2:5" ht="15.75">
      <c r="B57" s="240"/>
      <c r="C57" s="53"/>
      <c r="D57" s="53"/>
      <c r="E57" s="53"/>
    </row>
    <row r="58" spans="2:5" ht="15.75">
      <c r="B58" s="232" t="s">
        <v>34</v>
      </c>
      <c r="C58" s="53"/>
      <c r="D58" s="227"/>
      <c r="E58" s="227"/>
    </row>
    <row r="59" spans="2:5" ht="15.75">
      <c r="B59" s="232" t="s">
        <v>255</v>
      </c>
      <c r="C59" s="353">
        <f>IF(C60*0.1&lt;C58,"Exceed 10% Rule","")</f>
      </c>
      <c r="D59" s="233">
        <f>IF(D60*0.1&lt;D58,"Exceed 10% Rule","")</f>
      </c>
      <c r="E59" s="233">
        <f>IF(E60*0.1&lt;E58,"Exceed 10% Rule","")</f>
      </c>
    </row>
    <row r="60" spans="2:5" ht="15.75">
      <c r="B60" s="234" t="s">
        <v>85</v>
      </c>
      <c r="C60" s="274">
        <f>SUM(C49:C58)</f>
        <v>116976</v>
      </c>
      <c r="D60" s="274">
        <f>SUM(D49:D58)</f>
        <v>135850</v>
      </c>
      <c r="E60" s="274">
        <f>SUM(E49:E58)</f>
        <v>148600</v>
      </c>
    </row>
    <row r="61" spans="2:5" ht="15.75">
      <c r="B61" s="89" t="s">
        <v>185</v>
      </c>
      <c r="C61" s="61">
        <f>C47-C60</f>
        <v>53945</v>
      </c>
      <c r="D61" s="61">
        <f>D47-D60</f>
        <v>40095</v>
      </c>
      <c r="E61" s="61">
        <f>E47-E60</f>
        <v>16495</v>
      </c>
    </row>
    <row r="62" spans="2:5" ht="15.75">
      <c r="B62" s="224" t="str">
        <f>CONCATENATE("",E1-2,"/",E1-1,"/",E1," Budget Authority Amount:")</f>
        <v>2013/2014/2015 Budget Authority Amount:</v>
      </c>
      <c r="C62" s="261">
        <f>inputOth!B54</f>
        <v>168747</v>
      </c>
      <c r="D62" s="261">
        <f>inputPrYr!D40</f>
        <v>135850</v>
      </c>
      <c r="E62" s="494">
        <f>E60</f>
        <v>148600</v>
      </c>
    </row>
    <row r="63" spans="2:5" ht="15.75">
      <c r="B63" s="210"/>
      <c r="C63" s="243">
        <f>IF(C60&gt;C62,"See Tab A","")</f>
      </c>
      <c r="D63" s="243">
        <f>IF(D60&gt;D62,"See Tab C","")</f>
      </c>
      <c r="E63" s="496">
        <f>IF(E61&lt;0,"See Tab E","")</f>
      </c>
    </row>
    <row r="64" spans="2:5" ht="15.75">
      <c r="B64" s="210"/>
      <c r="C64" s="243">
        <f>IF(C61&lt;0,"See Tab B","")</f>
      </c>
      <c r="D64" s="243">
        <f>IF(D61&lt;0,"See Tab D","")</f>
      </c>
      <c r="E64" s="28"/>
    </row>
    <row r="65" spans="2:5" ht="15.75">
      <c r="B65" s="28"/>
      <c r="C65" s="28"/>
      <c r="D65" s="28"/>
      <c r="E65" s="28"/>
    </row>
    <row r="66" spans="2:5" ht="15.75">
      <c r="B66" s="210" t="s">
        <v>106</v>
      </c>
      <c r="C66" s="271">
        <v>18</v>
      </c>
      <c r="D66" s="28"/>
      <c r="E66" s="28"/>
    </row>
  </sheetData>
  <sheetProtection sheet="1"/>
  <conditionalFormatting sqref="C27">
    <cfRule type="cellIs" priority="3" dxfId="253" operator="greaterThan" stopIfTrue="1">
      <formula>$C$29*0.1</formula>
    </cfRule>
  </conditionalFormatting>
  <conditionalFormatting sqref="D27">
    <cfRule type="cellIs" priority="4" dxfId="253" operator="greaterThan" stopIfTrue="1">
      <formula>$D$29*0.1</formula>
    </cfRule>
  </conditionalFormatting>
  <conditionalFormatting sqref="E27">
    <cfRule type="cellIs" priority="5" dxfId="253" operator="greaterThan" stopIfTrue="1">
      <formula>$E$29*0.1</formula>
    </cfRule>
  </conditionalFormatting>
  <conditionalFormatting sqref="C13">
    <cfRule type="cellIs" priority="6" dxfId="253" operator="greaterThan" stopIfTrue="1">
      <formula>$C$15*0.1</formula>
    </cfRule>
  </conditionalFormatting>
  <conditionalFormatting sqref="D13">
    <cfRule type="cellIs" priority="7" dxfId="253" operator="greaterThan" stopIfTrue="1">
      <formula>$D$15*0.1</formula>
    </cfRule>
  </conditionalFormatting>
  <conditionalFormatting sqref="E13">
    <cfRule type="cellIs" priority="8" dxfId="253" operator="greaterThan" stopIfTrue="1">
      <formula>$E$15*0.1</formula>
    </cfRule>
  </conditionalFormatting>
  <conditionalFormatting sqref="C44">
    <cfRule type="cellIs" priority="9" dxfId="253" operator="greaterThan" stopIfTrue="1">
      <formula>$C$46*0.1</formula>
    </cfRule>
  </conditionalFormatting>
  <conditionalFormatting sqref="D44">
    <cfRule type="cellIs" priority="10" dxfId="253" operator="greaterThan" stopIfTrue="1">
      <formula>$D$46*0.1</formula>
    </cfRule>
  </conditionalFormatting>
  <conditionalFormatting sqref="E44">
    <cfRule type="cellIs" priority="11" dxfId="253" operator="greaterThan" stopIfTrue="1">
      <formula>$E$46*0.1</formula>
    </cfRule>
  </conditionalFormatting>
  <conditionalFormatting sqref="C58">
    <cfRule type="cellIs" priority="12" dxfId="253" operator="greaterThan" stopIfTrue="1">
      <formula>$C$60*0.1</formula>
    </cfRule>
  </conditionalFormatting>
  <conditionalFormatting sqref="D58">
    <cfRule type="cellIs" priority="13" dxfId="253" operator="greaterThan" stopIfTrue="1">
      <formula>$D$60*0.1</formula>
    </cfRule>
  </conditionalFormatting>
  <conditionalFormatting sqref="E58">
    <cfRule type="cellIs" priority="14" dxfId="253"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view="pageBreakPreview" zoomScale="99" zoomScaleSheetLayoutView="99" zoomScalePageLayoutView="0" workbookViewId="0" topLeftCell="A44">
      <selection activeCell="E52" sqref="E52"/>
    </sheetView>
  </sheetViews>
  <sheetFormatPr defaultColWidth="8.8984375" defaultRowHeight="15"/>
  <cols>
    <col min="1" max="1" width="2.3984375" style="25" customWidth="1"/>
    <col min="2" max="2" width="31.09765625" style="25" customWidth="1"/>
    <col min="3" max="4" width="15.796875" style="25" customWidth="1"/>
    <col min="5" max="5" width="16.19921875" style="25" customWidth="1"/>
    <col min="6"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152</v>
      </c>
      <c r="C3" s="255"/>
      <c r="D3" s="255"/>
      <c r="E3" s="256"/>
    </row>
    <row r="4" spans="2:5" ht="15.75">
      <c r="B4" s="28"/>
      <c r="C4" s="249"/>
      <c r="D4" s="249"/>
      <c r="E4" s="249"/>
    </row>
    <row r="5" spans="2:5" ht="15.75">
      <c r="B5" s="27" t="s">
        <v>71</v>
      </c>
      <c r="C5" s="245" t="str">
        <f>general!C4</f>
        <v>Prior Year </v>
      </c>
      <c r="D5" s="151" t="str">
        <f>general!D4</f>
        <v>Current Year </v>
      </c>
      <c r="E5" s="151" t="str">
        <f>general!E4</f>
        <v>Proposed Budget </v>
      </c>
    </row>
    <row r="6" spans="2:5" ht="15.75">
      <c r="B6" s="356" t="str">
        <f>inputPrYr!B41</f>
        <v>Reg. of Deeds Technology</v>
      </c>
      <c r="C6" s="238" t="str">
        <f>general!C5</f>
        <v>Actual for 2013</v>
      </c>
      <c r="D6" s="238" t="str">
        <f>general!D5</f>
        <v>Estimate for 2014</v>
      </c>
      <c r="E6" s="225" t="str">
        <f>general!E5</f>
        <v>Year for 2015</v>
      </c>
    </row>
    <row r="7" spans="2:5" ht="15.75">
      <c r="B7" s="89" t="s">
        <v>184</v>
      </c>
      <c r="C7" s="53">
        <v>18535</v>
      </c>
      <c r="D7" s="188">
        <f>C30</f>
        <v>30988</v>
      </c>
      <c r="E7" s="188">
        <f>D30</f>
        <v>25988</v>
      </c>
    </row>
    <row r="8" spans="2:5" ht="15.75">
      <c r="B8" s="258" t="s">
        <v>186</v>
      </c>
      <c r="C8" s="49"/>
      <c r="D8" s="49"/>
      <c r="E8" s="49"/>
    </row>
    <row r="9" spans="2:5" ht="15.75">
      <c r="B9" s="240" t="s">
        <v>413</v>
      </c>
      <c r="C9" s="53">
        <v>12754</v>
      </c>
      <c r="D9" s="53">
        <v>10000</v>
      </c>
      <c r="E9" s="53">
        <v>8000</v>
      </c>
    </row>
    <row r="10" spans="2:5" ht="15.75">
      <c r="B10" s="240"/>
      <c r="C10" s="53"/>
      <c r="D10" s="53"/>
      <c r="E10" s="53"/>
    </row>
    <row r="11" spans="2:5" ht="15.75">
      <c r="B11" s="240"/>
      <c r="C11" s="53"/>
      <c r="D11" s="53"/>
      <c r="E11" s="53"/>
    </row>
    <row r="12" spans="2:5" ht="15.75">
      <c r="B12" s="231" t="s">
        <v>79</v>
      </c>
      <c r="C12" s="53"/>
      <c r="D12" s="53"/>
      <c r="E12" s="53"/>
    </row>
    <row r="13" spans="2:5" ht="15.75">
      <c r="B13" s="232" t="s">
        <v>34</v>
      </c>
      <c r="C13" s="53"/>
      <c r="D13" s="227"/>
      <c r="E13" s="227"/>
    </row>
    <row r="14" spans="2:5" ht="15.75">
      <c r="B14" s="232" t="s">
        <v>256</v>
      </c>
      <c r="C14" s="353">
        <f>IF(C15*0.1&lt;C13,"Exceed 10% Rule","")</f>
      </c>
      <c r="D14" s="233">
        <f>IF(D15*0.1&lt;D13,"Exceed 10% Rule","")</f>
      </c>
      <c r="E14" s="233">
        <f>IF(E15*0.1&lt;E13,"Exceed 10% Rule","")</f>
      </c>
    </row>
    <row r="15" spans="2:5" ht="15.75">
      <c r="B15" s="234" t="s">
        <v>80</v>
      </c>
      <c r="C15" s="274">
        <f>SUM(C9:C13)</f>
        <v>12754</v>
      </c>
      <c r="D15" s="274">
        <f>SUM(D9:D13)</f>
        <v>10000</v>
      </c>
      <c r="E15" s="274">
        <f>SUM(E9:E13)</f>
        <v>8000</v>
      </c>
    </row>
    <row r="16" spans="2:5" ht="15.75">
      <c r="B16" s="234" t="s">
        <v>81</v>
      </c>
      <c r="C16" s="274">
        <f>C15+C7</f>
        <v>31289</v>
      </c>
      <c r="D16" s="274">
        <f>D15+D7</f>
        <v>40988</v>
      </c>
      <c r="E16" s="274">
        <f>E15+E7</f>
        <v>33988</v>
      </c>
    </row>
    <row r="17" spans="2:5" ht="15.75">
      <c r="B17" s="89" t="s">
        <v>84</v>
      </c>
      <c r="C17" s="188"/>
      <c r="D17" s="188"/>
      <c r="E17" s="188"/>
    </row>
    <row r="18" spans="2:5" ht="15.75">
      <c r="B18" s="240" t="s">
        <v>414</v>
      </c>
      <c r="C18" s="53">
        <v>301</v>
      </c>
      <c r="D18" s="53">
        <v>15000</v>
      </c>
      <c r="E18" s="53">
        <v>33988</v>
      </c>
    </row>
    <row r="19" spans="2:5" ht="15.75">
      <c r="B19" s="240"/>
      <c r="C19" s="53"/>
      <c r="D19" s="53"/>
      <c r="E19" s="53"/>
    </row>
    <row r="20" spans="2:5" ht="15.75">
      <c r="B20" s="240"/>
      <c r="C20" s="53"/>
      <c r="D20" s="53"/>
      <c r="E20" s="53"/>
    </row>
    <row r="21" spans="2:5" ht="15.75">
      <c r="B21" s="240"/>
      <c r="C21" s="53"/>
      <c r="D21" s="53"/>
      <c r="E21" s="53"/>
    </row>
    <row r="22" spans="2:5" ht="15.75">
      <c r="B22" s="240"/>
      <c r="C22" s="53"/>
      <c r="D22" s="53"/>
      <c r="E22" s="53"/>
    </row>
    <row r="23" spans="2:5" ht="15.75">
      <c r="B23" s="240"/>
      <c r="C23" s="53"/>
      <c r="D23" s="53"/>
      <c r="E23" s="53"/>
    </row>
    <row r="24" spans="2:5" ht="15.75">
      <c r="B24" s="240"/>
      <c r="C24" s="53"/>
      <c r="D24" s="53"/>
      <c r="E24" s="53"/>
    </row>
    <row r="25" spans="2:5" ht="15.75">
      <c r="B25" s="240"/>
      <c r="C25" s="53"/>
      <c r="D25" s="53"/>
      <c r="E25" s="53"/>
    </row>
    <row r="26" spans="2:5" ht="15.75">
      <c r="B26" s="240"/>
      <c r="C26" s="53"/>
      <c r="D26" s="53"/>
      <c r="E26" s="53"/>
    </row>
    <row r="27" spans="2:5" ht="15.75">
      <c r="B27" s="232" t="s">
        <v>34</v>
      </c>
      <c r="C27" s="53"/>
      <c r="D27" s="227"/>
      <c r="E27" s="227"/>
    </row>
    <row r="28" spans="2:5" ht="15.75">
      <c r="B28" s="232" t="s">
        <v>255</v>
      </c>
      <c r="C28" s="353">
        <f>IF(C29*0.1&lt;C27,"Exceed 10% Rule","")</f>
      </c>
      <c r="D28" s="233">
        <f>IF(D29*0.1&lt;D27,"Exceed 10% Rule","")</f>
      </c>
      <c r="E28" s="233">
        <f>IF(E29*0.1&lt;E27,"Exceed 10% Rule","")</f>
      </c>
    </row>
    <row r="29" spans="2:5" ht="15.75">
      <c r="B29" s="234" t="s">
        <v>85</v>
      </c>
      <c r="C29" s="274">
        <f>SUM(C18:C27)</f>
        <v>301</v>
      </c>
      <c r="D29" s="274">
        <f>SUM(D18:D27)</f>
        <v>15000</v>
      </c>
      <c r="E29" s="274">
        <f>SUM(E18:E27)</f>
        <v>33988</v>
      </c>
    </row>
    <row r="30" spans="2:5" ht="15.75">
      <c r="B30" s="89" t="s">
        <v>185</v>
      </c>
      <c r="C30" s="61">
        <f>C16-C29</f>
        <v>30988</v>
      </c>
      <c r="D30" s="61">
        <f>D16-D29</f>
        <v>25988</v>
      </c>
      <c r="E30" s="61">
        <f>E16-E29</f>
        <v>0</v>
      </c>
    </row>
    <row r="31" spans="2:5" ht="15.75">
      <c r="B31" s="224" t="str">
        <f>CONCATENATE("",E1-2,"/",E1-1,"/",E1," Budget Authority Amount:")</f>
        <v>2013/2014/2015 Budget Authority Amount:</v>
      </c>
      <c r="C31" s="261">
        <f>inputOth!B55</f>
        <v>18246</v>
      </c>
      <c r="D31" s="261">
        <f>inputPrYr!D41</f>
        <v>18535</v>
      </c>
      <c r="E31" s="494">
        <f>E29</f>
        <v>33988</v>
      </c>
    </row>
    <row r="32" spans="2:5" ht="15.75">
      <c r="B32" s="210"/>
      <c r="C32" s="243">
        <f>IF(C29&gt;C31,"See Tab A","")</f>
      </c>
      <c r="D32" s="243">
        <f>IF(D29&gt;D31,"See Tab C","")</f>
      </c>
      <c r="E32" s="495">
        <f>IF(E30&lt;0,"See Tab E","")</f>
      </c>
    </row>
    <row r="33" spans="2:5" ht="15.75">
      <c r="B33" s="210"/>
      <c r="C33" s="243">
        <f>IF(C30&lt;0,"See Tab B","")</f>
      </c>
      <c r="D33" s="243">
        <f>IF(D30&lt;0,"See Tab D","")</f>
      </c>
      <c r="E33" s="86"/>
    </row>
    <row r="34" spans="2:5" ht="15.75">
      <c r="B34" s="28"/>
      <c r="C34" s="86"/>
      <c r="D34" s="86"/>
      <c r="E34" s="86"/>
    </row>
    <row r="35" spans="2:5" ht="15.75">
      <c r="B35" s="27" t="s">
        <v>71</v>
      </c>
      <c r="C35" s="249"/>
      <c r="D35" s="249"/>
      <c r="E35" s="249"/>
    </row>
    <row r="36" spans="2:5" ht="15.75">
      <c r="B36" s="28"/>
      <c r="C36" s="245" t="str">
        <f aca="true" t="shared" si="0" ref="C36:E37">C5</f>
        <v>Prior Year </v>
      </c>
      <c r="D36" s="151" t="str">
        <f t="shared" si="0"/>
        <v>Current Year </v>
      </c>
      <c r="E36" s="151" t="str">
        <f t="shared" si="0"/>
        <v>Proposed Budget </v>
      </c>
    </row>
    <row r="37" spans="2:5" ht="15.75">
      <c r="B37" s="355" t="str">
        <f>inputPrYr!B42</f>
        <v>Solid Waste</v>
      </c>
      <c r="C37" s="238" t="str">
        <f t="shared" si="0"/>
        <v>Actual for 2013</v>
      </c>
      <c r="D37" s="238" t="str">
        <f t="shared" si="0"/>
        <v>Estimate for 2014</v>
      </c>
      <c r="E37" s="238" t="str">
        <f t="shared" si="0"/>
        <v>Year for 2015</v>
      </c>
    </row>
    <row r="38" spans="2:5" ht="15.75">
      <c r="B38" s="89" t="s">
        <v>184</v>
      </c>
      <c r="C38" s="53">
        <v>501382</v>
      </c>
      <c r="D38" s="188">
        <f>C61</f>
        <v>532835</v>
      </c>
      <c r="E38" s="188">
        <f>D61</f>
        <v>419167</v>
      </c>
    </row>
    <row r="39" spans="2:5" ht="15.75">
      <c r="B39" s="89" t="s">
        <v>186</v>
      </c>
      <c r="C39" s="49"/>
      <c r="D39" s="49"/>
      <c r="E39" s="49"/>
    </row>
    <row r="40" spans="2:5" ht="15.75">
      <c r="B40" s="240" t="s">
        <v>415</v>
      </c>
      <c r="C40" s="53">
        <v>707729</v>
      </c>
      <c r="D40" s="53">
        <v>675000</v>
      </c>
      <c r="E40" s="53">
        <v>660000</v>
      </c>
    </row>
    <row r="41" spans="2:5" ht="15.75">
      <c r="B41" s="240"/>
      <c r="C41" s="53"/>
      <c r="D41" s="53"/>
      <c r="E41" s="53"/>
    </row>
    <row r="42" spans="2:5" ht="15.75">
      <c r="B42" s="240"/>
      <c r="C42" s="53"/>
      <c r="D42" s="53"/>
      <c r="E42" s="53"/>
    </row>
    <row r="43" spans="2:5" ht="15.75">
      <c r="B43" s="231" t="s">
        <v>79</v>
      </c>
      <c r="C43" s="53"/>
      <c r="D43" s="53"/>
      <c r="E43" s="53"/>
    </row>
    <row r="44" spans="2:5" ht="15.75">
      <c r="B44" s="232" t="s">
        <v>34</v>
      </c>
      <c r="C44" s="53"/>
      <c r="D44" s="227"/>
      <c r="E44" s="227"/>
    </row>
    <row r="45" spans="2:5" ht="15.75">
      <c r="B45" s="232" t="s">
        <v>256</v>
      </c>
      <c r="C45" s="353">
        <f>IF(C46*0.1&lt;C44,"Exceed 10% Rule","")</f>
      </c>
      <c r="D45" s="233">
        <f>IF(D46*0.1&lt;D44,"Exceed 10% Rule","")</f>
      </c>
      <c r="E45" s="233">
        <f>IF(E46*0.1&lt;E44,"Exceed 10% Rule","")</f>
      </c>
    </row>
    <row r="46" spans="2:5" ht="15.75">
      <c r="B46" s="234" t="s">
        <v>80</v>
      </c>
      <c r="C46" s="274">
        <f>SUM(C40:C44)</f>
        <v>707729</v>
      </c>
      <c r="D46" s="274">
        <f>SUM(D40:D44)</f>
        <v>675000</v>
      </c>
      <c r="E46" s="274">
        <f>SUM(E40:E44)</f>
        <v>660000</v>
      </c>
    </row>
    <row r="47" spans="2:5" ht="15.75">
      <c r="B47" s="234" t="s">
        <v>81</v>
      </c>
      <c r="C47" s="274">
        <f>C38+C46</f>
        <v>1209111</v>
      </c>
      <c r="D47" s="274">
        <f>D38+D46</f>
        <v>1207835</v>
      </c>
      <c r="E47" s="274">
        <f>E38+E46</f>
        <v>1079167</v>
      </c>
    </row>
    <row r="48" spans="2:5" ht="15.75">
      <c r="B48" s="89" t="s">
        <v>84</v>
      </c>
      <c r="C48" s="188"/>
      <c r="D48" s="188"/>
      <c r="E48" s="188"/>
    </row>
    <row r="49" spans="2:5" ht="15.75">
      <c r="B49" s="51" t="s">
        <v>89</v>
      </c>
      <c r="C49" s="53">
        <v>125625</v>
      </c>
      <c r="D49" s="53">
        <v>120768</v>
      </c>
      <c r="E49" s="53">
        <v>123183</v>
      </c>
    </row>
    <row r="50" spans="2:5" ht="15.75">
      <c r="B50" s="51" t="s">
        <v>90</v>
      </c>
      <c r="C50" s="53">
        <v>373978</v>
      </c>
      <c r="D50" s="53">
        <v>458500</v>
      </c>
      <c r="E50" s="53">
        <v>513500</v>
      </c>
    </row>
    <row r="51" spans="2:5" ht="15.75">
      <c r="B51" s="51" t="s">
        <v>91</v>
      </c>
      <c r="C51" s="53">
        <v>52175</v>
      </c>
      <c r="D51" s="53">
        <v>56400</v>
      </c>
      <c r="E51" s="53">
        <v>66285</v>
      </c>
    </row>
    <row r="52" spans="2:5" ht="15.75">
      <c r="B52" s="51" t="s">
        <v>92</v>
      </c>
      <c r="C52" s="53">
        <v>124498</v>
      </c>
      <c r="D52" s="53">
        <v>153000</v>
      </c>
      <c r="E52" s="53">
        <v>195000</v>
      </c>
    </row>
    <row r="53" spans="2:5" ht="15.75">
      <c r="B53" s="240"/>
      <c r="C53" s="53"/>
      <c r="D53" s="53"/>
      <c r="E53" s="53"/>
    </row>
    <row r="54" spans="2:5" ht="15.75">
      <c r="B54" s="240"/>
      <c r="C54" s="53"/>
      <c r="D54" s="53"/>
      <c r="E54" s="53"/>
    </row>
    <row r="55" spans="2:5" ht="15.75">
      <c r="B55" s="240"/>
      <c r="C55" s="53"/>
      <c r="D55" s="53"/>
      <c r="E55" s="53"/>
    </row>
    <row r="56" spans="2:5" ht="15.75">
      <c r="B56" s="240"/>
      <c r="C56" s="53"/>
      <c r="D56" s="53"/>
      <c r="E56" s="53"/>
    </row>
    <row r="57" spans="2:5" ht="15.75">
      <c r="B57" s="240"/>
      <c r="C57" s="53"/>
      <c r="D57" s="53"/>
      <c r="E57" s="53"/>
    </row>
    <row r="58" spans="2:5" ht="15.75">
      <c r="B58" s="232" t="s">
        <v>34</v>
      </c>
      <c r="C58" s="53"/>
      <c r="D58" s="227"/>
      <c r="E58" s="227"/>
    </row>
    <row r="59" spans="2:5" ht="15.75">
      <c r="B59" s="232" t="s">
        <v>255</v>
      </c>
      <c r="C59" s="353">
        <f>IF(C60*0.1&lt;C58,"Exceed 10% Rule","")</f>
      </c>
      <c r="D59" s="233">
        <f>IF(D60*0.1&lt;D58,"Exceed 10% Rule","")</f>
      </c>
      <c r="E59" s="233">
        <f>IF(E60*0.1&lt;E58,"Exceed 10% Rule","")</f>
      </c>
    </row>
    <row r="60" spans="2:5" ht="15.75">
      <c r="B60" s="234" t="s">
        <v>85</v>
      </c>
      <c r="C60" s="274">
        <f>SUM(C49:C58)</f>
        <v>676276</v>
      </c>
      <c r="D60" s="274">
        <f>SUM(D49:D58)</f>
        <v>788668</v>
      </c>
      <c r="E60" s="274">
        <f>SUM(E49:E58)</f>
        <v>897968</v>
      </c>
    </row>
    <row r="61" spans="2:5" ht="15.75">
      <c r="B61" s="89" t="s">
        <v>185</v>
      </c>
      <c r="C61" s="61">
        <f>C47-C60</f>
        <v>532835</v>
      </c>
      <c r="D61" s="61">
        <f>D47-D60</f>
        <v>419167</v>
      </c>
      <c r="E61" s="61">
        <f>E47-E60</f>
        <v>181199</v>
      </c>
    </row>
    <row r="62" spans="2:5" ht="15.75">
      <c r="B62" s="224" t="str">
        <f>CONCATENATE("",E1-2,"/",E1-1,"/",E1," Budget Authority Amount:")</f>
        <v>2013/2014/2015 Budget Authority Amount:</v>
      </c>
      <c r="C62" s="261">
        <f>inputOth!B56</f>
        <v>769668</v>
      </c>
      <c r="D62" s="261">
        <f>inputPrYr!D42</f>
        <v>788668</v>
      </c>
      <c r="E62" s="494">
        <f>E60</f>
        <v>897968</v>
      </c>
    </row>
    <row r="63" spans="2:5" ht="15.75">
      <c r="B63" s="210"/>
      <c r="C63" s="243">
        <f>IF(C60&gt;C62,"See Tab A","")</f>
      </c>
      <c r="D63" s="243">
        <f>IF(D60&gt;D62,"See Tab C","")</f>
      </c>
      <c r="E63" s="496">
        <f>IF(E61&lt;0,"See Tab E","")</f>
      </c>
    </row>
    <row r="64" spans="2:5" ht="15.75">
      <c r="B64" s="210"/>
      <c r="C64" s="243">
        <f>IF(C61&lt;0,"See Tab B","")</f>
      </c>
      <c r="D64" s="243">
        <f>IF(D61&lt;0,"See Tab D","")</f>
      </c>
      <c r="E64" s="28"/>
    </row>
    <row r="65" spans="2:5" ht="15.75">
      <c r="B65" s="28"/>
      <c r="C65" s="28"/>
      <c r="D65" s="28"/>
      <c r="E65" s="28"/>
    </row>
    <row r="66" spans="2:5" ht="15.75">
      <c r="B66" s="210" t="s">
        <v>106</v>
      </c>
      <c r="C66" s="271">
        <v>19</v>
      </c>
      <c r="D66" s="28"/>
      <c r="E66" s="28"/>
    </row>
  </sheetData>
  <sheetProtection sheet="1"/>
  <conditionalFormatting sqref="C27">
    <cfRule type="cellIs" priority="3" dxfId="253" operator="greaterThan" stopIfTrue="1">
      <formula>$C$29*0.1</formula>
    </cfRule>
  </conditionalFormatting>
  <conditionalFormatting sqref="D27">
    <cfRule type="cellIs" priority="4" dxfId="253" operator="greaterThan" stopIfTrue="1">
      <formula>$D$29*0.1</formula>
    </cfRule>
  </conditionalFormatting>
  <conditionalFormatting sqref="E27">
    <cfRule type="cellIs" priority="5" dxfId="253" operator="greaterThan" stopIfTrue="1">
      <formula>$E$29*0.1</formula>
    </cfRule>
  </conditionalFormatting>
  <conditionalFormatting sqref="C13">
    <cfRule type="cellIs" priority="6" dxfId="253" operator="greaterThan" stopIfTrue="1">
      <formula>$C$15*0.1</formula>
    </cfRule>
  </conditionalFormatting>
  <conditionalFormatting sqref="D13">
    <cfRule type="cellIs" priority="7" dxfId="253" operator="greaterThan" stopIfTrue="1">
      <formula>$D$15*0.1</formula>
    </cfRule>
  </conditionalFormatting>
  <conditionalFormatting sqref="E13">
    <cfRule type="cellIs" priority="8" dxfId="253" operator="greaterThan" stopIfTrue="1">
      <formula>$E$15*0.1</formula>
    </cfRule>
  </conditionalFormatting>
  <conditionalFormatting sqref="C44">
    <cfRule type="cellIs" priority="9" dxfId="253" operator="greaterThan" stopIfTrue="1">
      <formula>$C$46*0.1</formula>
    </cfRule>
  </conditionalFormatting>
  <conditionalFormatting sqref="D44">
    <cfRule type="cellIs" priority="10" dxfId="253" operator="greaterThan" stopIfTrue="1">
      <formula>$D$46*0.1</formula>
    </cfRule>
  </conditionalFormatting>
  <conditionalFormatting sqref="E44">
    <cfRule type="cellIs" priority="11" dxfId="253" operator="greaterThan" stopIfTrue="1">
      <formula>$E$46*0.1</formula>
    </cfRule>
  </conditionalFormatting>
  <conditionalFormatting sqref="C58">
    <cfRule type="cellIs" priority="12" dxfId="253" operator="greaterThan" stopIfTrue="1">
      <formula>$C$60*0.1</formula>
    </cfRule>
  </conditionalFormatting>
  <conditionalFormatting sqref="D58">
    <cfRule type="cellIs" priority="13" dxfId="253" operator="greaterThan" stopIfTrue="1">
      <formula>$D$60*0.1</formula>
    </cfRule>
  </conditionalFormatting>
  <conditionalFormatting sqref="E58">
    <cfRule type="cellIs" priority="14" dxfId="253"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6"/>
  <sheetViews>
    <sheetView view="pageBreakPreview" zoomScale="96" zoomScaleSheetLayoutView="96" zoomScalePageLayoutView="0" workbookViewId="0" topLeftCell="A28">
      <selection activeCell="H28" sqref="H28"/>
    </sheetView>
  </sheetViews>
  <sheetFormatPr defaultColWidth="8.8984375" defaultRowHeight="15"/>
  <cols>
    <col min="1" max="1" width="2.3984375" style="25" customWidth="1"/>
    <col min="2" max="2" width="31.09765625" style="25" customWidth="1"/>
    <col min="3" max="4" width="15.796875" style="25" customWidth="1"/>
    <col min="5" max="5" width="16.09765625" style="25" customWidth="1"/>
    <col min="6" max="16384" width="8.8984375" style="25" customWidth="1"/>
  </cols>
  <sheetData>
    <row r="1" spans="2:5" ht="15.75">
      <c r="B1" s="155" t="str">
        <f>(inputPrYr!C2)</f>
        <v>CLOUD COUNTY</v>
      </c>
      <c r="C1" s="28"/>
      <c r="D1" s="28"/>
      <c r="E1" s="209">
        <f>inputPrYr!C4</f>
        <v>2015</v>
      </c>
    </row>
    <row r="2" spans="2:5" ht="15.75">
      <c r="B2" s="28"/>
      <c r="C2" s="28"/>
      <c r="D2" s="28"/>
      <c r="E2" s="162"/>
    </row>
    <row r="3" spans="2:5" ht="15.75">
      <c r="B3" s="93" t="s">
        <v>152</v>
      </c>
      <c r="C3" s="255"/>
      <c r="D3" s="255"/>
      <c r="E3" s="256"/>
    </row>
    <row r="4" spans="2:5" ht="15.75">
      <c r="B4" s="28"/>
      <c r="C4" s="249"/>
      <c r="D4" s="249"/>
      <c r="E4" s="249"/>
    </row>
    <row r="5" spans="2:5" ht="15.75">
      <c r="B5" s="27" t="s">
        <v>71</v>
      </c>
      <c r="C5" s="245" t="str">
        <f>general!C4</f>
        <v>Prior Year </v>
      </c>
      <c r="D5" s="151" t="str">
        <f>general!D4</f>
        <v>Current Year </v>
      </c>
      <c r="E5" s="151" t="str">
        <f>general!E4</f>
        <v>Proposed Budget </v>
      </c>
    </row>
    <row r="6" spans="2:5" ht="15.75">
      <c r="B6" s="356" t="str">
        <f>inputPrYr!B43</f>
        <v>Spec. Econ. Dev.-Horizons</v>
      </c>
      <c r="C6" s="238" t="str">
        <f>general!C5</f>
        <v>Actual for 2013</v>
      </c>
      <c r="D6" s="238" t="str">
        <f>general!D5</f>
        <v>Estimate for 2014</v>
      </c>
      <c r="E6" s="225" t="str">
        <f>general!E5</f>
        <v>Year for 2015</v>
      </c>
    </row>
    <row r="7" spans="2:5" ht="15.75">
      <c r="B7" s="89" t="s">
        <v>184</v>
      </c>
      <c r="C7" s="53">
        <v>84310</v>
      </c>
      <c r="D7" s="188">
        <f>C30</f>
        <v>235289</v>
      </c>
      <c r="E7" s="188">
        <f>D30</f>
        <v>100979</v>
      </c>
    </row>
    <row r="8" spans="2:5" ht="15.75">
      <c r="B8" s="258" t="s">
        <v>186</v>
      </c>
      <c r="C8" s="49"/>
      <c r="D8" s="49"/>
      <c r="E8" s="49"/>
    </row>
    <row r="9" spans="2:5" ht="15.75">
      <c r="B9" s="240" t="s">
        <v>368</v>
      </c>
      <c r="C9" s="53">
        <v>310000</v>
      </c>
      <c r="D9" s="53">
        <v>300000</v>
      </c>
      <c r="E9" s="53">
        <v>300000</v>
      </c>
    </row>
    <row r="10" spans="2:5" ht="15.75">
      <c r="B10" s="240"/>
      <c r="C10" s="53"/>
      <c r="D10" s="53"/>
      <c r="E10" s="53"/>
    </row>
    <row r="11" spans="2:5" ht="15.75">
      <c r="B11" s="240"/>
      <c r="C11" s="53"/>
      <c r="D11" s="53"/>
      <c r="E11" s="53"/>
    </row>
    <row r="12" spans="2:5" ht="15.75">
      <c r="B12" s="231" t="s">
        <v>79</v>
      </c>
      <c r="C12" s="53"/>
      <c r="D12" s="53"/>
      <c r="E12" s="53"/>
    </row>
    <row r="13" spans="2:5" ht="15.75">
      <c r="B13" s="232" t="s">
        <v>34</v>
      </c>
      <c r="C13" s="53"/>
      <c r="D13" s="227"/>
      <c r="E13" s="227"/>
    </row>
    <row r="14" spans="2:5" ht="15.75">
      <c r="B14" s="232" t="s">
        <v>256</v>
      </c>
      <c r="C14" s="353">
        <f>IF(C15*0.1&lt;C13,"Exceed 10% Rule","")</f>
      </c>
      <c r="D14" s="233">
        <f>IF(D15*0.1&lt;D13,"Exceed 10% Rule","")</f>
      </c>
      <c r="E14" s="233">
        <f>IF(E15*0.1&lt;E13,"Exceed 10% Rule","")</f>
      </c>
    </row>
    <row r="15" spans="2:5" ht="15.75">
      <c r="B15" s="234" t="s">
        <v>80</v>
      </c>
      <c r="C15" s="274">
        <f>SUM(C9:C13)</f>
        <v>310000</v>
      </c>
      <c r="D15" s="274">
        <f>SUM(D9:D13)</f>
        <v>300000</v>
      </c>
      <c r="E15" s="274">
        <f>SUM(E9:E13)</f>
        <v>300000</v>
      </c>
    </row>
    <row r="16" spans="2:5" ht="15.75">
      <c r="B16" s="234" t="s">
        <v>81</v>
      </c>
      <c r="C16" s="274">
        <f>C15+C7</f>
        <v>394310</v>
      </c>
      <c r="D16" s="274">
        <f>D15+D7</f>
        <v>535289</v>
      </c>
      <c r="E16" s="274">
        <f>E15+E7</f>
        <v>400979</v>
      </c>
    </row>
    <row r="17" spans="2:5" ht="15.75">
      <c r="B17" s="89" t="s">
        <v>84</v>
      </c>
      <c r="C17" s="188"/>
      <c r="D17" s="188"/>
      <c r="E17" s="188"/>
    </row>
    <row r="18" spans="2:5" ht="15.75">
      <c r="B18" s="240" t="s">
        <v>410</v>
      </c>
      <c r="C18" s="53">
        <v>159021</v>
      </c>
      <c r="D18" s="53">
        <v>434310</v>
      </c>
      <c r="E18" s="53">
        <v>400979</v>
      </c>
    </row>
    <row r="19" spans="2:5" ht="15.75">
      <c r="B19" s="240"/>
      <c r="C19" s="53"/>
      <c r="D19" s="53"/>
      <c r="E19" s="53"/>
    </row>
    <row r="20" spans="2:5" ht="15.75">
      <c r="B20" s="240"/>
      <c r="C20" s="53"/>
      <c r="D20" s="53"/>
      <c r="E20" s="53"/>
    </row>
    <row r="21" spans="2:5" ht="15.75">
      <c r="B21" s="240"/>
      <c r="C21" s="53"/>
      <c r="D21" s="53"/>
      <c r="E21" s="53"/>
    </row>
    <row r="22" spans="2:5" ht="15.75">
      <c r="B22" s="240"/>
      <c r="C22" s="53"/>
      <c r="D22" s="53"/>
      <c r="E22" s="53"/>
    </row>
    <row r="23" spans="2:5" ht="15.75">
      <c r="B23" s="240"/>
      <c r="C23" s="53"/>
      <c r="D23" s="53"/>
      <c r="E23" s="53"/>
    </row>
    <row r="24" spans="2:5" ht="15.75">
      <c r="B24" s="240"/>
      <c r="C24" s="53"/>
      <c r="D24" s="53"/>
      <c r="E24" s="53"/>
    </row>
    <row r="25" spans="2:5" ht="15.75">
      <c r="B25" s="240"/>
      <c r="C25" s="53"/>
      <c r="D25" s="53"/>
      <c r="E25" s="53"/>
    </row>
    <row r="26" spans="2:5" ht="15.75">
      <c r="B26" s="240"/>
      <c r="C26" s="53"/>
      <c r="D26" s="53"/>
      <c r="E26" s="53"/>
    </row>
    <row r="27" spans="2:5" ht="15.75">
      <c r="B27" s="232" t="s">
        <v>34</v>
      </c>
      <c r="C27" s="53"/>
      <c r="D27" s="227"/>
      <c r="E27" s="227"/>
    </row>
    <row r="28" spans="2:5" ht="15.75">
      <c r="B28" s="232" t="s">
        <v>255</v>
      </c>
      <c r="C28" s="353">
        <f>IF(C29*0.1&lt;C27,"Exceed 10% Rule","")</f>
      </c>
      <c r="D28" s="233">
        <f>IF(D29*0.1&lt;D27,"Exceed 10% Rule","")</f>
      </c>
      <c r="E28" s="233">
        <f>IF(E29*0.1&lt;E27,"Exceed 10% Rule","")</f>
      </c>
    </row>
    <row r="29" spans="2:5" ht="15.75">
      <c r="B29" s="234" t="s">
        <v>85</v>
      </c>
      <c r="C29" s="274">
        <f>SUM(C18:C27)</f>
        <v>159021</v>
      </c>
      <c r="D29" s="274">
        <f>SUM(D18:D27)</f>
        <v>434310</v>
      </c>
      <c r="E29" s="274">
        <f>SUM(E18:E27)</f>
        <v>400979</v>
      </c>
    </row>
    <row r="30" spans="2:5" ht="15.75">
      <c r="B30" s="89" t="s">
        <v>185</v>
      </c>
      <c r="C30" s="61">
        <f>C16-C29</f>
        <v>235289</v>
      </c>
      <c r="D30" s="61">
        <f>D16-D29</f>
        <v>100979</v>
      </c>
      <c r="E30" s="61">
        <f>E16-E29</f>
        <v>0</v>
      </c>
    </row>
    <row r="31" spans="2:5" ht="15.75">
      <c r="B31" s="224" t="str">
        <f>CONCATENATE("",E1-2,"/",E1-1,"/",E1," Budget Authority Amount:")</f>
        <v>2013/2014/2015 Budget Authority Amount:</v>
      </c>
      <c r="C31" s="261">
        <f>inputOth!B57</f>
        <v>371604</v>
      </c>
      <c r="D31" s="261">
        <f>inputPrYr!D43</f>
        <v>434310</v>
      </c>
      <c r="E31" s="494">
        <f>E29</f>
        <v>400979</v>
      </c>
    </row>
    <row r="32" spans="2:5" ht="15.75">
      <c r="B32" s="210"/>
      <c r="C32" s="243">
        <f>IF(C29&gt;C31,"See Tab A","")</f>
      </c>
      <c r="D32" s="243">
        <f>IF(D29&gt;D31,"See Tab C","")</f>
      </c>
      <c r="E32" s="495">
        <f>IF(E30&lt;0,"See Tab E","")</f>
      </c>
    </row>
    <row r="33" spans="2:5" ht="15.75">
      <c r="B33" s="210"/>
      <c r="C33" s="243">
        <f>IF(C30&lt;0,"See Tab B","")</f>
      </c>
      <c r="D33" s="243">
        <f>IF(D30&lt;0,"See Tab D","")</f>
      </c>
      <c r="E33" s="86"/>
    </row>
    <row r="34" spans="2:5" ht="15.75">
      <c r="B34" s="28"/>
      <c r="C34" s="86"/>
      <c r="D34" s="86"/>
      <c r="E34" s="86"/>
    </row>
    <row r="35" spans="2:5" ht="15.75">
      <c r="B35" s="27" t="s">
        <v>71</v>
      </c>
      <c r="C35" s="249"/>
      <c r="D35" s="249"/>
      <c r="E35" s="249"/>
    </row>
    <row r="36" spans="2:5" ht="15.75">
      <c r="B36" s="28"/>
      <c r="C36" s="245" t="str">
        <f aca="true" t="shared" si="0" ref="C36:E37">C5</f>
        <v>Prior Year </v>
      </c>
      <c r="D36" s="151" t="str">
        <f t="shared" si="0"/>
        <v>Current Year </v>
      </c>
      <c r="E36" s="151" t="str">
        <f t="shared" si="0"/>
        <v>Proposed Budget </v>
      </c>
    </row>
    <row r="37" spans="2:5" ht="15.75">
      <c r="B37" s="355" t="str">
        <f>inputPrYr!B44</f>
        <v>Law Enforcement</v>
      </c>
      <c r="C37" s="238" t="str">
        <f t="shared" si="0"/>
        <v>Actual for 2013</v>
      </c>
      <c r="D37" s="238" t="str">
        <f t="shared" si="0"/>
        <v>Estimate for 2014</v>
      </c>
      <c r="E37" s="238" t="str">
        <f t="shared" si="0"/>
        <v>Year for 2015</v>
      </c>
    </row>
    <row r="38" spans="2:5" ht="15.75">
      <c r="B38" s="89" t="s">
        <v>184</v>
      </c>
      <c r="C38" s="53">
        <v>0</v>
      </c>
      <c r="D38" s="188">
        <f>C61</f>
        <v>4350</v>
      </c>
      <c r="E38" s="188">
        <f>D61</f>
        <v>0</v>
      </c>
    </row>
    <row r="39" spans="2:5" ht="15.75">
      <c r="B39" s="89" t="s">
        <v>186</v>
      </c>
      <c r="C39" s="49"/>
      <c r="D39" s="49"/>
      <c r="E39" s="49"/>
    </row>
    <row r="40" spans="2:5" ht="15.75">
      <c r="B40" s="240" t="s">
        <v>416</v>
      </c>
      <c r="C40" s="53">
        <v>4350</v>
      </c>
      <c r="D40" s="53">
        <v>160000</v>
      </c>
      <c r="E40" s="53">
        <v>367975</v>
      </c>
    </row>
    <row r="41" spans="2:5" ht="15.75">
      <c r="B41" s="240" t="s">
        <v>34</v>
      </c>
      <c r="C41" s="53"/>
      <c r="D41" s="53">
        <v>87982</v>
      </c>
      <c r="E41" s="53"/>
    </row>
    <row r="42" spans="2:5" ht="15.75">
      <c r="B42" s="240"/>
      <c r="C42" s="53"/>
      <c r="D42" s="53"/>
      <c r="E42" s="53"/>
    </row>
    <row r="43" spans="2:5" ht="15.75">
      <c r="B43" s="231" t="s">
        <v>79</v>
      </c>
      <c r="C43" s="53"/>
      <c r="D43" s="53"/>
      <c r="E43" s="53"/>
    </row>
    <row r="44" spans="2:5" ht="15.75">
      <c r="B44" s="232" t="s">
        <v>34</v>
      </c>
      <c r="C44" s="53"/>
      <c r="D44" s="227"/>
      <c r="E44" s="227"/>
    </row>
    <row r="45" spans="2:5" ht="15.75">
      <c r="B45" s="232" t="s">
        <v>256</v>
      </c>
      <c r="C45" s="353">
        <f>IF(C46*0.1&lt;C44,"Exceed 10% Rule","")</f>
      </c>
      <c r="D45" s="233">
        <f>IF(D46*0.1&lt;D44,"Exceed 10% Rule","")</f>
      </c>
      <c r="E45" s="233">
        <f>IF(E46*0.1&lt;E44,"Exceed 10% Rule","")</f>
      </c>
    </row>
    <row r="46" spans="2:5" ht="15.75">
      <c r="B46" s="234" t="s">
        <v>80</v>
      </c>
      <c r="C46" s="274">
        <f>SUM(C40:C44)</f>
        <v>4350</v>
      </c>
      <c r="D46" s="274">
        <f>SUM(D40:D44)</f>
        <v>247982</v>
      </c>
      <c r="E46" s="274">
        <f>SUM(E40:E44)</f>
        <v>367975</v>
      </c>
    </row>
    <row r="47" spans="2:5" ht="15.75">
      <c r="B47" s="234" t="s">
        <v>81</v>
      </c>
      <c r="C47" s="274">
        <f>C38+C46</f>
        <v>4350</v>
      </c>
      <c r="D47" s="274">
        <f>D38+D46</f>
        <v>252332</v>
      </c>
      <c r="E47" s="274">
        <f>E38+E46</f>
        <v>367975</v>
      </c>
    </row>
    <row r="48" spans="2:5" ht="15.75">
      <c r="B48" s="89" t="s">
        <v>84</v>
      </c>
      <c r="C48" s="188"/>
      <c r="D48" s="188"/>
      <c r="E48" s="188"/>
    </row>
    <row r="49" spans="2:5" ht="15.75">
      <c r="B49" s="240" t="s">
        <v>418</v>
      </c>
      <c r="C49" s="53"/>
      <c r="D49" s="53">
        <v>135000</v>
      </c>
      <c r="E49" s="53">
        <v>135000</v>
      </c>
    </row>
    <row r="50" spans="2:5" ht="15.75">
      <c r="B50" s="240" t="s">
        <v>417</v>
      </c>
      <c r="C50" s="53"/>
      <c r="D50" s="53">
        <v>117332</v>
      </c>
      <c r="E50" s="53">
        <v>232975</v>
      </c>
    </row>
    <row r="51" spans="2:5" ht="15.75">
      <c r="B51" s="240" t="s">
        <v>3</v>
      </c>
      <c r="C51" s="53"/>
      <c r="D51" s="53"/>
      <c r="E51" s="53"/>
    </row>
    <row r="52" spans="2:5" ht="15.75">
      <c r="B52" s="240"/>
      <c r="C52" s="53"/>
      <c r="D52" s="53"/>
      <c r="E52" s="53"/>
    </row>
    <row r="53" spans="2:5" ht="15.75">
      <c r="B53" s="240"/>
      <c r="C53" s="53"/>
      <c r="D53" s="53"/>
      <c r="E53" s="53"/>
    </row>
    <row r="54" spans="2:5" ht="15.75">
      <c r="B54" s="240"/>
      <c r="C54" s="53"/>
      <c r="D54" s="53"/>
      <c r="E54" s="53"/>
    </row>
    <row r="55" spans="2:5" ht="15.75">
      <c r="B55" s="240"/>
      <c r="C55" s="53"/>
      <c r="D55" s="53"/>
      <c r="E55" s="53"/>
    </row>
    <row r="56" spans="2:5" ht="15.75">
      <c r="B56" s="240"/>
      <c r="C56" s="53"/>
      <c r="D56" s="53"/>
      <c r="E56" s="53"/>
    </row>
    <row r="57" spans="2:5" ht="15.75">
      <c r="B57" s="240"/>
      <c r="C57" s="53"/>
      <c r="D57" s="53"/>
      <c r="E57" s="53"/>
    </row>
    <row r="58" spans="2:5" ht="15.75">
      <c r="B58" s="232" t="s">
        <v>34</v>
      </c>
      <c r="C58" s="53"/>
      <c r="D58" s="227"/>
      <c r="E58" s="227"/>
    </row>
    <row r="59" spans="2:5" ht="15.75">
      <c r="B59" s="232" t="s">
        <v>255</v>
      </c>
      <c r="C59" s="353">
        <f>IF(C60*0.1&lt;C58,"Exceed 10% Rule","")</f>
      </c>
      <c r="D59" s="233">
        <f>IF(D60*0.1&lt;D58,"Exceed 10% Rule","")</f>
      </c>
      <c r="E59" s="233">
        <f>IF(E60*0.1&lt;E58,"Exceed 10% Rule","")</f>
      </c>
    </row>
    <row r="60" spans="2:5" ht="15.75">
      <c r="B60" s="234" t="s">
        <v>85</v>
      </c>
      <c r="C60" s="274">
        <f>SUM(C49:C58)</f>
        <v>0</v>
      </c>
      <c r="D60" s="274">
        <f>SUM(D49:D58)</f>
        <v>252332</v>
      </c>
      <c r="E60" s="274">
        <f>SUM(E49:E58)</f>
        <v>367975</v>
      </c>
    </row>
    <row r="61" spans="2:5" ht="15.75">
      <c r="B61" s="89" t="s">
        <v>185</v>
      </c>
      <c r="C61" s="61">
        <f>C47-C60</f>
        <v>4350</v>
      </c>
      <c r="D61" s="61">
        <f>D47-D60</f>
        <v>0</v>
      </c>
      <c r="E61" s="61">
        <f>E47-E60</f>
        <v>0</v>
      </c>
    </row>
    <row r="62" spans="2:5" ht="15.75">
      <c r="B62" s="224" t="str">
        <f>CONCATENATE("",E1-2,"/",E1-1,"/",E1," Budget Authority Amount:")</f>
        <v>2013/2014/2015 Budget Authority Amount:</v>
      </c>
      <c r="C62" s="261">
        <f>inputOth!B58</f>
        <v>0</v>
      </c>
      <c r="D62" s="261">
        <f>inputPrYr!D44</f>
        <v>369663</v>
      </c>
      <c r="E62" s="494">
        <f>E60</f>
        <v>367975</v>
      </c>
    </row>
    <row r="63" spans="2:5" ht="15.75">
      <c r="B63" s="210"/>
      <c r="C63" s="243">
        <f>IF(C60&gt;C62,"See Tab A","")</f>
      </c>
      <c r="D63" s="243">
        <f>IF(D60&gt;D62,"See Tab C","")</f>
      </c>
      <c r="E63" s="496">
        <f>IF(E61&lt;0,"See Tab E","")</f>
      </c>
    </row>
    <row r="64" spans="2:5" ht="15.75">
      <c r="B64" s="210"/>
      <c r="C64" s="243">
        <f>IF(C61&lt;0,"See Tab B","")</f>
      </c>
      <c r="D64" s="243">
        <f>IF(D61&lt;0,"See Tab D","")</f>
      </c>
      <c r="E64" s="28"/>
    </row>
    <row r="65" spans="2:5" ht="15.75">
      <c r="B65" s="28"/>
      <c r="C65" s="28"/>
      <c r="D65" s="28"/>
      <c r="E65" s="28"/>
    </row>
    <row r="66" spans="2:5" ht="15.75">
      <c r="B66" s="210" t="s">
        <v>106</v>
      </c>
      <c r="C66" s="271">
        <v>20</v>
      </c>
      <c r="D66" s="28"/>
      <c r="E66" s="28"/>
    </row>
  </sheetData>
  <sheetProtection sheet="1"/>
  <conditionalFormatting sqref="C27">
    <cfRule type="cellIs" priority="3" dxfId="253" operator="greaterThan" stopIfTrue="1">
      <formula>$C$29*0.1</formula>
    </cfRule>
  </conditionalFormatting>
  <conditionalFormatting sqref="D27">
    <cfRule type="cellIs" priority="4" dxfId="253" operator="greaterThan" stopIfTrue="1">
      <formula>$D$29*0.1</formula>
    </cfRule>
  </conditionalFormatting>
  <conditionalFormatting sqref="E27">
    <cfRule type="cellIs" priority="5" dxfId="253" operator="greaterThan" stopIfTrue="1">
      <formula>$E$29*0.1</formula>
    </cfRule>
  </conditionalFormatting>
  <conditionalFormatting sqref="C13">
    <cfRule type="cellIs" priority="6" dxfId="253" operator="greaterThan" stopIfTrue="1">
      <formula>$C$15*0.1</formula>
    </cfRule>
  </conditionalFormatting>
  <conditionalFormatting sqref="D13">
    <cfRule type="cellIs" priority="7" dxfId="253" operator="greaterThan" stopIfTrue="1">
      <formula>$D$15*0.1</formula>
    </cfRule>
  </conditionalFormatting>
  <conditionalFormatting sqref="E13">
    <cfRule type="cellIs" priority="8" dxfId="253" operator="greaterThan" stopIfTrue="1">
      <formula>$E$15*0.1</formula>
    </cfRule>
  </conditionalFormatting>
  <conditionalFormatting sqref="C44">
    <cfRule type="cellIs" priority="9" dxfId="253" operator="greaterThan" stopIfTrue="1">
      <formula>$C$46*0.1</formula>
    </cfRule>
  </conditionalFormatting>
  <conditionalFormatting sqref="D44">
    <cfRule type="cellIs" priority="10" dxfId="253" operator="greaterThan" stopIfTrue="1">
      <formula>$D$46*0.1</formula>
    </cfRule>
  </conditionalFormatting>
  <conditionalFormatting sqref="E44">
    <cfRule type="cellIs" priority="11" dxfId="253" operator="greaterThan" stopIfTrue="1">
      <formula>$E$46*0.1</formula>
    </cfRule>
  </conditionalFormatting>
  <conditionalFormatting sqref="C58">
    <cfRule type="cellIs" priority="12" dxfId="253" operator="greaterThan" stopIfTrue="1">
      <formula>$C$60*0.1</formula>
    </cfRule>
  </conditionalFormatting>
  <conditionalFormatting sqref="D58">
    <cfRule type="cellIs" priority="13" dxfId="253" operator="greaterThan" stopIfTrue="1">
      <formula>$D$60*0.1</formula>
    </cfRule>
  </conditionalFormatting>
  <conditionalFormatting sqref="E58">
    <cfRule type="cellIs" priority="14" dxfId="253"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8" r:id="rId1"/>
  <headerFooter alignWithMargins="0">
    <oddHeader>&amp;RState of Kansas
County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view="pageBreakPreview" zoomScale="95" zoomScaleSheetLayoutView="95" zoomScalePageLayoutView="0" workbookViewId="0" topLeftCell="A18">
      <selection activeCell="F34" sqref="F34"/>
    </sheetView>
  </sheetViews>
  <sheetFormatPr defaultColWidth="8.8984375" defaultRowHeight="15"/>
  <cols>
    <col min="1" max="1" width="11.59765625" style="25" customWidth="1"/>
    <col min="2" max="2" width="7.3984375" style="25" customWidth="1"/>
    <col min="3" max="3" width="11.59765625" style="25" customWidth="1"/>
    <col min="4" max="4" width="7.3984375" style="25" customWidth="1"/>
    <col min="5" max="5" width="11.59765625" style="25" customWidth="1"/>
    <col min="6" max="6" width="7.3984375" style="25" customWidth="1"/>
    <col min="7" max="7" width="11.59765625" style="25" customWidth="1"/>
    <col min="8" max="8" width="7.3984375" style="25" customWidth="1"/>
    <col min="9" max="9" width="11.59765625" style="25" customWidth="1"/>
    <col min="10" max="11" width="8.8984375" style="25" customWidth="1"/>
    <col min="12" max="12" width="3.796875" style="25" customWidth="1"/>
    <col min="13" max="16384" width="8.8984375" style="25" customWidth="1"/>
  </cols>
  <sheetData>
    <row r="1" spans="1:11" ht="15.75">
      <c r="A1" s="85" t="str">
        <f>inputPrYr!$C$2</f>
        <v>CLOUD COUNTY</v>
      </c>
      <c r="B1" s="277"/>
      <c r="C1" s="66"/>
      <c r="D1" s="66"/>
      <c r="E1" s="66"/>
      <c r="F1" s="278" t="s">
        <v>9</v>
      </c>
      <c r="G1" s="66"/>
      <c r="H1" s="66"/>
      <c r="I1" s="66"/>
      <c r="J1" s="66"/>
      <c r="K1" s="66">
        <f>inputPrYr!$C$4</f>
        <v>2015</v>
      </c>
    </row>
    <row r="2" spans="1:11" ht="15.75">
      <c r="A2" s="66"/>
      <c r="B2" s="66"/>
      <c r="C2" s="66"/>
      <c r="D2" s="66"/>
      <c r="E2" s="66"/>
      <c r="F2" s="279" t="str">
        <f>CONCATENATE("(Only the actual budget year for ",K1-2," is to be shown)")</f>
        <v>(Only the actual budget year for 2013 is to be shown)</v>
      </c>
      <c r="G2" s="66"/>
      <c r="H2" s="66"/>
      <c r="I2" s="66"/>
      <c r="J2" s="66"/>
      <c r="K2" s="66"/>
    </row>
    <row r="3" spans="1:11" ht="15.75">
      <c r="A3" s="66" t="s">
        <v>10</v>
      </c>
      <c r="B3" s="66"/>
      <c r="C3" s="66"/>
      <c r="D3" s="66"/>
      <c r="E3" s="66"/>
      <c r="F3" s="277"/>
      <c r="G3" s="66"/>
      <c r="H3" s="66"/>
      <c r="I3" s="66"/>
      <c r="J3" s="66"/>
      <c r="K3" s="66"/>
    </row>
    <row r="4" spans="1:11" ht="15.75">
      <c r="A4" s="66" t="s">
        <v>11</v>
      </c>
      <c r="B4" s="66"/>
      <c r="C4" s="66" t="s">
        <v>12</v>
      </c>
      <c r="D4" s="66"/>
      <c r="E4" s="66" t="s">
        <v>13</v>
      </c>
      <c r="F4" s="277"/>
      <c r="G4" s="66" t="s">
        <v>14</v>
      </c>
      <c r="H4" s="66"/>
      <c r="I4" s="66" t="s">
        <v>15</v>
      </c>
      <c r="J4" s="66"/>
      <c r="K4" s="66"/>
    </row>
    <row r="5" spans="1:11" ht="15.75">
      <c r="A5" s="635" t="str">
        <f>IF(inputPrYr!B50&gt;" ",(inputPrYr!B50)," ")</f>
        <v>Special Highway Imprv.</v>
      </c>
      <c r="B5" s="636"/>
      <c r="C5" s="635" t="str">
        <f>IF(inputPrYr!B51&gt;" ",(inputPrYr!B51)," ")</f>
        <v>Spec. Mach. &amp; Equip.</v>
      </c>
      <c r="D5" s="636"/>
      <c r="E5" s="635" t="str">
        <f>IF(inputPrYr!B52&gt;" ",(inputPrYr!B52)," ")</f>
        <v>Auto Spec.</v>
      </c>
      <c r="F5" s="636"/>
      <c r="G5" s="635" t="str">
        <f>IF(inputPrYr!B53&gt;" ",(inputPrYr!B53)," ")</f>
        <v> </v>
      </c>
      <c r="H5" s="636"/>
      <c r="I5" s="635" t="str">
        <f>IF(inputPrYr!B54&gt;" ",(inputPrYr!B54)," ")</f>
        <v> </v>
      </c>
      <c r="J5" s="636"/>
      <c r="K5" s="281"/>
    </row>
    <row r="6" spans="1:11" ht="15.75">
      <c r="A6" s="282" t="s">
        <v>16</v>
      </c>
      <c r="B6" s="283"/>
      <c r="C6" s="284" t="s">
        <v>16</v>
      </c>
      <c r="D6" s="285"/>
      <c r="E6" s="284" t="s">
        <v>16</v>
      </c>
      <c r="F6" s="280"/>
      <c r="G6" s="284" t="s">
        <v>16</v>
      </c>
      <c r="H6" s="286"/>
      <c r="I6" s="284" t="s">
        <v>16</v>
      </c>
      <c r="J6" s="66"/>
      <c r="K6" s="287" t="s">
        <v>44</v>
      </c>
    </row>
    <row r="7" spans="1:11" ht="15.75">
      <c r="A7" s="288" t="s">
        <v>38</v>
      </c>
      <c r="B7" s="289">
        <v>82467</v>
      </c>
      <c r="C7" s="290" t="s">
        <v>38</v>
      </c>
      <c r="D7" s="289">
        <v>101066</v>
      </c>
      <c r="E7" s="290" t="s">
        <v>38</v>
      </c>
      <c r="F7" s="289">
        <v>39802</v>
      </c>
      <c r="G7" s="290" t="s">
        <v>38</v>
      </c>
      <c r="H7" s="289"/>
      <c r="I7" s="290" t="s">
        <v>38</v>
      </c>
      <c r="J7" s="289"/>
      <c r="K7" s="291">
        <f>SUM(B7+D7+F7+H7+J7)</f>
        <v>223335</v>
      </c>
    </row>
    <row r="8" spans="1:11" ht="15.75">
      <c r="A8" s="292" t="s">
        <v>186</v>
      </c>
      <c r="B8" s="293"/>
      <c r="C8" s="292" t="s">
        <v>186</v>
      </c>
      <c r="D8" s="294"/>
      <c r="E8" s="292" t="s">
        <v>186</v>
      </c>
      <c r="F8" s="277"/>
      <c r="G8" s="292" t="s">
        <v>186</v>
      </c>
      <c r="H8" s="66"/>
      <c r="I8" s="292" t="s">
        <v>186</v>
      </c>
      <c r="J8" s="66"/>
      <c r="K8" s="277"/>
    </row>
    <row r="9" spans="1:11" ht="15.75">
      <c r="A9" s="295"/>
      <c r="B9" s="289"/>
      <c r="C9" s="295" t="s">
        <v>419</v>
      </c>
      <c r="D9" s="289">
        <v>60000</v>
      </c>
      <c r="E9" s="295" t="s">
        <v>421</v>
      </c>
      <c r="F9" s="289">
        <v>87015</v>
      </c>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89"/>
      <c r="E11" s="296"/>
      <c r="F11" s="289"/>
      <c r="G11" s="296"/>
      <c r="H11" s="289"/>
      <c r="I11" s="297"/>
      <c r="J11" s="289"/>
      <c r="K11" s="277"/>
    </row>
    <row r="12" spans="1:11" ht="15.75">
      <c r="A12" s="295"/>
      <c r="B12" s="289"/>
      <c r="C12" s="295"/>
      <c r="D12" s="289"/>
      <c r="E12" s="298"/>
      <c r="F12" s="289"/>
      <c r="G12" s="298"/>
      <c r="H12" s="289"/>
      <c r="I12" s="298"/>
      <c r="J12" s="289"/>
      <c r="K12" s="277"/>
    </row>
    <row r="13" spans="1:11" ht="15.75">
      <c r="A13" s="299"/>
      <c r="B13" s="289"/>
      <c r="C13" s="300"/>
      <c r="D13" s="289"/>
      <c r="E13" s="300"/>
      <c r="F13" s="289"/>
      <c r="G13" s="300"/>
      <c r="H13" s="289"/>
      <c r="I13" s="297"/>
      <c r="J13" s="289"/>
      <c r="K13" s="277"/>
    </row>
    <row r="14" spans="1:11" ht="15.75">
      <c r="A14" s="295"/>
      <c r="B14" s="289"/>
      <c r="C14" s="298"/>
      <c r="D14" s="289"/>
      <c r="E14" s="298"/>
      <c r="F14" s="289"/>
      <c r="G14" s="298"/>
      <c r="H14" s="289"/>
      <c r="I14" s="298"/>
      <c r="J14" s="289"/>
      <c r="K14" s="277"/>
    </row>
    <row r="15" spans="1:11" ht="15.75">
      <c r="A15" s="295"/>
      <c r="B15" s="289"/>
      <c r="C15" s="298"/>
      <c r="D15" s="289"/>
      <c r="E15" s="298"/>
      <c r="F15" s="289"/>
      <c r="G15" s="298"/>
      <c r="H15" s="289"/>
      <c r="I15" s="298"/>
      <c r="J15" s="289"/>
      <c r="K15" s="277"/>
    </row>
    <row r="16" spans="1:11" ht="15.75">
      <c r="A16" s="295"/>
      <c r="B16" s="289"/>
      <c r="C16" s="295"/>
      <c r="D16" s="289"/>
      <c r="E16" s="295"/>
      <c r="F16" s="289"/>
      <c r="G16" s="298"/>
      <c r="H16" s="289"/>
      <c r="I16" s="295"/>
      <c r="J16" s="289"/>
      <c r="K16" s="277"/>
    </row>
    <row r="17" spans="1:11" ht="15.75">
      <c r="A17" s="292" t="s">
        <v>80</v>
      </c>
      <c r="B17" s="301">
        <f>SUM(B9:B16)</f>
        <v>0</v>
      </c>
      <c r="C17" s="292" t="s">
        <v>80</v>
      </c>
      <c r="D17" s="291">
        <f>SUM(D9:D16)</f>
        <v>60000</v>
      </c>
      <c r="E17" s="292" t="s">
        <v>80</v>
      </c>
      <c r="F17" s="325">
        <f>SUM(F9:F16)</f>
        <v>87015</v>
      </c>
      <c r="G17" s="292" t="s">
        <v>80</v>
      </c>
      <c r="H17" s="291">
        <f>SUM(H9:H16)</f>
        <v>0</v>
      </c>
      <c r="I17" s="292" t="s">
        <v>80</v>
      </c>
      <c r="J17" s="291">
        <f>SUM(J9:J16)</f>
        <v>0</v>
      </c>
      <c r="K17" s="291">
        <f>SUM(B17+D17+F17+H17+J17)</f>
        <v>147015</v>
      </c>
    </row>
    <row r="18" spans="1:11" ht="15.75">
      <c r="A18" s="292" t="s">
        <v>81</v>
      </c>
      <c r="B18" s="301">
        <f>SUM(B7+B17)</f>
        <v>82467</v>
      </c>
      <c r="C18" s="292" t="s">
        <v>81</v>
      </c>
      <c r="D18" s="291">
        <f>SUM(D7+D17)</f>
        <v>161066</v>
      </c>
      <c r="E18" s="292" t="s">
        <v>81</v>
      </c>
      <c r="F18" s="291">
        <f>SUM(F7+F17)</f>
        <v>126817</v>
      </c>
      <c r="G18" s="292" t="s">
        <v>81</v>
      </c>
      <c r="H18" s="291">
        <f>SUM(H7+H17)</f>
        <v>0</v>
      </c>
      <c r="I18" s="292" t="s">
        <v>81</v>
      </c>
      <c r="J18" s="291">
        <f>SUM(J7+J17)</f>
        <v>0</v>
      </c>
      <c r="K18" s="291">
        <f>SUM(B18+D18+F18+H18+J18)</f>
        <v>370350</v>
      </c>
    </row>
    <row r="19" spans="1:11" ht="15.75">
      <c r="A19" s="292" t="s">
        <v>84</v>
      </c>
      <c r="B19" s="293"/>
      <c r="C19" s="292" t="s">
        <v>84</v>
      </c>
      <c r="D19" s="294"/>
      <c r="E19" s="292" t="s">
        <v>84</v>
      </c>
      <c r="F19" s="277"/>
      <c r="G19" s="292" t="s">
        <v>84</v>
      </c>
      <c r="H19" s="66"/>
      <c r="I19" s="292" t="s">
        <v>84</v>
      </c>
      <c r="J19" s="66"/>
      <c r="K19" s="277"/>
    </row>
    <row r="20" spans="1:11" ht="15.75">
      <c r="A20" s="295"/>
      <c r="B20" s="289"/>
      <c r="C20" s="298" t="s">
        <v>420</v>
      </c>
      <c r="D20" s="289">
        <v>66161</v>
      </c>
      <c r="E20" s="298" t="s">
        <v>422</v>
      </c>
      <c r="F20" s="289">
        <v>49923</v>
      </c>
      <c r="G20" s="298"/>
      <c r="H20" s="289"/>
      <c r="I20" s="298"/>
      <c r="J20" s="289"/>
      <c r="K20" s="277"/>
    </row>
    <row r="21" spans="1:11" ht="15.75">
      <c r="A21" s="295"/>
      <c r="B21" s="289"/>
      <c r="C21" s="298"/>
      <c r="D21" s="289"/>
      <c r="E21" s="298" t="s">
        <v>423</v>
      </c>
      <c r="F21" s="289">
        <v>38852</v>
      </c>
      <c r="G21" s="298"/>
      <c r="H21" s="289"/>
      <c r="I21" s="298"/>
      <c r="J21" s="289"/>
      <c r="K21" s="277"/>
    </row>
    <row r="22" spans="1:11" ht="15.75">
      <c r="A22" s="295"/>
      <c r="B22" s="289"/>
      <c r="C22" s="300"/>
      <c r="D22" s="289"/>
      <c r="E22" s="300"/>
      <c r="F22" s="289"/>
      <c r="G22" s="300"/>
      <c r="H22" s="289"/>
      <c r="I22" s="297"/>
      <c r="J22" s="289"/>
      <c r="K22" s="277"/>
    </row>
    <row r="23" spans="1:11" ht="15.75">
      <c r="A23" s="295"/>
      <c r="B23" s="289"/>
      <c r="C23" s="298"/>
      <c r="D23" s="289"/>
      <c r="E23" s="298"/>
      <c r="F23" s="289"/>
      <c r="G23" s="298"/>
      <c r="H23" s="289"/>
      <c r="I23" s="298"/>
      <c r="J23" s="289"/>
      <c r="K23" s="277"/>
    </row>
    <row r="24" spans="1:11" ht="15.75">
      <c r="A24" s="295"/>
      <c r="B24" s="289"/>
      <c r="C24" s="300"/>
      <c r="D24" s="289"/>
      <c r="E24" s="300"/>
      <c r="F24" s="289"/>
      <c r="G24" s="300"/>
      <c r="H24" s="289"/>
      <c r="I24" s="297"/>
      <c r="J24" s="289"/>
      <c r="K24" s="277"/>
    </row>
    <row r="25" spans="1:11" ht="15.75">
      <c r="A25" s="295"/>
      <c r="B25" s="289"/>
      <c r="C25" s="298"/>
      <c r="D25" s="289"/>
      <c r="E25" s="298"/>
      <c r="F25" s="289"/>
      <c r="G25" s="298"/>
      <c r="H25" s="289"/>
      <c r="I25" s="298"/>
      <c r="J25" s="289"/>
      <c r="K25" s="277"/>
    </row>
    <row r="26" spans="1:11" ht="15.75">
      <c r="A26" s="295"/>
      <c r="B26" s="289"/>
      <c r="C26" s="298"/>
      <c r="D26" s="289"/>
      <c r="E26" s="298"/>
      <c r="F26" s="289"/>
      <c r="G26" s="298"/>
      <c r="H26" s="289"/>
      <c r="I26" s="298"/>
      <c r="J26" s="289"/>
      <c r="K26" s="277"/>
    </row>
    <row r="27" spans="1:11" ht="15.75">
      <c r="A27" s="295"/>
      <c r="B27" s="289"/>
      <c r="C27" s="295"/>
      <c r="D27" s="289"/>
      <c r="E27" s="295"/>
      <c r="F27" s="289"/>
      <c r="G27" s="298"/>
      <c r="H27" s="289"/>
      <c r="I27" s="298"/>
      <c r="J27" s="289"/>
      <c r="K27" s="277"/>
    </row>
    <row r="28" spans="1:11" ht="15.75">
      <c r="A28" s="292" t="s">
        <v>85</v>
      </c>
      <c r="B28" s="291">
        <f>SUM(B20:B27)</f>
        <v>0</v>
      </c>
      <c r="C28" s="292" t="s">
        <v>85</v>
      </c>
      <c r="D28" s="291">
        <f>SUM(D20:D27)</f>
        <v>66161</v>
      </c>
      <c r="E28" s="292" t="s">
        <v>85</v>
      </c>
      <c r="F28" s="325">
        <f>SUM(F20:F27)</f>
        <v>88775</v>
      </c>
      <c r="G28" s="292" t="s">
        <v>85</v>
      </c>
      <c r="H28" s="325">
        <f>SUM(H20:H27)</f>
        <v>0</v>
      </c>
      <c r="I28" s="292" t="s">
        <v>85</v>
      </c>
      <c r="J28" s="291">
        <f>SUM(J20:J27)</f>
        <v>0</v>
      </c>
      <c r="K28" s="291">
        <f>SUM(B28+D28+F28+H28+J28)</f>
        <v>154936</v>
      </c>
    </row>
    <row r="29" spans="1:12" ht="15.75">
      <c r="A29" s="292" t="s">
        <v>17</v>
      </c>
      <c r="B29" s="291">
        <f>B18-B28</f>
        <v>82467</v>
      </c>
      <c r="C29" s="292" t="s">
        <v>17</v>
      </c>
      <c r="D29" s="291">
        <f>D18-D28</f>
        <v>94905</v>
      </c>
      <c r="E29" s="292" t="s">
        <v>17</v>
      </c>
      <c r="F29" s="291">
        <f>F18-F28</f>
        <v>38042</v>
      </c>
      <c r="G29" s="292" t="s">
        <v>17</v>
      </c>
      <c r="H29" s="291">
        <f>H18-H28</f>
        <v>0</v>
      </c>
      <c r="I29" s="292" t="s">
        <v>17</v>
      </c>
      <c r="J29" s="291">
        <f>J18-J28</f>
        <v>0</v>
      </c>
      <c r="K29" s="302">
        <f>SUM(B29+D29+F29+H29+J29)</f>
        <v>215414</v>
      </c>
      <c r="L29" s="25" t="s">
        <v>28</v>
      </c>
    </row>
    <row r="30" spans="1:12" ht="15.75">
      <c r="A30" s="292"/>
      <c r="B30" s="314">
        <f>IF(B29&lt;0,"See Tab B","")</f>
      </c>
      <c r="C30" s="292"/>
      <c r="D30" s="314">
        <f>IF(D29&lt;0,"See Tab B","")</f>
      </c>
      <c r="E30" s="292"/>
      <c r="F30" s="314">
        <f>IF(F29&lt;0,"See Tab B","")</f>
      </c>
      <c r="G30" s="66"/>
      <c r="H30" s="314">
        <f>IF(H29&lt;0,"See Tab B","")</f>
      </c>
      <c r="I30" s="66"/>
      <c r="J30" s="314">
        <f>IF(J29&lt;0,"See Tab B","")</f>
      </c>
      <c r="K30" s="302">
        <f>SUM(K7+K17-K28)</f>
        <v>215414</v>
      </c>
      <c r="L30" s="25" t="s">
        <v>28</v>
      </c>
    </row>
    <row r="31" spans="1:11" ht="15.75">
      <c r="A31" s="66"/>
      <c r="B31" s="303"/>
      <c r="C31" s="66"/>
      <c r="D31" s="277"/>
      <c r="E31" s="66"/>
      <c r="F31" s="66"/>
      <c r="G31" s="26" t="s">
        <v>29</v>
      </c>
      <c r="H31" s="26"/>
      <c r="I31" s="26"/>
      <c r="J31" s="26"/>
      <c r="K31" s="66"/>
    </row>
    <row r="32" spans="1:11" ht="15.75">
      <c r="A32" s="66"/>
      <c r="B32" s="303"/>
      <c r="C32" s="66"/>
      <c r="D32" s="66"/>
      <c r="E32" s="66"/>
      <c r="F32" s="66"/>
      <c r="G32" s="66"/>
      <c r="H32" s="66"/>
      <c r="I32" s="66"/>
      <c r="J32" s="66"/>
      <c r="K32" s="66"/>
    </row>
    <row r="33" spans="1:11" ht="15.75">
      <c r="A33" s="66"/>
      <c r="B33" s="303"/>
      <c r="C33" s="66"/>
      <c r="D33" s="66"/>
      <c r="E33" s="244" t="s">
        <v>106</v>
      </c>
      <c r="F33" s="271">
        <v>21</v>
      </c>
      <c r="G33" s="66"/>
      <c r="H33" s="66"/>
      <c r="I33" s="66"/>
      <c r="J33" s="66"/>
      <c r="K33" s="66"/>
    </row>
    <row r="34" ht="15.75">
      <c r="B34" s="304"/>
    </row>
    <row r="35" ht="15.75">
      <c r="B35" s="304"/>
    </row>
    <row r="36" ht="15.75">
      <c r="B36" s="304"/>
    </row>
    <row r="37" ht="15.75">
      <c r="B37" s="304"/>
    </row>
    <row r="38" ht="15.75">
      <c r="B38" s="304"/>
    </row>
    <row r="39" ht="15.75">
      <c r="B39" s="304"/>
    </row>
    <row r="40" ht="15.75">
      <c r="B40" s="304"/>
    </row>
    <row r="41" ht="15.75">
      <c r="B41" s="304"/>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6" r:id="rId1"/>
  <headerFooter alignWithMargins="0">
    <oddHeader>&amp;RState of Kansas
County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M66"/>
  <sheetViews>
    <sheetView view="pageBreakPreview" zoomScale="102" zoomScaleSheetLayoutView="102" zoomScalePageLayoutView="0" workbookViewId="0" topLeftCell="A11">
      <selection activeCell="B38" sqref="B1:B16384"/>
    </sheetView>
  </sheetViews>
  <sheetFormatPr defaultColWidth="8.8984375" defaultRowHeight="15"/>
  <cols>
    <col min="1" max="1" width="19.69921875" style="25" customWidth="1"/>
    <col min="2" max="2" width="15.69921875" style="25" customWidth="1"/>
    <col min="3" max="3" width="9.3984375" style="25" customWidth="1"/>
    <col min="4" max="4" width="16.796875" style="25" customWidth="1"/>
    <col min="5" max="5" width="9.796875" style="25" customWidth="1"/>
    <col min="6" max="6" width="15.796875" style="25" customWidth="1"/>
    <col min="7" max="7" width="13.69921875" style="25" customWidth="1"/>
    <col min="8" max="8" width="9.796875" style="25" customWidth="1"/>
    <col min="9" max="9" width="8.8984375" style="25" customWidth="1"/>
    <col min="10" max="10" width="12.3984375" style="25" customWidth="1"/>
    <col min="11" max="11" width="12.296875" style="25" customWidth="1"/>
    <col min="12" max="12" width="10.59765625" style="25" customWidth="1"/>
    <col min="13" max="13" width="12.09765625" style="25" customWidth="1"/>
    <col min="14" max="16384" width="8.8984375" style="25" customWidth="1"/>
  </cols>
  <sheetData>
    <row r="1" spans="1:8" ht="15.75">
      <c r="A1" s="28"/>
      <c r="B1" s="28"/>
      <c r="C1" s="28"/>
      <c r="D1" s="28"/>
      <c r="E1" s="28"/>
      <c r="F1" s="28"/>
      <c r="G1" s="28"/>
      <c r="H1" s="209">
        <f>inputPrYr!C4</f>
        <v>2015</v>
      </c>
    </row>
    <row r="2" spans="1:9" ht="15.75">
      <c r="A2" s="575" t="s">
        <v>147</v>
      </c>
      <c r="B2" s="575"/>
      <c r="C2" s="575"/>
      <c r="D2" s="575"/>
      <c r="E2" s="575"/>
      <c r="F2" s="575"/>
      <c r="G2" s="575"/>
      <c r="H2" s="575"/>
      <c r="I2" s="305"/>
    </row>
    <row r="3" spans="1:8" ht="15.75">
      <c r="A3" s="28"/>
      <c r="B3" s="28"/>
      <c r="C3" s="28"/>
      <c r="D3" s="28"/>
      <c r="E3" s="28"/>
      <c r="F3" s="28"/>
      <c r="G3" s="28"/>
      <c r="H3" s="28"/>
    </row>
    <row r="4" spans="1:8" ht="15.75">
      <c r="A4" s="631" t="s">
        <v>176</v>
      </c>
      <c r="B4" s="631"/>
      <c r="C4" s="631"/>
      <c r="D4" s="631"/>
      <c r="E4" s="631"/>
      <c r="F4" s="631"/>
      <c r="G4" s="631"/>
      <c r="H4" s="631"/>
    </row>
    <row r="5" spans="1:8" ht="15.75">
      <c r="A5" s="643" t="str">
        <f>inputPrYr!C2</f>
        <v>CLOUD COUNTY</v>
      </c>
      <c r="B5" s="643"/>
      <c r="C5" s="643"/>
      <c r="D5" s="643"/>
      <c r="E5" s="643"/>
      <c r="F5" s="643"/>
      <c r="G5" s="643"/>
      <c r="H5" s="643"/>
    </row>
    <row r="6" spans="1:8" ht="15.75">
      <c r="A6" s="644" t="str">
        <f>CONCATENATE("will meet on ",inputBudSum!B5," at ",inputBudSum!B7," at ",inputBudSum!B9," for the purpose of hearing and")</f>
        <v>will meet on 9-2-14 at 8:30 A.M. at Cloud County Commissioner's Room for the purpose of hearing and</v>
      </c>
      <c r="B6" s="644"/>
      <c r="C6" s="644"/>
      <c r="D6" s="644"/>
      <c r="E6" s="644"/>
      <c r="F6" s="644"/>
      <c r="G6" s="644"/>
      <c r="H6" s="644"/>
    </row>
    <row r="7" spans="1:8" ht="15.75">
      <c r="A7" s="631" t="s">
        <v>242</v>
      </c>
      <c r="B7" s="631"/>
      <c r="C7" s="631"/>
      <c r="D7" s="631"/>
      <c r="E7" s="631"/>
      <c r="F7" s="631"/>
      <c r="G7" s="631"/>
      <c r="H7" s="631"/>
    </row>
    <row r="8" spans="1:8" ht="15.75">
      <c r="A8" s="644" t="str">
        <f>CONCATENATE("Detailed budget information is available at ",inputBudSum!B12," and will be available at this hearing.")</f>
        <v>Detailed budget information is available at Cloud County Clerk's Office and will be available at this hearing.</v>
      </c>
      <c r="B8" s="644"/>
      <c r="C8" s="644"/>
      <c r="D8" s="644"/>
      <c r="E8" s="644"/>
      <c r="F8" s="644"/>
      <c r="G8" s="644"/>
      <c r="H8" s="644"/>
    </row>
    <row r="9" spans="1:8" ht="15.75">
      <c r="A9" s="33" t="s">
        <v>148</v>
      </c>
      <c r="B9" s="34"/>
      <c r="C9" s="34"/>
      <c r="D9" s="147"/>
      <c r="E9" s="34"/>
      <c r="F9" s="34"/>
      <c r="G9" s="34"/>
      <c r="H9" s="34"/>
    </row>
    <row r="10" spans="1:8" ht="15.75">
      <c r="A10" s="631" t="str">
        <f>CONCATENATE("Proposed Budget ",H1," Expenditures and Amount of ",H1-1," Ad Valorem Tax establish the maximum limits of the ",H1," budget.")</f>
        <v>Proposed Budget 2015 Expenditures and Amount of 2014 Ad Valorem Tax establish the maximum limits of the 2015 budget.</v>
      </c>
      <c r="B10" s="631"/>
      <c r="C10" s="631"/>
      <c r="D10" s="631"/>
      <c r="E10" s="631"/>
      <c r="F10" s="631"/>
      <c r="G10" s="631"/>
      <c r="H10" s="631"/>
    </row>
    <row r="11" spans="1:8" ht="15.75">
      <c r="A11" s="631" t="s">
        <v>191</v>
      </c>
      <c r="B11" s="631"/>
      <c r="C11" s="631"/>
      <c r="D11" s="631"/>
      <c r="E11" s="631"/>
      <c r="F11" s="631"/>
      <c r="G11" s="631"/>
      <c r="H11" s="631"/>
    </row>
    <row r="12" spans="1:9" ht="15.75">
      <c r="A12" s="28"/>
      <c r="B12" s="28"/>
      <c r="C12" s="28"/>
      <c r="D12" s="28"/>
      <c r="E12" s="28"/>
      <c r="F12" s="28"/>
      <c r="G12" s="28"/>
      <c r="H12" s="28"/>
      <c r="I12" s="84"/>
    </row>
    <row r="13" spans="1:8" ht="15.75">
      <c r="A13" s="28"/>
      <c r="B13" s="306" t="str">
        <f>CONCATENATE("Prior Year Actual for ",H1-2,"")</f>
        <v>Prior Year Actual for 2013</v>
      </c>
      <c r="C13" s="150"/>
      <c r="D13" s="307" t="str">
        <f>CONCATENATE("Current Year Estimate for ",H1-1,"")</f>
        <v>Current Year Estimate for 2014</v>
      </c>
      <c r="E13" s="150"/>
      <c r="F13" s="148" t="str">
        <f>CONCATENATE("Proposed Budget Year for ",H1,"")</f>
        <v>Proposed Budget Year for 2015</v>
      </c>
      <c r="G13" s="149"/>
      <c r="H13" s="150"/>
    </row>
    <row r="14" spans="1:8" ht="18.75" customHeight="1">
      <c r="A14" s="27"/>
      <c r="B14" s="245"/>
      <c r="C14" s="151" t="s">
        <v>107</v>
      </c>
      <c r="D14" s="151"/>
      <c r="E14" s="151" t="s">
        <v>107</v>
      </c>
      <c r="F14" s="376" t="s">
        <v>251</v>
      </c>
      <c r="G14" s="605" t="str">
        <f>CONCATENATE("Amount of ",H1-1,"       Ad Valorem Tax")</f>
        <v>Amount of 2014       Ad Valorem Tax</v>
      </c>
      <c r="H14" s="151" t="s">
        <v>108</v>
      </c>
    </row>
    <row r="15" spans="1:8" ht="15.75">
      <c r="A15" s="54" t="s">
        <v>109</v>
      </c>
      <c r="B15" s="186" t="s">
        <v>53</v>
      </c>
      <c r="C15" s="186" t="s">
        <v>110</v>
      </c>
      <c r="D15" s="186" t="s">
        <v>53</v>
      </c>
      <c r="E15" s="186" t="s">
        <v>110</v>
      </c>
      <c r="F15" s="377" t="s">
        <v>252</v>
      </c>
      <c r="G15" s="582"/>
      <c r="H15" s="186" t="s">
        <v>110</v>
      </c>
    </row>
    <row r="16" spans="1:8" ht="15.75">
      <c r="A16" s="68" t="str">
        <f>inputPrYr!B16</f>
        <v>General</v>
      </c>
      <c r="B16" s="68">
        <f>IF(general!$C$96&lt;&gt;0,general!$C$96,"  ")</f>
        <v>2384533</v>
      </c>
      <c r="C16" s="308">
        <f>IF(inputPrYr!D78&lt;&gt;0,inputPrYr!D78,"  ")</f>
        <v>12.588</v>
      </c>
      <c r="D16" s="68">
        <f>IF(general!$D$96&lt;&gt;0,general!$D$96,"  ")</f>
        <v>2382410</v>
      </c>
      <c r="E16" s="308">
        <f>IF(inputPrYr!F16&lt;&gt;0,inputPrYr!F16,"  ")</f>
        <v>15.927</v>
      </c>
      <c r="F16" s="68">
        <f>IF(general!$E$96&lt;&gt;0,general!$E$96,"  ")</f>
        <v>2782648</v>
      </c>
      <c r="G16" s="68">
        <f>IF(general!$E$103&lt;&gt;0,general!$E$103,"  ")</f>
        <v>1742566.35</v>
      </c>
      <c r="H16" s="308">
        <f>IF(general!E103&lt;&gt;0,ROUND(G16/$F$52*1000,3),"  ")</f>
        <v>20.65</v>
      </c>
    </row>
    <row r="17" spans="1:8" ht="15.75">
      <c r="A17" s="68" t="str">
        <f>inputPrYr!B17</f>
        <v>Debt Service</v>
      </c>
      <c r="B17" s="68" t="str">
        <f>IF(DebtService!$C$50&lt;&gt;0,DebtService!$C$50,"  ")</f>
        <v>  </v>
      </c>
      <c r="C17" s="308" t="str">
        <f>IF(inputPrYr!D79&lt;&gt;0,inputPrYr!D79,"  ")</f>
        <v>  </v>
      </c>
      <c r="D17" s="68" t="str">
        <f>IF(DebtService!$D$50&lt;&gt;0,DebtService!$D$50,"  ")</f>
        <v>  </v>
      </c>
      <c r="E17" s="308" t="str">
        <f>IF(inputPrYr!F17&lt;&gt;0,inputPrYr!F17,"  ")</f>
        <v>  </v>
      </c>
      <c r="F17" s="68">
        <f>IF(DebtService!$E$50&lt;&gt;0,DebtService!$E$50,"  ")</f>
        <v>10000</v>
      </c>
      <c r="G17" s="68">
        <f>IF(DebtService!$E$57&lt;&gt;0,DebtService!$E$57,"  ")</f>
        <v>10500</v>
      </c>
      <c r="H17" s="308">
        <f>IF(DebtService!E57&lt;&gt;0,ROUND(G17/$F$52*1000,3),"  ")</f>
        <v>0.124</v>
      </c>
    </row>
    <row r="18" spans="1:8" ht="15.75">
      <c r="A18" s="68" t="str">
        <f>inputPrYr!B18</f>
        <v>Road &amp; Bridge</v>
      </c>
      <c r="B18" s="68">
        <f>IF(road!$C$40&lt;&gt;0,road!$C$40,"  ")</f>
        <v>2228255</v>
      </c>
      <c r="C18" s="308">
        <f>IF(inputPrYr!D80&lt;&gt;0,inputPrYr!D80,"  ")</f>
        <v>21.346</v>
      </c>
      <c r="D18" s="68">
        <f>IF(road!$D$40&lt;&gt;0,road!$D$40,"  ")</f>
        <v>2500000</v>
      </c>
      <c r="E18" s="308">
        <f>IF(inputPrYr!F18&lt;&gt;0,inputPrYr!F18,"  ")</f>
        <v>22.109</v>
      </c>
      <c r="F18" s="68">
        <f>IF(road!$E$40&lt;&gt;0,road!$E$40,"  ")</f>
        <v>2500000</v>
      </c>
      <c r="G18" s="68">
        <f>IF(road!$E$47&lt;&gt;0,road!$E$47,"  ")</f>
        <v>1857046.8</v>
      </c>
      <c r="H18" s="308">
        <f>IF(road!E47&lt;&gt;0,ROUND(G18/$F$52*1000,3),"  ")</f>
        <v>22.007</v>
      </c>
    </row>
    <row r="19" spans="1:8" ht="15.75">
      <c r="A19" s="68" t="str">
        <f>IF((inputPrYr!$B19&gt;" "),(inputPrYr!$B19),"  ")</f>
        <v>Special Bridge</v>
      </c>
      <c r="B19" s="68">
        <f>IF('SpecBrdg-NW'!$C$30&lt;&gt;0,'SpecBrdg-NW'!$C$30,"  ")</f>
        <v>16601</v>
      </c>
      <c r="C19" s="308">
        <f>IF(inputPrYr!D81&lt;&gt;0,inputPrYr!D81,"  ")</f>
        <v>0.56</v>
      </c>
      <c r="D19" s="68">
        <f>IF('SpecBrdg-NW'!$D$30&lt;&gt;0,'SpecBrdg-NW'!$D$30,"  ")</f>
        <v>30000</v>
      </c>
      <c r="E19" s="308">
        <f>IF(inputPrYr!F19&lt;&gt;0,inputPrYr!F19,"  ")</f>
        <v>0.182</v>
      </c>
      <c r="F19" s="68">
        <f>IF('SpecBrdg-NW'!$E$30&lt;&gt;0,'SpecBrdg-NW'!$E$30,"  ")</f>
        <v>208870</v>
      </c>
      <c r="G19" s="68" t="str">
        <f>IF('SpecBrdg-NW'!$E$37&lt;&gt;0,'SpecBrdg-NW'!$E$37,"  ")</f>
        <v>  </v>
      </c>
      <c r="H19" s="308" t="str">
        <f>IF('SpecBrdg-NW'!E37&lt;&gt;0,ROUND(G19/$F$52*1000,3),"  ")</f>
        <v>  </v>
      </c>
    </row>
    <row r="20" spans="1:8" ht="15.75">
      <c r="A20" s="68" t="str">
        <f>IF((inputPrYr!$B20&gt;" "),(inputPrYr!$B20),"  ")</f>
        <v>Noxious Weed</v>
      </c>
      <c r="B20" s="68">
        <f>IF('SpecBrdg-NW'!$C$68&lt;&gt;0,'SpecBrdg-NW'!$C$68,"  ")</f>
        <v>131478</v>
      </c>
      <c r="C20" s="308" t="str">
        <f>IF(inputPrYr!D82&lt;&gt;0,inputPrYr!D82,"  ")</f>
        <v>  </v>
      </c>
      <c r="D20" s="68">
        <f>IF('SpecBrdg-NW'!$D$68&lt;&gt;0,'SpecBrdg-NW'!$D$68,"  ")</f>
        <v>150000</v>
      </c>
      <c r="E20" s="308" t="str">
        <f>IF(inputPrYr!F20&lt;&gt;0,inputPrYr!F20,"  ")</f>
        <v>  </v>
      </c>
      <c r="F20" s="68">
        <f>IF('SpecBrdg-NW'!$E$68&lt;&gt;0,'SpecBrdg-NW'!$E$68,"  ")</f>
        <v>177550</v>
      </c>
      <c r="G20" s="68" t="str">
        <f>IF('SpecBrdg-NW'!$E$75&lt;&gt;0,'SpecBrdg-NW'!$E$75,"  ")</f>
        <v>  </v>
      </c>
      <c r="H20" s="308" t="str">
        <f>IF('SpecBrdg-NW'!E75&lt;&gt;0,ROUND(G20/$F$52*1000,3),"  ")</f>
        <v>  </v>
      </c>
    </row>
    <row r="21" spans="1:8" ht="15.75">
      <c r="A21" s="68" t="str">
        <f>IF((inputPrYr!$B21&gt;" "),(inputPrYr!$B21),"  ")</f>
        <v>Conservation District</v>
      </c>
      <c r="B21" s="68">
        <f>IF('Conserv-SerAging'!$C$30&lt;&gt;0,'Conserv-SerAging'!$C$30,"  ")</f>
        <v>20000</v>
      </c>
      <c r="C21" s="308">
        <f>IF(inputPrYr!D83&lt;&gt;0,inputPrYr!D83,"  ")</f>
        <v>0.229</v>
      </c>
      <c r="D21" s="68">
        <f>IF('Conserv-SerAging'!$D$30&lt;&gt;0,'Conserv-SerAging'!$D$30,"  ")</f>
        <v>20000</v>
      </c>
      <c r="E21" s="308">
        <f>IF(inputPrYr!F21&lt;&gt;0,inputPrYr!F21,"  ")</f>
        <v>0.227</v>
      </c>
      <c r="F21" s="68">
        <f>IF('Conserv-SerAging'!$E$30&lt;&gt;0,'Conserv-SerAging'!$E$30,"  ")</f>
        <v>20000</v>
      </c>
      <c r="G21" s="68">
        <f>IF('Conserv-SerAging'!$E$37&lt;&gt;0,'Conserv-SerAging'!$E$37,"  ")</f>
        <v>18536</v>
      </c>
      <c r="H21" s="308">
        <f>IF('Conserv-SerAging'!$E$37&lt;&gt;0,ROUND(G21/$F$52*1000,3),"  ")</f>
        <v>0.22</v>
      </c>
    </row>
    <row r="22" spans="1:8" ht="15.75">
      <c r="A22" s="68" t="str">
        <f>IF((inputPrYr!$B22&gt;" "),(inputPrYr!$B22),"  ")</f>
        <v>Services for Aging</v>
      </c>
      <c r="B22" s="68">
        <f>IF('Conserv-SerAging'!$C$65&lt;&gt;0,'Conserv-SerAging'!$C$65,"  ")</f>
        <v>79379</v>
      </c>
      <c r="C22" s="308">
        <f>IF(inputPrYr!D84&lt;&gt;0,inputPrYr!D84,"  ")</f>
        <v>0.932</v>
      </c>
      <c r="D22" s="68">
        <f>IF('Conserv-SerAging'!$D$65&lt;&gt;0,'Conserv-SerAging'!$D$65,"  ")</f>
        <v>83876</v>
      </c>
      <c r="E22" s="308">
        <f>IF(inputPrYr!F22&lt;&gt;0,inputPrYr!F22,"  ")</f>
        <v>0.954</v>
      </c>
      <c r="F22" s="68">
        <f>IF('Conserv-SerAging'!$E$65&lt;&gt;0,'Conserv-SerAging'!$E$65,"  ")</f>
        <v>84385</v>
      </c>
      <c r="G22" s="68">
        <f>IF('Conserv-SerAging'!$E$72&lt;&gt;0,'Conserv-SerAging'!$E$72,"  ")</f>
        <v>78672</v>
      </c>
      <c r="H22" s="308">
        <f>IF('Conserv-SerAging'!$E$72&lt;&gt;0,ROUND(G22/$F$52*1000,3),"  ")</f>
        <v>0.932</v>
      </c>
    </row>
    <row r="23" spans="1:8" ht="15.75">
      <c r="A23" s="68" t="str">
        <f>IF((inputPrYr!$B23&gt;" "),(inputPrYr!$B23),"  ")</f>
        <v>County Health</v>
      </c>
      <c r="B23" s="68">
        <f>IF('CoHlth-PawnMent'!$C$32&lt;&gt;0,'CoHlth-PawnMent'!$C$32,"  ")</f>
        <v>778949</v>
      </c>
      <c r="C23" s="308">
        <f>IF(inputPrYr!D85&lt;&gt;0,inputPrYr!D85,"  ")</f>
        <v>1.956</v>
      </c>
      <c r="D23" s="68">
        <f>IF('CoHlth-PawnMent'!$D$32&lt;&gt;0,'CoHlth-PawnMent'!$D$32,"  ")</f>
        <v>742486</v>
      </c>
      <c r="E23" s="308">
        <f>IF(inputPrYr!F23&lt;&gt;0,inputPrYr!F23,"  ")</f>
        <v>1.85</v>
      </c>
      <c r="F23" s="68">
        <f>IF('CoHlth-PawnMent'!$E$32&lt;&gt;0,'CoHlth-PawnMent'!$E$32,"  ")</f>
        <v>787643</v>
      </c>
      <c r="G23" s="68">
        <f>IF('CoHlth-PawnMent'!$E$39&lt;&gt;0,'CoHlth-PawnMent'!$E$39,"  ")</f>
        <v>204379</v>
      </c>
      <c r="H23" s="308">
        <f>IF('CoHlth-PawnMent'!$E$39&lt;&gt;0,ROUND(G23/$F$52*1000,3),"  ")</f>
        <v>2.422</v>
      </c>
    </row>
    <row r="24" spans="1:8" ht="15.75">
      <c r="A24" s="68" t="str">
        <f>IF((inputPrYr!$B24&gt;" "),(inputPrYr!$B24),"  ")</f>
        <v>Pawnee Mental Health</v>
      </c>
      <c r="B24" s="68">
        <f>IF('CoHlth-PawnMent'!$C$67&lt;&gt;0,'CoHlth-PawnMent'!$C$67,"  ")</f>
        <v>69713</v>
      </c>
      <c r="C24" s="308">
        <f>IF(inputPrYr!D86&lt;&gt;0,inputPrYr!D86,"  ")</f>
        <v>0.788</v>
      </c>
      <c r="D24" s="68">
        <f>IF('CoHlth-PawnMent'!$D$67&lt;&gt;0,'CoHlth-PawnMent'!$D$67,"  ")</f>
        <v>60000</v>
      </c>
      <c r="E24" s="308">
        <f>IF(inputPrYr!F24&lt;&gt;0,inputPrYr!F24,"  ")</f>
        <v>0.347</v>
      </c>
      <c r="F24" s="68">
        <f>IF('CoHlth-PawnMent'!$E$67&lt;&gt;0,'CoHlth-PawnMent'!$E$67,"  ")</f>
        <v>68875</v>
      </c>
      <c r="G24" s="68">
        <f>IF('CoHlth-PawnMent'!$E$74&lt;&gt;0,'CoHlth-PawnMent'!$E$74,"  ")</f>
        <v>67393</v>
      </c>
      <c r="H24" s="308">
        <f>IF('CoHlth-PawnMent'!$E$74&lt;&gt;0,ROUND(G24/$F$52*1000,3),"  ")</f>
        <v>0.799</v>
      </c>
    </row>
    <row r="25" spans="1:8" ht="15.75">
      <c r="A25" s="68" t="str">
        <f>IF((inputPrYr!$B25&gt;" "),(inputPrYr!$B25),"  ")</f>
        <v>Mental Retardation</v>
      </c>
      <c r="B25" s="68">
        <f>IF('MentReTard-Fair'!$C$30&lt;&gt;0,'MentReTard-Fair'!$C$30,"  ")</f>
        <v>106094</v>
      </c>
      <c r="C25" s="308">
        <f>IF(inputPrYr!D87&lt;&gt;0,inputPrYr!D87,"  ")</f>
        <v>1.22</v>
      </c>
      <c r="D25" s="68">
        <f>IF('MentReTard-Fair'!$D$30&lt;&gt;0,'MentReTard-Fair'!$D$30,"  ")</f>
        <v>106094</v>
      </c>
      <c r="E25" s="308">
        <f>IF(inputPrYr!F25&lt;&gt;0,inputPrYr!F25,"  ")</f>
        <v>1.201</v>
      </c>
      <c r="F25" s="68">
        <f>IF('MentReTard-Fair'!$E$30&lt;&gt;0,'MentReTard-Fair'!$E$30,"  ")</f>
        <v>106094</v>
      </c>
      <c r="G25" s="68">
        <f>IF('MentReTard-Fair'!$E$37&lt;&gt;0,'MentReTard-Fair'!$E$37,"  ")</f>
        <v>97950</v>
      </c>
      <c r="H25" s="308">
        <f>IF('MentReTard-Fair'!$E$37&lt;&gt;0,ROUND(G25/$F$52*1000,3),"  ")</f>
        <v>1.161</v>
      </c>
    </row>
    <row r="26" spans="1:8" ht="15.75">
      <c r="A26" s="68" t="str">
        <f>IF((inputPrYr!$B26&gt;" "),(inputPrYr!$B26),"  ")</f>
        <v>County Fair</v>
      </c>
      <c r="B26" s="68">
        <f>IF('MentReTard-Fair'!$C$65&lt;&gt;0,'MentReTard-Fair'!$C$65,"  ")</f>
        <v>35000</v>
      </c>
      <c r="C26" s="308">
        <f>IF(inputPrYr!D88&lt;&gt;0,inputPrYr!D88,"  ")</f>
        <v>0.401</v>
      </c>
      <c r="D26" s="68">
        <f>IF('MentReTard-Fair'!$D$65&lt;&gt;0,'MentReTard-Fair'!$D$65,"  ")</f>
        <v>35000</v>
      </c>
      <c r="E26" s="308">
        <f>IF(inputPrYr!F26&lt;&gt;0,inputPrYr!F26,"  ")</f>
        <v>0.396</v>
      </c>
      <c r="F26" s="68">
        <f>IF('MentReTard-Fair'!$E$65&lt;&gt;0,'MentReTard-Fair'!$E$65,"  ")</f>
        <v>40000</v>
      </c>
      <c r="G26" s="68">
        <f>IF('MentReTard-Fair'!$E$72&lt;&gt;0,'MentReTard-Fair'!$E$72,"  ")</f>
        <v>37469</v>
      </c>
      <c r="H26" s="308">
        <f>IF('MentReTard-Fair'!$E$72&lt;&gt;0,ROUND(G26/$F$52*1000,3),"  ")</f>
        <v>0.444</v>
      </c>
    </row>
    <row r="27" spans="1:8" ht="15.75">
      <c r="A27" s="68" t="str">
        <f>IF((inputPrYr!$B27&gt;" "),(inputPrYr!$B27),"  ")</f>
        <v>Election Expense</v>
      </c>
      <c r="B27" s="68">
        <f>IF('Elect-SpecBldg'!$C$33&lt;&gt;0,'Elect-SpecBldg'!$C$33,"  ")</f>
        <v>105413</v>
      </c>
      <c r="C27" s="308">
        <f>IF(inputPrYr!D89&lt;&gt;0,inputPrYr!D89,"  ")</f>
        <v>0.864</v>
      </c>
      <c r="D27" s="68">
        <f>IF('Elect-SpecBldg'!$D$33&lt;&gt;0,'Elect-SpecBldg'!$D$33,"  ")</f>
        <v>115358</v>
      </c>
      <c r="E27" s="308">
        <f>IF(inputPrYr!F27&lt;&gt;0,inputPrYr!F27,"  ")</f>
        <v>1.234</v>
      </c>
      <c r="F27" s="68">
        <f>IF('Elect-SpecBldg'!$E$33&lt;&gt;0,'Elect-SpecBldg'!$E$33,"  ")</f>
        <v>115358</v>
      </c>
      <c r="G27" s="68">
        <f>IF('Elect-SpecBldg'!$E$40&lt;&gt;0,'Elect-SpecBldg'!$E$40,"  ")</f>
        <v>92157</v>
      </c>
      <c r="H27" s="308">
        <f>IF('Elect-SpecBldg'!$E$40&lt;&gt;0,ROUND(G27/$F$52*1000,3),"  ")</f>
        <v>1.092</v>
      </c>
    </row>
    <row r="28" spans="1:8" ht="15.75">
      <c r="A28" s="68" t="str">
        <f>IF((inputPrYr!$B28&gt;" "),(inputPrYr!$B28),"  ")</f>
        <v>Special Building</v>
      </c>
      <c r="B28" s="68">
        <f>IF('Elect-SpecBldg'!$C$68&lt;&gt;0,'Elect-SpecBldg'!$C$68,"  ")</f>
        <v>6867</v>
      </c>
      <c r="C28" s="308">
        <f>IF(inputPrYr!D90&lt;&gt;0,inputPrYr!D90,"  ")</f>
        <v>0.989</v>
      </c>
      <c r="D28" s="68">
        <f>IF('Elect-SpecBldg'!$D$68&lt;&gt;0,'Elect-SpecBldg'!$D$68,"  ")</f>
        <v>64497</v>
      </c>
      <c r="E28" s="308">
        <f>IF(inputPrYr!F28&lt;&gt;0,inputPrYr!F28,"  ")</f>
        <v>0.984</v>
      </c>
      <c r="F28" s="68">
        <f>IF('Elect-SpecBldg'!$E$68&lt;&gt;0,'Elect-SpecBldg'!$E$68,"  ")</f>
        <v>83918</v>
      </c>
      <c r="G28" s="68" t="str">
        <f>IF('Elect-SpecBldg'!$E$75&lt;&gt;0,'Elect-SpecBldg'!$E$75,"  ")</f>
        <v>  </v>
      </c>
      <c r="H28" s="308" t="str">
        <f>IF('Elect-SpecBldg'!$E$75&lt;&gt;0,ROUND(G28/$F$52*1000,3),"  ")</f>
        <v>  </v>
      </c>
    </row>
    <row r="29" spans="1:8" ht="15.75">
      <c r="A29" s="68" t="str">
        <f>IF((inputPrYr!$B29&gt;" "),(inputPrYr!$B29),"  ")</f>
        <v>Historical Building</v>
      </c>
      <c r="B29" s="68">
        <f>IF('Hist-Appra'!$C$30&lt;&gt;0,'Hist-Appra'!$C$30,"  ")</f>
        <v>36000</v>
      </c>
      <c r="C29" s="308">
        <f>IF(inputPrYr!D91&lt;&gt;0,inputPrYr!D91,"  ")</f>
        <v>0.419</v>
      </c>
      <c r="D29" s="68">
        <f>IF('Hist-Appra'!$D$30&lt;&gt;0,'Hist-Appra'!$D$30,"  ")</f>
        <v>36000</v>
      </c>
      <c r="E29" s="308">
        <f>IF(inputPrYr!F29&lt;&gt;0,inputPrYr!F29,"  ")</f>
        <v>0.406</v>
      </c>
      <c r="F29" s="68">
        <f>IF('Hist-Appra'!$E$30&lt;&gt;0,'Hist-Appra'!$E$30,"  ")</f>
        <v>36000</v>
      </c>
      <c r="G29" s="68">
        <f>IF('Hist-Appra'!$E$37&lt;&gt;0,'Hist-Appra'!$E$37,"  ")</f>
        <v>33398</v>
      </c>
      <c r="H29" s="308">
        <f>IF('Hist-Appra'!$E$37&lt;&gt;0,ROUND(G29/$F$52*1000,3),"  ")</f>
        <v>0.396</v>
      </c>
    </row>
    <row r="30" spans="1:8" ht="15.75">
      <c r="A30" s="68" t="str">
        <f>IF((inputPrYr!$B30&gt;" "),(inputPrYr!$B30),"  ")</f>
        <v>Appraisers</v>
      </c>
      <c r="B30" s="68">
        <f>IF('Hist-Appra'!$C$69&lt;&gt;0,'Hist-Appra'!$C$69,"  ")</f>
        <v>144984</v>
      </c>
      <c r="C30" s="308">
        <f>IF(inputPrYr!D92&lt;&gt;0,inputPrYr!D92,"  ")</f>
        <v>1.588</v>
      </c>
      <c r="D30" s="68">
        <f>IF('Hist-Appra'!$D$69&lt;&gt;0,'Hist-Appra'!$D$69,"  ")</f>
        <v>147500</v>
      </c>
      <c r="E30" s="308">
        <f>IF(inputPrYr!F30&lt;&gt;0,inputPrYr!F30,"  ")</f>
        <v>1.555</v>
      </c>
      <c r="F30" s="68">
        <f>IF('Hist-Appra'!$E$69&lt;&gt;0,'Hist-Appra'!$E$69,"  ")</f>
        <v>166000</v>
      </c>
      <c r="G30" s="68">
        <f>IF('Hist-Appra'!$E$76&lt;&gt;0,'Hist-Appra'!$E$76,"  ")</f>
        <v>145238</v>
      </c>
      <c r="H30" s="308">
        <f>IF('Hist-Appra'!$E$76&lt;&gt;0,ROUND(G30/$F$52*1000,3),"  ")</f>
        <v>1.721</v>
      </c>
    </row>
    <row r="31" spans="1:8" ht="15.75">
      <c r="A31" s="68" t="str">
        <f>IF((inputPrYr!$B31&gt;" "),(inputPrYr!$B31),"  ")</f>
        <v>Employee Benefits</v>
      </c>
      <c r="B31" s="68">
        <f>IF(EmployBene!$C$33&lt;&gt;0,EmployBene!$C$33,"  ")</f>
        <v>1732735</v>
      </c>
      <c r="C31" s="308">
        <f>IF(inputPrYr!D93&lt;&gt;0,inputPrYr!D93,"  ")</f>
        <v>19.434</v>
      </c>
      <c r="D31" s="68">
        <f>IF(EmployBene!$D$33&lt;&gt;0,EmployBene!$D$33,"  ")</f>
        <v>1843036</v>
      </c>
      <c r="E31" s="308">
        <f>IF(inputPrYr!F31&lt;&gt;0,inputPrYr!F31,"  ")</f>
        <v>19.158</v>
      </c>
      <c r="F31" s="68">
        <f>IF(EmployBene!$E$33&lt;&gt;0,EmployBene!$E$33,"  ")</f>
        <v>1800000</v>
      </c>
      <c r="G31" s="68">
        <f>IF(EmployBene!$E$40&lt;&gt;0,EmployBene!$E$40,"  ")</f>
        <v>1296051</v>
      </c>
      <c r="H31" s="308">
        <f>IF(EmployBene!$E$40&lt;&gt;0,ROUND(G31/$F$52*1000,3),"  ")</f>
        <v>15.359</v>
      </c>
    </row>
    <row r="32" spans="1:8" ht="15.75">
      <c r="A32" s="68" t="str">
        <f>IF((inputPrYr!$B32&gt;" "),(inputPrYr!$B32),"  ")</f>
        <v>  </v>
      </c>
      <c r="B32" s="68" t="str">
        <f>IF(EmployBene!$C$65&lt;&gt;0,EmployBene!$C$65,"  ")</f>
        <v>  </v>
      </c>
      <c r="C32" s="308" t="str">
        <f>IF(inputPrYr!D94&lt;&gt;0,inputPrYr!D94,"  ")</f>
        <v>  </v>
      </c>
      <c r="D32" s="68" t="str">
        <f>IF(EmployBene!$D$65&lt;&gt;0,EmployBene!$D$65,"  ")</f>
        <v>  </v>
      </c>
      <c r="E32" s="308" t="str">
        <f>IF(inputPrYr!F32&lt;&gt;0,inputPrYr!F32,"  ")</f>
        <v>  </v>
      </c>
      <c r="F32" s="68" t="str">
        <f>IF(EmployBene!$E$65&lt;&gt;0,EmployBene!$E$65,"  ")</f>
        <v>  </v>
      </c>
      <c r="G32" s="68" t="str">
        <f>IF(EmployBene!$E$72&lt;&gt;0,EmployBene!$E$72,"  ")</f>
        <v>  </v>
      </c>
      <c r="H32" s="308" t="str">
        <f>IF(EmployBene!$E$72&lt;&gt;0,ROUND(G32/$F$52*1000,3),"  ")</f>
        <v>  </v>
      </c>
    </row>
    <row r="33" spans="1:8" ht="15.75">
      <c r="A33" s="68" t="str">
        <f>IF((inputPrYr!$B34&gt;" "),(inputPrYr!$B34),"  ")</f>
        <v>  </v>
      </c>
      <c r="B33" s="68"/>
      <c r="C33" s="308"/>
      <c r="D33" s="68"/>
      <c r="E33" s="308"/>
      <c r="F33" s="68"/>
      <c r="G33" s="68"/>
      <c r="H33" s="308"/>
    </row>
    <row r="34" spans="1:8" ht="15.75">
      <c r="A34" s="68" t="str">
        <f>IF((inputPrYr!$B37&gt;" "),(inputPrYr!$B37),"  ")</f>
        <v>Noxious Weed C.O.</v>
      </c>
      <c r="B34" s="68" t="str">
        <f>IF('NWC.O.-ElectC.O.'!$C$29&lt;&gt;0,'NWC.O.-ElectC.O.'!$C$29,"  ")</f>
        <v>  </v>
      </c>
      <c r="C34" s="49"/>
      <c r="D34" s="68">
        <f>IF('NWC.O.-ElectC.O.'!$D$29&lt;&gt;0,'NWC.O.-ElectC.O.'!$D$29,"  ")</f>
        <v>10000</v>
      </c>
      <c r="E34" s="49"/>
      <c r="F34" s="68">
        <f>IF('NWC.O.-ElectC.O.'!$E$29&lt;&gt;0,'NWC.O.-ElectC.O.'!$E$29,"  ")</f>
        <v>23025</v>
      </c>
      <c r="G34" s="68"/>
      <c r="H34" s="45"/>
    </row>
    <row r="35" spans="1:8" ht="15.75">
      <c r="A35" s="68" t="str">
        <f>IF((inputPrYr!$B38&gt;" "),(inputPrYr!$B38),"  ")</f>
        <v>Election C.O.</v>
      </c>
      <c r="B35" s="68" t="str">
        <f>IF('NWC.O.-ElectC.O.'!$C$60&lt;&gt;0,'NWC.O.-ElectC.O.'!$C$60,"  ")</f>
        <v>  </v>
      </c>
      <c r="C35" s="49"/>
      <c r="D35" s="68">
        <f>IF('NWC.O.-ElectC.O.'!$D$60&lt;&gt;0,'NWC.O.-ElectC.O.'!$D$60,"  ")</f>
        <v>20000</v>
      </c>
      <c r="E35" s="49"/>
      <c r="F35" s="68">
        <f>IF('NWC.O.-ElectC.O.'!$E$60&lt;&gt;0,'NWC.O.-ElectC.O.'!$E$60,"  ")</f>
        <v>88500</v>
      </c>
      <c r="G35" s="68"/>
      <c r="H35" s="45"/>
    </row>
    <row r="36" spans="1:8" ht="15.75">
      <c r="A36" s="68" t="str">
        <f>IF((inputPrYr!$B39&gt;" "),(inputPrYr!$B39),"  ")</f>
        <v>Special Alcohol &amp; Drug</v>
      </c>
      <c r="B36" s="68">
        <f>IF('SpecAlcoh-Conven'!$C$29&lt;&gt;0,'SpecAlcoh-Conven'!$C$29,"  ")</f>
        <v>34321</v>
      </c>
      <c r="C36" s="49"/>
      <c r="D36" s="68">
        <f>IF('SpecAlcoh-Conven'!$D$29&lt;&gt;0,'SpecAlcoh-Conven'!$D$29,"  ")</f>
        <v>14158</v>
      </c>
      <c r="E36" s="49"/>
      <c r="F36" s="68">
        <f>IF('SpecAlcoh-Conven'!$E$29&lt;&gt;0,'SpecAlcoh-Conven'!$E$29,"  ")</f>
        <v>16162</v>
      </c>
      <c r="G36" s="68"/>
      <c r="H36" s="45"/>
    </row>
    <row r="37" spans="1:8" ht="15.75">
      <c r="A37" s="68" t="str">
        <f>IF((inputPrYr!$B40&gt;" "),(inputPrYr!$B40),"  ")</f>
        <v>Convention &amp; Tourism</v>
      </c>
      <c r="B37" s="68">
        <f>IF('SpecAlcoh-Conven'!$C$60&lt;&gt;0,'SpecAlcoh-Conven'!$C$60,"  ")</f>
        <v>116976</v>
      </c>
      <c r="C37" s="49"/>
      <c r="D37" s="68">
        <f>IF('SpecAlcoh-Conven'!$D$60&lt;&gt;0,'SpecAlcoh-Conven'!$D$60,"  ")</f>
        <v>135850</v>
      </c>
      <c r="E37" s="49"/>
      <c r="F37" s="68">
        <f>IF('SpecAlcoh-Conven'!$E$60&lt;&gt;0,'SpecAlcoh-Conven'!$E$60,"  ")</f>
        <v>148600</v>
      </c>
      <c r="G37" s="68"/>
      <c r="H37" s="45"/>
    </row>
    <row r="38" spans="1:8" ht="15.75">
      <c r="A38" s="68" t="str">
        <f>IF((inputPrYr!$B41&gt;" "),(inputPrYr!$B41),"  ")</f>
        <v>Reg. of Deeds Technology</v>
      </c>
      <c r="B38" s="68">
        <f>IF('RegDTech-SolWaste'!$C$29&lt;&gt;0,'RegDTech-SolWaste'!$C$29,"  ")</f>
        <v>301</v>
      </c>
      <c r="C38" s="49"/>
      <c r="D38" s="68">
        <f>IF('RegDTech-SolWaste'!$D$29&lt;&gt;0,'RegDTech-SolWaste'!$D$29,"  ")</f>
        <v>15000</v>
      </c>
      <c r="E38" s="49"/>
      <c r="F38" s="68">
        <f>IF('RegDTech-SolWaste'!$E$29&lt;&gt;0,'RegDTech-SolWaste'!$E$29,"  ")</f>
        <v>33988</v>
      </c>
      <c r="G38" s="68"/>
      <c r="H38" s="45"/>
    </row>
    <row r="39" spans="1:8" ht="15.75">
      <c r="A39" s="68" t="str">
        <f>IF((inputPrYr!$B42&gt;" "),(inputPrYr!$B42),"  ")</f>
        <v>Solid Waste</v>
      </c>
      <c r="B39" s="68">
        <f>IF('RegDTech-SolWaste'!$C$60&lt;&gt;0,'RegDTech-SolWaste'!$C$60,"  ")</f>
        <v>676276</v>
      </c>
      <c r="C39" s="49"/>
      <c r="D39" s="68">
        <f>IF('RegDTech-SolWaste'!$D$60&lt;&gt;0,'RegDTech-SolWaste'!$D$60,"  ")</f>
        <v>788668</v>
      </c>
      <c r="E39" s="49"/>
      <c r="F39" s="68">
        <f>IF('RegDTech-SolWaste'!$E$60&lt;&gt;0,'RegDTech-SolWaste'!$E$60,"  ")</f>
        <v>897968</v>
      </c>
      <c r="G39" s="68"/>
      <c r="H39" s="45"/>
    </row>
    <row r="40" spans="1:8" ht="15.75">
      <c r="A40" s="68" t="str">
        <f>IF((inputPrYr!$B43&gt;" "),(inputPrYr!$B43),"  ")</f>
        <v>Spec. Econ. Dev.-Horizons</v>
      </c>
      <c r="B40" s="68">
        <f>IF('SpecEconDev-LawEnf'!$C$29&lt;&gt;0,'SpecEconDev-LawEnf'!$C$29,"  ")</f>
        <v>159021</v>
      </c>
      <c r="C40" s="49"/>
      <c r="D40" s="68">
        <f>IF('SpecEconDev-LawEnf'!$D$29&lt;&gt;0,'SpecEconDev-LawEnf'!$D$29,"  ")</f>
        <v>434310</v>
      </c>
      <c r="E40" s="49"/>
      <c r="F40" s="68">
        <f>IF('SpecEconDev-LawEnf'!$E$29&lt;&gt;0,'SpecEconDev-LawEnf'!$E$29,"  ")</f>
        <v>400979</v>
      </c>
      <c r="G40" s="68"/>
      <c r="H40" s="45"/>
    </row>
    <row r="41" spans="1:8" ht="15.75">
      <c r="A41" s="68" t="str">
        <f>IF((inputPrYr!$B44&gt;" "),(inputPrYr!$B44),"  ")</f>
        <v>Law Enforcement</v>
      </c>
      <c r="B41" s="68" t="str">
        <f>IF('SpecEconDev-LawEnf'!$C$60&lt;&gt;0,'SpecEconDev-LawEnf'!$C$60,"  ")</f>
        <v>  </v>
      </c>
      <c r="C41" s="49"/>
      <c r="D41" s="68">
        <f>IF('SpecEconDev-LawEnf'!$D$60&lt;&gt;0,'SpecEconDev-LawEnf'!$D$60,"  ")</f>
        <v>252332</v>
      </c>
      <c r="E41" s="49"/>
      <c r="F41" s="68">
        <f>IF('SpecEconDev-LawEnf'!$E$60&lt;&gt;0,'SpecEconDev-LawEnf'!$E$60,"  ")</f>
        <v>367975</v>
      </c>
      <c r="G41" s="68"/>
      <c r="H41" s="45"/>
    </row>
    <row r="42" spans="1:13" ht="15.75">
      <c r="A42" s="68" t="str">
        <f>IF((inputPrYr!$B45&gt;" "),(inputPrYr!$B45),"  ")</f>
        <v>  </v>
      </c>
      <c r="B42" s="68"/>
      <c r="C42" s="49"/>
      <c r="D42" s="68"/>
      <c r="E42" s="49"/>
      <c r="F42" s="68"/>
      <c r="G42" s="68"/>
      <c r="H42" s="45"/>
      <c r="J42" s="386"/>
      <c r="K42" s="382"/>
      <c r="L42" s="382"/>
      <c r="M42" s="387"/>
    </row>
    <row r="43" spans="1:13" ht="15.75">
      <c r="A43" s="68" t="str">
        <f>IF((inputPrYr!$B46&gt;" "),(inputPrYr!$B46),"  ")</f>
        <v>  </v>
      </c>
      <c r="B43" s="68"/>
      <c r="C43" s="49"/>
      <c r="D43" s="68"/>
      <c r="E43" s="49"/>
      <c r="F43" s="68"/>
      <c r="G43" s="68"/>
      <c r="H43" s="45"/>
      <c r="J43" s="386" t="str">
        <f>CONCATENATE("",H1-1," Mill Rate Was:")</f>
        <v>2014 Mill Rate Was:</v>
      </c>
      <c r="K43" s="382"/>
      <c r="L43" s="382"/>
      <c r="M43" s="388">
        <f>E48</f>
        <v>66.53</v>
      </c>
    </row>
    <row r="44" spans="1:13" ht="15.75">
      <c r="A44" s="130" t="str">
        <f>IF((inputPrYr!$B50&gt;"  "),(nonbudA!$A3),"  ")</f>
        <v>Non-Budgeted Funds-A</v>
      </c>
      <c r="B44" s="68">
        <f>IF(nonbudA!$K$28&lt;&gt;0,nonbudA!$K$28,"  ")</f>
        <v>154936</v>
      </c>
      <c r="C44" s="49"/>
      <c r="D44" s="68"/>
      <c r="E44" s="49"/>
      <c r="F44" s="68"/>
      <c r="G44" s="68"/>
      <c r="H44" s="45"/>
      <c r="J44" s="389" t="str">
        <f>CONCATENATE("",H1," Tax Levy Fund Expenditures Must Be")</f>
        <v>2015 Tax Levy Fund Expenditures Must Be</v>
      </c>
      <c r="K44" s="390"/>
      <c r="L44" s="390"/>
      <c r="M44" s="387"/>
    </row>
    <row r="45" spans="1:13" ht="15.75">
      <c r="A45" s="130" t="str">
        <f>IF((inputPrYr!$B56&gt;"  "),(#REF!),"  ")</f>
        <v>  </v>
      </c>
      <c r="B45" s="68"/>
      <c r="C45" s="49"/>
      <c r="D45" s="68"/>
      <c r="E45" s="49"/>
      <c r="F45" s="68"/>
      <c r="G45" s="68"/>
      <c r="H45" s="45"/>
      <c r="J45" s="389">
        <f>IF(M45&gt;0,"Increased By:","")</f>
      </c>
      <c r="K45" s="390"/>
      <c r="L45" s="390"/>
      <c r="M45" s="397">
        <f>IF(M52&lt;0,M52*-1,0)</f>
        <v>0</v>
      </c>
    </row>
    <row r="46" spans="1:13" ht="15.75">
      <c r="A46" s="130" t="str">
        <f>IF((inputPrYr!$B62&gt;"  "),(#REF!),"  ")</f>
        <v>  </v>
      </c>
      <c r="B46" s="68"/>
      <c r="C46" s="49"/>
      <c r="D46" s="68"/>
      <c r="E46" s="49"/>
      <c r="F46" s="68"/>
      <c r="G46" s="68"/>
      <c r="H46" s="45"/>
      <c r="J46" s="398" t="str">
        <f>IF(M46&lt;0,"Reduced By:","")</f>
        <v>Reduced By:</v>
      </c>
      <c r="K46" s="399"/>
      <c r="L46" s="399"/>
      <c r="M46" s="400">
        <f>IF(M52&gt;0,M52*-1,0)</f>
        <v>-67222.15000000037</v>
      </c>
    </row>
    <row r="47" spans="1:13" ht="16.5" thickBot="1">
      <c r="A47" s="130" t="str">
        <f>IF((inputPrYr!$B68&gt;"  "),(#REF!),"  ")</f>
        <v>  </v>
      </c>
      <c r="B47" s="372"/>
      <c r="C47" s="371"/>
      <c r="D47" s="372"/>
      <c r="E47" s="371"/>
      <c r="F47" s="372"/>
      <c r="G47" s="372"/>
      <c r="H47" s="370"/>
      <c r="J47" s="393"/>
      <c r="K47" s="393"/>
      <c r="L47" s="393"/>
      <c r="M47" s="393"/>
    </row>
    <row r="48" spans="1:13" ht="15.75">
      <c r="A48" s="44" t="s">
        <v>69</v>
      </c>
      <c r="B48" s="374">
        <f>SUM(B16:B47)</f>
        <v>9017832</v>
      </c>
      <c r="C48" s="373">
        <f>SUM(C16:C33)</f>
        <v>63.31399999999999</v>
      </c>
      <c r="D48" s="374">
        <f>SUM(D16:D47)</f>
        <v>9986575</v>
      </c>
      <c r="E48" s="373">
        <f>SUM(E16:E33)</f>
        <v>66.53</v>
      </c>
      <c r="F48" s="374">
        <f>SUM(F16:F47)</f>
        <v>10964538</v>
      </c>
      <c r="G48" s="374">
        <f>SUM(G16:G33)</f>
        <v>5681356.15</v>
      </c>
      <c r="H48" s="373">
        <f>SUM(H16:H33)</f>
        <v>67.327</v>
      </c>
      <c r="J48" s="637" t="str">
        <f>CONCATENATE("Impact On Keeping The Same Mill Rate As For ",H1-1,"")</f>
        <v>Impact On Keeping The Same Mill Rate As For 2014</v>
      </c>
      <c r="K48" s="638"/>
      <c r="L48" s="638"/>
      <c r="M48" s="639"/>
    </row>
    <row r="49" spans="1:13" ht="15.75">
      <c r="A49" s="27" t="s">
        <v>111</v>
      </c>
      <c r="B49" s="309">
        <f>transfers!C29</f>
        <v>128852</v>
      </c>
      <c r="C49" s="310"/>
      <c r="D49" s="309">
        <f>transfers!D29</f>
        <v>44042</v>
      </c>
      <c r="E49" s="255"/>
      <c r="F49" s="309">
        <f>transfers!E29</f>
        <v>74500</v>
      </c>
      <c r="G49" s="28"/>
      <c r="H49" s="66"/>
      <c r="J49" s="386"/>
      <c r="K49" s="382"/>
      <c r="L49" s="382"/>
      <c r="M49" s="387"/>
    </row>
    <row r="50" spans="1:13" ht="16.5" thickBot="1">
      <c r="A50" s="27" t="s">
        <v>112</v>
      </c>
      <c r="B50" s="312">
        <f>B48-B49</f>
        <v>8888980</v>
      </c>
      <c r="C50" s="28"/>
      <c r="D50" s="312">
        <f>D48-D49</f>
        <v>9942533</v>
      </c>
      <c r="E50" s="310"/>
      <c r="F50" s="312">
        <f>F48-F49</f>
        <v>10890038</v>
      </c>
      <c r="G50" s="28"/>
      <c r="H50" s="66"/>
      <c r="J50" s="386" t="str">
        <f>CONCATENATE("",H1," Ad Valorem Tax Revenue:")</f>
        <v>2015 Ad Valorem Tax Revenue:</v>
      </c>
      <c r="K50" s="382"/>
      <c r="L50" s="382"/>
      <c r="M50" s="383">
        <f>G48</f>
        <v>5681356.15</v>
      </c>
    </row>
    <row r="51" spans="1:13" ht="16.5" thickTop="1">
      <c r="A51" s="27" t="s">
        <v>113</v>
      </c>
      <c r="B51" s="374">
        <f>inputPrYr!F99</f>
        <v>5028072</v>
      </c>
      <c r="C51" s="28"/>
      <c r="D51" s="374">
        <f>inputPrYr!E35</f>
        <v>5585089</v>
      </c>
      <c r="E51" s="28"/>
      <c r="F51" s="374">
        <f>G48</f>
        <v>5681356.15</v>
      </c>
      <c r="G51" s="28"/>
      <c r="H51" s="66"/>
      <c r="J51" s="386" t="str">
        <f>CONCATENATE("",H1-1," Ad Valorem Tax Revenue:")</f>
        <v>2014 Ad Valorem Tax Revenue:</v>
      </c>
      <c r="K51" s="382"/>
      <c r="L51" s="382"/>
      <c r="M51" s="394">
        <f>ROUND(F52*M43/1000,0)</f>
        <v>5614134</v>
      </c>
    </row>
    <row r="52" spans="1:13" ht="15.75">
      <c r="A52" s="27" t="s">
        <v>114</v>
      </c>
      <c r="B52" s="68">
        <f>inputPrYr!F100</f>
        <v>79423934</v>
      </c>
      <c r="C52" s="28"/>
      <c r="D52" s="68">
        <f>inputPrYr!F73</f>
        <v>83956159</v>
      </c>
      <c r="E52" s="28"/>
      <c r="F52" s="68">
        <f>inputOth!E6</f>
        <v>84385003</v>
      </c>
      <c r="G52" s="28"/>
      <c r="H52" s="66"/>
      <c r="J52" s="391" t="s">
        <v>263</v>
      </c>
      <c r="K52" s="392"/>
      <c r="L52" s="392"/>
      <c r="M52" s="384">
        <f>SUM(M50-M51)</f>
        <v>67222.15000000037</v>
      </c>
    </row>
    <row r="53" spans="1:13" ht="15.75">
      <c r="A53" s="28"/>
      <c r="B53" s="28"/>
      <c r="C53" s="28"/>
      <c r="D53" s="28"/>
      <c r="E53" s="28"/>
      <c r="F53" s="28"/>
      <c r="G53" s="28"/>
      <c r="H53" s="66"/>
      <c r="J53" s="385"/>
      <c r="K53" s="385"/>
      <c r="L53" s="385"/>
      <c r="M53" s="393"/>
    </row>
    <row r="54" spans="1:13" ht="16.5">
      <c r="A54" s="27" t="s">
        <v>115</v>
      </c>
      <c r="B54" s="28"/>
      <c r="C54" s="28"/>
      <c r="D54" s="28"/>
      <c r="E54" s="28"/>
      <c r="F54" s="28"/>
      <c r="G54" s="28"/>
      <c r="H54" s="78"/>
      <c r="J54" s="637" t="s">
        <v>264</v>
      </c>
      <c r="K54" s="640"/>
      <c r="L54" s="640"/>
      <c r="M54" s="641"/>
    </row>
    <row r="55" spans="1:13" ht="15.75">
      <c r="A55" s="27" t="s">
        <v>116</v>
      </c>
      <c r="B55" s="311">
        <f>H1-3</f>
        <v>2012</v>
      </c>
      <c r="C55" s="28"/>
      <c r="D55" s="311">
        <f>H1-2</f>
        <v>2013</v>
      </c>
      <c r="E55" s="28"/>
      <c r="F55" s="311">
        <f>H1-1</f>
        <v>2014</v>
      </c>
      <c r="G55" s="28"/>
      <c r="H55" s="78"/>
      <c r="J55" s="386"/>
      <c r="K55" s="382"/>
      <c r="L55" s="382"/>
      <c r="M55" s="387"/>
    </row>
    <row r="56" spans="1:13" ht="15.75">
      <c r="A56" s="27" t="s">
        <v>117</v>
      </c>
      <c r="B56" s="68">
        <f>inputPrYr!D104</f>
        <v>0</v>
      </c>
      <c r="C56" s="28"/>
      <c r="D56" s="68">
        <f>inputPrYr!E104</f>
        <v>0</v>
      </c>
      <c r="E56" s="28"/>
      <c r="F56" s="68">
        <f>debt!G19</f>
        <v>0</v>
      </c>
      <c r="G56" s="28"/>
      <c r="H56" s="78"/>
      <c r="J56" s="386" t="str">
        <f>CONCATENATE("Current ",H1," Estimated Mill Rate:")</f>
        <v>Current 2015 Estimated Mill Rate:</v>
      </c>
      <c r="K56" s="382"/>
      <c r="L56" s="382"/>
      <c r="M56" s="388">
        <f>H48</f>
        <v>67.327</v>
      </c>
    </row>
    <row r="57" spans="1:13" ht="15.75">
      <c r="A57" s="27" t="s">
        <v>118</v>
      </c>
      <c r="B57" s="68">
        <f>inputPrYr!D105</f>
        <v>0</v>
      </c>
      <c r="C57" s="28"/>
      <c r="D57" s="68">
        <f>inputPrYr!E105</f>
        <v>0</v>
      </c>
      <c r="E57" s="28"/>
      <c r="F57" s="68">
        <f>debt!G27</f>
        <v>0</v>
      </c>
      <c r="G57" s="28"/>
      <c r="H57" s="78"/>
      <c r="J57" s="386" t="str">
        <f>CONCATENATE("Desired ",H1," Mill Rate:")</f>
        <v>Desired 2015 Mill Rate:</v>
      </c>
      <c r="K57" s="382"/>
      <c r="L57" s="382"/>
      <c r="M57" s="395">
        <v>45</v>
      </c>
    </row>
    <row r="58" spans="1:13" ht="15.75">
      <c r="A58" s="27" t="s">
        <v>105</v>
      </c>
      <c r="B58" s="68">
        <f>inputPrYr!D106</f>
        <v>0</v>
      </c>
      <c r="C58" s="28"/>
      <c r="D58" s="68">
        <f>inputPrYr!E106</f>
        <v>0</v>
      </c>
      <c r="E58" s="28"/>
      <c r="F58" s="68">
        <f>debt!G36</f>
        <v>0</v>
      </c>
      <c r="G58" s="28"/>
      <c r="H58" s="78"/>
      <c r="J58" s="386" t="str">
        <f>CONCATENATE("",H1," Ad Valorem Tax:")</f>
        <v>2015 Ad Valorem Tax:</v>
      </c>
      <c r="K58" s="382"/>
      <c r="L58" s="382"/>
      <c r="M58" s="394">
        <f>ROUND(F52*M57/1000,0)</f>
        <v>3797325</v>
      </c>
    </row>
    <row r="59" spans="1:13" ht="15.75">
      <c r="A59" s="27" t="s">
        <v>192</v>
      </c>
      <c r="B59" s="68">
        <f>inputPrYr!D107</f>
        <v>57248</v>
      </c>
      <c r="C59" s="28"/>
      <c r="D59" s="68">
        <f>inputPrYr!E107</f>
        <v>6272109</v>
      </c>
      <c r="E59" s="28"/>
      <c r="F59" s="68">
        <f>lpform!G37</f>
        <v>6084112</v>
      </c>
      <c r="G59" s="28"/>
      <c r="H59" s="78"/>
      <c r="J59" s="391" t="str">
        <f>CONCATENATE("",H1," Tax Levy Fund Exp. Changed By:")</f>
        <v>2015 Tax Levy Fund Exp. Changed By:</v>
      </c>
      <c r="K59" s="392"/>
      <c r="L59" s="392"/>
      <c r="M59" s="384">
        <f>IF(M57=0,0,(M58-G48))</f>
        <v>-1884031.1500000004</v>
      </c>
    </row>
    <row r="60" spans="1:8" ht="16.5" thickBot="1">
      <c r="A60" s="27" t="s">
        <v>119</v>
      </c>
      <c r="B60" s="396">
        <f>SUM(B56:B59)</f>
        <v>57248</v>
      </c>
      <c r="C60" s="28"/>
      <c r="D60" s="396">
        <f>SUM(D56:D59)</f>
        <v>6272109</v>
      </c>
      <c r="E60" s="28"/>
      <c r="F60" s="396">
        <f>SUM(F56:F59)</f>
        <v>6084112</v>
      </c>
      <c r="G60" s="28"/>
      <c r="H60" s="78"/>
    </row>
    <row r="61" spans="1:8" ht="16.5" thickTop="1">
      <c r="A61" s="27" t="s">
        <v>120</v>
      </c>
      <c r="B61" s="28"/>
      <c r="C61" s="28"/>
      <c r="D61" s="28"/>
      <c r="E61" s="28"/>
      <c r="F61" s="28"/>
      <c r="G61" s="28"/>
      <c r="H61" s="78"/>
    </row>
    <row r="62" spans="1:8" ht="15.75">
      <c r="A62" s="28"/>
      <c r="B62" s="28"/>
      <c r="C62" s="28"/>
      <c r="D62" s="28"/>
      <c r="E62" s="28"/>
      <c r="F62" s="28"/>
      <c r="G62" s="28"/>
      <c r="H62" s="78"/>
    </row>
    <row r="63" spans="1:8" ht="15.75">
      <c r="A63" s="642" t="str">
        <f>inputBudSum!B3</f>
        <v>Linda Bogart</v>
      </c>
      <c r="B63" s="642"/>
      <c r="C63" s="28"/>
      <c r="D63" s="28"/>
      <c r="E63" s="28"/>
      <c r="F63" s="28"/>
      <c r="G63" s="28"/>
      <c r="H63" s="78"/>
    </row>
    <row r="64" spans="1:8" ht="15.75">
      <c r="A64" s="147" t="s">
        <v>121</v>
      </c>
      <c r="B64" s="34"/>
      <c r="C64" s="28"/>
      <c r="D64" s="28"/>
      <c r="E64" s="28"/>
      <c r="F64" s="28"/>
      <c r="G64" s="28"/>
      <c r="H64" s="78"/>
    </row>
    <row r="65" spans="1:8" ht="15.75">
      <c r="A65" s="28"/>
      <c r="B65" s="28"/>
      <c r="C65" s="28"/>
      <c r="D65" s="210" t="s">
        <v>82</v>
      </c>
      <c r="E65" s="313">
        <v>22</v>
      </c>
      <c r="F65" s="28"/>
      <c r="G65" s="28"/>
      <c r="H65" s="78"/>
    </row>
    <row r="66" spans="1:8" ht="15.75">
      <c r="A66" s="84"/>
      <c r="D66" s="84"/>
      <c r="E66" s="84"/>
      <c r="F66" s="84"/>
      <c r="G66" s="84"/>
      <c r="H66" s="84"/>
    </row>
  </sheetData>
  <sheetProtection/>
  <mergeCells count="12">
    <mergeCell ref="A7:H7"/>
    <mergeCell ref="A8:H8"/>
    <mergeCell ref="J48:M48"/>
    <mergeCell ref="J54:M54"/>
    <mergeCell ref="A63:B63"/>
    <mergeCell ref="G14:G15"/>
    <mergeCell ref="A2:H2"/>
    <mergeCell ref="A4:H4"/>
    <mergeCell ref="A5:H5"/>
    <mergeCell ref="A6:H6"/>
    <mergeCell ref="A10:H10"/>
    <mergeCell ref="A11:H11"/>
  </mergeCells>
  <printOptions/>
  <pageMargins left="1.12" right="0.5" top="0.74" bottom="0.34" header="0.5" footer="0"/>
  <pageSetup blackAndWhite="1" fitToHeight="1" fitToWidth="1" horizontalDpi="120" verticalDpi="120" orientation="portrait" scale="61" r:id="rId1"/>
  <headerFooter alignWithMargins="0">
    <oddHeader>&amp;RState of Kansas
County
</oddHeader>
  </headerFooter>
</worksheet>
</file>

<file path=xl/worksheets/sheet28.xml><?xml version="1.0" encoding="utf-8"?>
<worksheet xmlns="http://schemas.openxmlformats.org/spreadsheetml/2006/main" xmlns:r="http://schemas.openxmlformats.org/officeDocument/2006/relationships">
  <dimension ref="C2:I7"/>
  <sheetViews>
    <sheetView view="pageBreakPreview" zoomScale="102" zoomScaleSheetLayoutView="102" zoomScalePageLayoutView="0" workbookViewId="0" topLeftCell="A1">
      <selection activeCell="U73" sqref="U73"/>
    </sheetView>
  </sheetViews>
  <sheetFormatPr defaultColWidth="8.796875" defaultRowHeight="15"/>
  <sheetData>
    <row r="2" spans="3:9" ht="16.5">
      <c r="C2" s="536"/>
      <c r="D2" s="536"/>
      <c r="E2" s="536"/>
      <c r="F2" s="536"/>
      <c r="G2" s="536"/>
      <c r="H2" s="536"/>
      <c r="I2" s="540">
        <f>inputPrYr!C4</f>
        <v>2015</v>
      </c>
    </row>
    <row r="3" spans="3:9" ht="17.25" thickBot="1">
      <c r="C3" s="536"/>
      <c r="D3" s="536"/>
      <c r="E3" s="536"/>
      <c r="F3" s="536"/>
      <c r="G3" s="536"/>
      <c r="H3" s="536"/>
      <c r="I3" s="536"/>
    </row>
    <row r="4" spans="3:9" ht="19.5" thickBot="1">
      <c r="C4" s="648" t="s">
        <v>308</v>
      </c>
      <c r="D4" s="649"/>
      <c r="E4" s="649"/>
      <c r="F4" s="649"/>
      <c r="G4" s="649"/>
      <c r="H4" s="649"/>
      <c r="I4" s="650"/>
    </row>
    <row r="5" spans="3:9" ht="17.25" thickBot="1">
      <c r="C5" s="537"/>
      <c r="D5" s="537"/>
      <c r="E5" s="538"/>
      <c r="F5" s="539"/>
      <c r="G5" s="537"/>
      <c r="H5" s="537"/>
      <c r="I5" s="537"/>
    </row>
    <row r="6" spans="3:9" ht="16.5">
      <c r="C6" s="651" t="str">
        <f>CONCATENATE("Notice of Vote - ",inputPrYr!C2)</f>
        <v>Notice of Vote - CLOUD COUNTY</v>
      </c>
      <c r="D6" s="652"/>
      <c r="E6" s="652"/>
      <c r="F6" s="652"/>
      <c r="G6" s="652"/>
      <c r="H6" s="652"/>
      <c r="I6" s="653"/>
    </row>
    <row r="7" spans="3:9" ht="60.75" customHeight="1" thickBot="1">
      <c r="C7" s="64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646"/>
      <c r="E7" s="646"/>
      <c r="F7" s="646"/>
      <c r="G7" s="646"/>
      <c r="H7" s="646"/>
      <c r="I7" s="647"/>
    </row>
  </sheetData>
  <sheetProtection sheet="1" objects="1" scenarios="1"/>
  <mergeCells count="3">
    <mergeCell ref="C7:I7"/>
    <mergeCell ref="C4:I4"/>
    <mergeCell ref="C6:I6"/>
  </mergeCells>
  <printOptions/>
  <pageMargins left="0.7" right="0.7" top="0.75" bottom="0.75" header="0.3" footer="0.3"/>
  <pageSetup horizontalDpi="600" verticalDpi="600" orientation="portrait" scale="88" r:id="rId1"/>
</worksheet>
</file>

<file path=xl/worksheets/sheet29.xml><?xml version="1.0" encoding="utf-8"?>
<worksheet xmlns="http://schemas.openxmlformats.org/spreadsheetml/2006/main" xmlns:r="http://schemas.openxmlformats.org/officeDocument/2006/relationships">
  <dimension ref="C2:H12"/>
  <sheetViews>
    <sheetView view="pageBreakPreview" zoomScale="96" zoomScaleSheetLayoutView="96" zoomScalePageLayoutView="0" workbookViewId="0" topLeftCell="A1">
      <selection activeCell="A10" sqref="A10"/>
    </sheetView>
  </sheetViews>
  <sheetFormatPr defaultColWidth="8.796875" defaultRowHeight="15"/>
  <cols>
    <col min="5" max="5" width="12.19921875" style="0" customWidth="1"/>
    <col min="7" max="7" width="3.296875" style="0" customWidth="1"/>
  </cols>
  <sheetData>
    <row r="2" spans="3:8" ht="16.5">
      <c r="C2" s="536"/>
      <c r="D2" s="536"/>
      <c r="E2" s="536"/>
      <c r="F2" s="536"/>
      <c r="G2" s="536"/>
      <c r="H2" s="540">
        <f>inputPrYr!C4</f>
        <v>2015</v>
      </c>
    </row>
    <row r="3" spans="3:8" ht="17.25" thickBot="1">
      <c r="C3" s="536"/>
      <c r="D3" s="536"/>
      <c r="E3" s="536"/>
      <c r="F3" s="536"/>
      <c r="G3" s="536"/>
      <c r="H3" s="536"/>
    </row>
    <row r="4" spans="3:8" ht="19.5" thickBot="1">
      <c r="C4" s="654" t="s">
        <v>309</v>
      </c>
      <c r="D4" s="655"/>
      <c r="E4" s="655"/>
      <c r="F4" s="655"/>
      <c r="G4" s="655"/>
      <c r="H4" s="656"/>
    </row>
    <row r="5" spans="3:8" ht="17.25" thickBot="1">
      <c r="C5" s="541"/>
      <c r="D5" s="541"/>
      <c r="E5" s="541"/>
      <c r="F5" s="541"/>
      <c r="G5" s="541"/>
      <c r="H5" s="541"/>
    </row>
    <row r="6" spans="3:8" ht="16.5">
      <c r="C6" s="651" t="str">
        <f>CONCATENATE("Notice of Vote - ",inputPrYr!C2)</f>
        <v>Notice of Vote - CLOUD COUNTY</v>
      </c>
      <c r="D6" s="652"/>
      <c r="E6" s="652"/>
      <c r="F6" s="652"/>
      <c r="G6" s="652"/>
      <c r="H6" s="653"/>
    </row>
    <row r="7" spans="3:8" ht="16.5">
      <c r="C7" s="657" t="s">
        <v>310</v>
      </c>
      <c r="D7" s="658"/>
      <c r="E7" s="658"/>
      <c r="F7" s="658"/>
      <c r="G7" s="658"/>
      <c r="H7" s="659"/>
    </row>
    <row r="8" spans="3:8" ht="16.5">
      <c r="C8" s="657" t="s">
        <v>311</v>
      </c>
      <c r="D8" s="658"/>
      <c r="E8" s="658"/>
      <c r="F8" s="658"/>
      <c r="G8" s="658"/>
      <c r="H8" s="659"/>
    </row>
    <row r="9" spans="3:8" ht="16.5">
      <c r="C9" s="544" t="str">
        <f>CONCATENATE(H2-1," Budget")</f>
        <v>2014 Budget</v>
      </c>
      <c r="D9" s="546" t="s">
        <v>160</v>
      </c>
      <c r="E9" s="547">
        <f>inputPrYr!E35</f>
        <v>5585089</v>
      </c>
      <c r="F9" s="542"/>
      <c r="G9" s="542"/>
      <c r="H9" s="543"/>
    </row>
    <row r="10" spans="3:8" ht="16.5">
      <c r="C10" s="544" t="str">
        <f>CONCATENATE(H2," Budget")</f>
        <v>2015 Budget</v>
      </c>
      <c r="D10" s="546" t="s">
        <v>160</v>
      </c>
      <c r="E10" s="548">
        <f>cert!E54</f>
        <v>5681356.15</v>
      </c>
      <c r="F10" s="542"/>
      <c r="G10" s="542"/>
      <c r="H10" s="543"/>
    </row>
    <row r="11" spans="3:8" ht="16.5">
      <c r="C11" s="544"/>
      <c r="D11" s="542"/>
      <c r="E11" s="542" t="s">
        <v>312</v>
      </c>
      <c r="F11" s="549"/>
      <c r="G11" s="545" t="s">
        <v>313</v>
      </c>
      <c r="H11" s="550"/>
    </row>
    <row r="12" spans="3:8" ht="17.25" thickBot="1">
      <c r="C12" s="551"/>
      <c r="D12" s="552"/>
      <c r="E12" s="552"/>
      <c r="F12" s="552"/>
      <c r="G12" s="552"/>
      <c r="H12" s="553"/>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3"/>
  <sheetViews>
    <sheetView view="pageBreakPreview" zoomScale="99" zoomScaleSheetLayoutView="99"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1" ht="16.5">
      <c r="J1" s="405" t="s">
        <v>271</v>
      </c>
    </row>
    <row r="2" spans="1:10" ht="54" customHeight="1">
      <c r="A2" s="585" t="s">
        <v>233</v>
      </c>
      <c r="B2" s="586"/>
      <c r="C2" s="586"/>
      <c r="D2" s="586"/>
      <c r="E2" s="586"/>
      <c r="F2" s="586"/>
      <c r="J2" s="405" t="s">
        <v>272</v>
      </c>
    </row>
    <row r="3" spans="1:10" ht="16.5">
      <c r="A3" s="2" t="s">
        <v>269</v>
      </c>
      <c r="B3" s="497" t="s">
        <v>349</v>
      </c>
      <c r="J3" s="405" t="s">
        <v>273</v>
      </c>
    </row>
    <row r="4" spans="1:10" ht="16.5">
      <c r="A4" s="317"/>
      <c r="B4" s="317"/>
      <c r="C4" s="317"/>
      <c r="D4" s="404" t="s">
        <v>270</v>
      </c>
      <c r="E4" s="317"/>
      <c r="F4" s="317"/>
      <c r="J4" s="405" t="s">
        <v>274</v>
      </c>
    </row>
    <row r="5" spans="1:10" ht="16.5">
      <c r="A5" s="318" t="s">
        <v>234</v>
      </c>
      <c r="B5" s="498" t="s">
        <v>449</v>
      </c>
      <c r="C5" s="319"/>
      <c r="D5" s="404" t="str">
        <f>IF(B5="","",CONCATENATE("Latest date for notice to be published in your newspaper: ",G18," ",G22,", ",G23))</f>
        <v>Latest date for notice to be published in your newspaper: August 23, 2014</v>
      </c>
      <c r="E5" s="317"/>
      <c r="F5" s="317"/>
      <c r="J5" s="405" t="s">
        <v>275</v>
      </c>
    </row>
    <row r="6" spans="1:10" ht="16.5">
      <c r="A6" s="318"/>
      <c r="B6" s="320"/>
      <c r="C6" s="321"/>
      <c r="D6" s="318"/>
      <c r="E6" s="317"/>
      <c r="F6" s="317"/>
      <c r="J6" s="405" t="s">
        <v>276</v>
      </c>
    </row>
    <row r="7" spans="1:10" ht="16.5">
      <c r="A7" s="318" t="s">
        <v>235</v>
      </c>
      <c r="B7" s="498" t="s">
        <v>450</v>
      </c>
      <c r="C7" s="322"/>
      <c r="D7" s="318"/>
      <c r="E7" s="317"/>
      <c r="F7" s="317"/>
      <c r="J7" s="405" t="s">
        <v>277</v>
      </c>
    </row>
    <row r="8" spans="1:10" ht="16.5">
      <c r="A8" s="318"/>
      <c r="B8" s="318"/>
      <c r="C8" s="318"/>
      <c r="D8" s="318"/>
      <c r="E8" s="317"/>
      <c r="F8" s="317"/>
      <c r="J8" s="405" t="s">
        <v>278</v>
      </c>
    </row>
    <row r="9" spans="1:10" ht="16.5">
      <c r="A9" s="318" t="s">
        <v>236</v>
      </c>
      <c r="B9" s="499" t="s">
        <v>350</v>
      </c>
      <c r="C9" s="500"/>
      <c r="D9" s="500"/>
      <c r="E9" s="501"/>
      <c r="F9" s="317"/>
      <c r="J9" s="405" t="s">
        <v>279</v>
      </c>
    </row>
    <row r="10" spans="1:10" ht="16.5">
      <c r="A10" s="318"/>
      <c r="B10" s="318"/>
      <c r="C10" s="318"/>
      <c r="D10" s="318"/>
      <c r="E10" s="317"/>
      <c r="F10" s="317"/>
      <c r="J10" s="405" t="s">
        <v>280</v>
      </c>
    </row>
    <row r="11" spans="1:10" ht="16.5">
      <c r="A11" s="318"/>
      <c r="B11" s="318"/>
      <c r="C11" s="318"/>
      <c r="D11" s="318"/>
      <c r="E11" s="317"/>
      <c r="F11" s="317"/>
      <c r="J11" s="405" t="s">
        <v>281</v>
      </c>
    </row>
    <row r="12" spans="1:10" ht="16.5">
      <c r="A12" s="318" t="s">
        <v>238</v>
      </c>
      <c r="B12" s="499" t="s">
        <v>351</v>
      </c>
      <c r="C12" s="500"/>
      <c r="D12" s="500"/>
      <c r="E12" s="501"/>
      <c r="F12" s="317"/>
      <c r="J12" s="405" t="s">
        <v>282</v>
      </c>
    </row>
    <row r="15" spans="1:6" ht="16.5">
      <c r="A15" s="587" t="s">
        <v>239</v>
      </c>
      <c r="B15" s="587"/>
      <c r="C15" s="318"/>
      <c r="D15" s="318"/>
      <c r="E15" s="318"/>
      <c r="F15" s="317"/>
    </row>
    <row r="16" spans="1:6" ht="16.5">
      <c r="A16" s="318"/>
      <c r="B16" s="318"/>
      <c r="C16" s="318"/>
      <c r="D16" s="318"/>
      <c r="E16" s="318"/>
      <c r="F16" s="317"/>
    </row>
    <row r="17" spans="1:5" ht="16.5">
      <c r="A17" s="318" t="s">
        <v>234</v>
      </c>
      <c r="B17" s="320" t="s">
        <v>240</v>
      </c>
      <c r="C17" s="318"/>
      <c r="D17" s="318"/>
      <c r="E17" s="318"/>
    </row>
    <row r="18" spans="1:7" ht="16.5">
      <c r="A18" s="318"/>
      <c r="B18" s="318"/>
      <c r="C18" s="318"/>
      <c r="D18" s="318"/>
      <c r="E18" s="318"/>
      <c r="G18" s="405" t="str">
        <f ca="1">IF(B5="","",INDIRECT(G19))</f>
        <v>August</v>
      </c>
    </row>
    <row r="19" spans="1:7" ht="16.5">
      <c r="A19" s="318" t="s">
        <v>235</v>
      </c>
      <c r="B19" s="318" t="s">
        <v>241</v>
      </c>
      <c r="C19" s="318"/>
      <c r="D19" s="318"/>
      <c r="E19" s="318"/>
      <c r="G19" s="406" t="str">
        <f>IF(B5="","",CONCATENATE("J",G21))</f>
        <v>J8</v>
      </c>
    </row>
    <row r="20" spans="1:7" ht="16.5">
      <c r="A20" s="318"/>
      <c r="B20" s="318"/>
      <c r="C20" s="318"/>
      <c r="D20" s="318"/>
      <c r="E20" s="318"/>
      <c r="G20" s="407">
        <f>B5-10</f>
        <v>41874</v>
      </c>
    </row>
    <row r="21" spans="1:7" ht="16.5">
      <c r="A21" s="318" t="s">
        <v>236</v>
      </c>
      <c r="B21" s="318" t="s">
        <v>237</v>
      </c>
      <c r="C21" s="318"/>
      <c r="D21" s="318"/>
      <c r="E21" s="318"/>
      <c r="G21" s="408">
        <f>IF(B5="","",MONTH(G20))</f>
        <v>8</v>
      </c>
    </row>
    <row r="22" spans="1:7" ht="16.5">
      <c r="A22" s="318"/>
      <c r="B22" s="318"/>
      <c r="C22" s="318"/>
      <c r="D22" s="318"/>
      <c r="E22" s="318"/>
      <c r="G22" s="409">
        <f>IF(B5="","",DAY(G20))</f>
        <v>23</v>
      </c>
    </row>
    <row r="23" spans="1:7" ht="16.5">
      <c r="A23" s="318" t="s">
        <v>238</v>
      </c>
      <c r="B23" s="318" t="s">
        <v>237</v>
      </c>
      <c r="C23" s="318"/>
      <c r="D23" s="318"/>
      <c r="E23" s="318"/>
      <c r="G23" s="410">
        <f>IF(B5="","",YEAR(G20))</f>
        <v>2014</v>
      </c>
    </row>
  </sheetData>
  <sheetProtection sheet="1"/>
  <mergeCells count="2">
    <mergeCell ref="A2:F2"/>
    <mergeCell ref="A15:B15"/>
  </mergeCells>
  <printOptions/>
  <pageMargins left="0.7" right="0.7" top="0.75" bottom="0.75" header="0.3" footer="0.3"/>
  <pageSetup blackAndWhite="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pageSetUpPr fitToPage="1"/>
  </sheetPr>
  <dimension ref="A1:F72"/>
  <sheetViews>
    <sheetView view="pageBreakPreview" zoomScale="102" zoomScaleNormal="90" zoomScaleSheetLayoutView="102" zoomScalePageLayoutView="0" workbookViewId="0" topLeftCell="A43">
      <selection activeCell="C43" sqref="C43"/>
    </sheetView>
  </sheetViews>
  <sheetFormatPr defaultColWidth="8.8984375" defaultRowHeight="15"/>
  <cols>
    <col min="1" max="1" width="20.796875" style="103" customWidth="1"/>
    <col min="2" max="2" width="9.796875" style="103" customWidth="1"/>
    <col min="3" max="3" width="5.796875" style="103" customWidth="1"/>
    <col min="4" max="6" width="15.796875" style="103" customWidth="1"/>
    <col min="7" max="16384" width="8.8984375" style="103" customWidth="1"/>
  </cols>
  <sheetData>
    <row r="1" spans="1:6" ht="12.75">
      <c r="A1" s="102"/>
      <c r="B1" s="102"/>
      <c r="C1" s="102"/>
      <c r="D1" s="102"/>
      <c r="E1" s="102"/>
      <c r="F1" s="102"/>
    </row>
    <row r="2" spans="1:6" ht="12.75">
      <c r="A2" s="589" t="s">
        <v>145</v>
      </c>
      <c r="B2" s="589"/>
      <c r="C2" s="589"/>
      <c r="D2" s="589"/>
      <c r="E2" s="589"/>
      <c r="F2" s="589"/>
    </row>
    <row r="3" spans="1:6" ht="15" customHeight="1">
      <c r="A3" s="104"/>
      <c r="B3" s="104"/>
      <c r="C3" s="104"/>
      <c r="D3" s="104"/>
      <c r="E3" s="104"/>
      <c r="F3" s="102">
        <f>inputPrYr!C4</f>
        <v>2015</v>
      </c>
    </row>
    <row r="4" spans="1:6" ht="16.5">
      <c r="A4" s="594" t="str">
        <f>CONCATENATE("To the Clerk of ",inputPrYr!C2,", State of Kansas")</f>
        <v>To the Clerk of CLOUD COUNTY, State of Kansas</v>
      </c>
      <c r="B4" s="595"/>
      <c r="C4" s="595"/>
      <c r="D4" s="595"/>
      <c r="E4" s="595"/>
      <c r="F4" s="595"/>
    </row>
    <row r="5" spans="1:6" ht="16.5">
      <c r="A5" s="594" t="s">
        <v>5</v>
      </c>
      <c r="B5" s="596"/>
      <c r="C5" s="596"/>
      <c r="D5" s="596"/>
      <c r="E5" s="596"/>
      <c r="F5" s="596"/>
    </row>
    <row r="6" spans="1:6" ht="16.5">
      <c r="A6" s="592" t="str">
        <f>(inputPrYr!C2)</f>
        <v>CLOUD COUNTY</v>
      </c>
      <c r="B6" s="593"/>
      <c r="C6" s="593"/>
      <c r="D6" s="593"/>
      <c r="E6" s="593"/>
      <c r="F6" s="593"/>
    </row>
    <row r="7" spans="1:6" ht="12.75">
      <c r="A7" s="105" t="s">
        <v>47</v>
      </c>
      <c r="B7" s="106"/>
      <c r="C7" s="106"/>
      <c r="D7" s="106"/>
      <c r="E7" s="106"/>
      <c r="F7" s="106"/>
    </row>
    <row r="8" spans="1:6" ht="12.75">
      <c r="A8" s="105" t="s">
        <v>48</v>
      </c>
      <c r="B8" s="106"/>
      <c r="C8" s="106"/>
      <c r="D8" s="106"/>
      <c r="E8" s="106"/>
      <c r="F8" s="106"/>
    </row>
    <row r="9" spans="1:6" ht="12.75">
      <c r="A9" s="105" t="str">
        <f>CONCATENATE("maximum expenditure for the various funds for the year ",F3,"; and")</f>
        <v>maximum expenditure for the various funds for the year 2015; and</v>
      </c>
      <c r="B9" s="106"/>
      <c r="C9" s="106"/>
      <c r="D9" s="106"/>
      <c r="E9" s="106"/>
      <c r="F9" s="106"/>
    </row>
    <row r="10" spans="1:6" ht="12.75">
      <c r="A10" s="105" t="str">
        <f>CONCATENATE("(3) the Amount(s) of ",F3-1," Ad Valorem Tax are within statutory limitations.")</f>
        <v>(3) the Amount(s) of 2014 Ad Valorem Tax are within statutory limitations.</v>
      </c>
      <c r="B10" s="106"/>
      <c r="C10" s="106"/>
      <c r="D10" s="106"/>
      <c r="E10" s="106"/>
      <c r="F10" s="106"/>
    </row>
    <row r="11" spans="1:6" ht="8.25" customHeight="1">
      <c r="A11" s="107"/>
      <c r="B11" s="104"/>
      <c r="C11" s="104"/>
      <c r="D11" s="108"/>
      <c r="E11" s="108"/>
      <c r="F11" s="108"/>
    </row>
    <row r="12" spans="1:6" ht="12.75">
      <c r="A12" s="104"/>
      <c r="B12" s="104"/>
      <c r="C12" s="104"/>
      <c r="D12" s="109" t="str">
        <f>CONCATENATE("",F3," Adopted Budget")</f>
        <v>2015 Adopted Budget</v>
      </c>
      <c r="E12" s="110"/>
      <c r="F12" s="111"/>
    </row>
    <row r="13" spans="1:6" ht="13.5" customHeight="1">
      <c r="A13" s="104"/>
      <c r="B13" s="104"/>
      <c r="C13" s="112" t="s">
        <v>49</v>
      </c>
      <c r="D13" s="352" t="s">
        <v>251</v>
      </c>
      <c r="E13" s="590" t="str">
        <f>CONCATENATE("Amount of ",F3-1,"               Ad Valorem Tax")</f>
        <v>Amount of 2014               Ad Valorem Tax</v>
      </c>
      <c r="F13" s="112" t="s">
        <v>50</v>
      </c>
    </row>
    <row r="14" spans="1:6" ht="12.75" customHeight="1">
      <c r="A14" s="113" t="s">
        <v>51</v>
      </c>
      <c r="B14" s="114"/>
      <c r="C14" s="115" t="s">
        <v>52</v>
      </c>
      <c r="D14" s="351" t="s">
        <v>252</v>
      </c>
      <c r="E14" s="591"/>
      <c r="F14" s="115" t="s">
        <v>54</v>
      </c>
    </row>
    <row r="15" spans="1:6" ht="12.75">
      <c r="A15" s="116" t="str">
        <f>CONCATENATE("Computation to Determine Limit for ",F3,"")</f>
        <v>Computation to Determine Limit for 2015</v>
      </c>
      <c r="B15" s="120"/>
      <c r="C15" s="115">
        <v>2</v>
      </c>
      <c r="D15" s="117"/>
      <c r="E15" s="117"/>
      <c r="F15" s="117"/>
    </row>
    <row r="16" spans="1:6" ht="12.75">
      <c r="A16" s="119" t="s">
        <v>293</v>
      </c>
      <c r="B16" s="120"/>
      <c r="C16" s="121">
        <v>3</v>
      </c>
      <c r="D16" s="117"/>
      <c r="E16" s="117"/>
      <c r="F16" s="117"/>
    </row>
    <row r="17" spans="1:6" ht="12.75">
      <c r="A17" s="429" t="s">
        <v>188</v>
      </c>
      <c r="B17" s="472"/>
      <c r="C17" s="121">
        <v>4</v>
      </c>
      <c r="D17" s="117"/>
      <c r="E17" s="117"/>
      <c r="F17" s="117"/>
    </row>
    <row r="18" spans="1:6" ht="12.75">
      <c r="A18" s="119" t="s">
        <v>55</v>
      </c>
      <c r="B18" s="120"/>
      <c r="C18" s="122">
        <v>5</v>
      </c>
      <c r="D18" s="123"/>
      <c r="E18" s="123"/>
      <c r="F18" s="123"/>
    </row>
    <row r="19" spans="1:6" ht="12.75">
      <c r="A19" s="119" t="s">
        <v>56</v>
      </c>
      <c r="B19" s="120"/>
      <c r="C19" s="124">
        <v>6</v>
      </c>
      <c r="D19" s="123"/>
      <c r="E19" s="123"/>
      <c r="F19" s="123"/>
    </row>
    <row r="20" spans="1:6" ht="12.75">
      <c r="A20" s="125" t="s">
        <v>57</v>
      </c>
      <c r="B20" s="126" t="s">
        <v>58</v>
      </c>
      <c r="C20" s="127"/>
      <c r="D20" s="128"/>
      <c r="E20" s="128"/>
      <c r="F20" s="128"/>
    </row>
    <row r="21" spans="1:6" ht="15.75">
      <c r="A21" s="116" t="str">
        <f>inputPrYr!B16</f>
        <v>General</v>
      </c>
      <c r="B21" s="129" t="str">
        <f>inputPrYr!C16</f>
        <v>79-1946</v>
      </c>
      <c r="C21" s="122">
        <v>7</v>
      </c>
      <c r="D21" s="476">
        <f>IF(general!$E$96&lt;&gt;0,general!$E$96,"  ")</f>
        <v>2782648</v>
      </c>
      <c r="E21" s="477">
        <f>IF(general!$E$103&lt;&gt;0,general!$E$103,0)</f>
        <v>1742566.35</v>
      </c>
      <c r="F21" s="478" t="str">
        <f>IF(AND(general!E103=0,$F$57&gt;=0)," ",IF(AND(E21&gt;0,$F$57=0)," ",IF(AND(E21&gt;0,$F$57&gt;0),ROUND(E21/$F$57*1000,3))))</f>
        <v> </v>
      </c>
    </row>
    <row r="22" spans="1:6" ht="15.75">
      <c r="A22" s="116" t="str">
        <f>inputPrYr!B17</f>
        <v>Debt Service</v>
      </c>
      <c r="B22" s="129" t="str">
        <f>inputPrYr!C17</f>
        <v>10-113</v>
      </c>
      <c r="C22" s="131">
        <f>IF(DebtService!C59&gt;0,DebtService!C59,"")</f>
        <v>8</v>
      </c>
      <c r="D22" s="476">
        <f>IF(DebtService!$E$50&lt;&gt;0,DebtService!$E$50,"  ")</f>
        <v>10000</v>
      </c>
      <c r="E22" s="477">
        <f>IF(DebtService!$E$57&lt;&gt;0,DebtService!$E$57,0)</f>
        <v>10500</v>
      </c>
      <c r="F22" s="478" t="str">
        <f>IF(AND(DebtService!E57=0,$F$57&gt;=0)," ",IF(AND(E22&gt;0,$F$57=0)," ",IF(AND(E22&gt;0,$F$57&gt;0),ROUND(E22/$F$57*1000,3))))</f>
        <v> </v>
      </c>
    </row>
    <row r="23" spans="1:6" ht="15.75">
      <c r="A23" s="116" t="str">
        <f>inputPrYr!B18</f>
        <v>Road &amp; Bridge</v>
      </c>
      <c r="B23" s="129" t="str">
        <f>inputPrYr!C18</f>
        <v>79-1946</v>
      </c>
      <c r="C23" s="122">
        <f>road!C49</f>
        <v>9</v>
      </c>
      <c r="D23" s="476">
        <f>IF(road!$E$40&lt;&gt;0,road!$E$40,"  ")</f>
        <v>2500000</v>
      </c>
      <c r="E23" s="477">
        <f>IF(road!$E$47&lt;&gt;0,road!$E$47,0)</f>
        <v>1857046.8</v>
      </c>
      <c r="F23" s="478" t="str">
        <f>IF(AND(road!E47=0,$F$57&gt;=0)," ",IF(AND(E23&gt;0,$F$57=0)," ",IF(AND(E23&gt;0,$F$57&gt;0),ROUND(E23/$F$57*1000,3))))</f>
        <v> </v>
      </c>
    </row>
    <row r="24" spans="1:6" ht="15.75">
      <c r="A24" s="130" t="str">
        <f>IF((inputPrYr!$B19&gt;"  "),(inputPrYr!$B19),"  ")</f>
        <v>Special Bridge</v>
      </c>
      <c r="B24" s="129" t="str">
        <f>IF((inputPrYr!C19&gt;0),(inputPrYr!C19),"  ")</f>
        <v>68-1135</v>
      </c>
      <c r="C24" s="122">
        <f>IF('SpecBrdg-NW'!C76&gt;0,'SpecBrdg-NW'!C76,"  ")</f>
        <v>10</v>
      </c>
      <c r="D24" s="476">
        <f>IF('SpecBrdg-NW'!$E$30&lt;&gt;0,'SpecBrdg-NW'!$E$30,"  ")</f>
        <v>208870</v>
      </c>
      <c r="E24" s="477">
        <f>IF('SpecBrdg-NW'!$E$37&lt;&gt;0,'SpecBrdg-NW'!$E$37,0)</f>
        <v>0</v>
      </c>
      <c r="F24" s="478" t="str">
        <f>IF(AND('SpecBrdg-NW'!E37=0,$F$57&gt;=0)," ",IF(AND(E24&gt;0,$F$57=0)," ",IF(AND(E24&gt;0,$F$57&gt;0),ROUND(E24/$F$57*1000,3))))</f>
        <v> </v>
      </c>
    </row>
    <row r="25" spans="1:6" ht="15.75">
      <c r="A25" s="130" t="str">
        <f>IF((inputPrYr!$B20&gt;"  "),(inputPrYr!$B20),"  ")</f>
        <v>Noxious Weed</v>
      </c>
      <c r="B25" s="129" t="str">
        <f>IF((inputPrYr!C20&gt;0),(inputPrYr!C20),"  ")</f>
        <v>2-1318</v>
      </c>
      <c r="C25" s="122">
        <f>IF('SpecBrdg-NW'!C76&gt;0,'SpecBrdg-NW'!C76,"  ")</f>
        <v>10</v>
      </c>
      <c r="D25" s="476">
        <f>IF('SpecBrdg-NW'!$E$68&lt;&gt;0,'SpecBrdg-NW'!$E$68,"  ")</f>
        <v>177550</v>
      </c>
      <c r="E25" s="477">
        <f>IF('SpecBrdg-NW'!$E$75&lt;&gt;0,'SpecBrdg-NW'!$E$75,0)</f>
        <v>0</v>
      </c>
      <c r="F25" s="478" t="str">
        <f>IF(AND('SpecBrdg-NW'!E75=0,$F$57&gt;=0)," ",IF(AND(E25&gt;0,$F$57=0)," ",IF(AND(E25&gt;0,$F$57&gt;0),ROUND(E25/$F$57*1000,3))))</f>
        <v> </v>
      </c>
    </row>
    <row r="26" spans="1:6" ht="15.75">
      <c r="A26" s="130" t="str">
        <f>IF((inputPrYr!$B21&gt;"  "),(inputPrYr!$B21),"  ")</f>
        <v>Conservation District</v>
      </c>
      <c r="B26" s="129" t="str">
        <f>IF((inputPrYr!C21&gt;0),(inputPrYr!C21),"  ")</f>
        <v>2-1907b</v>
      </c>
      <c r="C26" s="122">
        <f>IF('Conserv-SerAging'!C73&gt;0,'Conserv-SerAging'!C73,"  ")</f>
        <v>11</v>
      </c>
      <c r="D26" s="476">
        <f>IF('Conserv-SerAging'!$E$30&lt;&gt;0,'Conserv-SerAging'!$E$30,"  ")</f>
        <v>20000</v>
      </c>
      <c r="E26" s="477">
        <f>IF('Conserv-SerAging'!$E$37&lt;&gt;0,'Conserv-SerAging'!$E$37,0)</f>
        <v>18536</v>
      </c>
      <c r="F26" s="478" t="str">
        <f>IF(AND('Conserv-SerAging'!E37=0,$F$57&gt;=0)," ",IF(AND(E26&gt;0,$F$57=0)," ",IF(AND(E26&gt;0,$F$57&gt;0),ROUND(E26/$F$57*1000,3))))</f>
        <v> </v>
      </c>
    </row>
    <row r="27" spans="1:6" ht="15.75">
      <c r="A27" s="130" t="str">
        <f>IF((inputPrYr!$B22&gt;"  "),(inputPrYr!$B22),"  ")</f>
        <v>Services for Aging</v>
      </c>
      <c r="B27" s="129" t="str">
        <f>IF((inputPrYr!C22&gt;0),(inputPrYr!C22),"  ")</f>
        <v>12-1680</v>
      </c>
      <c r="C27" s="122">
        <f>IF('Conserv-SerAging'!C73&gt;0,'Conserv-SerAging'!C73,"  ")</f>
        <v>11</v>
      </c>
      <c r="D27" s="476">
        <f>IF('Conserv-SerAging'!$E$65&lt;&gt;0,'Conserv-SerAging'!$E$65,"  ")</f>
        <v>84385</v>
      </c>
      <c r="E27" s="477">
        <f>IF('Conserv-SerAging'!$E$72&lt;&gt;0,'Conserv-SerAging'!$E$72,0)</f>
        <v>78672</v>
      </c>
      <c r="F27" s="478" t="str">
        <f>IF(AND('Conserv-SerAging'!E72=0,$F$57&gt;=0)," ",IF(AND(E27&gt;0,$F$57=0)," ",IF(AND(E27&gt;0,$F$57&gt;0),ROUND(E27/$F$57*1000,3))))</f>
        <v> </v>
      </c>
    </row>
    <row r="28" spans="1:6" ht="15.75">
      <c r="A28" s="130" t="str">
        <f>IF((inputPrYr!$B23&gt;"  "),(inputPrYr!$B23),"  ")</f>
        <v>County Health</v>
      </c>
      <c r="B28" s="129" t="str">
        <f>IF((inputPrYr!C23&gt;0),(inputPrYr!C23),"  ")</f>
        <v>65-204</v>
      </c>
      <c r="C28" s="122">
        <f>IF('CoHlth-PawnMent'!C75&gt;0,'CoHlth-PawnMent'!C75,"  ")</f>
        <v>12</v>
      </c>
      <c r="D28" s="476">
        <f>IF('CoHlth-PawnMent'!$E$32&lt;&gt;0,'CoHlth-PawnMent'!$E$32,"  ")</f>
        <v>787643</v>
      </c>
      <c r="E28" s="477">
        <f>IF('CoHlth-PawnMent'!$E$39&lt;&gt;0,'CoHlth-PawnMent'!$E$39,0)</f>
        <v>204379</v>
      </c>
      <c r="F28" s="478" t="str">
        <f>IF(AND('CoHlth-PawnMent'!E39=0,$F$57&gt;=0)," ",IF(AND(E28&gt;0,$F$57=0)," ",IF(AND(E28&gt;0,$F$57&gt;0),ROUND(E28/$F$57*1000,3))))</f>
        <v> </v>
      </c>
    </row>
    <row r="29" spans="1:6" ht="15.75">
      <c r="A29" s="130" t="str">
        <f>IF((inputPrYr!$B24&gt;"  "),(inputPrYr!$B24),"  ")</f>
        <v>Pawnee Mental Health</v>
      </c>
      <c r="B29" s="129" t="str">
        <f>IF((inputPrYr!C24&gt;0),(inputPrYr!C24),"  ")</f>
        <v>19-4004</v>
      </c>
      <c r="C29" s="122">
        <f>IF('CoHlth-PawnMent'!C75&gt;0,'CoHlth-PawnMent'!C75,"  ")</f>
        <v>12</v>
      </c>
      <c r="D29" s="476">
        <f>IF('CoHlth-PawnMent'!$E$67&lt;&gt;0,'CoHlth-PawnMent'!$E$67,"  ")</f>
        <v>68875</v>
      </c>
      <c r="E29" s="477">
        <f>IF('CoHlth-PawnMent'!$E$74&lt;&gt;0,'CoHlth-PawnMent'!$E$74,0)</f>
        <v>67393</v>
      </c>
      <c r="F29" s="478" t="str">
        <f>IF(AND('CoHlth-PawnMent'!E74=0,$F$57&gt;=0)," ",IF(AND(E29&gt;0,$F$57=0)," ",IF(AND(E29&gt;0,$F$57&gt;0),ROUND(E29/$F$57*1000,3))))</f>
        <v> </v>
      </c>
    </row>
    <row r="30" spans="1:6" ht="15.75">
      <c r="A30" s="130" t="str">
        <f>IF((inputPrYr!$B25&gt;"  "),(inputPrYr!$B25),"  ")</f>
        <v>Mental Retardation</v>
      </c>
      <c r="B30" s="129" t="str">
        <f>IF((inputPrYr!C25&gt;0),(inputPrYr!C25),"  ")</f>
        <v>19-4004</v>
      </c>
      <c r="C30" s="122">
        <f>IF('MentReTard-Fair'!C73&gt;0,'MentReTard-Fair'!C73,"  ")</f>
        <v>13</v>
      </c>
      <c r="D30" s="476">
        <f>IF('MentReTard-Fair'!$E$30&lt;&gt;0,'MentReTard-Fair'!$E$30,"  ")</f>
        <v>106094</v>
      </c>
      <c r="E30" s="477">
        <f>IF('MentReTard-Fair'!$E$37&lt;&gt;0,'MentReTard-Fair'!$E$37,0)</f>
        <v>97950</v>
      </c>
      <c r="F30" s="478" t="str">
        <f>IF(AND('MentReTard-Fair'!E37=0,$F$57&gt;=0)," ",IF(AND(E30&gt;0,$F$57=0)," ",IF(AND(E30&gt;0,$F$57&gt;0),ROUND(E30/$F$57*1000,3))))</f>
        <v> </v>
      </c>
    </row>
    <row r="31" spans="1:6" ht="15.75">
      <c r="A31" s="130" t="str">
        <f>IF((inputPrYr!$B26&gt;"  "),(inputPrYr!$B26),"  ")</f>
        <v>County Fair</v>
      </c>
      <c r="B31" s="129" t="str">
        <f>IF((inputPrYr!C26&gt;0),(inputPrYr!C26),"  ")</f>
        <v>2-129</v>
      </c>
      <c r="C31" s="122">
        <f>IF('MentReTard-Fair'!C73&gt;0,'MentReTard-Fair'!C73,"  ")</f>
        <v>13</v>
      </c>
      <c r="D31" s="476">
        <f>IF('MentReTard-Fair'!$E$65&lt;&gt;0,'MentReTard-Fair'!$E$65,"  ")</f>
        <v>40000</v>
      </c>
      <c r="E31" s="477">
        <f>IF('MentReTard-Fair'!$E$72&lt;&gt;0,'MentReTard-Fair'!$E$72,0)</f>
        <v>37469</v>
      </c>
      <c r="F31" s="478" t="str">
        <f>IF(AND('MentReTard-Fair'!E72=0,$F$57&gt;=0)," ",IF(AND(E31&gt;0,$F$57=0)," ",IF(AND(E31&gt;0,$F$57&gt;0),ROUND(E31/$F$57*1000,3))))</f>
        <v> </v>
      </c>
    </row>
    <row r="32" spans="1:6" ht="15.75">
      <c r="A32" s="130" t="str">
        <f>IF((inputPrYr!$B27&gt;"  "),(inputPrYr!$B27),"  ")</f>
        <v>Election Expense</v>
      </c>
      <c r="B32" s="129" t="str">
        <f>IF((inputPrYr!C27&gt;0),(inputPrYr!C27),"  ")</f>
        <v>25-2201a</v>
      </c>
      <c r="C32" s="122">
        <f>IF('Elect-SpecBldg'!C76&gt;0,'Elect-SpecBldg'!C76,"  ")</f>
        <v>14</v>
      </c>
      <c r="D32" s="476">
        <f>IF('Elect-SpecBldg'!$E$33&lt;&gt;0,'Elect-SpecBldg'!$E$33,"  ")</f>
        <v>115358</v>
      </c>
      <c r="E32" s="477">
        <f>IF('Elect-SpecBldg'!$E$40&lt;&gt;0,'Elect-SpecBldg'!$E$40,0)</f>
        <v>92157</v>
      </c>
      <c r="F32" s="478" t="str">
        <f>IF(AND('Elect-SpecBldg'!E40=0,$F$57&gt;=0)," ",IF(AND(E32&gt;0,$F$57=0)," ",IF(AND(E32&gt;0,$F$57&gt;0),ROUND(E32/$F$57*1000,3))))</f>
        <v> </v>
      </c>
    </row>
    <row r="33" spans="1:6" ht="15.75">
      <c r="A33" s="130" t="str">
        <f>IF((inputPrYr!$B28&gt;"  "),(inputPrYr!$B28),"  ")</f>
        <v>Special Building</v>
      </c>
      <c r="B33" s="129" t="str">
        <f>IF((inputPrYr!C28&gt;0),(inputPrYr!C28),"  ")</f>
        <v>19-15,124</v>
      </c>
      <c r="C33" s="122">
        <f>IF('Elect-SpecBldg'!C76&gt;0,'Elect-SpecBldg'!C76,"  ")</f>
        <v>14</v>
      </c>
      <c r="D33" s="476">
        <f>IF('Elect-SpecBldg'!$E$68&lt;&gt;0,'Elect-SpecBldg'!$E$68,"  ")</f>
        <v>83918</v>
      </c>
      <c r="E33" s="477">
        <f>IF('Elect-SpecBldg'!$E$75&lt;&gt;0,'Elect-SpecBldg'!$E$75,0)</f>
        <v>0</v>
      </c>
      <c r="F33" s="478" t="str">
        <f>IF(AND('Elect-SpecBldg'!E75=0,$F$57&gt;=0)," ",IF(AND(E33&gt;0,$F$57=0)," ",IF(AND(E33&gt;0,$F$57&gt;0),ROUND(E33/$F$57*1000,3))))</f>
        <v> </v>
      </c>
    </row>
    <row r="34" spans="1:6" ht="15.75">
      <c r="A34" s="130" t="str">
        <f>IF((inputPrYr!$B29&gt;"  "),(inputPrYr!$B29),"  ")</f>
        <v>Historical Building</v>
      </c>
      <c r="B34" s="129" t="str">
        <f>IF((inputPrYr!C29&gt;0),(inputPrYr!C29),"  ")</f>
        <v>19-2651</v>
      </c>
      <c r="C34" s="122">
        <f>IF('Hist-Appra'!C77&gt;0,'Hist-Appra'!C77,"  ")</f>
        <v>15</v>
      </c>
      <c r="D34" s="476">
        <f>IF('Hist-Appra'!$E$30&lt;&gt;0,'Hist-Appra'!$E$30,"  ")</f>
        <v>36000</v>
      </c>
      <c r="E34" s="477">
        <f>IF('Hist-Appra'!$E$37&lt;&gt;0,'Hist-Appra'!$E$37,0)</f>
        <v>33398</v>
      </c>
      <c r="F34" s="478" t="str">
        <f>IF(AND('Hist-Appra'!E37=0,$F$57&gt;=0)," ",IF(AND(E34&gt;0,$F$57=0)," ",IF(AND(E34&gt;0,$F$57&gt;0),ROUND(E34/$F$57*1000,3))))</f>
        <v> </v>
      </c>
    </row>
    <row r="35" spans="1:6" ht="15.75">
      <c r="A35" s="130" t="str">
        <f>IF((inputPrYr!$B30&gt;"  "),(inputPrYr!$B30),"  ")</f>
        <v>Appraisers</v>
      </c>
      <c r="B35" s="129" t="str">
        <f>IF((inputPrYr!C30&gt;0),(inputPrYr!C30),"  ")</f>
        <v>79-1482</v>
      </c>
      <c r="C35" s="122">
        <f>IF('Hist-Appra'!C77&gt;0,'Hist-Appra'!C77,"  ")</f>
        <v>15</v>
      </c>
      <c r="D35" s="476">
        <f>IF('Hist-Appra'!$E$69&lt;&gt;0,'Hist-Appra'!$E$69,"  ")</f>
        <v>166000</v>
      </c>
      <c r="E35" s="477">
        <f>IF('Hist-Appra'!$E$76&lt;&gt;0,'Hist-Appra'!$E$76,0)</f>
        <v>145238</v>
      </c>
      <c r="F35" s="478" t="str">
        <f>IF(AND('Hist-Appra'!E76=0,$F$57&gt;=0)," ",IF(AND(E35&gt;0,$F$57=0)," ",IF(AND(E35&gt;0,$F$57&gt;0),ROUND(E35/$F$57*1000,3))))</f>
        <v> </v>
      </c>
    </row>
    <row r="36" spans="1:6" ht="15.75">
      <c r="A36" s="130" t="str">
        <f>IF((inputPrYr!$B31&gt;"  "),(inputPrYr!$B31),"  ")</f>
        <v>Employee Benefits</v>
      </c>
      <c r="B36" s="129" t="str">
        <f>IF((inputPrYr!C31&gt;0),(inputPrYr!C31),"  ")</f>
        <v>12-16,102</v>
      </c>
      <c r="C36" s="122">
        <f>IF(EmployBene!C73&gt;0,EmployBene!C73,"  ")</f>
        <v>16</v>
      </c>
      <c r="D36" s="476">
        <f>IF(EmployBene!$E$33&lt;&gt;0,EmployBene!$E$33,"  ")</f>
        <v>1800000</v>
      </c>
      <c r="E36" s="477">
        <f>IF(EmployBene!$E$40&lt;&gt;0,EmployBene!$E$40,0)</f>
        <v>1296051</v>
      </c>
      <c r="F36" s="478" t="str">
        <f>IF(AND(EmployBene!E40=0,$F$57&gt;=0)," ",IF(AND(E36&gt;0,$F$57=0)," ",IF(AND(E36&gt;0,$F$57&gt;0),ROUND(E36/$F$57*1000,3))))</f>
        <v> </v>
      </c>
    </row>
    <row r="37" spans="1:6" ht="15.75">
      <c r="A37" s="130" t="str">
        <f>IF((inputPrYr!$B32&gt;"  "),(inputPrYr!$B32),"  ")</f>
        <v>  </v>
      </c>
      <c r="B37" s="129" t="str">
        <f>IF((inputPrYr!C32&gt;0),(inputPrYr!C32),"  ")</f>
        <v>  </v>
      </c>
      <c r="C37" s="122"/>
      <c r="D37" s="476" t="str">
        <f>IF(EmployBene!$E$65&lt;&gt;0,EmployBene!$E$65,"  ")</f>
        <v>  </v>
      </c>
      <c r="E37" s="477">
        <f>IF(EmployBene!$E$72&lt;&gt;0,EmployBene!$E$72,0)</f>
        <v>0</v>
      </c>
      <c r="F37" s="478" t="str">
        <f>IF(AND(EmployBene!E72=0,$F$57&gt;=0)," ",IF(AND(E37&gt;0,$F$57=0)," ",IF(AND(E37&gt;0,$F$57&gt;0),ROUND(E37/$F$57*1000,3))))</f>
        <v> </v>
      </c>
    </row>
    <row r="38" spans="1:6" ht="15.75">
      <c r="A38" s="130" t="str">
        <f>IF((inputPrYr!$B33&gt;"  "),(inputPrYr!$B33),"  ")</f>
        <v>  </v>
      </c>
      <c r="B38" s="129" t="str">
        <f>IF((inputPrYr!C33&gt;0),(inputPrYr!C33),"  ")</f>
        <v>  </v>
      </c>
      <c r="C38" s="122"/>
      <c r="D38" s="476"/>
      <c r="E38" s="477"/>
      <c r="F38" s="478"/>
    </row>
    <row r="39" spans="1:6" ht="15.75">
      <c r="A39" s="130" t="str">
        <f>IF((inputPrYr!$B34&gt;"  "),(inputPrYr!$B34),"  ")</f>
        <v>  </v>
      </c>
      <c r="B39" s="129" t="str">
        <f>IF((inputPrYr!C34&gt;0),(inputPrYr!C34),"  ")</f>
        <v>  </v>
      </c>
      <c r="C39" s="122"/>
      <c r="D39" s="476"/>
      <c r="E39" s="477"/>
      <c r="F39" s="478"/>
    </row>
    <row r="40" spans="1:6" ht="12.75">
      <c r="A40" s="130" t="str">
        <f>IF((inputPrYr!$B37&gt;"  "),(inputPrYr!$B37),"  ")</f>
        <v>Noxious Weed C.O.</v>
      </c>
      <c r="B40" s="132"/>
      <c r="C40" s="122">
        <f>IF('NWC.O.-ElectC.O.'!C66&gt;0,'NWC.O.-ElectC.O.'!C66,"  ")</f>
        <v>17</v>
      </c>
      <c r="D40" s="476">
        <f>IF('NWC.O.-ElectC.O.'!$E$29&lt;&gt;0,'NWC.O.-ElectC.O.'!$E$29,"  ")</f>
        <v>23025</v>
      </c>
      <c r="E40" s="479"/>
      <c r="F40" s="479"/>
    </row>
    <row r="41" spans="1:6" ht="12.75">
      <c r="A41" s="130" t="str">
        <f>IF((inputPrYr!$B38&gt;"  "),(inputPrYr!$B38),"  ")</f>
        <v>Election C.O.</v>
      </c>
      <c r="B41" s="132"/>
      <c r="C41" s="122">
        <f>IF('NWC.O.-ElectC.O.'!C66&gt;0,'NWC.O.-ElectC.O.'!C66,"  ")</f>
        <v>17</v>
      </c>
      <c r="D41" s="476">
        <f>IF('NWC.O.-ElectC.O.'!$E$60&lt;&gt;0,'NWC.O.-ElectC.O.'!$E$60,"  ")</f>
        <v>88500</v>
      </c>
      <c r="E41" s="479"/>
      <c r="F41" s="479"/>
    </row>
    <row r="42" spans="1:6" ht="12.75">
      <c r="A42" s="130" t="str">
        <f>IF((inputPrYr!$B39&gt;"  "),(inputPrYr!$B39),"  ")</f>
        <v>Special Alcohol &amp; Drug</v>
      </c>
      <c r="B42" s="132"/>
      <c r="C42" s="122">
        <f>IF('SpecAlcoh-Conven'!C66&gt;0,'SpecAlcoh-Conven'!C66,"  ")</f>
        <v>18</v>
      </c>
      <c r="D42" s="476">
        <f>IF('SpecAlcoh-Conven'!$E$29&lt;&gt;0,'SpecAlcoh-Conven'!$E$29,"  ")</f>
        <v>16162</v>
      </c>
      <c r="E42" s="479"/>
      <c r="F42" s="479"/>
    </row>
    <row r="43" spans="1:6" ht="12.75">
      <c r="A43" s="130" t="str">
        <f>IF((inputPrYr!$B40&gt;"  "),(inputPrYr!$B40),"  ")</f>
        <v>Convention &amp; Tourism</v>
      </c>
      <c r="B43" s="132"/>
      <c r="C43" s="122">
        <f>IF('SpecAlcoh-Conven'!C66&gt;0,'SpecAlcoh-Conven'!C66,"  ")</f>
        <v>18</v>
      </c>
      <c r="D43" s="476">
        <f>IF('SpecAlcoh-Conven'!$E$60&lt;&gt;0,'SpecAlcoh-Conven'!$E$60,"  ")</f>
        <v>148600</v>
      </c>
      <c r="E43" s="479"/>
      <c r="F43" s="479"/>
    </row>
    <row r="44" spans="1:6" ht="12.75">
      <c r="A44" s="130" t="str">
        <f>IF((inputPrYr!$B41&gt;"  "),(inputPrYr!$B41),"  ")</f>
        <v>Reg. of Deeds Technology</v>
      </c>
      <c r="B44" s="132"/>
      <c r="C44" s="122">
        <f>IF('RegDTech-SolWaste'!C66&gt;0,'RegDTech-SolWaste'!C66,"  ")</f>
        <v>19</v>
      </c>
      <c r="D44" s="476">
        <f>IF('RegDTech-SolWaste'!$E$29&lt;&gt;0,'RegDTech-SolWaste'!$E$29,"  ")</f>
        <v>33988</v>
      </c>
      <c r="E44" s="479"/>
      <c r="F44" s="479"/>
    </row>
    <row r="45" spans="1:6" ht="12.75">
      <c r="A45" s="130" t="str">
        <f>IF((inputPrYr!$B42&gt;"  "),(inputPrYr!$B42),"  ")</f>
        <v>Solid Waste</v>
      </c>
      <c r="B45" s="132"/>
      <c r="C45" s="122">
        <f>IF('RegDTech-SolWaste'!C66&gt;0,'RegDTech-SolWaste'!C66,"  ")</f>
        <v>19</v>
      </c>
      <c r="D45" s="476">
        <f>IF('RegDTech-SolWaste'!$E$60&lt;&gt;0,'RegDTech-SolWaste'!$E$60,"  ")</f>
        <v>897968</v>
      </c>
      <c r="E45" s="479"/>
      <c r="F45" s="479"/>
    </row>
    <row r="46" spans="1:6" ht="12.75">
      <c r="A46" s="130" t="str">
        <f>IF((inputPrYr!$B43&gt;"  "),(inputPrYr!$B43),"  ")</f>
        <v>Spec. Econ. Dev.-Horizons</v>
      </c>
      <c r="B46" s="132"/>
      <c r="C46" s="122">
        <f>IF('SpecEconDev-LawEnf'!C66&gt;0,'SpecEconDev-LawEnf'!C66,"  ")</f>
        <v>20</v>
      </c>
      <c r="D46" s="476">
        <f>IF('SpecEconDev-LawEnf'!$E$29&lt;&gt;0,'SpecEconDev-LawEnf'!$E$29,"  ")</f>
        <v>400979</v>
      </c>
      <c r="E46" s="479"/>
      <c r="F46" s="479"/>
    </row>
    <row r="47" spans="1:6" ht="12.75">
      <c r="A47" s="130" t="str">
        <f>IF((inputPrYr!$B44&gt;"  "),(inputPrYr!$B44),"  ")</f>
        <v>Law Enforcement</v>
      </c>
      <c r="B47" s="132"/>
      <c r="C47" s="122">
        <f>IF('SpecEconDev-LawEnf'!C66&gt;0,'SpecEconDev-LawEnf'!C66,"  ")</f>
        <v>20</v>
      </c>
      <c r="D47" s="476">
        <f>IF('SpecEconDev-LawEnf'!$E$60&lt;&gt;0,'SpecEconDev-LawEnf'!$E$60,"  ")</f>
        <v>367975</v>
      </c>
      <c r="E47" s="479"/>
      <c r="F47" s="479"/>
    </row>
    <row r="48" spans="1:6" ht="12.75">
      <c r="A48" s="130" t="str">
        <f>IF((inputPrYr!$B45&gt;"  "),(inputPrYr!$B45),"  ")</f>
        <v>  </v>
      </c>
      <c r="B48" s="132"/>
      <c r="C48" s="122"/>
      <c r="D48" s="476"/>
      <c r="E48" s="480"/>
      <c r="F48" s="480"/>
    </row>
    <row r="49" spans="1:6" ht="12.75">
      <c r="A49" s="130" t="str">
        <f>IF((inputPrYr!$B46&gt;"  "),(inputPrYr!$B46),"  ")</f>
        <v>  </v>
      </c>
      <c r="B49" s="127"/>
      <c r="C49" s="122"/>
      <c r="D49" s="476"/>
      <c r="E49" s="480"/>
      <c r="F49" s="480"/>
    </row>
    <row r="50" spans="1:6" ht="12.75">
      <c r="A50" s="130" t="str">
        <f>IF((inputPrYr!$B50&gt;"  "),(nonbudA!$A3),"  ")</f>
        <v>Non-Budgeted Funds-A</v>
      </c>
      <c r="B50" s="127"/>
      <c r="C50" s="122">
        <f>IF(nonbudA!$F$33&gt;0,nonbudA!$F$33,"  ")</f>
        <v>21</v>
      </c>
      <c r="D50" s="476"/>
      <c r="E50" s="480"/>
      <c r="F50" s="480"/>
    </row>
    <row r="51" spans="1:6" ht="12.75">
      <c r="A51" s="130" t="str">
        <f>IF((inputPrYr!$B56&gt;"  "),(#REF!),"  ")</f>
        <v>  </v>
      </c>
      <c r="B51" s="127"/>
      <c r="C51" s="122"/>
      <c r="D51" s="476"/>
      <c r="E51" s="480"/>
      <c r="F51" s="480"/>
    </row>
    <row r="52" spans="1:6" ht="12.75">
      <c r="A52" s="130" t="str">
        <f>IF((inputPrYr!$B62&gt;"  "),(#REF!),"  ")</f>
        <v>  </v>
      </c>
      <c r="B52" s="127"/>
      <c r="C52" s="122"/>
      <c r="D52" s="476"/>
      <c r="E52" s="480"/>
      <c r="F52" s="480"/>
    </row>
    <row r="53" spans="1:6" ht="12.75">
      <c r="A53" s="130" t="str">
        <f>IF((inputPrYr!$B68&gt;"  "),(#REF!),"  ")</f>
        <v>  </v>
      </c>
      <c r="B53" s="127"/>
      <c r="C53" s="122"/>
      <c r="D53" s="476"/>
      <c r="E53" s="480"/>
      <c r="F53" s="480"/>
    </row>
    <row r="54" spans="1:6" ht="14.25" customHeight="1" thickBot="1">
      <c r="A54" s="134" t="s">
        <v>69</v>
      </c>
      <c r="B54" s="133"/>
      <c r="C54" s="122" t="s">
        <v>26</v>
      </c>
      <c r="D54" s="481">
        <f>SUM(D21:D53)</f>
        <v>10964538</v>
      </c>
      <c r="E54" s="481">
        <f>SUM(E21:E39)</f>
        <v>5681356.15</v>
      </c>
      <c r="F54" s="482">
        <f>IF(SUM(F21:F39)=0,"",SUM(F21:F39))</f>
      </c>
    </row>
    <row r="55" spans="1:6" ht="14.25" customHeight="1" thickTop="1">
      <c r="A55" s="135" t="s">
        <v>25</v>
      </c>
      <c r="B55" s="136"/>
      <c r="C55" s="122">
        <f>summ!E65</f>
        <v>22</v>
      </c>
      <c r="D55" s="137"/>
      <c r="E55" s="137"/>
      <c r="F55" s="118"/>
    </row>
    <row r="56" spans="1:6" ht="12.75">
      <c r="A56" s="119"/>
      <c r="B56" s="120"/>
      <c r="C56" s="122"/>
      <c r="D56" s="138"/>
      <c r="E56" s="104"/>
      <c r="F56" s="344" t="s">
        <v>207</v>
      </c>
    </row>
    <row r="57" spans="1:6" ht="16.5">
      <c r="A57" s="597"/>
      <c r="B57" s="598"/>
      <c r="C57" s="151"/>
      <c r="D57" s="518" t="s">
        <v>307</v>
      </c>
      <c r="E57" s="139" t="str">
        <f>IF(E54&gt;computation!J42,"Yes","No")</f>
        <v>No</v>
      </c>
      <c r="F57" s="140"/>
    </row>
    <row r="58" spans="1:6" ht="14.25" customHeight="1">
      <c r="A58" s="554"/>
      <c r="B58" s="555"/>
      <c r="C58" s="556"/>
      <c r="D58" s="138"/>
      <c r="E58" s="118"/>
      <c r="F58" s="600" t="str">
        <f>CONCATENATE("Nov 1, ",F3-1," Total Assessed Valuation")</f>
        <v>Nov 1, 2014 Total Assessed Valuation</v>
      </c>
    </row>
    <row r="59" spans="1:6" ht="12.75">
      <c r="A59" s="102" t="s">
        <v>60</v>
      </c>
      <c r="B59" s="104"/>
      <c r="C59" s="107"/>
      <c r="D59" s="104"/>
      <c r="E59" s="104"/>
      <c r="F59" s="601"/>
    </row>
    <row r="60" spans="1:6" ht="12.75">
      <c r="A60" s="142" t="s">
        <v>352</v>
      </c>
      <c r="B60" s="104"/>
      <c r="C60" s="104"/>
      <c r="D60" s="104"/>
      <c r="E60" s="316"/>
      <c r="F60" s="316"/>
    </row>
    <row r="61" spans="1:6" ht="12.75">
      <c r="A61" s="143" t="s">
        <v>353</v>
      </c>
      <c r="B61" s="141"/>
      <c r="C61" s="118"/>
      <c r="D61" s="118"/>
      <c r="E61" s="484"/>
      <c r="F61" s="484"/>
    </row>
    <row r="62" spans="1:6" ht="12.75">
      <c r="A62" s="315" t="s">
        <v>208</v>
      </c>
      <c r="B62" s="141"/>
      <c r="C62" s="118"/>
      <c r="D62" s="118"/>
      <c r="E62" s="484"/>
      <c r="F62" s="484"/>
    </row>
    <row r="63" spans="1:6" ht="12.75">
      <c r="A63" s="142" t="s">
        <v>354</v>
      </c>
      <c r="B63" s="104"/>
      <c r="C63" s="118" t="s">
        <v>295</v>
      </c>
      <c r="D63" s="118"/>
      <c r="E63" s="483"/>
      <c r="F63" s="483"/>
    </row>
    <row r="64" spans="1:6" ht="12.75">
      <c r="A64" s="143" t="s">
        <v>355</v>
      </c>
      <c r="B64" s="144"/>
      <c r="C64" s="118"/>
      <c r="D64" s="118"/>
      <c r="E64" s="484"/>
      <c r="F64" s="485"/>
    </row>
    <row r="65" spans="1:6" ht="12.75">
      <c r="A65" s="315" t="s">
        <v>294</v>
      </c>
      <c r="B65" s="104"/>
      <c r="C65" s="118" t="s">
        <v>295</v>
      </c>
      <c r="D65" s="118"/>
      <c r="E65" s="483"/>
      <c r="F65" s="484"/>
    </row>
    <row r="66" spans="1:6" ht="15.75">
      <c r="A66" s="557" t="s">
        <v>356</v>
      </c>
      <c r="B66" s="104"/>
      <c r="C66" s="118"/>
      <c r="D66" s="118"/>
      <c r="E66" s="483"/>
      <c r="F66" s="484"/>
    </row>
    <row r="67" spans="1:6" ht="12.75">
      <c r="A67" s="315"/>
      <c r="B67" s="104"/>
      <c r="C67" s="118" t="s">
        <v>295</v>
      </c>
      <c r="D67" s="118"/>
      <c r="E67" s="483"/>
      <c r="F67" s="484"/>
    </row>
    <row r="68" spans="1:6" ht="12.75">
      <c r="A68" s="343" t="s">
        <v>6</v>
      </c>
      <c r="B68" s="145">
        <f>F3-1</f>
        <v>2014</v>
      </c>
      <c r="C68" s="118"/>
      <c r="D68" s="118"/>
      <c r="E68" s="486"/>
      <c r="F68" s="118"/>
    </row>
    <row r="69" spans="1:6" ht="12.75">
      <c r="A69" s="342"/>
      <c r="B69" s="104"/>
      <c r="C69" s="118" t="s">
        <v>295</v>
      </c>
      <c r="D69" s="118"/>
      <c r="E69" s="118"/>
      <c r="F69" s="118"/>
    </row>
    <row r="70" spans="1:6" ht="16.5">
      <c r="A70" s="345" t="s">
        <v>62</v>
      </c>
      <c r="B70" s="104"/>
      <c r="C70" s="599" t="s">
        <v>61</v>
      </c>
      <c r="D70" s="596"/>
      <c r="E70" s="596"/>
      <c r="F70" s="596"/>
    </row>
    <row r="71" spans="1:6" ht="12.75">
      <c r="A71" s="588"/>
      <c r="B71" s="588"/>
      <c r="C71" s="588"/>
      <c r="D71" s="588"/>
      <c r="E71" s="588"/>
      <c r="F71" s="588"/>
    </row>
    <row r="72" spans="3:6" ht="12.75">
      <c r="C72" s="146"/>
      <c r="E72" s="146"/>
      <c r="F72" s="146"/>
    </row>
  </sheetData>
  <sheetProtection/>
  <mergeCells count="9">
    <mergeCell ref="A71:F71"/>
    <mergeCell ref="A2:F2"/>
    <mergeCell ref="E13:E14"/>
    <mergeCell ref="A6:F6"/>
    <mergeCell ref="A4:F4"/>
    <mergeCell ref="A5:F5"/>
    <mergeCell ref="A57:B57"/>
    <mergeCell ref="C70:F70"/>
    <mergeCell ref="F58:F59"/>
  </mergeCells>
  <hyperlinks>
    <hyperlink ref="A66" r:id="rId1" display="budget1@lvpf-cpa.com"/>
  </hyperlinks>
  <printOptions/>
  <pageMargins left="0.5" right="0.5" top="0" bottom="0.23" header="0" footer="0"/>
  <pageSetup blackAndWhite="1" fitToHeight="1" fitToWidth="1" horizontalDpi="120" verticalDpi="120" orientation="portrait" scale="88" r:id="rId2"/>
  <headerFooter alignWithMargins="0">
    <oddHeader>&amp;RState of Kansas
County
</oddHeader>
    <oddFooter>&amp;CPage No. 1</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view="pageBreakPreview" zoomScale="102" zoomScaleNormal="85" zoomScaleSheetLayoutView="102" zoomScalePageLayoutView="0" workbookViewId="0" topLeftCell="A35">
      <selection activeCell="X35" sqref="X35"/>
    </sheetView>
  </sheetViews>
  <sheetFormatPr defaultColWidth="8.89843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28"/>
      <c r="B1" s="28"/>
      <c r="C1" s="155" t="str">
        <f>inputPrYr!C2</f>
        <v>CLOUD COUNTY</v>
      </c>
      <c r="D1" s="28"/>
      <c r="E1" s="28"/>
      <c r="F1" s="28"/>
      <c r="G1" s="28"/>
      <c r="H1" s="28"/>
      <c r="I1" s="28"/>
      <c r="J1" s="28">
        <f>inputPrYr!C4</f>
        <v>2015</v>
      </c>
    </row>
    <row r="2" spans="1:10" ht="15.75" customHeight="1">
      <c r="A2" s="28"/>
      <c r="B2" s="28"/>
      <c r="C2" s="28"/>
      <c r="D2" s="28"/>
      <c r="E2" s="28"/>
      <c r="F2" s="28"/>
      <c r="G2" s="28"/>
      <c r="H2" s="28"/>
      <c r="I2" s="28"/>
      <c r="J2" s="28"/>
    </row>
    <row r="3" spans="1:10" ht="15.75">
      <c r="A3" s="575" t="str">
        <f>CONCATENATE("Computation to Determine Limit for ",J1,"")</f>
        <v>Computation to Determine Limit for 2015</v>
      </c>
      <c r="B3" s="602"/>
      <c r="C3" s="602"/>
      <c r="D3" s="602"/>
      <c r="E3" s="602"/>
      <c r="F3" s="602"/>
      <c r="G3" s="602"/>
      <c r="H3" s="602"/>
      <c r="I3" s="602"/>
      <c r="J3" s="602"/>
    </row>
    <row r="4" spans="1:10" ht="15.75">
      <c r="A4" s="28"/>
      <c r="B4" s="28"/>
      <c r="C4" s="28"/>
      <c r="D4" s="28"/>
      <c r="E4" s="602"/>
      <c r="F4" s="602"/>
      <c r="G4" s="602"/>
      <c r="H4" s="156"/>
      <c r="I4" s="28"/>
      <c r="J4" s="157" t="s">
        <v>157</v>
      </c>
    </row>
    <row r="5" spans="1:10" ht="15.75">
      <c r="A5" s="158" t="s">
        <v>158</v>
      </c>
      <c r="B5" s="28" t="str">
        <f>CONCATENATE("Total tax levy amount in ",J1-1," budget")</f>
        <v>Total tax levy amount in 2014 budget</v>
      </c>
      <c r="C5" s="28"/>
      <c r="D5" s="28"/>
      <c r="E5" s="86"/>
      <c r="F5" s="86"/>
      <c r="G5" s="86"/>
      <c r="H5" s="159" t="s">
        <v>159</v>
      </c>
      <c r="I5" s="86" t="s">
        <v>160</v>
      </c>
      <c r="J5" s="160">
        <f>inputPrYr!E35</f>
        <v>5585089</v>
      </c>
    </row>
    <row r="6" spans="1:10" ht="15.75">
      <c r="A6" s="158" t="s">
        <v>161</v>
      </c>
      <c r="B6" s="28" t="str">
        <f>CONCATENATE("Debt service levy in ",J1-1," budget")</f>
        <v>Debt service levy in 2014 budget</v>
      </c>
      <c r="C6" s="28"/>
      <c r="D6" s="28"/>
      <c r="E6" s="86"/>
      <c r="F6" s="86"/>
      <c r="G6" s="86"/>
      <c r="H6" s="159" t="s">
        <v>162</v>
      </c>
      <c r="I6" s="86" t="s">
        <v>160</v>
      </c>
      <c r="J6" s="92">
        <f>inputPrYr!E17</f>
        <v>0</v>
      </c>
    </row>
    <row r="7" spans="1:10" ht="15.75">
      <c r="A7" s="158" t="s">
        <v>163</v>
      </c>
      <c r="B7" s="28" t="s">
        <v>301</v>
      </c>
      <c r="C7" s="28"/>
      <c r="D7" s="28"/>
      <c r="E7" s="86"/>
      <c r="F7" s="86"/>
      <c r="G7" s="86"/>
      <c r="H7" s="86"/>
      <c r="I7" s="86" t="s">
        <v>160</v>
      </c>
      <c r="J7" s="92">
        <f>J5-J6</f>
        <v>5585089</v>
      </c>
    </row>
    <row r="8" spans="1:10" ht="15.75">
      <c r="A8" s="28"/>
      <c r="B8" s="28"/>
      <c r="C8" s="28"/>
      <c r="D8" s="28"/>
      <c r="E8" s="86"/>
      <c r="F8" s="86"/>
      <c r="G8" s="86"/>
      <c r="H8" s="86"/>
      <c r="I8" s="86"/>
      <c r="J8" s="86"/>
    </row>
    <row r="9" spans="1:10" ht="16.5">
      <c r="A9" s="602" t="str">
        <f>CONCATENATE("",J1-1," Valuation Information for Valuation Adjustments")</f>
        <v>2014 Valuation Information for Valuation Adjustments</v>
      </c>
      <c r="B9" s="595"/>
      <c r="C9" s="595"/>
      <c r="D9" s="595"/>
      <c r="E9" s="595"/>
      <c r="F9" s="595"/>
      <c r="G9" s="595"/>
      <c r="H9" s="595"/>
      <c r="I9" s="595"/>
      <c r="J9" s="595"/>
    </row>
    <row r="10" spans="1:10" ht="15.75">
      <c r="A10" s="28"/>
      <c r="B10" s="28"/>
      <c r="C10" s="28"/>
      <c r="D10" s="28"/>
      <c r="E10" s="86"/>
      <c r="F10" s="86"/>
      <c r="G10" s="86"/>
      <c r="H10" s="86"/>
      <c r="I10" s="86"/>
      <c r="J10" s="86"/>
    </row>
    <row r="11" spans="1:10" ht="15.75">
      <c r="A11" s="158" t="s">
        <v>164</v>
      </c>
      <c r="B11" s="28" t="str">
        <f>CONCATENATE("New improvements for ",J1-1,":")</f>
        <v>New improvements for 2014:</v>
      </c>
      <c r="C11" s="28"/>
      <c r="D11" s="28"/>
      <c r="E11" s="159"/>
      <c r="F11" s="159" t="s">
        <v>159</v>
      </c>
      <c r="G11" s="160">
        <f>inputOth!E7</f>
        <v>515982</v>
      </c>
      <c r="H11" s="64"/>
      <c r="I11" s="86"/>
      <c r="J11" s="86"/>
    </row>
    <row r="12" spans="1:10" ht="15.75">
      <c r="A12" s="158"/>
      <c r="B12" s="158"/>
      <c r="C12" s="28"/>
      <c r="D12" s="28"/>
      <c r="E12" s="159"/>
      <c r="F12" s="159"/>
      <c r="G12" s="64"/>
      <c r="H12" s="64"/>
      <c r="I12" s="86"/>
      <c r="J12" s="86"/>
    </row>
    <row r="13" spans="1:10" ht="15.75">
      <c r="A13" s="158" t="s">
        <v>165</v>
      </c>
      <c r="B13" s="28" t="str">
        <f>CONCATENATE("Increase in personal property for ",J1-1,":")</f>
        <v>Increase in personal property for 2014:</v>
      </c>
      <c r="C13" s="28"/>
      <c r="D13" s="28"/>
      <c r="E13" s="159"/>
      <c r="F13" s="159"/>
      <c r="G13" s="64"/>
      <c r="H13" s="64"/>
      <c r="I13" s="86"/>
      <c r="J13" s="86"/>
    </row>
    <row r="14" spans="1:10" ht="15.75">
      <c r="A14" s="28"/>
      <c r="B14" s="28" t="s">
        <v>166</v>
      </c>
      <c r="C14" s="28" t="str">
        <f>CONCATENATE("Personal property ",J1-1,"")</f>
        <v>Personal property 2014</v>
      </c>
      <c r="D14" s="158" t="s">
        <v>159</v>
      </c>
      <c r="E14" s="160">
        <f>inputOth!E8</f>
        <v>2578983</v>
      </c>
      <c r="F14" s="159"/>
      <c r="G14" s="86"/>
      <c r="H14" s="86"/>
      <c r="I14" s="64"/>
      <c r="J14" s="86"/>
    </row>
    <row r="15" spans="1:10" ht="15.75">
      <c r="A15" s="158"/>
      <c r="B15" s="28" t="s">
        <v>167</v>
      </c>
      <c r="C15" s="28" t="str">
        <f>CONCATENATE("Personal property ",J1-2,"")</f>
        <v>Personal property 2013</v>
      </c>
      <c r="D15" s="158" t="s">
        <v>162</v>
      </c>
      <c r="E15" s="92">
        <f>inputOth!E10</f>
        <v>3294196</v>
      </c>
      <c r="F15" s="159"/>
      <c r="G15" s="64"/>
      <c r="H15" s="64"/>
      <c r="I15" s="86"/>
      <c r="J15" s="86"/>
    </row>
    <row r="16" spans="1:10" ht="15.75">
      <c r="A16" s="158"/>
      <c r="B16" s="28" t="s">
        <v>168</v>
      </c>
      <c r="C16" s="28" t="s">
        <v>302</v>
      </c>
      <c r="D16" s="28"/>
      <c r="E16" s="86"/>
      <c r="F16" s="86" t="s">
        <v>159</v>
      </c>
      <c r="G16" s="160">
        <f>IF(E14&gt;E15,E14-E15,0)</f>
        <v>0</v>
      </c>
      <c r="H16" s="64"/>
      <c r="I16" s="86"/>
      <c r="J16" s="86"/>
    </row>
    <row r="17" spans="1:10" ht="15.75">
      <c r="A17" s="158"/>
      <c r="B17" s="158"/>
      <c r="C17" s="28"/>
      <c r="D17" s="28"/>
      <c r="E17" s="86"/>
      <c r="F17" s="86"/>
      <c r="G17" s="64" t="s">
        <v>174</v>
      </c>
      <c r="H17" s="64"/>
      <c r="I17" s="86"/>
      <c r="J17" s="86"/>
    </row>
    <row r="18" spans="1:10" ht="15.75">
      <c r="A18" s="158"/>
      <c r="B18" s="158"/>
      <c r="C18" s="28"/>
      <c r="D18" s="158"/>
      <c r="E18" s="64"/>
      <c r="F18" s="86"/>
      <c r="G18" s="64"/>
      <c r="H18" s="64"/>
      <c r="I18" s="86"/>
      <c r="J18" s="86"/>
    </row>
    <row r="19" spans="1:10" ht="15.75">
      <c r="A19" s="158" t="s">
        <v>169</v>
      </c>
      <c r="B19" s="28" t="str">
        <f>CONCATENATE("Valuation of property that has changed in use during ",J1-1,":")</f>
        <v>Valuation of property that has changed in use during 2014:</v>
      </c>
      <c r="C19" s="28"/>
      <c r="D19" s="28"/>
      <c r="E19" s="86"/>
      <c r="F19" s="86"/>
      <c r="G19" s="86">
        <f>inputOth!E9</f>
        <v>2448009</v>
      </c>
      <c r="H19" s="86"/>
      <c r="I19" s="86"/>
      <c r="J19" s="86"/>
    </row>
    <row r="20" spans="1:10" ht="15.75">
      <c r="A20" s="158"/>
      <c r="B20" s="28"/>
      <c r="C20" s="28"/>
      <c r="D20" s="158"/>
      <c r="E20" s="64"/>
      <c r="F20" s="86"/>
      <c r="G20" s="503"/>
      <c r="H20" s="64"/>
      <c r="I20" s="86"/>
      <c r="J20" s="86"/>
    </row>
    <row r="21" spans="1:10" ht="15.75">
      <c r="A21" s="158" t="s">
        <v>178</v>
      </c>
      <c r="B21" s="28" t="s">
        <v>303</v>
      </c>
      <c r="C21" s="28"/>
      <c r="D21" s="28"/>
      <c r="E21" s="86"/>
      <c r="F21" s="86"/>
      <c r="G21" s="160">
        <f>G11+G16+G19</f>
        <v>2963991</v>
      </c>
      <c r="H21" s="64"/>
      <c r="I21" s="86"/>
      <c r="J21" s="86"/>
    </row>
    <row r="22" spans="1:10" ht="15.75">
      <c r="A22" s="158"/>
      <c r="B22" s="158"/>
      <c r="C22" s="28"/>
      <c r="D22" s="28"/>
      <c r="E22" s="86"/>
      <c r="F22" s="86"/>
      <c r="G22" s="64"/>
      <c r="H22" s="64"/>
      <c r="I22" s="86"/>
      <c r="J22" s="86"/>
    </row>
    <row r="23" spans="1:10" ht="15.75">
      <c r="A23" s="158" t="s">
        <v>179</v>
      </c>
      <c r="B23" s="28" t="str">
        <f>CONCATENATE("Total estimated valuation July 1,",J1-1,"")</f>
        <v>Total estimated valuation July 1,2014</v>
      </c>
      <c r="C23" s="28"/>
      <c r="D23" s="28"/>
      <c r="E23" s="160">
        <f>inputOth!E6</f>
        <v>84385003</v>
      </c>
      <c r="F23" s="86"/>
      <c r="G23" s="86"/>
      <c r="H23" s="86"/>
      <c r="I23" s="159"/>
      <c r="J23" s="86"/>
    </row>
    <row r="24" spans="1:10" ht="15.75">
      <c r="A24" s="158"/>
      <c r="B24" s="158"/>
      <c r="C24" s="28"/>
      <c r="D24" s="28"/>
      <c r="E24" s="64"/>
      <c r="F24" s="86"/>
      <c r="G24" s="86"/>
      <c r="H24" s="86"/>
      <c r="I24" s="159"/>
      <c r="J24" s="86"/>
    </row>
    <row r="25" spans="1:10" ht="15.75">
      <c r="A25" s="158" t="s">
        <v>170</v>
      </c>
      <c r="B25" s="28" t="s">
        <v>304</v>
      </c>
      <c r="C25" s="28"/>
      <c r="D25" s="28"/>
      <c r="E25" s="86"/>
      <c r="F25" s="86"/>
      <c r="G25" s="160">
        <f>E23-G21</f>
        <v>81421012</v>
      </c>
      <c r="H25" s="64"/>
      <c r="I25" s="159"/>
      <c r="J25" s="86"/>
    </row>
    <row r="26" spans="1:10" ht="15.75">
      <c r="A26" s="158"/>
      <c r="B26" s="158"/>
      <c r="C26" s="28"/>
      <c r="D26" s="28"/>
      <c r="E26" s="28"/>
      <c r="F26" s="28"/>
      <c r="G26" s="506"/>
      <c r="H26" s="419"/>
      <c r="I26" s="158"/>
      <c r="J26" s="28"/>
    </row>
    <row r="27" spans="1:10" ht="15.75">
      <c r="A27" s="158" t="s">
        <v>171</v>
      </c>
      <c r="B27" s="28" t="s">
        <v>305</v>
      </c>
      <c r="C27" s="28"/>
      <c r="D27" s="28"/>
      <c r="E27" s="28"/>
      <c r="F27" s="28"/>
      <c r="G27" s="504">
        <f>IF(G21&gt;0,G21/G25,0)</f>
        <v>0.03640326897435271</v>
      </c>
      <c r="H27" s="419"/>
      <c r="I27" s="28"/>
      <c r="J27" s="28"/>
    </row>
    <row r="28" spans="1:10" ht="15.75">
      <c r="A28" s="158"/>
      <c r="B28" s="158"/>
      <c r="C28" s="28"/>
      <c r="D28" s="28"/>
      <c r="E28" s="28"/>
      <c r="F28" s="28"/>
      <c r="G28" s="419"/>
      <c r="H28" s="419"/>
      <c r="I28" s="28"/>
      <c r="J28" s="28"/>
    </row>
    <row r="29" spans="1:10" ht="15.75">
      <c r="A29" s="158" t="s">
        <v>172</v>
      </c>
      <c r="B29" s="28" t="s">
        <v>306</v>
      </c>
      <c r="C29" s="28"/>
      <c r="D29" s="28"/>
      <c r="E29" s="28"/>
      <c r="F29" s="28"/>
      <c r="G29" s="419"/>
      <c r="H29" s="161" t="s">
        <v>159</v>
      </c>
      <c r="I29" s="28" t="s">
        <v>160</v>
      </c>
      <c r="J29" s="160">
        <f>ROUND(G27*J7,0)</f>
        <v>203315</v>
      </c>
    </row>
    <row r="30" spans="1:10" ht="15.75">
      <c r="A30" s="158"/>
      <c r="B30" s="158"/>
      <c r="C30" s="28"/>
      <c r="D30" s="28"/>
      <c r="E30" s="28"/>
      <c r="F30" s="28"/>
      <c r="G30" s="419"/>
      <c r="H30" s="161"/>
      <c r="I30" s="28"/>
      <c r="J30" s="64"/>
    </row>
    <row r="31" spans="1:10" ht="16.5" thickBot="1">
      <c r="A31" s="158" t="s">
        <v>173</v>
      </c>
      <c r="B31" s="28" t="str">
        <f>CONCATENATE(J1," budget tax levy, excluding debt service, prior to CPI adjustment (3 plus 11)")</f>
        <v>2015 budget tax levy, excluding debt service, prior to CPI adjustment (3 plus 11)</v>
      </c>
      <c r="C31" s="28"/>
      <c r="D31" s="28"/>
      <c r="E31" s="28"/>
      <c r="F31" s="28"/>
      <c r="G31" s="28"/>
      <c r="H31" s="28"/>
      <c r="I31" s="28" t="s">
        <v>160</v>
      </c>
      <c r="J31" s="505">
        <f>J7+J29</f>
        <v>5788404</v>
      </c>
    </row>
    <row r="32" spans="1:10" ht="16.5" thickTop="1">
      <c r="A32" s="28"/>
      <c r="B32" s="28"/>
      <c r="C32" s="28"/>
      <c r="D32" s="28"/>
      <c r="E32" s="28"/>
      <c r="F32" s="28"/>
      <c r="G32" s="28"/>
      <c r="H32" s="28"/>
      <c r="I32" s="28"/>
      <c r="J32" s="28"/>
    </row>
    <row r="33" spans="1:10" ht="15.75">
      <c r="A33" s="158" t="s">
        <v>182</v>
      </c>
      <c r="B33" s="28" t="str">
        <f>CONCATENATE("Debt service levy in this ",J1," budget")</f>
        <v>Debt service levy in this 2015 budget</v>
      </c>
      <c r="C33" s="28"/>
      <c r="D33" s="28"/>
      <c r="E33" s="28"/>
      <c r="F33" s="28"/>
      <c r="G33" s="28"/>
      <c r="H33" s="28"/>
      <c r="I33" s="28"/>
      <c r="J33" s="160">
        <f>DebtService!E57</f>
        <v>10500</v>
      </c>
    </row>
    <row r="34" spans="1:10" ht="15.75">
      <c r="A34" s="158"/>
      <c r="B34" s="28"/>
      <c r="C34" s="28"/>
      <c r="D34" s="28"/>
      <c r="E34" s="28"/>
      <c r="F34" s="28"/>
      <c r="G34" s="28"/>
      <c r="H34" s="28"/>
      <c r="I34" s="28"/>
      <c r="J34" s="419"/>
    </row>
    <row r="35" spans="1:10" ht="16.5" thickBot="1">
      <c r="A35" s="158" t="s">
        <v>183</v>
      </c>
      <c r="B35" s="28" t="str">
        <f>CONCATENATE(J1," budget tax levy, including debt service, prior to CPI adjustment (12 plus 13)")</f>
        <v>2015 budget tax levy, including debt service, prior to CPI adjustment (12 plus 13)</v>
      </c>
      <c r="C35" s="28"/>
      <c r="D35" s="28"/>
      <c r="E35" s="28"/>
      <c r="F35" s="28"/>
      <c r="G35" s="28"/>
      <c r="H35" s="28"/>
      <c r="I35" s="28"/>
      <c r="J35" s="505">
        <f>J31+J33</f>
        <v>5798904</v>
      </c>
    </row>
    <row r="36" spans="1:10" ht="16.5" thickTop="1">
      <c r="A36" s="512"/>
      <c r="B36" s="511"/>
      <c r="C36" s="511"/>
      <c r="D36" s="511"/>
      <c r="E36" s="511"/>
      <c r="F36" s="511"/>
      <c r="G36" s="511"/>
      <c r="H36" s="511"/>
      <c r="I36" s="511"/>
      <c r="J36" s="509"/>
    </row>
    <row r="37" spans="1:10" ht="15.75">
      <c r="A37" s="514" t="s">
        <v>296</v>
      </c>
      <c r="B37" s="511" t="str">
        <f>CONCATENATE("Consumer Price Index for all urban consumers for calendar year ",J1-2)</f>
        <v>Consumer Price Index for all urban consumers for calendar year 2013</v>
      </c>
      <c r="C37" s="511"/>
      <c r="D37" s="511"/>
      <c r="E37" s="511"/>
      <c r="F37" s="511"/>
      <c r="G37" s="511"/>
      <c r="H37" s="511"/>
      <c r="I37" s="511"/>
      <c r="J37" s="515">
        <v>0.015</v>
      </c>
    </row>
    <row r="38" spans="1:10" ht="15.75">
      <c r="A38" s="514"/>
      <c r="B38" s="511"/>
      <c r="C38" s="511"/>
      <c r="D38" s="511"/>
      <c r="E38" s="511"/>
      <c r="F38" s="511"/>
      <c r="G38" s="511"/>
      <c r="H38" s="511"/>
      <c r="I38" s="511"/>
      <c r="J38" s="516"/>
    </row>
    <row r="39" spans="1:10" ht="15.75">
      <c r="A39" s="514" t="s">
        <v>297</v>
      </c>
      <c r="B39" s="511" t="s">
        <v>314</v>
      </c>
      <c r="C39" s="511"/>
      <c r="D39" s="511"/>
      <c r="E39" s="511"/>
      <c r="F39" s="511"/>
      <c r="G39" s="511"/>
      <c r="H39" s="511"/>
      <c r="I39" s="510" t="s">
        <v>160</v>
      </c>
      <c r="J39" s="508">
        <f>J7*J37</f>
        <v>83776.33499999999</v>
      </c>
    </row>
    <row r="40" spans="1:10" ht="15.75">
      <c r="A40" s="512"/>
      <c r="B40" s="511"/>
      <c r="C40" s="511"/>
      <c r="D40" s="511"/>
      <c r="E40" s="511"/>
      <c r="F40" s="511"/>
      <c r="G40" s="511"/>
      <c r="H40" s="511"/>
      <c r="I40" s="511"/>
      <c r="J40" s="509"/>
    </row>
    <row r="41" spans="1:10" ht="15.75">
      <c r="A41" s="512" t="s">
        <v>298</v>
      </c>
      <c r="B41" s="511" t="str">
        <f>CONCATENATE("Maximum levy for budget year ",J1,", including debt service, not requiring 'notice of vote publication.'")</f>
        <v>Maximum levy for budget year 2015, including debt service, not requiring 'notice of vote publication.'</v>
      </c>
      <c r="C41" s="511"/>
      <c r="D41" s="511"/>
      <c r="E41" s="511"/>
      <c r="F41" s="511"/>
      <c r="G41" s="511"/>
      <c r="H41" s="511"/>
      <c r="I41" s="511"/>
      <c r="J41" s="507"/>
    </row>
    <row r="42" spans="1:10" ht="19.5" thickBot="1">
      <c r="A42" s="502"/>
      <c r="B42" s="510" t="s">
        <v>315</v>
      </c>
      <c r="C42" s="502"/>
      <c r="D42" s="502"/>
      <c r="E42" s="502"/>
      <c r="F42" s="502"/>
      <c r="G42" s="502"/>
      <c r="H42" s="502"/>
      <c r="I42" s="510" t="s">
        <v>160</v>
      </c>
      <c r="J42" s="513">
        <f>J35+J39</f>
        <v>5882680.335</v>
      </c>
    </row>
    <row r="43" spans="1:10" ht="19.5" thickTop="1">
      <c r="A43" s="502"/>
      <c r="B43" s="517"/>
      <c r="C43" s="502"/>
      <c r="D43" s="502"/>
      <c r="E43" s="502"/>
      <c r="F43" s="502"/>
      <c r="G43" s="502"/>
      <c r="H43" s="502"/>
      <c r="I43" s="510"/>
      <c r="J43" s="509"/>
    </row>
    <row r="44" spans="1:10" ht="18.75">
      <c r="A44" s="502"/>
      <c r="B44" s="517"/>
      <c r="C44" s="502"/>
      <c r="D44" s="502"/>
      <c r="E44" s="502"/>
      <c r="F44" s="502"/>
      <c r="G44" s="502"/>
      <c r="H44" s="502"/>
      <c r="I44" s="510"/>
      <c r="J44" s="509"/>
    </row>
    <row r="45" spans="1:10" ht="18.75">
      <c r="A45" s="604" t="str">
        <f>CONCATENATE("If the ",J1," adopted budget includes a total property tax levy exceeding the dollar amount in line 17")</f>
        <v>If the 2015 adopted budget includes a total property tax levy exceeding the dollar amount in line 17</v>
      </c>
      <c r="B45" s="604"/>
      <c r="C45" s="604"/>
      <c r="D45" s="604"/>
      <c r="E45" s="604"/>
      <c r="F45" s="604"/>
      <c r="G45" s="604"/>
      <c r="H45" s="604"/>
      <c r="I45" s="604"/>
      <c r="J45" s="604"/>
    </row>
    <row r="46" spans="1:10" ht="18.75">
      <c r="A46" s="604" t="s">
        <v>299</v>
      </c>
      <c r="B46" s="604"/>
      <c r="C46" s="604"/>
      <c r="D46" s="604"/>
      <c r="E46" s="604"/>
      <c r="F46" s="604"/>
      <c r="G46" s="604"/>
      <c r="H46" s="604"/>
      <c r="I46" s="604"/>
      <c r="J46" s="604"/>
    </row>
    <row r="47" spans="1:10" ht="15.75">
      <c r="A47" s="603" t="s">
        <v>300</v>
      </c>
      <c r="B47" s="603"/>
      <c r="C47" s="603"/>
      <c r="D47" s="603"/>
      <c r="E47" s="603"/>
      <c r="F47" s="603"/>
      <c r="G47" s="603"/>
      <c r="H47" s="603"/>
      <c r="I47" s="603"/>
      <c r="J47" s="603"/>
    </row>
  </sheetData>
  <sheetProtection sheet="1"/>
  <mergeCells count="6">
    <mergeCell ref="A3:J3"/>
    <mergeCell ref="E4:G4"/>
    <mergeCell ref="A47:J47"/>
    <mergeCell ref="A46:J46"/>
    <mergeCell ref="A45:J45"/>
    <mergeCell ref="A9:J9"/>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1"/>
  <sheetViews>
    <sheetView view="pageBreakPreview" zoomScale="60" zoomScalePageLayoutView="0" workbookViewId="0" topLeftCell="A22">
      <selection activeCell="B24" sqref="B24:B29"/>
    </sheetView>
  </sheetViews>
  <sheetFormatPr defaultColWidth="8.89843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6.5">
      <c r="A1" s="23"/>
      <c r="B1" s="10" t="str">
        <f>inputPrYr!C2</f>
        <v>CLOUD COUNTY</v>
      </c>
      <c r="C1" s="5"/>
      <c r="D1" s="5"/>
      <c r="E1" s="5"/>
      <c r="F1" s="5"/>
      <c r="G1" s="4"/>
      <c r="H1" s="4"/>
      <c r="I1" s="20">
        <f>inputPrYr!C4</f>
        <v>2015</v>
      </c>
    </row>
    <row r="2" spans="1:9" ht="16.5">
      <c r="A2" s="23"/>
      <c r="B2" s="5"/>
      <c r="C2" s="5"/>
      <c r="D2" s="5"/>
      <c r="E2" s="5"/>
      <c r="F2" s="5"/>
      <c r="G2" s="4"/>
      <c r="H2" s="4"/>
      <c r="I2" s="11"/>
    </row>
    <row r="3" spans="1:9" ht="16.5">
      <c r="A3" s="23"/>
      <c r="B3" s="611" t="s">
        <v>286</v>
      </c>
      <c r="C3" s="611"/>
      <c r="D3" s="611"/>
      <c r="E3" s="611"/>
      <c r="F3" s="611"/>
      <c r="G3" s="611"/>
      <c r="H3" s="21"/>
      <c r="I3" s="22"/>
    </row>
    <row r="4" spans="1:9" ht="16.5">
      <c r="A4" s="23"/>
      <c r="B4" s="7"/>
      <c r="C4" s="8"/>
      <c r="D4" s="8"/>
      <c r="E4" s="8"/>
      <c r="F4" s="8"/>
      <c r="G4" s="5"/>
      <c r="H4" s="5"/>
      <c r="I4" s="11"/>
    </row>
    <row r="5" spans="1:9" ht="21.75" customHeight="1">
      <c r="A5" s="23"/>
      <c r="B5" s="413" t="s">
        <v>287</v>
      </c>
      <c r="C5" s="605" t="str">
        <f>CONCATENATE("Budget Tax Levy Amount for ",I1-2,"")</f>
        <v>Budget Tax Levy Amount for 2013</v>
      </c>
      <c r="D5" s="606" t="str">
        <f>CONCATENATE("Budget Tax Levy Rate for ",I1-1,"")</f>
        <v>Budget Tax Levy Rate for 2014</v>
      </c>
      <c r="E5" s="608" t="str">
        <f>CONCATENATE("Allocation for Year ",I1,"")</f>
        <v>Allocation for Year 2015</v>
      </c>
      <c r="F5" s="609"/>
      <c r="G5" s="610"/>
      <c r="H5" s="22"/>
      <c r="I5" s="22"/>
    </row>
    <row r="6" spans="1:9" ht="16.5">
      <c r="A6" s="23"/>
      <c r="B6" s="3" t="str">
        <f>CONCATENATE("for ",I1-1,"")</f>
        <v>for 2014</v>
      </c>
      <c r="C6" s="582"/>
      <c r="D6" s="607"/>
      <c r="E6" s="152" t="s">
        <v>68</v>
      </c>
      <c r="F6" s="152" t="s">
        <v>154</v>
      </c>
      <c r="G6" s="131" t="s">
        <v>181</v>
      </c>
      <c r="H6" s="17"/>
      <c r="I6" s="22"/>
    </row>
    <row r="7" spans="1:9" ht="16.5">
      <c r="A7" s="23"/>
      <c r="B7" s="9" t="str">
        <f>(inputPrYr!B16)</f>
        <v>General</v>
      </c>
      <c r="C7" s="131">
        <f>(inputPrYr!E16)</f>
        <v>1337153</v>
      </c>
      <c r="D7" s="416">
        <f>IF(inputPrYr!F16&gt;0,(inputPrYr!F16),"  ")</f>
        <v>15.927</v>
      </c>
      <c r="E7" s="131">
        <f>IF(inputPrYr!E16&gt;0,E28-SUM(E8:E25),0)</f>
        <v>143421</v>
      </c>
      <c r="F7" s="131">
        <f>IF(inputPrYr!E16=0,0,F30-SUM(F8:F25))</f>
        <v>1778</v>
      </c>
      <c r="G7" s="131">
        <f>IF(inputPrYr!E16=0,0,G32-SUM(G8:G25))</f>
        <v>11807</v>
      </c>
      <c r="H7" s="17"/>
      <c r="I7" s="22"/>
    </row>
    <row r="8" spans="1:9" ht="16.5">
      <c r="A8" s="23"/>
      <c r="B8" s="9" t="str">
        <f>(inputPrYr!B17)</f>
        <v>Debt Service</v>
      </c>
      <c r="C8" s="131" t="str">
        <f>IF(inputPrYr!E17&gt;0,inputPrYr!E17," ")</f>
        <v> </v>
      </c>
      <c r="D8" s="416" t="str">
        <f>IF(inputPrYr!F17&gt;0,(inputPrYr!F17),"  ")</f>
        <v>  </v>
      </c>
      <c r="E8" s="131" t="str">
        <f>IF(inputPrYr!$E$17&gt;0,ROUND(+C8*E$35,0)," ")</f>
        <v> </v>
      </c>
      <c r="F8" s="131" t="str">
        <f>IF(inputPrYr!$E$17&gt;0,ROUND(+C8*F$37,0)," ")</f>
        <v> </v>
      </c>
      <c r="G8" s="131" t="str">
        <f>IF(inputPrYr!$E$17&gt;0,ROUND(+C8*G$39,0)," ")</f>
        <v> </v>
      </c>
      <c r="H8" s="17"/>
      <c r="I8" s="22"/>
    </row>
    <row r="9" spans="1:9" ht="16.5">
      <c r="A9" s="23"/>
      <c r="B9" s="9" t="str">
        <f>(inputPrYr!B18)</f>
        <v>Road &amp; Bridge</v>
      </c>
      <c r="C9" s="131">
        <f>IF(inputPrYr!E18&gt;0,inputPrYr!E18," ")</f>
        <v>1856145</v>
      </c>
      <c r="D9" s="416">
        <f>IF(inputPrYr!F18&gt;0,(inputPrYr!F18),"  ")</f>
        <v>22.109</v>
      </c>
      <c r="E9" s="131">
        <f>IF(inputPrYr!$E$18&gt;0,ROUND(+C9*E$35,0)," ")</f>
        <v>199089</v>
      </c>
      <c r="F9" s="131">
        <f>IF(inputPrYr!$E$18&gt;0,ROUND(+C9*F$37,0)," ")</f>
        <v>2470</v>
      </c>
      <c r="G9" s="131">
        <f>IF(inputPrYr!$E$18&gt;0,ROUND(+C9*G$39,0)," ")</f>
        <v>16388</v>
      </c>
      <c r="H9" s="17"/>
      <c r="I9" s="22"/>
    </row>
    <row r="10" spans="1:9" ht="16.5">
      <c r="A10" s="23"/>
      <c r="B10" s="9" t="str">
        <f>IF((inputPrYr!$B19&gt;" "),(inputPrYr!$B19),"  ")</f>
        <v>Special Bridge</v>
      </c>
      <c r="C10" s="131">
        <f>IF(inputPrYr!E19&gt;0,inputPrYr!E19,"  ")</f>
        <v>15202</v>
      </c>
      <c r="D10" s="416">
        <f>IF(inputPrYr!F19&gt;0,(inputPrYr!F19),"  ")</f>
        <v>0.182</v>
      </c>
      <c r="E10" s="131">
        <f>IF(inputPrYr!$E$19&gt;0,ROUND(+C10*E$35,0)," ")</f>
        <v>1631</v>
      </c>
      <c r="F10" s="131">
        <f>IF(inputPrYr!$E$19&gt;0,ROUND(+C10*F$37,0)," ")</f>
        <v>20</v>
      </c>
      <c r="G10" s="131">
        <f>IF(inputPrYr!$E$19&gt;0,ROUND(+C10*G$39,0)," ")</f>
        <v>134</v>
      </c>
      <c r="H10" s="17"/>
      <c r="I10" s="22"/>
    </row>
    <row r="11" spans="1:9" ht="16.5">
      <c r="A11" s="23"/>
      <c r="B11" s="9" t="str">
        <f>IF((inputPrYr!$B20&gt;" "),(inputPrYr!$B20),"  ")</f>
        <v>Noxious Weed</v>
      </c>
      <c r="C11" s="131" t="str">
        <f>IF(inputPrYr!E20&gt;0,inputPrYr!E20,"  ")</f>
        <v>  </v>
      </c>
      <c r="D11" s="416" t="str">
        <f>IF(inputPrYr!F20&gt;0,(inputPrYr!F20),"  ")</f>
        <v>  </v>
      </c>
      <c r="E11" s="131" t="str">
        <f>IF(inputPrYr!E20&gt;0,ROUND(+C11*E$35,0),"  ")</f>
        <v>  </v>
      </c>
      <c r="F11" s="131" t="str">
        <f>IF(inputPrYr!E20&gt;0,ROUND(+C11*F$37,0),"  ")</f>
        <v>  </v>
      </c>
      <c r="G11" s="131" t="str">
        <f>IF(inputPrYr!E20&gt;0,ROUND(+C11*G$39,0),"  ")</f>
        <v>  </v>
      </c>
      <c r="H11" s="17"/>
      <c r="I11" s="22"/>
    </row>
    <row r="12" spans="1:9" ht="16.5">
      <c r="A12" s="23"/>
      <c r="B12" s="9" t="str">
        <f>IF((inputPrYr!$B21&gt;" "),(inputPrYr!$B21),"  ")</f>
        <v>Conservation District</v>
      </c>
      <c r="C12" s="131">
        <f>IF(inputPrYr!E21&gt;0,inputPrYr!E21,"  ")</f>
        <v>18983</v>
      </c>
      <c r="D12" s="416">
        <f>IF(inputPrYr!F21&gt;0,(inputPrYr!F21),"  ")</f>
        <v>0.227</v>
      </c>
      <c r="E12" s="131">
        <f>IF(inputPrYr!E21&gt;0,ROUND(+C12*E$35,0),"  ")</f>
        <v>2036</v>
      </c>
      <c r="F12" s="131">
        <f>IF(inputPrYr!E21&gt;0,ROUND(+C12*F$37,0),"  ")</f>
        <v>25</v>
      </c>
      <c r="G12" s="131">
        <f>IF(inputPrYr!E21&gt;0,ROUND(+C12*G$39,0),"  ")</f>
        <v>168</v>
      </c>
      <c r="H12" s="17"/>
      <c r="I12" s="22"/>
    </row>
    <row r="13" spans="1:9" ht="16.5">
      <c r="A13" s="23"/>
      <c r="B13" s="9" t="str">
        <f>IF((inputPrYr!$B22&gt;" "),(inputPrYr!$B22),"  ")</f>
        <v>Services for Aging</v>
      </c>
      <c r="C13" s="131">
        <f>IF(inputPrYr!E22&gt;0,inputPrYr!E22,"  ")</f>
        <v>80085</v>
      </c>
      <c r="D13" s="416">
        <f>IF(inputPrYr!F22&gt;0,(inputPrYr!F22),"  ")</f>
        <v>0.954</v>
      </c>
      <c r="E13" s="131">
        <f>IF(inputPrYr!E22&gt;0,ROUND(+C13*E$35,0),"  ")</f>
        <v>8590</v>
      </c>
      <c r="F13" s="131">
        <f>IF(inputPrYr!E22&gt;0,ROUND(+C13*F$37,0),"  ")</f>
        <v>107</v>
      </c>
      <c r="G13" s="131">
        <f>IF(inputPrYr!E22&gt;0,ROUND(+C13*G$39,0),"  ")</f>
        <v>707</v>
      </c>
      <c r="H13" s="17"/>
      <c r="I13" s="22"/>
    </row>
    <row r="14" spans="1:9" ht="16.5">
      <c r="A14" s="23"/>
      <c r="B14" s="9" t="str">
        <f>IF((inputPrYr!$B23&gt;" "),(inputPrYr!$B23),"  ")</f>
        <v>County Health</v>
      </c>
      <c r="C14" s="131">
        <f>IF(inputPrYr!E23&gt;0,inputPrYr!E23,"  ")</f>
        <v>155301</v>
      </c>
      <c r="D14" s="416">
        <f>IF(inputPrYr!F23&gt;0,(inputPrYr!F23),"  ")</f>
        <v>1.85</v>
      </c>
      <c r="E14" s="131">
        <f>IF(inputPrYr!E23&gt;0,ROUND(+C14*E$35,0),"  ")</f>
        <v>16657</v>
      </c>
      <c r="F14" s="131">
        <f>IF(inputPrYr!E23&gt;0,ROUND(+C14*F$37,0),"  ")</f>
        <v>207</v>
      </c>
      <c r="G14" s="131">
        <f>IF(inputPrYr!E23&gt;0,ROUND(+C14*G$39,0),"  ")</f>
        <v>1371</v>
      </c>
      <c r="H14" s="17"/>
      <c r="I14" s="22"/>
    </row>
    <row r="15" spans="1:9" ht="16.5">
      <c r="A15" s="23"/>
      <c r="B15" s="9" t="str">
        <f>IF((inputPrYr!$B24&gt;" "),(inputPrYr!$B24),"  ")</f>
        <v>Pawnee Mental Health</v>
      </c>
      <c r="C15" s="131">
        <f>IF(inputPrYr!E24&gt;0,inputPrYr!E24,"  ")</f>
        <v>29049</v>
      </c>
      <c r="D15" s="416">
        <f>IF(inputPrYr!F24&gt;0,(inputPrYr!F24),"  ")</f>
        <v>0.347</v>
      </c>
      <c r="E15" s="131">
        <f>IF(inputPrYr!E24&gt;0,ROUND(+C15*E$35,0),"  ")</f>
        <v>3116</v>
      </c>
      <c r="F15" s="131">
        <f>IF(inputPrYr!E24&gt;0,ROUND(+C15*F$37,0),"  ")</f>
        <v>39</v>
      </c>
      <c r="G15" s="131">
        <f>IF(inputPrYr!E24&gt;0,ROUND(+C15*G$39,0),"  ")</f>
        <v>256</v>
      </c>
      <c r="H15" s="17"/>
      <c r="I15" s="22"/>
    </row>
    <row r="16" spans="1:9" ht="16.5">
      <c r="A16" s="23"/>
      <c r="B16" s="9" t="str">
        <f>IF((inputPrYr!$B25&gt;" "),(inputPrYr!$B25),"  ")</f>
        <v>Mental Retardation</v>
      </c>
      <c r="C16" s="131">
        <f>IF(inputPrYr!E25&gt;0,inputPrYr!E25,"  ")</f>
        <v>100819</v>
      </c>
      <c r="D16" s="416">
        <f>IF(inputPrYr!F25&gt;0,(inputPrYr!F25),"  ")</f>
        <v>1.201</v>
      </c>
      <c r="E16" s="131">
        <f>IF(inputPrYr!E25&gt;0,ROUND(+C16*E$35,0),"  ")</f>
        <v>10814</v>
      </c>
      <c r="F16" s="131">
        <f>IF(inputPrYr!E25&gt;0,ROUND(+C16*F$37,0),"  ")</f>
        <v>134</v>
      </c>
      <c r="G16" s="131">
        <f>IF(inputPrYr!E25&gt;0,ROUND(+C16*G$39,0),"  ")</f>
        <v>890</v>
      </c>
      <c r="H16" s="17"/>
      <c r="I16" s="22"/>
    </row>
    <row r="17" spans="1:9" ht="16.5">
      <c r="A17" s="23"/>
      <c r="B17" s="9" t="str">
        <f>IF((inputPrYr!$B26&gt;" "),(inputPrYr!$B26),"  ")</f>
        <v>County Fair</v>
      </c>
      <c r="C17" s="131">
        <f>IF(inputPrYr!E26&gt;0,inputPrYr!E26,"  ")</f>
        <v>33244</v>
      </c>
      <c r="D17" s="416">
        <f>IF(inputPrYr!F26&gt;0,(inputPrYr!F26),"  ")</f>
        <v>0.396</v>
      </c>
      <c r="E17" s="131">
        <f>IF(inputPrYr!E26&gt;0,ROUND(+C17*E$35,0),"  ")</f>
        <v>3566</v>
      </c>
      <c r="F17" s="131">
        <f>IF(inputPrYr!E26&gt;0,ROUND(+C17*F$37,0),"  ")</f>
        <v>44</v>
      </c>
      <c r="G17" s="131">
        <f>IF(inputPrYr!E26&gt;0,ROUND(+C17*G$39,0),"  ")</f>
        <v>294</v>
      </c>
      <c r="H17" s="17"/>
      <c r="I17" s="22"/>
    </row>
    <row r="18" spans="1:9" ht="16.5">
      <c r="A18" s="23"/>
      <c r="B18" s="9" t="str">
        <f>IF((inputPrYr!$B27&gt;" "),(inputPrYr!$B27),"  ")</f>
        <v>Election Expense</v>
      </c>
      <c r="C18" s="131">
        <f>IF(inputPrYr!E27&gt;0,inputPrYr!E27,"  ")</f>
        <v>103574</v>
      </c>
      <c r="D18" s="416">
        <f>IF(inputPrYr!F27&gt;0,(inputPrYr!F27),"  ")</f>
        <v>1.234</v>
      </c>
      <c r="E18" s="131">
        <f>IF(inputPrYr!E27&gt;0,ROUND(+C18*E$35,0),"  ")</f>
        <v>11109</v>
      </c>
      <c r="F18" s="131">
        <f>IF(inputPrYr!E27&gt;0,ROUND(+C18*F$37,0),"  ")</f>
        <v>138</v>
      </c>
      <c r="G18" s="131">
        <f>IF(inputPrYr!E27&gt;0,ROUND(+C18*G$39,0),"  ")</f>
        <v>914</v>
      </c>
      <c r="H18" s="17"/>
      <c r="I18" s="22"/>
    </row>
    <row r="19" spans="1:9" ht="16.5">
      <c r="A19" s="23"/>
      <c r="B19" s="9" t="str">
        <f>IF((inputPrYr!$B28&gt;" "),(inputPrYr!$B28),"  ")</f>
        <v>Special Building</v>
      </c>
      <c r="C19" s="131">
        <f>IF(inputPrYr!E28&gt;0,inputPrYr!E28,"  ")</f>
        <v>82580</v>
      </c>
      <c r="D19" s="416">
        <f>IF(inputPrYr!F28&gt;0,(inputPrYr!F28),"  ")</f>
        <v>0.984</v>
      </c>
      <c r="E19" s="131">
        <f>IF(inputPrYr!E28&gt;0,ROUND(+C19*E$35,0),"  ")</f>
        <v>8857</v>
      </c>
      <c r="F19" s="131">
        <f>IF(inputPrYr!E28&gt;0,ROUND(+C19*F$37,0),"  ")</f>
        <v>110</v>
      </c>
      <c r="G19" s="131">
        <f>IF(inputPrYr!E28&gt;0,ROUND(+C19*G$39,0),"  ")</f>
        <v>729</v>
      </c>
      <c r="H19" s="17"/>
      <c r="I19" s="22"/>
    </row>
    <row r="20" spans="1:9" ht="16.5">
      <c r="A20" s="23"/>
      <c r="B20" s="9" t="str">
        <f>IF((inputPrYr!$B29&gt;" "),(inputPrYr!$B29),"  ")</f>
        <v>Historical Building</v>
      </c>
      <c r="C20" s="131">
        <f>IF(inputPrYr!E29&gt;0,inputPrYr!E29,"  ")</f>
        <v>34083</v>
      </c>
      <c r="D20" s="416">
        <f>IF(inputPrYr!F29&gt;0,(inputPrYr!F29),"  ")</f>
        <v>0.406</v>
      </c>
      <c r="E20" s="131">
        <f>IF(inputPrYr!E29&gt;0,ROUND(+C20*E$35,0),"  ")</f>
        <v>3656</v>
      </c>
      <c r="F20" s="131">
        <f>IF(inputPrYr!E29&gt;0,ROUND(+C20*F$37,0),"  ")</f>
        <v>45</v>
      </c>
      <c r="G20" s="131">
        <f>IF(inputPrYr!E29&gt;0,ROUND(+C20*G$39,0),"  ")</f>
        <v>301</v>
      </c>
      <c r="H20" s="17"/>
      <c r="I20" s="22"/>
    </row>
    <row r="21" spans="1:9" ht="16.5">
      <c r="A21" s="23"/>
      <c r="B21" s="9" t="str">
        <f>IF((inputPrYr!$B30&gt;" "),(inputPrYr!$B30),"  ")</f>
        <v>Appraisers</v>
      </c>
      <c r="C21" s="131">
        <f>IF(inputPrYr!E30&gt;0,inputPrYr!E30,"  ")</f>
        <v>130468</v>
      </c>
      <c r="D21" s="416">
        <f>IF(inputPrYr!F30&gt;0,(inputPrYr!F30),"  ")</f>
        <v>1.555</v>
      </c>
      <c r="E21" s="131">
        <f>IF(inputPrYr!E30&gt;0,ROUND(+C21*E$35,0),"  ")</f>
        <v>13994</v>
      </c>
      <c r="F21" s="131">
        <f>IF(inputPrYr!E30&gt;0,ROUND(+C21*F$37,0),"  ")</f>
        <v>174</v>
      </c>
      <c r="G21" s="131">
        <f>IF(inputPrYr!E30&gt;0,ROUND(+C21*G$39,0),"  ")</f>
        <v>1152</v>
      </c>
      <c r="H21" s="17"/>
      <c r="I21" s="22"/>
    </row>
    <row r="22" spans="1:9" ht="16.5">
      <c r="A22" s="23"/>
      <c r="B22" s="9" t="str">
        <f>IF((inputPrYr!$B31&gt;" "),(inputPrYr!$B31),"  ")</f>
        <v>Employee Benefits</v>
      </c>
      <c r="C22" s="131">
        <f>IF(inputPrYr!E31&gt;0,inputPrYr!E31,"  ")</f>
        <v>1608403</v>
      </c>
      <c r="D22" s="416">
        <f>IF(inputPrYr!F31&gt;0,(inputPrYr!F31),"  ")</f>
        <v>19.158</v>
      </c>
      <c r="E22" s="131">
        <f>IF(inputPrYr!E31&gt;0,ROUND(+C22*E$35,0),"  ")</f>
        <v>172516</v>
      </c>
      <c r="F22" s="131">
        <f>IF(inputPrYr!E31&gt;0,ROUND(+C22*F$37,0),"  ")</f>
        <v>2140</v>
      </c>
      <c r="G22" s="131">
        <f>IF(inputPrYr!E31&gt;0,ROUND(+C22*G$39,0),"  ")</f>
        <v>14201</v>
      </c>
      <c r="H22" s="17"/>
      <c r="I22" s="22"/>
    </row>
    <row r="23" spans="1:9" ht="16.5">
      <c r="A23" s="23"/>
      <c r="B23" s="9" t="str">
        <f>IF((inputPrYr!$B32&gt;" "),(inputPrYr!$B32),"  ")</f>
        <v>  </v>
      </c>
      <c r="C23" s="131" t="str">
        <f>IF(inputPrYr!E32&gt;0,inputPrYr!E32,"  ")</f>
        <v>  </v>
      </c>
      <c r="D23" s="416" t="str">
        <f>IF(inputPrYr!F32&gt;0,(inputPrYr!F32),"  ")</f>
        <v>  </v>
      </c>
      <c r="E23" s="131" t="str">
        <f>IF(inputPrYr!E32&gt;0,ROUND(+C23*E$35,0),"  ")</f>
        <v>  </v>
      </c>
      <c r="F23" s="131" t="str">
        <f>IF(inputPrYr!E32&gt;0,ROUND(+C23*F$37,0),"  ")</f>
        <v>  </v>
      </c>
      <c r="G23" s="131" t="str">
        <f>IF(inputPrYr!E32&gt;0,ROUND(+C23*G$39,0),"  ")</f>
        <v>  </v>
      </c>
      <c r="H23" s="17"/>
      <c r="I23" s="22"/>
    </row>
    <row r="24" spans="1:9" ht="16.5">
      <c r="A24" s="23"/>
      <c r="B24" s="9" t="str">
        <f>IF((inputPrYr!$B33&gt;" "),(inputPrYr!$B33),"  ")</f>
        <v>  </v>
      </c>
      <c r="C24" s="131" t="str">
        <f>IF(inputPrYr!E33&gt;0,inputPrYr!E33,"  ")</f>
        <v>  </v>
      </c>
      <c r="D24" s="416" t="str">
        <f>IF(inputPrYr!F33&gt;0,(inputPrYr!F33),"  ")</f>
        <v>  </v>
      </c>
      <c r="E24" s="131" t="str">
        <f>IF(inputPrYr!E33&gt;0,ROUND(+C24*E$35,0),"  ")</f>
        <v>  </v>
      </c>
      <c r="F24" s="131" t="str">
        <f>IF(inputPrYr!E33&gt;0,ROUND(+C24*F$37,0),"  ")</f>
        <v>  </v>
      </c>
      <c r="G24" s="131" t="str">
        <f>IF(inputPrYr!E33&gt;0,ROUND(+C24*G$39,0),"  ")</f>
        <v>  </v>
      </c>
      <c r="H24" s="17"/>
      <c r="I24" s="22"/>
    </row>
    <row r="25" spans="1:9" ht="16.5">
      <c r="A25" s="23"/>
      <c r="B25" s="9" t="str">
        <f>IF((inputPrYr!$B34&gt;" "),(inputPrYr!$B34),"  ")</f>
        <v>  </v>
      </c>
      <c r="C25" s="131" t="str">
        <f>IF(inputPrYr!E34&gt;0,inputPrYr!E34,"  ")</f>
        <v>  </v>
      </c>
      <c r="D25" s="416" t="str">
        <f>IF(inputPrYr!F34&gt;0,(inputPrYr!F34),"  ")</f>
        <v>  </v>
      </c>
      <c r="E25" s="131" t="str">
        <f>IF(inputPrYr!E34&gt;0,ROUND(+C25*E$35,0),"  ")</f>
        <v>  </v>
      </c>
      <c r="F25" s="131" t="str">
        <f>IF(inputPrYr!E34&gt;0,ROUND(+C25*F$37,0),"  ")</f>
        <v>  </v>
      </c>
      <c r="G25" s="131" t="str">
        <f>IF(inputPrYr!E34&gt;0,ROUND(+C25*G$39,0),"  ")</f>
        <v>  </v>
      </c>
      <c r="H25" s="17"/>
      <c r="I25" s="22"/>
    </row>
    <row r="26" spans="1:9" ht="17.25" thickBot="1">
      <c r="A26" s="23"/>
      <c r="B26" s="44" t="s">
        <v>64</v>
      </c>
      <c r="C26" s="414">
        <f>SUM(C7:C25)</f>
        <v>5585089</v>
      </c>
      <c r="D26" s="415">
        <f>SUM(D7:D25)</f>
        <v>66.53</v>
      </c>
      <c r="E26" s="414">
        <f>SUM(E7:E25)</f>
        <v>599052</v>
      </c>
      <c r="F26" s="414">
        <f>SUM(F7:F25)</f>
        <v>7431</v>
      </c>
      <c r="G26" s="414">
        <f>SUM(G7:G25)</f>
        <v>49312</v>
      </c>
      <c r="H26" s="22"/>
      <c r="I26" s="22"/>
    </row>
    <row r="27" spans="1:9" ht="17.25" thickTop="1">
      <c r="A27" s="23"/>
      <c r="B27" s="13"/>
      <c r="C27" s="17"/>
      <c r="D27" s="24"/>
      <c r="E27" s="17"/>
      <c r="F27" s="17"/>
      <c r="G27" s="17"/>
      <c r="H27" s="17"/>
      <c r="I27" s="22"/>
    </row>
    <row r="28" spans="1:9" ht="16.5">
      <c r="A28" s="23"/>
      <c r="B28" s="6" t="s">
        <v>65</v>
      </c>
      <c r="C28" s="15"/>
      <c r="D28" s="15"/>
      <c r="E28" s="16">
        <f>(inputOth!E15)</f>
        <v>599052</v>
      </c>
      <c r="F28" s="15"/>
      <c r="G28" s="12"/>
      <c r="H28" s="12"/>
      <c r="I28" s="14"/>
    </row>
    <row r="29" spans="1:9" ht="16.5">
      <c r="A29" s="23"/>
      <c r="B29" s="6"/>
      <c r="C29" s="15"/>
      <c r="D29" s="15"/>
      <c r="E29" s="17"/>
      <c r="F29" s="15"/>
      <c r="G29" s="12"/>
      <c r="H29" s="12"/>
      <c r="I29" s="14"/>
    </row>
    <row r="30" spans="1:9" ht="16.5">
      <c r="A30" s="23"/>
      <c r="B30" s="6" t="s">
        <v>66</v>
      </c>
      <c r="C30" s="12"/>
      <c r="D30" s="12"/>
      <c r="E30" s="12"/>
      <c r="F30" s="16">
        <f>(inputOth!E16)</f>
        <v>7431</v>
      </c>
      <c r="G30" s="12"/>
      <c r="H30" s="12"/>
      <c r="I30" s="14"/>
    </row>
    <row r="31" spans="1:9" ht="16.5">
      <c r="A31" s="23"/>
      <c r="B31" s="6"/>
      <c r="C31" s="12"/>
      <c r="D31" s="12"/>
      <c r="E31" s="12"/>
      <c r="F31" s="17"/>
      <c r="G31" s="12"/>
      <c r="H31" s="12"/>
      <c r="I31" s="14"/>
    </row>
    <row r="32" spans="1:9" ht="16.5">
      <c r="A32" s="23"/>
      <c r="B32" s="6" t="s">
        <v>155</v>
      </c>
      <c r="C32" s="12"/>
      <c r="D32" s="12"/>
      <c r="E32" s="12"/>
      <c r="F32" s="12"/>
      <c r="G32" s="16">
        <f>inputOth!E17</f>
        <v>49312</v>
      </c>
      <c r="H32" s="17"/>
      <c r="I32" s="14"/>
    </row>
    <row r="33" spans="1:9" ht="16.5">
      <c r="A33" s="23"/>
      <c r="B33" s="5"/>
      <c r="C33" s="12"/>
      <c r="D33" s="12"/>
      <c r="E33" s="12"/>
      <c r="F33" s="12"/>
      <c r="G33" s="12"/>
      <c r="H33" s="12"/>
      <c r="I33" s="14"/>
    </row>
    <row r="34" spans="1:9" ht="16.5">
      <c r="A34" s="23"/>
      <c r="B34" s="5"/>
      <c r="C34" s="12"/>
      <c r="D34" s="12"/>
      <c r="E34" s="12"/>
      <c r="F34" s="12"/>
      <c r="G34" s="12"/>
      <c r="H34" s="12"/>
      <c r="I34" s="14"/>
    </row>
    <row r="35" spans="1:9" ht="16.5">
      <c r="A35" s="23"/>
      <c r="B35" s="6" t="s">
        <v>67</v>
      </c>
      <c r="C35" s="12"/>
      <c r="D35" s="12"/>
      <c r="E35" s="18">
        <f>IF(C26=0,0,E28/C26)</f>
        <v>0.1072591681171061</v>
      </c>
      <c r="F35" s="12"/>
      <c r="G35" s="12"/>
      <c r="H35" s="12"/>
      <c r="I35" s="14"/>
    </row>
    <row r="36" spans="1:9" ht="16.5">
      <c r="A36" s="23"/>
      <c r="B36" s="6"/>
      <c r="C36" s="12"/>
      <c r="D36" s="12"/>
      <c r="E36" s="19"/>
      <c r="F36" s="12"/>
      <c r="G36" s="12"/>
      <c r="H36" s="12"/>
      <c r="I36" s="14"/>
    </row>
    <row r="37" spans="1:9" ht="16.5">
      <c r="A37" s="23"/>
      <c r="B37" s="6" t="s">
        <v>199</v>
      </c>
      <c r="C37" s="12"/>
      <c r="D37" s="12"/>
      <c r="E37" s="12"/>
      <c r="F37" s="18">
        <f>IF(C26=0,0,F30/C26)</f>
        <v>0.0013305069981874953</v>
      </c>
      <c r="G37" s="12"/>
      <c r="H37" s="12"/>
      <c r="I37" s="14"/>
    </row>
    <row r="38" spans="1:9" ht="16.5">
      <c r="A38" s="23"/>
      <c r="B38" s="6"/>
      <c r="C38" s="12"/>
      <c r="D38" s="12"/>
      <c r="E38" s="12"/>
      <c r="F38" s="19"/>
      <c r="G38" s="12"/>
      <c r="H38" s="12"/>
      <c r="I38" s="14"/>
    </row>
    <row r="39" spans="1:9" ht="16.5">
      <c r="A39" s="23"/>
      <c r="B39" s="6" t="s">
        <v>198</v>
      </c>
      <c r="C39" s="12"/>
      <c r="D39" s="12"/>
      <c r="E39" s="12"/>
      <c r="F39" s="12"/>
      <c r="G39" s="18">
        <f>IF(C26=0,0,G32/C26)</f>
        <v>0.008829223670383766</v>
      </c>
      <c r="H39" s="19"/>
      <c r="I39" s="14"/>
    </row>
    <row r="40" spans="1:9" ht="16.5">
      <c r="A40" s="23"/>
      <c r="B40" s="11"/>
      <c r="C40" s="14"/>
      <c r="D40" s="14"/>
      <c r="E40" s="14"/>
      <c r="F40" s="14"/>
      <c r="G40" s="14"/>
      <c r="H40" s="14"/>
      <c r="I40" s="14"/>
    </row>
    <row r="41" spans="1:9" ht="16.5">
      <c r="A41" s="23"/>
      <c r="B41" s="11"/>
      <c r="C41" s="14"/>
      <c r="D41" s="14"/>
      <c r="E41" s="14"/>
      <c r="F41" s="14"/>
      <c r="G41" s="14"/>
      <c r="H41" s="14"/>
      <c r="I41" s="14"/>
    </row>
  </sheetData>
  <sheetProtection/>
  <mergeCells count="4">
    <mergeCell ref="C5:C6"/>
    <mergeCell ref="D5:D6"/>
    <mergeCell ref="E5:G5"/>
    <mergeCell ref="B3:G3"/>
  </mergeCells>
  <printOptions/>
  <pageMargins left="1.5" right="0.75" top="0.25" bottom="0.18" header="0" footer="0"/>
  <pageSetup blackAndWhite="1" firstPageNumber="3" useFirstPageNumber="1" fitToHeight="1" fitToWidth="1" horizontalDpi="600" verticalDpi="600" orientation="landscape" scale="89" r:id="rId1"/>
  <headerFooter alignWithMargins="0">
    <oddHeader>&amp;RState of Kansas
County</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view="pageBreakPreview" zoomScale="102" zoomScaleSheetLayoutView="102" zoomScalePageLayoutView="0" workbookViewId="0" topLeftCell="A3">
      <selection activeCell="E13" sqref="E13"/>
    </sheetView>
  </sheetViews>
  <sheetFormatPr defaultColWidth="8.8984375" defaultRowHeight="15"/>
  <cols>
    <col min="1" max="2" width="17.796875" style="84" customWidth="1"/>
    <col min="3" max="6" width="12.796875" style="84" customWidth="1"/>
    <col min="7" max="16384" width="8.8984375" style="84" customWidth="1"/>
  </cols>
  <sheetData>
    <row r="1" spans="1:6" ht="15.75">
      <c r="A1" s="155"/>
      <c r="B1" s="28"/>
      <c r="C1" s="28"/>
      <c r="D1" s="28"/>
      <c r="E1" s="162"/>
      <c r="F1" s="28"/>
    </row>
    <row r="2" spans="1:6" ht="15.75">
      <c r="A2" s="85" t="str">
        <f>inputPrYr!C2</f>
        <v>CLOUD COUNTY</v>
      </c>
      <c r="B2" s="85"/>
      <c r="C2" s="28"/>
      <c r="D2" s="28"/>
      <c r="E2" s="162"/>
      <c r="F2" s="28">
        <f>inputPrYr!C4</f>
        <v>2015</v>
      </c>
    </row>
    <row r="3" spans="1:6" ht="15.75">
      <c r="A3" s="155"/>
      <c r="B3" s="85"/>
      <c r="C3" s="28"/>
      <c r="D3" s="28"/>
      <c r="E3" s="162"/>
      <c r="F3" s="28"/>
    </row>
    <row r="4" spans="1:6" ht="15.75">
      <c r="A4" s="155"/>
      <c r="B4" s="28"/>
      <c r="C4" s="28"/>
      <c r="D4" s="28"/>
      <c r="E4" s="162"/>
      <c r="F4" s="28"/>
    </row>
    <row r="5" spans="1:6" ht="15" customHeight="1">
      <c r="A5" s="602" t="s">
        <v>188</v>
      </c>
      <c r="B5" s="602"/>
      <c r="C5" s="602"/>
      <c r="D5" s="602"/>
      <c r="E5" s="602"/>
      <c r="F5" s="602"/>
    </row>
    <row r="6" spans="1:6" ht="14.25" customHeight="1">
      <c r="A6" s="156"/>
      <c r="B6" s="163"/>
      <c r="C6" s="163"/>
      <c r="D6" s="163"/>
      <c r="E6" s="163"/>
      <c r="F6" s="163"/>
    </row>
    <row r="7" spans="1:6" ht="15" customHeight="1">
      <c r="A7" s="164" t="s">
        <v>245</v>
      </c>
      <c r="B7" s="164" t="s">
        <v>246</v>
      </c>
      <c r="C7" s="165" t="s">
        <v>107</v>
      </c>
      <c r="D7" s="165" t="s">
        <v>200</v>
      </c>
      <c r="E7" s="165" t="s">
        <v>201</v>
      </c>
      <c r="F7" s="165" t="s">
        <v>224</v>
      </c>
    </row>
    <row r="8" spans="1:6" ht="15" customHeight="1">
      <c r="A8" s="166" t="s">
        <v>247</v>
      </c>
      <c r="B8" s="166" t="s">
        <v>248</v>
      </c>
      <c r="C8" s="167" t="s">
        <v>223</v>
      </c>
      <c r="D8" s="167" t="s">
        <v>223</v>
      </c>
      <c r="E8" s="167" t="s">
        <v>223</v>
      </c>
      <c r="F8" s="167" t="s">
        <v>225</v>
      </c>
    </row>
    <row r="9" spans="1:6" s="154" customFormat="1" ht="15" customHeight="1" thickBot="1">
      <c r="A9" s="168" t="s">
        <v>221</v>
      </c>
      <c r="B9" s="169" t="s">
        <v>222</v>
      </c>
      <c r="C9" s="170">
        <f>F2-2</f>
        <v>2013</v>
      </c>
      <c r="D9" s="170">
        <f>F2-1</f>
        <v>2014</v>
      </c>
      <c r="E9" s="170">
        <f>F2</f>
        <v>2015</v>
      </c>
      <c r="F9" s="169" t="s">
        <v>42</v>
      </c>
    </row>
    <row r="10" spans="1:6" ht="15" customHeight="1" thickTop="1">
      <c r="A10" s="171" t="s">
        <v>357</v>
      </c>
      <c r="B10" s="171" t="s">
        <v>358</v>
      </c>
      <c r="C10" s="172">
        <v>38852</v>
      </c>
      <c r="D10" s="172">
        <v>38042</v>
      </c>
      <c r="E10" s="172">
        <v>38000</v>
      </c>
      <c r="F10" s="171" t="s">
        <v>359</v>
      </c>
    </row>
    <row r="11" spans="1:6" ht="15" customHeight="1">
      <c r="A11" s="52" t="s">
        <v>360</v>
      </c>
      <c r="B11" s="52" t="s">
        <v>347</v>
      </c>
      <c r="C11" s="173">
        <v>60000</v>
      </c>
      <c r="D11" s="173">
        <v>0</v>
      </c>
      <c r="E11" s="173">
        <v>0</v>
      </c>
      <c r="F11" s="52" t="s">
        <v>361</v>
      </c>
    </row>
    <row r="12" spans="1:6" ht="15" customHeight="1">
      <c r="A12" s="52" t="s">
        <v>362</v>
      </c>
      <c r="B12" s="52" t="s">
        <v>341</v>
      </c>
      <c r="C12" s="173">
        <v>30000</v>
      </c>
      <c r="D12" s="173">
        <v>6000</v>
      </c>
      <c r="E12" s="173">
        <v>36500</v>
      </c>
      <c r="F12" s="52" t="s">
        <v>363</v>
      </c>
    </row>
    <row r="13" spans="1:6" ht="15" customHeight="1">
      <c r="A13" s="52"/>
      <c r="B13" s="52"/>
      <c r="C13" s="173"/>
      <c r="D13" s="173"/>
      <c r="E13" s="173"/>
      <c r="F13" s="52"/>
    </row>
    <row r="14" spans="1:6" ht="15" customHeight="1">
      <c r="A14" s="52"/>
      <c r="B14" s="52"/>
      <c r="C14" s="173"/>
      <c r="D14" s="173"/>
      <c r="E14" s="173"/>
      <c r="F14" s="52"/>
    </row>
    <row r="15" spans="1:6" ht="15" customHeight="1">
      <c r="A15" s="52"/>
      <c r="B15" s="52"/>
      <c r="C15" s="173"/>
      <c r="D15" s="173"/>
      <c r="E15" s="173"/>
      <c r="F15" s="52"/>
    </row>
    <row r="16" spans="1:6" ht="15" customHeight="1">
      <c r="A16" s="52"/>
      <c r="B16" s="52"/>
      <c r="C16" s="173"/>
      <c r="D16" s="173"/>
      <c r="E16" s="173"/>
      <c r="F16" s="52"/>
    </row>
    <row r="17" spans="1:6" ht="15" customHeight="1">
      <c r="A17" s="52"/>
      <c r="B17" s="52"/>
      <c r="C17" s="173"/>
      <c r="D17" s="173"/>
      <c r="E17" s="173"/>
      <c r="F17" s="52"/>
    </row>
    <row r="18" spans="1:6" ht="15" customHeight="1">
      <c r="A18" s="52"/>
      <c r="B18" s="52"/>
      <c r="C18" s="173"/>
      <c r="D18" s="173"/>
      <c r="E18" s="173"/>
      <c r="F18" s="52"/>
    </row>
    <row r="19" spans="1:6" ht="15" customHeight="1">
      <c r="A19" s="52"/>
      <c r="B19" s="174"/>
      <c r="C19" s="173"/>
      <c r="D19" s="173"/>
      <c r="E19" s="173"/>
      <c r="F19" s="52"/>
    </row>
    <row r="20" spans="1:6" ht="15" customHeight="1">
      <c r="A20" s="52"/>
      <c r="B20" s="52"/>
      <c r="C20" s="173"/>
      <c r="D20" s="173"/>
      <c r="E20" s="173"/>
      <c r="F20" s="52"/>
    </row>
    <row r="21" spans="1:6" ht="15" customHeight="1">
      <c r="A21" s="52"/>
      <c r="B21" s="52"/>
      <c r="C21" s="173"/>
      <c r="D21" s="173"/>
      <c r="E21" s="173"/>
      <c r="F21" s="52"/>
    </row>
    <row r="22" spans="1:6" ht="15" customHeight="1">
      <c r="A22" s="52"/>
      <c r="B22" s="52"/>
      <c r="C22" s="173"/>
      <c r="D22" s="173"/>
      <c r="E22" s="173"/>
      <c r="F22" s="52"/>
    </row>
    <row r="23" spans="1:6" ht="15" customHeight="1">
      <c r="A23" s="52"/>
      <c r="B23" s="52"/>
      <c r="C23" s="173"/>
      <c r="D23" s="173"/>
      <c r="E23" s="173"/>
      <c r="F23" s="52"/>
    </row>
    <row r="24" spans="1:6" ht="15" customHeight="1">
      <c r="A24" s="52"/>
      <c r="B24" s="52"/>
      <c r="C24" s="173"/>
      <c r="D24" s="173"/>
      <c r="E24" s="173"/>
      <c r="F24" s="52"/>
    </row>
    <row r="25" spans="1:6" ht="15" customHeight="1">
      <c r="A25" s="52"/>
      <c r="B25" s="52"/>
      <c r="C25" s="173"/>
      <c r="D25" s="173"/>
      <c r="E25" s="173"/>
      <c r="F25" s="52"/>
    </row>
    <row r="26" spans="1:6" ht="15" customHeight="1">
      <c r="A26" s="52"/>
      <c r="B26" s="52"/>
      <c r="C26" s="173"/>
      <c r="D26" s="173"/>
      <c r="E26" s="173"/>
      <c r="F26" s="52"/>
    </row>
    <row r="27" spans="1:6" ht="15.75">
      <c r="A27" s="78"/>
      <c r="B27" s="175" t="s">
        <v>44</v>
      </c>
      <c r="C27" s="61">
        <f>SUM(C10:C26)</f>
        <v>128852</v>
      </c>
      <c r="D27" s="61">
        <f>SUM(D10:D26)</f>
        <v>44042</v>
      </c>
      <c r="E27" s="61">
        <f>SUM(E10:E26)</f>
        <v>74500</v>
      </c>
      <c r="F27" s="78"/>
    </row>
    <row r="28" spans="1:6" ht="15.75">
      <c r="A28" s="78"/>
      <c r="B28" s="176" t="s">
        <v>243</v>
      </c>
      <c r="C28" s="45"/>
      <c r="D28" s="46"/>
      <c r="E28" s="46"/>
      <c r="F28" s="78"/>
    </row>
    <row r="29" spans="1:6" ht="15.75">
      <c r="A29" s="78"/>
      <c r="B29" s="175" t="s">
        <v>226</v>
      </c>
      <c r="C29" s="61">
        <f>C27</f>
        <v>128852</v>
      </c>
      <c r="D29" s="61">
        <f>SUM(D27-D28)</f>
        <v>44042</v>
      </c>
      <c r="E29" s="61">
        <f>SUM(E27-E28)</f>
        <v>74500</v>
      </c>
      <c r="F29" s="78"/>
    </row>
    <row r="30" spans="1:6" ht="15.75">
      <c r="A30" s="78"/>
      <c r="B30" s="78"/>
      <c r="C30" s="78"/>
      <c r="D30" s="78"/>
      <c r="E30" s="78"/>
      <c r="F30" s="78"/>
    </row>
    <row r="31" spans="1:6" ht="15.75">
      <c r="A31" s="78"/>
      <c r="B31" s="78"/>
      <c r="C31" s="78"/>
      <c r="D31" s="78"/>
      <c r="E31" s="78"/>
      <c r="F31" s="78"/>
    </row>
    <row r="32" spans="1:6" ht="15.75">
      <c r="A32" s="323" t="s">
        <v>244</v>
      </c>
      <c r="B32" s="324" t="str">
        <f>CONCATENATE("Adjustments are required only if the transfer is being made in ",D9," and/or ",E9," from a non-budgeted fund.")</f>
        <v>Adjustments are required only if the transfer is being made in 2014 and/or 2015 from a non-budgeted fund.</v>
      </c>
      <c r="C32" s="78"/>
      <c r="D32" s="78"/>
      <c r="E32" s="78"/>
      <c r="F32" s="78"/>
    </row>
  </sheetData>
  <sheetProtection sheet="1"/>
  <mergeCells count="1">
    <mergeCell ref="A5:F5"/>
  </mergeCells>
  <printOptions/>
  <pageMargins left="0.5" right="0.5" top="0.72" bottom="0.23" header="0.5" footer="0"/>
  <pageSetup blackAndWhite="1" fitToHeight="1" fitToWidth="1" horizontalDpi="120" verticalDpi="120" orientation="portrait" scale="86" r:id="rId1"/>
  <headerFooter alignWithMargins="0">
    <oddHeader>&amp;RState of Kansas
County
</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AC42"/>
  <sheetViews>
    <sheetView view="pageBreakPreview" zoomScale="60" zoomScaleNormal="75" zoomScalePageLayoutView="0" workbookViewId="0" topLeftCell="A13">
      <selection activeCell="G11" sqref="G11"/>
    </sheetView>
  </sheetViews>
  <sheetFormatPr defaultColWidth="8.8984375" defaultRowHeight="15"/>
  <cols>
    <col min="1" max="1" width="5.3984375" style="84" customWidth="1"/>
    <col min="2" max="2" width="20.796875" style="84" customWidth="1"/>
    <col min="3" max="3" width="9.3984375" style="84" customWidth="1"/>
    <col min="4" max="4" width="9.796875" style="84" customWidth="1"/>
    <col min="5" max="5" width="8.796875" style="84" customWidth="1"/>
    <col min="6" max="6" width="12.796875" style="84" customWidth="1"/>
    <col min="7" max="7" width="14" style="84" customWidth="1"/>
    <col min="8" max="13" width="9.796875" style="84" customWidth="1"/>
    <col min="14" max="16384" width="8.8984375" style="84" customWidth="1"/>
  </cols>
  <sheetData>
    <row r="1" spans="2:13" ht="15.75">
      <c r="B1" s="155" t="str">
        <f>inputPrYr!$C$2</f>
        <v>CLOUD COUNTY</v>
      </c>
      <c r="C1" s="28"/>
      <c r="D1" s="28"/>
      <c r="E1" s="28"/>
      <c r="F1" s="28"/>
      <c r="G1" s="28"/>
      <c r="H1" s="28"/>
      <c r="I1" s="28"/>
      <c r="J1" s="28"/>
      <c r="K1" s="28"/>
      <c r="L1" s="28"/>
      <c r="M1" s="177">
        <f>inputPrYr!$C$4</f>
        <v>2015</v>
      </c>
    </row>
    <row r="2" spans="2:13" ht="15.75">
      <c r="B2" s="155"/>
      <c r="C2" s="28"/>
      <c r="D2" s="28"/>
      <c r="E2" s="28"/>
      <c r="F2" s="28"/>
      <c r="G2" s="28"/>
      <c r="H2" s="28"/>
      <c r="I2" s="28"/>
      <c r="J2" s="28"/>
      <c r="K2" s="28"/>
      <c r="L2" s="28"/>
      <c r="M2" s="162"/>
    </row>
    <row r="3" spans="2:13" ht="15.75">
      <c r="B3" s="178" t="s">
        <v>153</v>
      </c>
      <c r="C3" s="34"/>
      <c r="D3" s="34"/>
      <c r="E3" s="34"/>
      <c r="F3" s="34"/>
      <c r="G3" s="34"/>
      <c r="H3" s="34"/>
      <c r="I3" s="34"/>
      <c r="J3" s="34"/>
      <c r="K3" s="34"/>
      <c r="L3" s="34"/>
      <c r="M3" s="34"/>
    </row>
    <row r="4" spans="2:13" ht="15.75">
      <c r="B4" s="28"/>
      <c r="C4" s="179"/>
      <c r="D4" s="179"/>
      <c r="E4" s="179"/>
      <c r="F4" s="179"/>
      <c r="G4" s="179"/>
      <c r="H4" s="179"/>
      <c r="I4" s="179"/>
      <c r="J4" s="179"/>
      <c r="K4" s="179"/>
      <c r="L4" s="179"/>
      <c r="M4" s="179"/>
    </row>
    <row r="5" spans="2:13" ht="15.75">
      <c r="B5" s="180" t="s">
        <v>265</v>
      </c>
      <c r="C5" s="180" t="s">
        <v>122</v>
      </c>
      <c r="D5" s="180" t="s">
        <v>122</v>
      </c>
      <c r="E5" s="180" t="s">
        <v>136</v>
      </c>
      <c r="F5" s="180"/>
      <c r="G5" s="180" t="s">
        <v>227</v>
      </c>
      <c r="H5" s="28"/>
      <c r="I5" s="28"/>
      <c r="J5" s="181" t="s">
        <v>123</v>
      </c>
      <c r="K5" s="182"/>
      <c r="L5" s="181" t="s">
        <v>123</v>
      </c>
      <c r="M5" s="182"/>
    </row>
    <row r="6" spans="2:13" ht="16.5">
      <c r="B6" s="183" t="s">
        <v>124</v>
      </c>
      <c r="C6" s="183" t="s">
        <v>124</v>
      </c>
      <c r="D6" s="183" t="s">
        <v>228</v>
      </c>
      <c r="E6" s="183" t="s">
        <v>125</v>
      </c>
      <c r="F6" s="183" t="s">
        <v>63</v>
      </c>
      <c r="G6" s="183" t="s">
        <v>189</v>
      </c>
      <c r="H6" s="612" t="s">
        <v>126</v>
      </c>
      <c r="I6" s="613"/>
      <c r="J6" s="614">
        <f>M1-1</f>
        <v>2014</v>
      </c>
      <c r="K6" s="615"/>
      <c r="L6" s="614">
        <f>M1</f>
        <v>2015</v>
      </c>
      <c r="M6" s="615"/>
    </row>
    <row r="7" spans="2:13" ht="15.75">
      <c r="B7" s="186" t="s">
        <v>266</v>
      </c>
      <c r="C7" s="186" t="s">
        <v>127</v>
      </c>
      <c r="D7" s="186" t="s">
        <v>229</v>
      </c>
      <c r="E7" s="186" t="s">
        <v>87</v>
      </c>
      <c r="F7" s="186" t="s">
        <v>128</v>
      </c>
      <c r="G7" s="184" t="str">
        <f>CONCATENATE("Jan 1,",M1-1,"")</f>
        <v>Jan 1,2014</v>
      </c>
      <c r="H7" s="175" t="s">
        <v>136</v>
      </c>
      <c r="I7" s="175" t="s">
        <v>137</v>
      </c>
      <c r="J7" s="175" t="s">
        <v>136</v>
      </c>
      <c r="K7" s="175" t="s">
        <v>137</v>
      </c>
      <c r="L7" s="175" t="s">
        <v>136</v>
      </c>
      <c r="M7" s="175" t="s">
        <v>137</v>
      </c>
    </row>
    <row r="8" spans="2:13" ht="15.75">
      <c r="B8" s="185" t="s">
        <v>129</v>
      </c>
      <c r="C8" s="49"/>
      <c r="D8" s="49"/>
      <c r="E8" s="187"/>
      <c r="F8" s="188"/>
      <c r="G8" s="188"/>
      <c r="H8" s="49"/>
      <c r="I8" s="49"/>
      <c r="J8" s="188"/>
      <c r="K8" s="188"/>
      <c r="L8" s="188"/>
      <c r="M8" s="188"/>
    </row>
    <row r="9" spans="2:13" ht="15.75">
      <c r="B9" s="189"/>
      <c r="C9" s="327"/>
      <c r="D9" s="327"/>
      <c r="E9" s="190"/>
      <c r="F9" s="191"/>
      <c r="G9" s="192"/>
      <c r="H9" s="193"/>
      <c r="I9" s="193"/>
      <c r="J9" s="192"/>
      <c r="K9" s="192"/>
      <c r="L9" s="192"/>
      <c r="M9" s="192"/>
    </row>
    <row r="10" spans="2:13" ht="15.75">
      <c r="B10" s="189"/>
      <c r="C10" s="327"/>
      <c r="D10" s="327"/>
      <c r="E10" s="190"/>
      <c r="F10" s="191"/>
      <c r="G10" s="192"/>
      <c r="H10" s="193"/>
      <c r="I10" s="193"/>
      <c r="J10" s="192"/>
      <c r="K10" s="192"/>
      <c r="L10" s="192"/>
      <c r="M10" s="192"/>
    </row>
    <row r="11" spans="2:13" ht="15.75">
      <c r="B11" s="189"/>
      <c r="C11" s="327"/>
      <c r="D11" s="327"/>
      <c r="E11" s="190"/>
      <c r="F11" s="191"/>
      <c r="G11" s="192"/>
      <c r="H11" s="193"/>
      <c r="I11" s="193"/>
      <c r="J11" s="192"/>
      <c r="K11" s="192"/>
      <c r="L11" s="192"/>
      <c r="M11" s="192"/>
    </row>
    <row r="12" spans="2:13" ht="15.75">
      <c r="B12" s="189"/>
      <c r="C12" s="327"/>
      <c r="D12" s="327"/>
      <c r="E12" s="190"/>
      <c r="F12" s="191"/>
      <c r="G12" s="192"/>
      <c r="H12" s="193"/>
      <c r="I12" s="193"/>
      <c r="J12" s="192"/>
      <c r="K12" s="192"/>
      <c r="L12" s="192"/>
      <c r="M12" s="192"/>
    </row>
    <row r="13" spans="2:13" ht="15.75">
      <c r="B13" s="189"/>
      <c r="C13" s="327"/>
      <c r="D13" s="327"/>
      <c r="E13" s="190"/>
      <c r="F13" s="191"/>
      <c r="G13" s="192"/>
      <c r="H13" s="193"/>
      <c r="I13" s="193"/>
      <c r="J13" s="192"/>
      <c r="K13" s="192"/>
      <c r="L13" s="192"/>
      <c r="M13" s="192"/>
    </row>
    <row r="14" spans="2:13" ht="15.75">
      <c r="B14" s="189"/>
      <c r="C14" s="327"/>
      <c r="D14" s="327"/>
      <c r="E14" s="190"/>
      <c r="F14" s="191"/>
      <c r="G14" s="192"/>
      <c r="H14" s="193"/>
      <c r="I14" s="193"/>
      <c r="J14" s="192"/>
      <c r="K14" s="192"/>
      <c r="L14" s="192"/>
      <c r="M14" s="192"/>
    </row>
    <row r="15" spans="2:13" ht="15.75">
      <c r="B15" s="189"/>
      <c r="C15" s="327"/>
      <c r="D15" s="327"/>
      <c r="E15" s="190"/>
      <c r="F15" s="191"/>
      <c r="G15" s="192"/>
      <c r="H15" s="193"/>
      <c r="I15" s="193"/>
      <c r="J15" s="192"/>
      <c r="K15" s="192"/>
      <c r="L15" s="192"/>
      <c r="M15" s="192"/>
    </row>
    <row r="16" spans="2:13" ht="15.75">
      <c r="B16" s="189"/>
      <c r="C16" s="327"/>
      <c r="D16" s="327"/>
      <c r="E16" s="190"/>
      <c r="F16" s="191"/>
      <c r="G16" s="192"/>
      <c r="H16" s="193"/>
      <c r="I16" s="193"/>
      <c r="J16" s="192"/>
      <c r="K16" s="192"/>
      <c r="L16" s="192"/>
      <c r="M16" s="192"/>
    </row>
    <row r="17" spans="2:13" ht="15.75">
      <c r="B17" s="189"/>
      <c r="C17" s="327"/>
      <c r="D17" s="327"/>
      <c r="E17" s="190"/>
      <c r="F17" s="191"/>
      <c r="G17" s="192"/>
      <c r="H17" s="193"/>
      <c r="I17" s="193"/>
      <c r="J17" s="192"/>
      <c r="K17" s="192"/>
      <c r="L17" s="192"/>
      <c r="M17" s="192"/>
    </row>
    <row r="18" spans="2:13" ht="15.75">
      <c r="B18" s="189"/>
      <c r="C18" s="327"/>
      <c r="D18" s="327"/>
      <c r="E18" s="190"/>
      <c r="F18" s="191"/>
      <c r="G18" s="192"/>
      <c r="H18" s="193"/>
      <c r="I18" s="193"/>
      <c r="J18" s="192"/>
      <c r="K18" s="192"/>
      <c r="L18" s="192"/>
      <c r="M18" s="192"/>
    </row>
    <row r="19" spans="2:13" ht="15.75">
      <c r="B19" s="194" t="s">
        <v>130</v>
      </c>
      <c r="C19" s="195"/>
      <c r="D19" s="195"/>
      <c r="E19" s="196"/>
      <c r="F19" s="197"/>
      <c r="G19" s="198">
        <f>SUM(G9:G18)</f>
        <v>0</v>
      </c>
      <c r="H19" s="199"/>
      <c r="I19" s="199"/>
      <c r="J19" s="198">
        <f>SUM(J9:J18)</f>
        <v>0</v>
      </c>
      <c r="K19" s="198">
        <f>SUM(K9:K18)</f>
        <v>0</v>
      </c>
      <c r="L19" s="198">
        <f>SUM(L9:L18)</f>
        <v>0</v>
      </c>
      <c r="M19" s="198">
        <f>SUM(M9:M18)</f>
        <v>0</v>
      </c>
    </row>
    <row r="20" spans="2:13" ht="15.75">
      <c r="B20" s="175" t="s">
        <v>131</v>
      </c>
      <c r="C20" s="200"/>
      <c r="D20" s="200"/>
      <c r="E20" s="201"/>
      <c r="F20" s="202"/>
      <c r="G20" s="202"/>
      <c r="H20" s="203"/>
      <c r="I20" s="203"/>
      <c r="J20" s="202"/>
      <c r="K20" s="202"/>
      <c r="L20" s="202"/>
      <c r="M20" s="202"/>
    </row>
    <row r="21" spans="2:13" ht="15.75">
      <c r="B21" s="189"/>
      <c r="C21" s="327"/>
      <c r="D21" s="327"/>
      <c r="E21" s="190"/>
      <c r="F21" s="191"/>
      <c r="G21" s="192"/>
      <c r="H21" s="193"/>
      <c r="I21" s="193"/>
      <c r="J21" s="192"/>
      <c r="K21" s="192"/>
      <c r="L21" s="192"/>
      <c r="M21" s="192"/>
    </row>
    <row r="22" spans="2:13" ht="15.75">
      <c r="B22" s="189"/>
      <c r="C22" s="327"/>
      <c r="D22" s="327"/>
      <c r="E22" s="190"/>
      <c r="F22" s="191"/>
      <c r="G22" s="192"/>
      <c r="H22" s="193"/>
      <c r="I22" s="193"/>
      <c r="J22" s="192"/>
      <c r="K22" s="192"/>
      <c r="L22" s="192"/>
      <c r="M22" s="192"/>
    </row>
    <row r="23" spans="2:13" ht="15.75">
      <c r="B23" s="189"/>
      <c r="C23" s="327"/>
      <c r="D23" s="327"/>
      <c r="E23" s="190"/>
      <c r="F23" s="191"/>
      <c r="G23" s="192"/>
      <c r="H23" s="193"/>
      <c r="I23" s="193"/>
      <c r="J23" s="192"/>
      <c r="K23" s="192"/>
      <c r="L23" s="192"/>
      <c r="M23" s="192"/>
    </row>
    <row r="24" spans="2:13" ht="15.75">
      <c r="B24" s="189"/>
      <c r="C24" s="327"/>
      <c r="D24" s="327"/>
      <c r="E24" s="190"/>
      <c r="F24" s="191"/>
      <c r="G24" s="192"/>
      <c r="H24" s="193"/>
      <c r="I24" s="193"/>
      <c r="J24" s="192"/>
      <c r="K24" s="192"/>
      <c r="L24" s="192"/>
      <c r="M24" s="192"/>
    </row>
    <row r="25" spans="2:13" ht="15.75">
      <c r="B25" s="189"/>
      <c r="C25" s="327"/>
      <c r="D25" s="327"/>
      <c r="E25" s="190"/>
      <c r="F25" s="191"/>
      <c r="G25" s="192"/>
      <c r="H25" s="193"/>
      <c r="I25" s="193"/>
      <c r="J25" s="192"/>
      <c r="K25" s="192"/>
      <c r="L25" s="192"/>
      <c r="M25" s="192"/>
    </row>
    <row r="26" spans="2:13" ht="15.75">
      <c r="B26" s="189"/>
      <c r="C26" s="327"/>
      <c r="D26" s="327"/>
      <c r="E26" s="190"/>
      <c r="F26" s="191"/>
      <c r="G26" s="192"/>
      <c r="H26" s="193"/>
      <c r="I26" s="193"/>
      <c r="J26" s="192"/>
      <c r="K26" s="192"/>
      <c r="L26" s="192"/>
      <c r="M26" s="192"/>
    </row>
    <row r="27" spans="2:13" ht="15.75">
      <c r="B27" s="194" t="s">
        <v>132</v>
      </c>
      <c r="C27" s="195"/>
      <c r="D27" s="195"/>
      <c r="E27" s="204"/>
      <c r="F27" s="197"/>
      <c r="G27" s="205">
        <f>SUM(G21:G26)</f>
        <v>0</v>
      </c>
      <c r="H27" s="199"/>
      <c r="I27" s="199"/>
      <c r="J27" s="205">
        <f>SUM(J21:J26)</f>
        <v>0</v>
      </c>
      <c r="K27" s="205">
        <f>SUM(K21:K26)</f>
        <v>0</v>
      </c>
      <c r="L27" s="198">
        <f>SUM(L21:L26)</f>
        <v>0</v>
      </c>
      <c r="M27" s="205">
        <f>SUM(M21:M26)</f>
        <v>0</v>
      </c>
    </row>
    <row r="28" spans="2:13" ht="15.75">
      <c r="B28" s="175" t="s">
        <v>133</v>
      </c>
      <c r="C28" s="200"/>
      <c r="D28" s="200"/>
      <c r="E28" s="201"/>
      <c r="F28" s="202"/>
      <c r="G28" s="206"/>
      <c r="H28" s="203"/>
      <c r="I28" s="203"/>
      <c r="J28" s="202"/>
      <c r="K28" s="202"/>
      <c r="L28" s="202"/>
      <c r="M28" s="202"/>
    </row>
    <row r="29" spans="2:13" ht="15.75">
      <c r="B29" s="189"/>
      <c r="C29" s="327"/>
      <c r="D29" s="327"/>
      <c r="E29" s="190"/>
      <c r="F29" s="191"/>
      <c r="G29" s="192"/>
      <c r="H29" s="193"/>
      <c r="I29" s="193"/>
      <c r="J29" s="192"/>
      <c r="K29" s="192"/>
      <c r="L29" s="192"/>
      <c r="M29" s="192"/>
    </row>
    <row r="30" spans="2:13" ht="15.75">
      <c r="B30" s="189"/>
      <c r="C30" s="327"/>
      <c r="D30" s="327"/>
      <c r="E30" s="190"/>
      <c r="F30" s="191"/>
      <c r="G30" s="192"/>
      <c r="H30" s="193"/>
      <c r="I30" s="193"/>
      <c r="J30" s="192"/>
      <c r="K30" s="192"/>
      <c r="L30" s="192"/>
      <c r="M30" s="192"/>
    </row>
    <row r="31" spans="2:13" ht="15.75">
      <c r="B31" s="189"/>
      <c r="C31" s="327"/>
      <c r="D31" s="327"/>
      <c r="E31" s="190"/>
      <c r="F31" s="191"/>
      <c r="G31" s="192"/>
      <c r="H31" s="193"/>
      <c r="I31" s="193"/>
      <c r="J31" s="192"/>
      <c r="K31" s="192"/>
      <c r="L31" s="192"/>
      <c r="M31" s="192"/>
    </row>
    <row r="32" spans="2:13" ht="15.75">
      <c r="B32" s="189"/>
      <c r="C32" s="327"/>
      <c r="D32" s="327"/>
      <c r="E32" s="190"/>
      <c r="F32" s="191"/>
      <c r="G32" s="192"/>
      <c r="H32" s="193"/>
      <c r="I32" s="193"/>
      <c r="J32" s="192"/>
      <c r="K32" s="192"/>
      <c r="L32" s="192"/>
      <c r="M32" s="192"/>
    </row>
    <row r="33" spans="2:13" ht="15.75">
      <c r="B33" s="189"/>
      <c r="C33" s="327"/>
      <c r="D33" s="327"/>
      <c r="E33" s="190"/>
      <c r="F33" s="191"/>
      <c r="G33" s="192"/>
      <c r="H33" s="193"/>
      <c r="I33" s="193"/>
      <c r="J33" s="192"/>
      <c r="K33" s="192"/>
      <c r="L33" s="192"/>
      <c r="M33" s="192"/>
    </row>
    <row r="34" spans="2:13" ht="15.75">
      <c r="B34" s="189"/>
      <c r="C34" s="327"/>
      <c r="D34" s="327"/>
      <c r="E34" s="190"/>
      <c r="F34" s="191"/>
      <c r="G34" s="192"/>
      <c r="H34" s="193"/>
      <c r="I34" s="193"/>
      <c r="J34" s="192"/>
      <c r="K34" s="192"/>
      <c r="L34" s="192"/>
      <c r="M34" s="192"/>
    </row>
    <row r="35" spans="2:29" ht="15.75">
      <c r="B35" s="189"/>
      <c r="C35" s="327"/>
      <c r="D35" s="327"/>
      <c r="E35" s="190"/>
      <c r="F35" s="191"/>
      <c r="G35" s="192"/>
      <c r="H35" s="193"/>
      <c r="I35" s="193"/>
      <c r="J35" s="192"/>
      <c r="K35" s="192"/>
      <c r="L35" s="192"/>
      <c r="M35" s="192"/>
      <c r="N35" s="25"/>
      <c r="O35" s="25"/>
      <c r="P35" s="25"/>
      <c r="Q35" s="25"/>
      <c r="R35" s="25"/>
      <c r="S35" s="25"/>
      <c r="T35" s="25"/>
      <c r="U35" s="25"/>
      <c r="V35" s="25"/>
      <c r="W35" s="25"/>
      <c r="X35" s="25"/>
      <c r="Y35" s="25"/>
      <c r="Z35" s="25"/>
      <c r="AA35" s="25"/>
      <c r="AB35" s="25"/>
      <c r="AC35" s="25"/>
    </row>
    <row r="36" spans="2:13" ht="15.75">
      <c r="B36" s="194" t="s">
        <v>230</v>
      </c>
      <c r="C36" s="194"/>
      <c r="D36" s="194"/>
      <c r="E36" s="204"/>
      <c r="F36" s="197"/>
      <c r="G36" s="205">
        <f>SUM(G29:G35)</f>
        <v>0</v>
      </c>
      <c r="H36" s="197"/>
      <c r="I36" s="197"/>
      <c r="J36" s="205">
        <f>SUM(J29:J35)</f>
        <v>0</v>
      </c>
      <c r="K36" s="205">
        <f>SUM(K29:K35)</f>
        <v>0</v>
      </c>
      <c r="L36" s="205">
        <f>SUM(L29:L35)</f>
        <v>0</v>
      </c>
      <c r="M36" s="205">
        <f>SUM(M29:M35)</f>
        <v>0</v>
      </c>
    </row>
    <row r="37" spans="2:13" ht="15.75">
      <c r="B37" s="194" t="s">
        <v>134</v>
      </c>
      <c r="C37" s="194"/>
      <c r="D37" s="194"/>
      <c r="E37" s="194"/>
      <c r="F37" s="197"/>
      <c r="G37" s="205">
        <f>SUM(G19+G27+G36)</f>
        <v>0</v>
      </c>
      <c r="H37" s="197"/>
      <c r="I37" s="197"/>
      <c r="J37" s="205">
        <f>SUM(J19+J27+J36)</f>
        <v>0</v>
      </c>
      <c r="K37" s="205">
        <f>SUM(K19+K27+K36)</f>
        <v>0</v>
      </c>
      <c r="L37" s="205">
        <f>SUM(L19+L27+L36)</f>
        <v>0</v>
      </c>
      <c r="M37" s="205">
        <f>SUM(M19+M27+M36)</f>
        <v>0</v>
      </c>
    </row>
    <row r="38" spans="2:13" ht="15.75">
      <c r="B38" s="25"/>
      <c r="C38" s="25"/>
      <c r="D38" s="25"/>
      <c r="E38" s="25"/>
      <c r="F38" s="25"/>
      <c r="G38" s="25"/>
      <c r="H38" s="25"/>
      <c r="I38" s="25"/>
      <c r="J38" s="25"/>
      <c r="K38" s="25"/>
      <c r="L38" s="25"/>
      <c r="M38" s="25"/>
    </row>
    <row r="39" spans="6:13" ht="15.75">
      <c r="F39" s="207"/>
      <c r="G39" s="207"/>
      <c r="J39" s="207"/>
      <c r="K39" s="207"/>
      <c r="L39" s="207"/>
      <c r="M39" s="207"/>
    </row>
    <row r="40" spans="6:14" ht="15.75">
      <c r="F40" s="25"/>
      <c r="H40" s="208"/>
      <c r="N40" s="25"/>
    </row>
    <row r="41" spans="2:13" ht="15.75">
      <c r="B41" s="25"/>
      <c r="C41" s="25"/>
      <c r="D41" s="25"/>
      <c r="E41" s="25"/>
      <c r="F41" s="25"/>
      <c r="G41" s="25"/>
      <c r="H41" s="25"/>
      <c r="I41" s="25"/>
      <c r="J41" s="25"/>
      <c r="K41" s="25"/>
      <c r="L41" s="25"/>
      <c r="M41" s="25"/>
    </row>
    <row r="42" spans="2:13" ht="15.75">
      <c r="B42" s="25"/>
      <c r="C42" s="25"/>
      <c r="D42" s="25"/>
      <c r="E42" s="25"/>
      <c r="F42" s="25"/>
      <c r="G42" s="25"/>
      <c r="H42" s="25"/>
      <c r="I42" s="25"/>
      <c r="J42" s="25"/>
      <c r="K42" s="25"/>
      <c r="L42" s="25"/>
      <c r="M42" s="25"/>
    </row>
  </sheetData>
  <sheetProtection sheet="1"/>
  <mergeCells count="3">
    <mergeCell ref="H6:I6"/>
    <mergeCell ref="J6:K6"/>
    <mergeCell ref="L6:M6"/>
  </mergeCells>
  <printOptions/>
  <pageMargins left="0.38" right="0.5" top="0.78" bottom="0.4" header="0.5" footer="0"/>
  <pageSetup blackAndWhite="1" fitToHeight="1" fitToWidth="1" horizontalDpi="120" verticalDpi="120" orientation="landscape" scale="72" r:id="rId1"/>
  <headerFooter alignWithMargins="0">
    <oddHeader>&amp;RState of Kansas
County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linda</cp:lastModifiedBy>
  <cp:lastPrinted>2014-08-20T17:01:39Z</cp:lastPrinted>
  <dcterms:created xsi:type="dcterms:W3CDTF">1998-08-26T13:26:11Z</dcterms:created>
  <dcterms:modified xsi:type="dcterms:W3CDTF">2014-11-04T17:22:56Z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