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1176" tabRatio="909" firstSheet="26" activeTab="4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ervice" sheetId="15" r:id="rId15"/>
    <sheet name="Library-Rec" sheetId="16" r:id="rId16"/>
    <sheet name="Airport-Indust" sheetId="17" r:id="rId17"/>
    <sheet name="Fire-Personel" sheetId="18" r:id="rId18"/>
    <sheet name="levy page11" sheetId="19" r:id="rId19"/>
    <sheet name="levy page12" sheetId="20" r:id="rId20"/>
    <sheet name="levy page13" sheetId="21" r:id="rId21"/>
    <sheet name="Sp Hiway" sheetId="22" r:id="rId22"/>
    <sheet name="no levy page15" sheetId="23" r:id="rId23"/>
    <sheet name="no levy page16" sheetId="24" r:id="rId24"/>
    <sheet name="no levy page17" sheetId="25" r:id="rId25"/>
    <sheet name="no levy page18" sheetId="26" r:id="rId26"/>
    <sheet name="no levy page19" sheetId="27" r:id="rId27"/>
    <sheet name="no levy page20" sheetId="28" r:id="rId28"/>
    <sheet name="no levy page21" sheetId="29" r:id="rId29"/>
    <sheet name="Electric" sheetId="30" r:id="rId30"/>
    <sheet name="Water" sheetId="31" r:id="rId31"/>
    <sheet name="Sanitation" sheetId="32" r:id="rId32"/>
    <sheet name="Wastewater" sheetId="33" r:id="rId33"/>
    <sheet name="NonBudA" sheetId="34" r:id="rId34"/>
    <sheet name="NonBudB" sheetId="35" r:id="rId35"/>
    <sheet name="NonBudC" sheetId="36" r:id="rId36"/>
    <sheet name="NonBudD" sheetId="37" r:id="rId37"/>
    <sheet name="NonBudFunds" sheetId="38" r:id="rId38"/>
    <sheet name="summ" sheetId="39" r:id="rId39"/>
    <sheet name="nhood" sheetId="40" r:id="rId40"/>
    <sheet name="Pub. Notice Option 1" sheetId="41" r:id="rId41"/>
    <sheet name="Pub. Notice Option 2" sheetId="42" r:id="rId42"/>
    <sheet name="Tab A" sheetId="43" r:id="rId43"/>
    <sheet name="Tab B" sheetId="44" r:id="rId44"/>
    <sheet name="Tab C" sheetId="45" r:id="rId45"/>
    <sheet name="Tab D" sheetId="46" r:id="rId46"/>
    <sheet name="Tab E" sheetId="47" r:id="rId47"/>
    <sheet name="Mill Rate Computation" sheetId="48" r:id="rId48"/>
    <sheet name="Helpful Links" sheetId="49" r:id="rId49"/>
    <sheet name="legend" sheetId="50" r:id="rId50"/>
  </sheets>
  <definedNames>
    <definedName name="_xlnm.Print_Area" localSheetId="16">'Airport-Indust'!$A$1:$E$82</definedName>
    <definedName name="_xlnm.Print_Area" localSheetId="14">'DebtService'!$B$1:$E$65</definedName>
    <definedName name="_xlnm.Print_Area" localSheetId="17">'Fire-Personel'!$B$1:$E$82</definedName>
    <definedName name="_xlnm.Print_Area" localSheetId="12">'general'!$B$1:$E$120</definedName>
    <definedName name="_xlnm.Print_Area" localSheetId="1">'inputPrYr'!$A$1:$E$128</definedName>
    <definedName name="_xlnm.Print_Area" localSheetId="18">'levy page11'!$A$1:$E$82</definedName>
    <definedName name="_xlnm.Print_Area" localSheetId="19">'levy page12'!$A$1:$E$82</definedName>
    <definedName name="_xlnm.Print_Area" localSheetId="20">'levy page13'!$A$1:$E$82</definedName>
    <definedName name="_xlnm.Print_Area" localSheetId="11">'Library Grant'!$A$1:$J$40</definedName>
    <definedName name="_xlnm.Print_Area" localSheetId="15">'Library-Rec'!$B$1:$E$82</definedName>
    <definedName name="_xlnm.Print_Area" localSheetId="10">'lpform'!$B$1:$I$38</definedName>
    <definedName name="_xlnm.Print_Area" localSheetId="47">'Mill Rate Computation'!$B$1:$W$147</definedName>
    <definedName name="_xlnm.Print_Area" localSheetId="38">'summ'!$A$1:$H$73</definedName>
  </definedNames>
  <calcPr fullCalcOnLoad="1"/>
</workbook>
</file>

<file path=xl/sharedStrings.xml><?xml version="1.0" encoding="utf-8"?>
<sst xmlns="http://schemas.openxmlformats.org/spreadsheetml/2006/main" count="2618" uniqueCount="1172">
  <si>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</si>
  <si>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</si>
  <si>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</si>
  <si>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</si>
  <si>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</si>
  <si>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</si>
  <si>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</si>
  <si>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</si>
  <si>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</si>
  <si>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</si>
  <si>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</si>
  <si>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</si>
  <si>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</si>
  <si>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</si>
  <si>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</si>
  <si>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</si>
  <si>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</si>
  <si>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</si>
  <si>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</si>
  <si>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</si>
  <si>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</si>
  <si>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</si>
  <si>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</si>
  <si>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</si>
  <si>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</si>
  <si>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</si>
  <si>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</si>
  <si>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</si>
  <si>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</si>
  <si>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</si>
  <si>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</si>
  <si>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</si>
  <si>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</si>
  <si>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</si>
  <si>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</si>
  <si>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</si>
  <si>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</si>
  <si>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</si>
  <si>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</si>
  <si>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</si>
  <si>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</si>
  <si>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</si>
  <si>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</si>
  <si>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</si>
  <si>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</si>
  <si>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</si>
  <si>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</si>
  <si>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</si>
  <si>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</si>
  <si>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</si>
  <si>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</si>
  <si>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</si>
  <si>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</si>
  <si>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</si>
  <si>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</si>
  <si>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</si>
  <si>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</si>
  <si>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</si>
  <si>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</si>
  <si>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</si>
  <si>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</si>
  <si>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</si>
  <si>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</si>
  <si>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</si>
  <si>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</si>
  <si>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</si>
  <si>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</si>
  <si>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</si>
  <si>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</si>
  <si>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</si>
  <si>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</si>
  <si>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</si>
  <si>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</si>
  <si>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</si>
  <si>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</si>
  <si>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</si>
  <si>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</si>
  <si>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</si>
  <si>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</si>
  <si>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</si>
  <si>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</si>
  <si>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</si>
  <si>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</si>
  <si>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</si>
  <si>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</si>
  <si>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</si>
  <si>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</si>
  <si>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</si>
  <si>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</si>
  <si>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</si>
  <si>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</si>
  <si>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</si>
  <si>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</si>
  <si>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</si>
  <si>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</si>
  <si>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</si>
  <si>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</si>
  <si>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</si>
  <si>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</si>
  <si>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</si>
  <si>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</si>
  <si>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</si>
  <si>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</si>
  <si>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</si>
  <si>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</si>
  <si>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</si>
  <si>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</si>
  <si>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</si>
  <si>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</si>
  <si>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</si>
  <si>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</si>
  <si>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</si>
  <si>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</si>
  <si>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</si>
  <si>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</si>
  <si>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</si>
  <si>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</si>
  <si>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</si>
  <si>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</si>
  <si>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</si>
  <si>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</si>
  <si>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</si>
  <si>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</si>
  <si>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</si>
  <si>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</si>
  <si>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</si>
  <si>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</si>
  <si>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</si>
  <si>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</si>
  <si>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</si>
  <si>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</si>
  <si>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</si>
  <si>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</si>
  <si>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</si>
  <si>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</si>
  <si>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</si>
  <si>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</si>
  <si>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</si>
  <si>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</si>
  <si>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</si>
  <si>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</si>
  <si>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</si>
  <si>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</si>
  <si>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</si>
  <si>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</si>
  <si>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</si>
  <si>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</si>
  <si>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</si>
  <si>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</si>
  <si>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</si>
  <si>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</si>
  <si>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</si>
  <si>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</si>
  <si>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</si>
  <si>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</si>
  <si>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</si>
  <si>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</si>
  <si>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</si>
  <si>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</si>
  <si>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</si>
  <si>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</si>
  <si>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</si>
  <si>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</si>
  <si>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</si>
  <si>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</si>
  <si>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</si>
  <si>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</si>
  <si>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</si>
  <si>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</si>
  <si>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</si>
  <si>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</si>
  <si>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</si>
  <si>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</si>
  <si>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</si>
  <si>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</si>
  <si>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</si>
  <si>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</si>
  <si>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</si>
  <si>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</si>
  <si>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</si>
  <si>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</si>
  <si>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</si>
  <si>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</si>
  <si>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</si>
  <si>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</si>
  <si>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</si>
  <si>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</si>
  <si>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</si>
  <si>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</si>
  <si>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</si>
  <si>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</si>
  <si>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</si>
  <si>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</si>
  <si>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</si>
  <si>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</si>
  <si>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</si>
  <si>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</si>
  <si>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</si>
  <si>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</si>
  <si>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</si>
  <si>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</si>
  <si>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</si>
  <si>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</si>
  <si>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</si>
  <si>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</si>
  <si>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</si>
  <si>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</si>
  <si>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</si>
  <si>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</si>
  <si>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</si>
  <si>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</si>
  <si>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</si>
  <si>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</si>
  <si>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</si>
  <si>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</si>
  <si>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</si>
  <si>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</si>
  <si>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</si>
  <si>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</si>
  <si>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</si>
  <si>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</si>
  <si>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</si>
  <si>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</si>
  <si>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</si>
  <si>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</si>
  <si>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</si>
  <si>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</si>
  <si>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</si>
  <si>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</si>
  <si>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</si>
  <si>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</si>
  <si>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</si>
  <si>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</si>
  <si>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</si>
  <si>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</si>
  <si>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</si>
  <si>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</si>
  <si>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</si>
  <si>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</si>
  <si>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</si>
  <si>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</si>
  <si>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</si>
  <si>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</si>
  <si>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</si>
  <si>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</si>
  <si>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</si>
  <si>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</si>
  <si>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</si>
  <si>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</si>
  <si>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</si>
  <si>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</si>
  <si>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</si>
  <si>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</si>
  <si>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</si>
  <si>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</si>
  <si>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</si>
  <si>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</si>
  <si>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</si>
  <si>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</si>
  <si>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</si>
  <si>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</si>
  <si>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</si>
  <si>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</si>
  <si>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</si>
  <si>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</si>
  <si>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</si>
  <si>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</si>
  <si>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</si>
  <si>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</si>
  <si>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</si>
  <si>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</si>
  <si>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</si>
  <si>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</si>
  <si>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</si>
  <si>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</si>
  <si>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</si>
  <si>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</si>
  <si>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</si>
  <si>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</si>
  <si>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</si>
  <si>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</si>
  <si>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</si>
  <si>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</si>
  <si>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</si>
  <si>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</si>
  <si>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</si>
  <si>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</si>
  <si>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</si>
  <si>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</si>
  <si>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</si>
  <si>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</si>
  <si>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</si>
  <si>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</si>
  <si>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</si>
  <si>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</si>
  <si>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</si>
  <si>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</si>
  <si>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</si>
  <si>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</si>
  <si>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</si>
  <si>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</si>
  <si>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</si>
  <si>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</si>
  <si>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</si>
  <si>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</si>
  <si>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</si>
  <si>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</si>
  <si>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</si>
  <si>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</si>
  <si>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</si>
  <si>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</si>
  <si>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</si>
  <si>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</si>
  <si>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</si>
  <si>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</si>
  <si>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</si>
  <si>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</si>
  <si>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</si>
  <si>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</si>
  <si>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</si>
  <si>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</si>
  <si>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</si>
  <si>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</si>
  <si>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</si>
  <si>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1. Mvalloc tab, change table reference for each cell from 'D' to 'E'</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</si>
  <si>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</si>
  <si>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</si>
  <si>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</si>
  <si>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</si>
  <si>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</si>
  <si>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</si>
  <si>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</si>
  <si>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</si>
  <si>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</si>
  <si>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</si>
  <si>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</si>
  <si>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</si>
  <si>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</si>
  <si>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</si>
  <si>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</si>
  <si>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</si>
  <si>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</si>
  <si>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</si>
  <si>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</si>
  <si>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</si>
  <si>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</si>
  <si>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</si>
  <si>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</si>
  <si>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</si>
  <si>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</si>
  <si>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</si>
  <si>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</si>
  <si>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</si>
  <si>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</si>
  <si>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</si>
  <si>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</si>
  <si>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</si>
  <si>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</si>
  <si>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</si>
  <si>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</si>
  <si>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</si>
  <si>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</si>
  <si>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</si>
  <si>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</si>
  <si>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</si>
  <si>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</si>
  <si>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</si>
  <si>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</si>
  <si>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</si>
  <si>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</si>
  <si>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</si>
  <si>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</si>
  <si>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</si>
  <si>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</si>
  <si>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</si>
  <si>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</si>
  <si>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</si>
  <si>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</si>
  <si>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</si>
  <si>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</si>
  <si>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</si>
  <si>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</si>
  <si>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</si>
  <si>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</si>
  <si>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</si>
  <si>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</si>
  <si>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</si>
  <si>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</si>
  <si>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Date:</t>
  </si>
  <si>
    <t>Time:</t>
  </si>
  <si>
    <t>Location:</t>
  </si>
  <si>
    <t>Available at:</t>
  </si>
  <si>
    <t>Examples</t>
  </si>
  <si>
    <t>August 12, 2010</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</si>
  <si>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</si>
  <si>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</si>
  <si>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</si>
  <si>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</si>
  <si>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</si>
  <si>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</si>
  <si>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</si>
  <si>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</si>
  <si>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</si>
  <si>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</si>
  <si>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</si>
  <si>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</si>
  <si>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</si>
  <si>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</si>
  <si>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</si>
  <si>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</si>
  <si>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</si>
  <si>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</si>
  <si>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</si>
  <si>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</si>
  <si>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</si>
  <si>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</si>
  <si>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</si>
  <si>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</si>
  <si>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</si>
  <si>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</si>
  <si>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</si>
  <si>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</si>
  <si>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</si>
  <si>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</si>
  <si>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</si>
  <si>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</si>
  <si>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</si>
  <si>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</si>
  <si>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</si>
  <si>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</si>
  <si>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</si>
  <si>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</si>
  <si>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</si>
  <si>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</si>
  <si>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</si>
  <si>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</si>
  <si>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</si>
  <si>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</si>
  <si>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</si>
  <si>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</si>
  <si>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</si>
  <si>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</si>
  <si>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</si>
  <si>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</si>
  <si>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</si>
  <si>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</si>
  <si>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</si>
  <si>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</si>
  <si>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</si>
  <si>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</si>
  <si>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</si>
  <si>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</si>
  <si>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</si>
  <si>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</si>
  <si>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</si>
  <si>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</si>
  <si>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</si>
  <si>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</si>
  <si>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</si>
  <si>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</si>
  <si>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</si>
  <si>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</si>
  <si>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</si>
  <si>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</si>
  <si>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</si>
  <si>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</si>
  <si>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</si>
  <si>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</si>
  <si>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</si>
  <si>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</si>
  <si>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</si>
  <si>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</si>
  <si>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</si>
  <si>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</si>
  <si>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</si>
  <si>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</si>
  <si>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</si>
  <si>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</si>
  <si>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</si>
  <si>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</si>
  <si>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</si>
  <si>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</si>
  <si>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</si>
  <si>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</si>
  <si>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</si>
  <si>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</si>
  <si>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</si>
  <si>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</si>
  <si>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</si>
  <si>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</si>
  <si>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</si>
  <si>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</si>
  <si>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</si>
  <si>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</si>
  <si>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</si>
  <si>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</si>
  <si>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</si>
  <si>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</si>
  <si>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</si>
  <si>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</si>
  <si>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</si>
  <si>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</si>
  <si>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</si>
  <si>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</si>
  <si>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</si>
  <si>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</si>
  <si>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</si>
  <si>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</si>
  <si>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</si>
  <si>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</si>
  <si>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</si>
  <si>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</si>
  <si>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</si>
  <si>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</si>
  <si>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</si>
  <si>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</si>
  <si>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</si>
  <si>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</si>
  <si>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</si>
  <si>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</si>
  <si>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</si>
  <si>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</si>
  <si>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</si>
  <si>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</si>
  <si>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</si>
  <si>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</si>
  <si>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</si>
  <si>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</si>
  <si>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</si>
  <si>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</si>
  <si>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</si>
  <si>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</si>
  <si>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</si>
  <si>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</si>
  <si>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</si>
  <si>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</si>
  <si>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</si>
  <si>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</si>
  <si>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</si>
  <si>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</si>
  <si>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</si>
  <si>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</si>
  <si>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</si>
  <si>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</si>
  <si>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</si>
  <si>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</si>
  <si>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</si>
  <si>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</si>
  <si>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</si>
  <si>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</si>
  <si>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</si>
  <si>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</si>
  <si>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</si>
  <si>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</si>
  <si>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</si>
  <si>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</si>
  <si>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</si>
  <si>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</si>
  <si>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</si>
  <si>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</si>
  <si>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</si>
  <si>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</si>
  <si>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</si>
  <si>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</si>
  <si>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</si>
  <si>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</si>
  <si>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</si>
  <si>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</si>
  <si>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</si>
  <si>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</si>
  <si>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</si>
  <si>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</si>
  <si>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</si>
  <si>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</si>
  <si>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</si>
  <si>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</si>
  <si>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</si>
  <si>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</si>
  <si>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</si>
  <si>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</si>
  <si>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</si>
  <si>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</si>
  <si>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</si>
  <si>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</si>
  <si>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</si>
  <si>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</si>
  <si>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</si>
  <si>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</si>
  <si>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</si>
  <si>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</si>
  <si>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</si>
  <si>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</si>
  <si>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</si>
  <si>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</si>
  <si>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</si>
  <si>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</si>
  <si>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</si>
  <si>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</si>
  <si>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</si>
  <si>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</si>
  <si>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</si>
  <si>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</si>
  <si>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</si>
  <si>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</si>
  <si>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</si>
  <si>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</si>
  <si>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</si>
  <si>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</si>
  <si>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</si>
  <si>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</si>
  <si>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</si>
  <si>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</si>
  <si>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</si>
  <si>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</si>
  <si>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</si>
  <si>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</si>
  <si>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</si>
  <si>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</si>
  <si>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</si>
  <si>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</si>
  <si>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</si>
  <si>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</si>
  <si>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</si>
  <si>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</si>
  <si>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</si>
  <si>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</si>
  <si>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</si>
  <si>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</si>
  <si>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</si>
  <si>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</si>
  <si>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</si>
  <si>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</si>
  <si>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</si>
  <si>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</si>
  <si>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</si>
  <si>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</si>
  <si>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</si>
  <si>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</si>
  <si>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</si>
  <si>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</si>
  <si>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</si>
  <si>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</si>
  <si>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</si>
  <si>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</si>
  <si>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</si>
  <si>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</si>
  <si>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</si>
  <si>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</si>
  <si>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</si>
  <si>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</si>
  <si>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</si>
  <si>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</si>
  <si>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</si>
  <si>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</si>
  <si>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</si>
  <si>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</si>
  <si>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</si>
  <si>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</si>
  <si>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</si>
  <si>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</si>
  <si>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</si>
  <si>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</si>
  <si>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</si>
  <si>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</si>
  <si>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</si>
  <si>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</si>
  <si>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</si>
  <si>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</si>
  <si>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</si>
  <si>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</si>
  <si>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</si>
  <si>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</si>
  <si>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</si>
  <si>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</si>
  <si>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</si>
  <si>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</si>
  <si>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</si>
  <si>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</si>
  <si>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</si>
  <si>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</si>
  <si>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</si>
  <si>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</si>
  <si>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</si>
  <si>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</si>
  <si>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</si>
  <si>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</si>
  <si>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</si>
  <si>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</si>
  <si>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</si>
  <si>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</si>
  <si>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</si>
  <si>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</si>
  <si>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</si>
  <si>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</si>
  <si>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</si>
  <si>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</si>
  <si>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</si>
  <si>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</si>
  <si>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</si>
  <si>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</si>
  <si>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</si>
  <si>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</si>
  <si>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</si>
  <si>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</si>
  <si>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</si>
  <si>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</si>
  <si>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</si>
  <si>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</si>
  <si>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</si>
  <si>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</si>
  <si>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</si>
  <si>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</si>
  <si>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</si>
  <si>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</si>
  <si>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</si>
  <si>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</si>
  <si>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</si>
  <si>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</si>
  <si>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</si>
  <si>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</si>
  <si>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</si>
  <si>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</si>
  <si>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</si>
  <si>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</si>
  <si>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</si>
  <si>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</si>
  <si>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</si>
  <si>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</si>
  <si>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</si>
  <si>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</si>
  <si>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</si>
  <si>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</si>
  <si>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</si>
  <si>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</si>
  <si>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</si>
  <si>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</si>
  <si>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</si>
  <si>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</si>
  <si>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</si>
  <si>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</si>
  <si>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</si>
  <si>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</si>
  <si>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</si>
  <si>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</si>
  <si>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</si>
  <si>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</si>
  <si>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</si>
  <si>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</si>
  <si>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</si>
  <si>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</si>
  <si>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</si>
  <si>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</si>
  <si>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</si>
  <si>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</si>
  <si>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</si>
  <si>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</si>
  <si>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</si>
  <si>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</si>
  <si>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</si>
  <si>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</si>
  <si>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</si>
  <si>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</si>
  <si>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</si>
  <si>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</si>
  <si>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estimated value of one mill would be:</t>
  </si>
  <si>
    <t>Change in Ad Valorem Tax Revenue:</t>
  </si>
  <si>
    <t>What Mill Rate Would Be Desired?</t>
  </si>
  <si>
    <t>Official Title:</t>
  </si>
  <si>
    <t>City Clerk, City Treasurer, Mayor</t>
  </si>
  <si>
    <t>34. Added four more no tax levy fund pages</t>
  </si>
  <si>
    <t>Local Sales Tax</t>
  </si>
  <si>
    <t>Franchise Tax</t>
  </si>
  <si>
    <t>Licenses</t>
  </si>
  <si>
    <t>Desired Carryover Amount:</t>
  </si>
  <si>
    <t>Estimated Mill Rate Impact:</t>
  </si>
  <si>
    <t>35.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</si>
  <si>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</si>
  <si>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</si>
  <si>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</si>
  <si>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</si>
  <si>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</si>
  <si>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</si>
  <si>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</si>
  <si>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</si>
  <si>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</si>
  <si>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</si>
  <si>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</si>
  <si>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Mvalloc tab change c19, d19, and e19 formula from InputPrYrE30 to E32</t>
  </si>
  <si>
    <t>1. Summ tab changed proposed year expenditure column to 'Budget Authority for Expenditures'</t>
  </si>
  <si>
    <t>City2 with Recreation Spreadsheet Instructions</t>
  </si>
  <si>
    <t>Library</t>
  </si>
  <si>
    <t>12-1220</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</si>
  <si>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</si>
  <si>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</si>
  <si>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</si>
  <si>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</si>
  <si>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</si>
  <si>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</si>
  <si>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</si>
  <si>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</si>
  <si>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</si>
  <si>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</si>
  <si>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</si>
  <si>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</si>
  <si>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</si>
  <si>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</si>
  <si>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</si>
  <si>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</si>
  <si>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</si>
  <si>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</si>
  <si>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</si>
  <si>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</si>
  <si>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</si>
  <si>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</si>
  <si>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</si>
  <si>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</si>
  <si>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</si>
  <si>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</si>
  <si>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</si>
  <si>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</si>
  <si>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</si>
  <si>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</si>
  <si>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</si>
  <si>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</si>
  <si>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</si>
  <si>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</si>
  <si>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</si>
  <si>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</si>
  <si>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</si>
  <si>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</si>
  <si>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</si>
  <si>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</si>
  <si>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</si>
  <si>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</si>
  <si>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</si>
  <si>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</si>
  <si>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</si>
  <si>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</si>
  <si>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</si>
  <si>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</si>
  <si>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</si>
  <si>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</si>
  <si>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</si>
  <si>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</si>
  <si>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</si>
  <si>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</si>
  <si>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</si>
  <si>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</si>
  <si>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</si>
  <si>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</si>
  <si>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</si>
  <si>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</si>
  <si>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</si>
  <si>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</si>
  <si>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</si>
  <si>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</si>
  <si>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</si>
  <si>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</si>
  <si>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</si>
  <si>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</si>
  <si>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</si>
  <si>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</si>
  <si>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</si>
  <si>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</si>
  <si>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</si>
  <si>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</si>
  <si>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</si>
  <si>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</si>
  <si>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</si>
  <si>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</si>
  <si>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</si>
  <si>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</si>
  <si>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</si>
  <si>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</si>
  <si>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</si>
  <si>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</si>
  <si>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</si>
  <si>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 xml:space="preserve">Allocation of Motor, Recreational, 16/20M Vehicle Tax </t>
  </si>
  <si>
    <t xml:space="preserve">Budget Tax Levy </t>
  </si>
  <si>
    <t>Delinquency % used in this budget will be shown on all fund pages with a tax levy**</t>
  </si>
  <si>
    <t>Expenditures Must Be Changed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</si>
  <si>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</si>
  <si>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</si>
  <si>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Prior Year</t>
  </si>
  <si>
    <t>Proposed Budget</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</si>
  <si>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</si>
  <si>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</si>
  <si>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</si>
  <si>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</si>
  <si>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</si>
  <si>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</si>
  <si>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</si>
  <si>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</si>
  <si>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</si>
  <si>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</si>
  <si>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</si>
  <si>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</si>
  <si>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</si>
  <si>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</si>
  <si>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</si>
  <si>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</si>
  <si>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</si>
  <si>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</si>
  <si>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</si>
  <si>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</si>
  <si>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</si>
  <si>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</si>
  <si>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</si>
  <si>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</si>
  <si>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</si>
  <si>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</si>
  <si>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</si>
  <si>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</si>
  <si>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</si>
  <si>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</si>
  <si>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</si>
  <si>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</si>
  <si>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</si>
  <si>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</si>
  <si>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</si>
  <si>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</si>
  <si>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</si>
  <si>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</si>
  <si>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</si>
  <si>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</si>
  <si>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</si>
  <si>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(DebtService), Library and Recreation (Library-Rec),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</si>
  <si>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</si>
  <si>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</si>
  <si>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</si>
  <si>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</si>
  <si>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</si>
  <si>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</si>
  <si>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</si>
  <si>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</si>
  <si>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</si>
  <si>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</si>
  <si>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</si>
  <si>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</si>
  <si>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</si>
  <si>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</si>
  <si>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</si>
  <si>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</si>
  <si>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</si>
  <si>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</si>
  <si>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</si>
  <si>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</si>
  <si>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</si>
  <si>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</si>
  <si>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</si>
  <si>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</si>
  <si>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</si>
  <si>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</si>
  <si>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</si>
  <si>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</si>
  <si>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38.  Add Library-Rec tab, in comparison block j83 "Exceed Mill Rate", cell f79 'Reduce', cell f80 shows amount that needs to be reduce
</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</si>
  <si>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</si>
  <si>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City 2 spreadsheets has General Fund page (general), Debt Service (DebtService), Library and Recreation page (Library-Rec),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</si>
  <si>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</si>
  <si>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#5d to show on Certificate page the table for Library Grant</t>
  </si>
  <si>
    <t xml:space="preserve">peter.haxton@library.ks.gov </t>
  </si>
  <si>
    <t>1. Library Grant tab, updated State Library e-mail contact address</t>
  </si>
  <si>
    <t>1. Corrected addition computation in column D, inputPrYr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</si>
  <si>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</si>
  <si>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</si>
  <si>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</si>
  <si>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Corrected formulas and changed formatting in Certificate page cells F22, F58, and G58</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</si>
  <si>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</si>
  <si>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</si>
  <si>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</si>
  <si>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</si>
  <si>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</si>
  <si>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</si>
  <si>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</si>
  <si>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</si>
  <si>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</si>
  <si>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</si>
  <si>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</si>
  <si>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</si>
  <si>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</si>
  <si>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</si>
  <si>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</si>
  <si>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</si>
  <si>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</si>
  <si>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</si>
  <si>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</si>
  <si>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</si>
  <si>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</si>
  <si>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</si>
  <si>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</si>
  <si>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</si>
  <si>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</si>
  <si>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</si>
  <si>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</si>
  <si>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</si>
  <si>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</si>
  <si>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5/8/14</t>
  </si>
  <si>
    <t>The following changes were made to this workbook on 4/7/14</t>
  </si>
  <si>
    <t>The following changes were made to this workbook on 10/14/13</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</si>
  <si>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</si>
  <si>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</si>
  <si>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</si>
  <si>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</si>
  <si>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</si>
  <si>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</si>
  <si>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</si>
  <si>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4/8/11</t>
  </si>
  <si>
    <t>The following changes were made to this workbook on 8/29/10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</si>
  <si>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</si>
  <si>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</si>
  <si>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</si>
  <si>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</si>
  <si>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on7/16/09</t>
  </si>
  <si>
    <t>In no event will published notice of the vote be required if the total budget year tax levy is $1,000 or less.</t>
  </si>
  <si>
    <t>Airport</t>
  </si>
  <si>
    <t>Industrial</t>
  </si>
  <si>
    <t>Fire Equipment</t>
  </si>
  <si>
    <t>Special Parks &amp; Recreation</t>
  </si>
  <si>
    <t>Electric</t>
  </si>
  <si>
    <t>Water</t>
  </si>
  <si>
    <t>Sanitation</t>
  </si>
  <si>
    <t>Wastewater</t>
  </si>
  <si>
    <t>Electric Depreciation</t>
  </si>
  <si>
    <t>Water Improvement</t>
  </si>
  <si>
    <t>Wastewater Replacement</t>
  </si>
  <si>
    <t>Capital Improvements</t>
  </si>
  <si>
    <t>Johnson Trust Fund</t>
  </si>
  <si>
    <t>Deines Center Trust</t>
  </si>
  <si>
    <t>Donations</t>
  </si>
  <si>
    <t>Airport Capital Projects</t>
  </si>
  <si>
    <t>Pfeifer Well Expansion</t>
  </si>
  <si>
    <t>Agency</t>
  </si>
  <si>
    <t>Risk Management Reserve</t>
  </si>
  <si>
    <t>Katrina Woelk</t>
  </si>
  <si>
    <t>Clerk/Treasurer</t>
  </si>
  <si>
    <t>Water Plant Refinance 2011</t>
  </si>
  <si>
    <t>2.0-3.1</t>
  </si>
  <si>
    <t>2013 Temp Bond</t>
  </si>
  <si>
    <t>2/1, 8/1</t>
  </si>
  <si>
    <t>City of Russell</t>
  </si>
  <si>
    <t>Russell</t>
  </si>
  <si>
    <t>Highway Connecting Links</t>
  </si>
  <si>
    <t>Golf Course</t>
  </si>
  <si>
    <t>Swimming Pool</t>
  </si>
  <si>
    <t>Transit Fares</t>
  </si>
  <si>
    <t>Municipal Court Fines</t>
  </si>
  <si>
    <t>Cemetery Trust Distribution</t>
  </si>
  <si>
    <t>County 911 Reimbursement</t>
  </si>
  <si>
    <t>Weed Abatement Fees</t>
  </si>
  <si>
    <t>State of Kansas KDOT Grant</t>
  </si>
  <si>
    <t>Reimbursed Expense</t>
  </si>
  <si>
    <t>Impound Fees</t>
  </si>
  <si>
    <t>Revitalization Fees</t>
  </si>
  <si>
    <t>Transfer from Electric Fund</t>
  </si>
  <si>
    <t>Transfer from Water Fund</t>
  </si>
  <si>
    <t>Transfer form Sanitation Fund</t>
  </si>
  <si>
    <t>Transfer from Wastewater Fund</t>
  </si>
  <si>
    <t>Transfer to Capital Improvements</t>
  </si>
  <si>
    <t>Transfer to Equipment Reserve</t>
  </si>
  <si>
    <t>Transfer to Risk Mgt Reserve</t>
  </si>
  <si>
    <t>City Clerk</t>
  </si>
  <si>
    <t>Public Transportation/Custodian</t>
  </si>
  <si>
    <t>Police</t>
  </si>
  <si>
    <t>Public Works</t>
  </si>
  <si>
    <t>Fire</t>
  </si>
  <si>
    <t>Municipal Court</t>
  </si>
  <si>
    <t>Building Planning and Zoning</t>
  </si>
  <si>
    <t>Street</t>
  </si>
  <si>
    <t>Golf Course and Clubhouse</t>
  </si>
  <si>
    <t>Park</t>
  </si>
  <si>
    <t>Armory/Community Center</t>
  </si>
  <si>
    <t>Debt Service Principal</t>
  </si>
  <si>
    <t>Debt Service Interest</t>
  </si>
  <si>
    <t>Cash Basis Reserve</t>
  </si>
  <si>
    <t>Appropriations</t>
  </si>
  <si>
    <t>Rental</t>
  </si>
  <si>
    <t>Fuel Sales</t>
  </si>
  <si>
    <t>Contractual</t>
  </si>
  <si>
    <t>Commodities</t>
  </si>
  <si>
    <t>Capital Outlay</t>
  </si>
  <si>
    <t>Capital Equipment</t>
  </si>
  <si>
    <t>Transfer from Water</t>
  </si>
  <si>
    <t>Transfer from Electric</t>
  </si>
  <si>
    <t>Transfer from Sanitation</t>
  </si>
  <si>
    <t>Transfer from Wastewater</t>
  </si>
  <si>
    <t>Health Insurance</t>
  </si>
  <si>
    <t>FICA</t>
  </si>
  <si>
    <t>KPERS</t>
  </si>
  <si>
    <t>Workers Compensation</t>
  </si>
  <si>
    <t>Unemployment</t>
  </si>
  <si>
    <t>State of Kansas</t>
  </si>
  <si>
    <t>Electric Sales</t>
  </si>
  <si>
    <t>Energy Adjustment Revenue</t>
  </si>
  <si>
    <t>Steam &amp; Heat Sales</t>
  </si>
  <si>
    <t>Late Payment Penalty</t>
  </si>
  <si>
    <t>Customer Deposits</t>
  </si>
  <si>
    <t>Rent</t>
  </si>
  <si>
    <t>Administration:</t>
  </si>
  <si>
    <t>Production:</t>
  </si>
  <si>
    <t xml:space="preserve">  Personnel</t>
  </si>
  <si>
    <t>Distribution:</t>
  </si>
  <si>
    <t>Transfer to General Fund</t>
  </si>
  <si>
    <t>Transfer to Personnel Benefits</t>
  </si>
  <si>
    <t>Transfer to Electric Depreciation</t>
  </si>
  <si>
    <t>Water Sales</t>
  </si>
  <si>
    <t>State Water Protection Fee</t>
  </si>
  <si>
    <t>Sales Tax</t>
  </si>
  <si>
    <t>Ranch Agreement</t>
  </si>
  <si>
    <t>Water Main Tap Fees</t>
  </si>
  <si>
    <t>Bond Revenue Proceeds</t>
  </si>
  <si>
    <t>Transfer to Bond &amp; Interest</t>
  </si>
  <si>
    <t>Transfer to Personal Benefits</t>
  </si>
  <si>
    <t>Transfer to Water Improvement Fund</t>
  </si>
  <si>
    <t>Sanitation Sales</t>
  </si>
  <si>
    <t>Landfill Sales</t>
  </si>
  <si>
    <t>Recycling Sales</t>
  </si>
  <si>
    <t>PolyKart Sales</t>
  </si>
  <si>
    <t>Penalty</t>
  </si>
  <si>
    <t>Personnel</t>
  </si>
  <si>
    <t>Sewer Use Charge</t>
  </si>
  <si>
    <t>Sewer Tap Main Fees</t>
  </si>
  <si>
    <t>Transfer</t>
  </si>
  <si>
    <t>EPA Grant</t>
  </si>
  <si>
    <t>KDHE Loans</t>
  </si>
  <si>
    <t>Professional Services</t>
  </si>
  <si>
    <t>Conservation</t>
  </si>
  <si>
    <t>Capital</t>
  </si>
  <si>
    <t>Printing &amp; Advert.</t>
  </si>
  <si>
    <t>Golf Course Fees</t>
  </si>
  <si>
    <t>Administration</t>
  </si>
  <si>
    <t>Streets</t>
  </si>
  <si>
    <t>Parks</t>
  </si>
  <si>
    <t>911 Dispatch</t>
  </si>
  <si>
    <t>Johnson Trust Dist.</t>
  </si>
  <si>
    <t>Equipment</t>
  </si>
  <si>
    <t>Angel Donations</t>
  </si>
  <si>
    <t>Angel Utility Pmts</t>
  </si>
  <si>
    <t>Grant</t>
  </si>
  <si>
    <t>Bond Proceeds</t>
  </si>
  <si>
    <t>Sink or Swim</t>
  </si>
  <si>
    <t>Fire Fighter Activity</t>
  </si>
  <si>
    <t>Transfer to Wastewater Improvement</t>
  </si>
  <si>
    <t>Transfer to Capital Improvement Fund</t>
  </si>
  <si>
    <t>In Lue of Taxes</t>
  </si>
  <si>
    <t>KPWSLF Project No.2731</t>
  </si>
  <si>
    <t>KPWSLF Project No. 2791</t>
  </si>
  <si>
    <t>4 Solar Bee Sewer Lagoon Mixers</t>
  </si>
  <si>
    <t>Capital Improvement</t>
  </si>
  <si>
    <t>Equipment Reserve</t>
  </si>
  <si>
    <t>Risk Management</t>
  </si>
  <si>
    <t xml:space="preserve">Water </t>
  </si>
  <si>
    <t>Bond &amp; Interest</t>
  </si>
  <si>
    <t>Personnel Benefits</t>
  </si>
  <si>
    <t>Transfer to Industrial Fund</t>
  </si>
  <si>
    <t xml:space="preserve">Transfers </t>
  </si>
  <si>
    <t>Wastewater Improvement</t>
  </si>
  <si>
    <t>12-197</t>
  </si>
  <si>
    <t>12-1,118</t>
  </si>
  <si>
    <t>12-1,117</t>
  </si>
  <si>
    <t>12-2615</t>
  </si>
  <si>
    <t>12-825d</t>
  </si>
  <si>
    <t>12-631o</t>
  </si>
  <si>
    <t>This tab will put the date and time and location of the budget hearing on the Budget Summary page.  Also, provide the location where as the budget can be reviewed.  Please input information in the green areas.</t>
  </si>
  <si>
    <t>County Sales Tax</t>
  </si>
  <si>
    <t>Deines Cultural Center</t>
  </si>
  <si>
    <t>Mayor/Council/Admin</t>
  </si>
  <si>
    <t>Local Alcoholic Liquor Tax</t>
  </si>
  <si>
    <t>Operating Supplies</t>
  </si>
  <si>
    <t>Drug Seizure</t>
  </si>
  <si>
    <t>City Manager/HR</t>
  </si>
  <si>
    <t>08/05/2014</t>
  </si>
  <si>
    <t>4:30 pm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</si>
</sst>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0.000_);[Red]\(0.000\)"/>
    <numFmt numFmtId="201" formatCode="0_);[Red]\(0\)"/>
    <numFmt numFmtId="202" formatCode="[$-409]h:mm:ss\ AM/PM"/>
  </numFmts>
  <fonts count="10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2"/>
      <name val="Courier New"/>
      <family val="3"/>
    </font>
    <font>
      <sz val="10"/>
      <color indexed="10"/>
      <name val="Times New Roman"/>
      <family val="1"/>
    </font>
    <font>
      <u val="single"/>
      <sz val="12"/>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2"/>
      <color indexed="8"/>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u val="single"/>
      <sz val="12"/>
      <color theme="1"/>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69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color indexed="63"/>
      </right>
      <top>
        <color indexed="63"/>
      </top>
      <bottom>
        <color indexed="63"/>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102">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xf>
    <xf numFmtId="0" fontId="5" fillId="33" borderId="0" xfId="0" applyFont="1" applyFill="1" applyAlignment="1" applyProtection="1">
      <alignment/>
      <protection/>
    </xf>
    <xf numFmtId="0" fontId="5" fillId="33" borderId="0" xfId="0" applyFont="1" applyFill="1" applyAlignment="1" applyProtection="1">
      <alignment horizontal="right"/>
      <protection/>
    </xf>
    <xf numFmtId="37" fontId="5" fillId="33" borderId="0" xfId="0" applyNumberFormat="1" applyFont="1" applyFill="1" applyAlignment="1" applyProtection="1">
      <alignment horizontal="right"/>
      <protection/>
    </xf>
    <xf numFmtId="0" fontId="5" fillId="33" borderId="0" xfId="0" applyFont="1" applyFill="1" applyAlignment="1" applyProtection="1">
      <alignment horizontal="centerContinuous"/>
      <protection/>
    </xf>
    <xf numFmtId="0" fontId="5" fillId="33" borderId="11" xfId="0" applyFont="1" applyFill="1" applyBorder="1" applyAlignment="1" applyProtection="1">
      <alignment/>
      <protection/>
    </xf>
    <xf numFmtId="37" fontId="5" fillId="33" borderId="0" xfId="0" applyNumberFormat="1" applyFont="1" applyFill="1" applyAlignment="1" applyProtection="1">
      <alignment/>
      <protection/>
    </xf>
    <xf numFmtId="0" fontId="4" fillId="33" borderId="0" xfId="579" applyFont="1" applyFill="1" applyAlignment="1" applyProtection="1">
      <alignment horizontal="centerContinuous"/>
      <protection/>
    </xf>
    <xf numFmtId="0" fontId="5" fillId="33" borderId="10" xfId="0" applyFont="1" applyFill="1" applyBorder="1" applyAlignment="1" applyProtection="1">
      <alignment horizontal="fill"/>
      <protection/>
    </xf>
    <xf numFmtId="0" fontId="4" fillId="33" borderId="0" xfId="0" applyFont="1" applyFill="1" applyAlignment="1" applyProtection="1">
      <alignment horizontal="left"/>
      <protection/>
    </xf>
    <xf numFmtId="0" fontId="5" fillId="33" borderId="0" xfId="0" applyFont="1" applyFill="1" applyAlignment="1" applyProtection="1">
      <alignment horizontal="center"/>
      <protection/>
    </xf>
    <xf numFmtId="0" fontId="5" fillId="33" borderId="0" xfId="0" applyNumberFormat="1" applyFont="1" applyFill="1" applyAlignment="1" applyProtection="1">
      <alignment horizontal="right"/>
      <protection/>
    </xf>
    <xf numFmtId="0" fontId="5" fillId="34" borderId="0" xfId="578" applyFont="1" applyFill="1" applyProtection="1">
      <alignment/>
      <protection/>
    </xf>
    <xf numFmtId="0" fontId="5" fillId="3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5" borderId="0" xfId="0" applyFont="1" applyFill="1" applyAlignment="1">
      <alignment vertical="center"/>
    </xf>
    <xf numFmtId="0" fontId="5" fillId="0" borderId="0" xfId="0" applyFont="1" applyFill="1" applyAlignment="1">
      <alignment vertical="center"/>
    </xf>
    <xf numFmtId="0" fontId="5" fillId="33" borderId="0" xfId="0" applyFont="1" applyFill="1" applyAlignment="1">
      <alignment vertical="center" wrapText="1"/>
    </xf>
    <xf numFmtId="0" fontId="5" fillId="0" borderId="0" xfId="0" applyFont="1" applyFill="1" applyAlignment="1">
      <alignment vertical="center" wrapText="1"/>
    </xf>
    <xf numFmtId="0" fontId="5" fillId="36" borderId="0" xfId="0" applyFont="1" applyFill="1" applyAlignment="1">
      <alignment vertical="center" wrapText="1"/>
    </xf>
    <xf numFmtId="0" fontId="5" fillId="3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3" borderId="0" xfId="0" applyNumberFormat="1" applyFont="1" applyFill="1" applyAlignment="1" applyProtection="1">
      <alignment horizontal="left" vertical="center"/>
      <protection/>
    </xf>
    <xf numFmtId="0" fontId="5" fillId="33"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xf>
    <xf numFmtId="37" fontId="5" fillId="33" borderId="0" xfId="0" applyNumberFormat="1" applyFont="1" applyFill="1" applyBorder="1" applyAlignment="1" applyProtection="1">
      <alignment horizontal="left" vertical="center"/>
      <protection locked="0"/>
    </xf>
    <xf numFmtId="0" fontId="4" fillId="35" borderId="12" xfId="0" applyFont="1" applyFill="1" applyBorder="1" applyAlignment="1" applyProtection="1">
      <alignment horizontal="center" vertical="center"/>
      <protection locked="0"/>
    </xf>
    <xf numFmtId="37" fontId="4" fillId="33" borderId="0" xfId="0" applyNumberFormat="1" applyFont="1" applyFill="1" applyAlignment="1" applyProtection="1">
      <alignment horizontal="centerContinuous" vertical="center"/>
      <protection/>
    </xf>
    <xf numFmtId="0" fontId="5" fillId="33" borderId="0" xfId="0" applyFont="1" applyFill="1" applyAlignment="1" applyProtection="1">
      <alignment horizontal="centerContinuous"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5" fillId="36" borderId="11" xfId="0" applyNumberFormat="1" applyFont="1" applyFill="1" applyBorder="1" applyAlignment="1" applyProtection="1">
      <alignment horizontal="center" vertical="center"/>
      <protection/>
    </xf>
    <xf numFmtId="37" fontId="5" fillId="33" borderId="13" xfId="0" applyNumberFormat="1" applyFont="1" applyFill="1" applyBorder="1" applyAlignment="1" applyProtection="1">
      <alignment horizontal="center" vertical="center"/>
      <protection/>
    </xf>
    <xf numFmtId="37" fontId="5" fillId="36" borderId="14" xfId="0" applyNumberFormat="1" applyFont="1" applyFill="1" applyBorder="1" applyAlignment="1" applyProtection="1">
      <alignment horizontal="center" vertical="center"/>
      <protection/>
    </xf>
    <xf numFmtId="37" fontId="5" fillId="33" borderId="12" xfId="0" applyNumberFormat="1" applyFont="1" applyFill="1" applyBorder="1" applyAlignment="1" applyProtection="1">
      <alignment horizontal="left" vertical="center"/>
      <protection/>
    </xf>
    <xf numFmtId="0" fontId="5" fillId="33" borderId="12" xfId="0" applyFont="1" applyFill="1" applyBorder="1" applyAlignment="1" applyProtection="1">
      <alignment vertical="center"/>
      <protection/>
    </xf>
    <xf numFmtId="3" fontId="5" fillId="35" borderId="14" xfId="0" applyNumberFormat="1"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0" fontId="0" fillId="33" borderId="0" xfId="0" applyFill="1" applyAlignment="1">
      <alignment vertical="center"/>
    </xf>
    <xf numFmtId="0" fontId="5" fillId="35" borderId="12" xfId="0" applyFont="1" applyFill="1" applyBorder="1" applyAlignment="1" applyProtection="1">
      <alignment vertical="center"/>
      <protection locked="0"/>
    </xf>
    <xf numFmtId="37" fontId="5" fillId="33"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37" fontId="5" fillId="33" borderId="16" xfId="0" applyNumberFormat="1" applyFont="1" applyFill="1" applyBorder="1" applyAlignment="1" applyProtection="1">
      <alignment vertical="center"/>
      <protection/>
    </xf>
    <xf numFmtId="37" fontId="5" fillId="39" borderId="16"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37" fontId="5" fillId="33" borderId="0" xfId="0" applyNumberFormat="1" applyFont="1" applyFill="1" applyBorder="1" applyAlignment="1" applyProtection="1">
      <alignment vertical="center"/>
      <protection/>
    </xf>
    <xf numFmtId="164" fontId="5" fillId="35" borderId="12" xfId="0" applyNumberFormat="1"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164" fontId="5" fillId="33" borderId="10" xfId="0" applyNumberFormat="1" applyFont="1" applyFill="1" applyBorder="1" applyAlignment="1" applyProtection="1">
      <alignment vertical="center"/>
      <protection locked="0"/>
    </xf>
    <xf numFmtId="0" fontId="5" fillId="33" borderId="13" xfId="0"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164" fontId="5" fillId="33" borderId="14" xfId="0" applyNumberFormat="1" applyFont="1" applyFill="1" applyBorder="1" applyAlignment="1" applyProtection="1">
      <alignment vertical="center"/>
      <protection locked="0"/>
    </xf>
    <xf numFmtId="3" fontId="5" fillId="33" borderId="0" xfId="0" applyNumberFormat="1" applyFont="1" applyFill="1" applyBorder="1" applyAlignment="1" applyProtection="1">
      <alignment vertical="center"/>
      <protection locked="0"/>
    </xf>
    <xf numFmtId="37" fontId="5" fillId="37" borderId="0" xfId="0" applyNumberFormat="1" applyFont="1" applyFill="1" applyAlignment="1" applyProtection="1">
      <alignment horizontal="center" vertical="center"/>
      <protection/>
    </xf>
    <xf numFmtId="0" fontId="5" fillId="37" borderId="10" xfId="0" applyFont="1" applyFill="1" applyBorder="1" applyAlignment="1">
      <alignment horizontal="center" vertical="center"/>
    </xf>
    <xf numFmtId="37" fontId="5" fillId="33" borderId="12" xfId="0" applyNumberFormat="1" applyFont="1" applyFill="1" applyBorder="1" applyAlignment="1" applyProtection="1">
      <alignment vertical="center"/>
      <protection/>
    </xf>
    <xf numFmtId="164" fontId="5" fillId="39" borderId="12"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left" vertical="center"/>
      <protection/>
    </xf>
    <xf numFmtId="0" fontId="5" fillId="36" borderId="10" xfId="0" applyFont="1" applyFill="1" applyBorder="1" applyAlignment="1" applyProtection="1">
      <alignment vertical="center"/>
      <protection/>
    </xf>
    <xf numFmtId="37" fontId="5" fillId="36" borderId="15" xfId="0" applyNumberFormat="1" applyFont="1" applyFill="1" applyBorder="1" applyAlignment="1" applyProtection="1">
      <alignment horizontal="left" vertical="center"/>
      <protection/>
    </xf>
    <xf numFmtId="0" fontId="5" fillId="36" borderId="15" xfId="0" applyFont="1" applyFill="1" applyBorder="1" applyAlignment="1" applyProtection="1">
      <alignment vertical="center"/>
      <protection/>
    </xf>
    <xf numFmtId="0" fontId="5" fillId="33" borderId="16" xfId="0" applyFont="1" applyFill="1" applyBorder="1" applyAlignment="1" applyProtection="1">
      <alignment vertical="center"/>
      <protection/>
    </xf>
    <xf numFmtId="37" fontId="14" fillId="37" borderId="0" xfId="0" applyNumberFormat="1" applyFont="1" applyFill="1" applyAlignment="1" applyProtection="1">
      <alignment horizontal="left" vertical="center"/>
      <protection/>
    </xf>
    <xf numFmtId="0" fontId="6" fillId="36" borderId="0" xfId="0" applyFont="1" applyFill="1" applyAlignment="1" applyProtection="1">
      <alignment vertical="center"/>
      <protection/>
    </xf>
    <xf numFmtId="0" fontId="6" fillId="33" borderId="0" xfId="0" applyFont="1" applyFill="1" applyAlignment="1" applyProtection="1">
      <alignment horizontal="center" vertical="center"/>
      <protection/>
    </xf>
    <xf numFmtId="3" fontId="5" fillId="33" borderId="0" xfId="0" applyNumberFormat="1" applyFont="1" applyFill="1" applyAlignment="1" applyProtection="1">
      <alignment vertical="center"/>
      <protection/>
    </xf>
    <xf numFmtId="0" fontId="5" fillId="33" borderId="0" xfId="0" applyFont="1" applyFill="1" applyAlignment="1" applyProtection="1">
      <alignment vertical="center"/>
      <protection locked="0"/>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5" fillId="37" borderId="10" xfId="0"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0" fontId="5" fillId="37" borderId="15" xfId="0" applyFont="1" applyFill="1" applyBorder="1" applyAlignment="1" applyProtection="1">
      <alignment vertical="center"/>
      <protection/>
    </xf>
    <xf numFmtId="0" fontId="5" fillId="33" borderId="16" xfId="0" applyFont="1" applyFill="1" applyBorder="1" applyAlignment="1" applyProtection="1">
      <alignment vertical="center"/>
      <protection locked="0"/>
    </xf>
    <xf numFmtId="0" fontId="0" fillId="0" borderId="0" xfId="0" applyAlignment="1">
      <alignment vertical="center"/>
    </xf>
    <xf numFmtId="37" fontId="5" fillId="33" borderId="15" xfId="0" applyNumberFormat="1" applyFont="1" applyFill="1" applyBorder="1" applyAlignment="1" applyProtection="1">
      <alignment horizontal="left" vertical="center"/>
      <protection/>
    </xf>
    <xf numFmtId="37" fontId="5" fillId="35" borderId="12" xfId="0" applyNumberFormat="1" applyFont="1" applyFill="1" applyBorder="1" applyAlignment="1" applyProtection="1">
      <alignment vertical="center"/>
      <protection locked="0"/>
    </xf>
    <xf numFmtId="37" fontId="4" fillId="33" borderId="15" xfId="0" applyNumberFormat="1"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178" fontId="5" fillId="35" borderId="10" xfId="0" applyNumberFormat="1" applyFont="1" applyFill="1" applyBorder="1" applyAlignment="1" applyProtection="1">
      <alignment vertical="center"/>
      <protection locked="0"/>
    </xf>
    <xf numFmtId="178" fontId="5" fillId="35" borderId="15" xfId="0" applyNumberFormat="1" applyFont="1" applyFill="1" applyBorder="1" applyAlignment="1" applyProtection="1">
      <alignment vertical="center"/>
      <protection locked="0"/>
    </xf>
    <xf numFmtId="0" fontId="5" fillId="33" borderId="17" xfId="0" applyFont="1" applyFill="1" applyBorder="1" applyAlignment="1" applyProtection="1">
      <alignment vertical="center"/>
      <protection/>
    </xf>
    <xf numFmtId="178" fontId="5" fillId="35" borderId="17" xfId="0" applyNumberFormat="1" applyFont="1" applyFill="1" applyBorder="1" applyAlignment="1" applyProtection="1">
      <alignment vertical="center"/>
      <protection locked="0"/>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178" fontId="5" fillId="33" borderId="12" xfId="0" applyNumberFormat="1" applyFont="1" applyFill="1" applyBorder="1" applyAlignment="1" applyProtection="1">
      <alignment vertical="center"/>
      <protection/>
    </xf>
    <xf numFmtId="0" fontId="0" fillId="33" borderId="10"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3" borderId="13" xfId="0" applyNumberFormat="1" applyFont="1" applyFill="1" applyBorder="1" applyAlignment="1" applyProtection="1">
      <alignment vertical="center"/>
      <protection/>
    </xf>
    <xf numFmtId="3" fontId="5" fillId="33" borderId="16" xfId="0" applyNumberFormat="1" applyFont="1" applyFill="1" applyBorder="1" applyAlignment="1" applyProtection="1">
      <alignment vertical="center"/>
      <protection/>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3" borderId="10" xfId="0" applyFont="1"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5" fillId="33" borderId="15" xfId="0" applyFont="1"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4" borderId="0" xfId="0" applyFill="1" applyAlignment="1">
      <alignment vertical="center"/>
    </xf>
    <xf numFmtId="0" fontId="5" fillId="36" borderId="11" xfId="0" applyFont="1" applyFill="1" applyBorder="1" applyAlignment="1">
      <alignment horizontal="center" vertical="center"/>
    </xf>
    <xf numFmtId="0" fontId="5" fillId="36" borderId="14" xfId="0" applyFont="1" applyFill="1" applyBorder="1" applyAlignment="1">
      <alignment horizontal="center" vertical="center"/>
    </xf>
    <xf numFmtId="0" fontId="17" fillId="33" borderId="0" xfId="0" applyFont="1" applyFill="1" applyAlignment="1">
      <alignment vertical="center"/>
    </xf>
    <xf numFmtId="0" fontId="20" fillId="33" borderId="0" xfId="0" applyFont="1" applyFill="1" applyAlignment="1">
      <alignment vertical="center"/>
    </xf>
    <xf numFmtId="37" fontId="5" fillId="33" borderId="12" xfId="0" applyNumberFormat="1" applyFont="1" applyFill="1" applyBorder="1" applyAlignment="1">
      <alignment vertical="center"/>
    </xf>
    <xf numFmtId="0" fontId="5" fillId="33" borderId="0" xfId="0" applyFont="1" applyFill="1" applyAlignment="1" applyProtection="1">
      <alignment horizontal="right" vertical="center"/>
      <protection/>
    </xf>
    <xf numFmtId="37" fontId="5" fillId="33" borderId="0" xfId="0" applyNumberFormat="1" applyFont="1" applyFill="1" applyAlignment="1" applyProtection="1">
      <alignment horizontal="center" vertical="center"/>
      <protection/>
    </xf>
    <xf numFmtId="37" fontId="5" fillId="33" borderId="0" xfId="0" applyNumberFormat="1" applyFont="1" applyFill="1" applyAlignment="1" applyProtection="1">
      <alignment horizontal="centerContinuous" vertical="center"/>
      <protection/>
    </xf>
    <xf numFmtId="37" fontId="5" fillId="33" borderId="18" xfId="0" applyNumberFormat="1"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37" fontId="5" fillId="33" borderId="10" xfId="0" applyNumberFormat="1" applyFont="1" applyFill="1" applyBorder="1" applyAlignment="1" applyProtection="1">
      <alignment horizontal="fill" vertical="center"/>
      <protection/>
    </xf>
    <xf numFmtId="37" fontId="5" fillId="33" borderId="11" xfId="0" applyNumberFormat="1" applyFont="1" applyFill="1" applyBorder="1" applyAlignment="1" applyProtection="1">
      <alignment horizontal="left" vertical="center"/>
      <protection/>
    </xf>
    <xf numFmtId="37" fontId="5" fillId="33" borderId="11"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center" vertical="center"/>
      <protection/>
    </xf>
    <xf numFmtId="0" fontId="5" fillId="33" borderId="19" xfId="0" applyFont="1" applyFill="1" applyBorder="1" applyAlignment="1">
      <alignment horizontal="center" vertical="center"/>
    </xf>
    <xf numFmtId="37" fontId="4" fillId="33" borderId="10" xfId="0" applyNumberFormat="1" applyFont="1" applyFill="1" applyBorder="1" applyAlignment="1" applyProtection="1">
      <alignment horizontal="left" vertical="center"/>
      <protection/>
    </xf>
    <xf numFmtId="37" fontId="5" fillId="33" borderId="14" xfId="0" applyNumberFormat="1" applyFont="1" applyFill="1" applyBorder="1" applyAlignment="1" applyProtection="1">
      <alignment horizontal="center" vertical="center"/>
      <protection/>
    </xf>
    <xf numFmtId="0" fontId="5" fillId="33" borderId="14" xfId="0" applyFont="1" applyFill="1" applyBorder="1" applyAlignment="1">
      <alignment horizontal="center" vertical="center"/>
    </xf>
    <xf numFmtId="37" fontId="5" fillId="33" borderId="18"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horizontal="center" vertical="center"/>
      <protection/>
    </xf>
    <xf numFmtId="0" fontId="5" fillId="33" borderId="11" xfId="0" applyFont="1" applyFill="1" applyBorder="1" applyAlignment="1" applyProtection="1">
      <alignment vertical="center"/>
      <protection/>
    </xf>
    <xf numFmtId="0" fontId="5" fillId="33" borderId="19" xfId="0" applyFont="1" applyFill="1" applyBorder="1" applyAlignment="1" applyProtection="1">
      <alignment vertical="center"/>
      <protection/>
    </xf>
    <xf numFmtId="37" fontId="14" fillId="33" borderId="18" xfId="0" applyNumberFormat="1" applyFont="1" applyFill="1" applyBorder="1" applyAlignment="1" applyProtection="1">
      <alignment horizontal="left" vertical="center"/>
      <protection/>
    </xf>
    <xf numFmtId="37" fontId="14" fillId="33" borderId="16"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vertical="center"/>
      <protection/>
    </xf>
    <xf numFmtId="37" fontId="5" fillId="39" borderId="12" xfId="0" applyNumberFormat="1" applyFont="1" applyFill="1" applyBorder="1" applyAlignment="1" applyProtection="1">
      <alignment horizontal="center" vertical="center"/>
      <protection/>
    </xf>
    <xf numFmtId="37" fontId="5" fillId="33" borderId="18" xfId="0" applyNumberFormat="1" applyFont="1" applyFill="1" applyBorder="1" applyAlignment="1" applyProtection="1">
      <alignment vertical="center"/>
      <protection/>
    </xf>
    <xf numFmtId="0" fontId="5" fillId="33" borderId="16" xfId="0" applyFont="1" applyFill="1" applyBorder="1" applyAlignment="1" applyProtection="1">
      <alignment horizontal="center" vertical="center"/>
      <protection/>
    </xf>
    <xf numFmtId="37" fontId="5" fillId="33" borderId="16"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0" fillId="40" borderId="12"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37" fontId="5" fillId="33" borderId="0" xfId="0" applyNumberFormat="1" applyFont="1" applyFill="1" applyAlignment="1" applyProtection="1">
      <alignment horizontal="right" vertical="center"/>
      <protection/>
    </xf>
    <xf numFmtId="0" fontId="5" fillId="33" borderId="0" xfId="0" applyFont="1" applyFill="1" applyBorder="1" applyAlignment="1" applyProtection="1">
      <alignment horizontal="righ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horizontal="center" vertical="center"/>
      <protection/>
    </xf>
    <xf numFmtId="0" fontId="5" fillId="33" borderId="0" xfId="0" applyFont="1" applyFill="1" applyAlignment="1">
      <alignment vertical="center"/>
    </xf>
    <xf numFmtId="37" fontId="5" fillId="33" borderId="0" xfId="0" applyNumberFormat="1" applyFont="1" applyFill="1" applyAlignment="1">
      <alignment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quotePrefix="1">
      <alignment horizontal="right" vertical="center"/>
    </xf>
    <xf numFmtId="3" fontId="5" fillId="33" borderId="0" xfId="0" applyNumberFormat="1" applyFont="1" applyFill="1" applyAlignment="1">
      <alignment vertical="center"/>
    </xf>
    <xf numFmtId="3" fontId="5" fillId="33" borderId="0" xfId="0" applyNumberFormat="1" applyFont="1" applyFill="1" applyAlignment="1" quotePrefix="1">
      <alignment vertical="center"/>
    </xf>
    <xf numFmtId="3" fontId="5" fillId="33" borderId="10" xfId="0" applyNumberFormat="1" applyFont="1" applyFill="1" applyBorder="1" applyAlignment="1">
      <alignment vertical="center"/>
    </xf>
    <xf numFmtId="3" fontId="5" fillId="33" borderId="15" xfId="0" applyNumberFormat="1" applyFont="1" applyFill="1" applyBorder="1" applyAlignment="1" applyProtection="1">
      <alignment horizontal="right" vertical="center"/>
      <protection/>
    </xf>
    <xf numFmtId="0" fontId="4" fillId="33" borderId="0" xfId="0" applyFont="1" applyFill="1" applyAlignment="1">
      <alignment vertical="center"/>
    </xf>
    <xf numFmtId="3" fontId="5" fillId="33" borderId="15" xfId="0" applyNumberFormat="1"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Alignment="1" quotePrefix="1">
      <alignment vertical="center"/>
    </xf>
    <xf numFmtId="0" fontId="5" fillId="33" borderId="0" xfId="0" applyFont="1" applyFill="1" applyAlignment="1">
      <alignment horizontal="right" vertical="center"/>
    </xf>
    <xf numFmtId="3" fontId="5" fillId="33" borderId="17" xfId="0" applyNumberFormat="1" applyFont="1" applyFill="1" applyBorder="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171" fontId="5" fillId="33" borderId="10" xfId="0" applyNumberFormat="1" applyFont="1" applyFill="1" applyBorder="1" applyAlignment="1">
      <alignment vertical="center"/>
    </xf>
    <xf numFmtId="0" fontId="5" fillId="33" borderId="0" xfId="0" applyFont="1" applyFill="1" applyBorder="1" applyAlignment="1" quotePrefix="1">
      <alignment vertical="center"/>
    </xf>
    <xf numFmtId="3" fontId="5" fillId="33" borderId="22" xfId="0" applyNumberFormat="1" applyFont="1" applyFill="1" applyBorder="1" applyAlignment="1">
      <alignment vertical="center"/>
    </xf>
    <xf numFmtId="3" fontId="5" fillId="33" borderId="10" xfId="42" applyNumberFormat="1" applyFont="1" applyFill="1" applyBorder="1" applyAlignment="1" applyProtection="1">
      <alignment vertical="center"/>
      <protection/>
    </xf>
    <xf numFmtId="37" fontId="5" fillId="33" borderId="0" xfId="0" applyNumberFormat="1" applyFont="1" applyFill="1" applyAlignment="1" applyProtection="1">
      <alignment vertical="center"/>
      <protection/>
    </xf>
    <xf numFmtId="0" fontId="5" fillId="33" borderId="10" xfId="0" applyFont="1" applyFill="1" applyBorder="1" applyAlignment="1" applyProtection="1">
      <alignment horizontal="centerContinuous" vertical="center"/>
      <protection/>
    </xf>
    <xf numFmtId="0" fontId="5" fillId="33" borderId="11" xfId="0" applyFont="1" applyFill="1" applyBorder="1" applyAlignment="1" applyProtection="1">
      <alignment horizontal="center" vertical="center"/>
      <protection/>
    </xf>
    <xf numFmtId="37" fontId="5" fillId="33" borderId="21"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37" fontId="5" fillId="39" borderId="23" xfId="0" applyNumberFormat="1" applyFont="1" applyFill="1" applyBorder="1" applyAlignment="1" applyProtection="1">
      <alignment horizontal="center" vertical="center"/>
      <protection/>
    </xf>
    <xf numFmtId="166" fontId="5" fillId="33" borderId="0" xfId="0" applyNumberFormat="1" applyFont="1" applyFill="1" applyAlignment="1" applyProtection="1">
      <alignment vertical="center"/>
      <protection/>
    </xf>
    <xf numFmtId="165" fontId="5" fillId="39"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1" fontId="5" fillId="33" borderId="14" xfId="0" applyNumberFormat="1" applyFont="1" applyFill="1" applyBorder="1" applyAlignment="1" applyProtection="1">
      <alignment horizontal="center" vertical="center"/>
      <protection/>
    </xf>
    <xf numFmtId="0" fontId="5" fillId="35" borderId="14" xfId="0" applyFont="1" applyFill="1" applyBorder="1" applyAlignment="1" applyProtection="1">
      <alignment vertical="center"/>
      <protection locked="0"/>
    </xf>
    <xf numFmtId="177" fontId="5" fillId="35" borderId="14" xfId="42" applyNumberFormat="1"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5" fillId="35" borderId="12" xfId="0" applyFont="1" applyFill="1" applyBorder="1" applyAlignment="1" applyProtection="1">
      <alignment vertical="center"/>
      <protection locked="0"/>
    </xf>
    <xf numFmtId="177" fontId="5" fillId="35" borderId="12" xfId="42"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xf>
    <xf numFmtId="3" fontId="5" fillId="39" borderId="12" xfId="0" applyNumberFormat="1" applyFont="1" applyFill="1" applyBorder="1" applyAlignment="1" applyProtection="1">
      <alignment horizontal="center" vertical="center"/>
      <protection/>
    </xf>
    <xf numFmtId="0" fontId="5" fillId="33"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locked="0"/>
    </xf>
    <xf numFmtId="1" fontId="5" fillId="33" borderId="0" xfId="0" applyNumberFormat="1" applyFont="1" applyFill="1" applyBorder="1" applyAlignment="1" applyProtection="1">
      <alignment horizontal="right" vertical="center"/>
      <protection/>
    </xf>
    <xf numFmtId="0" fontId="4" fillId="33" borderId="0" xfId="579" applyFont="1" applyFill="1" applyAlignment="1" applyProtection="1">
      <alignment horizontal="centerContinuous" vertical="center"/>
      <protection/>
    </xf>
    <xf numFmtId="0" fontId="5" fillId="33" borderId="10" xfId="0" applyFont="1" applyFill="1" applyBorder="1" applyAlignment="1" applyProtection="1">
      <alignment horizontal="fill" vertical="center"/>
      <protection/>
    </xf>
    <xf numFmtId="0" fontId="5" fillId="33" borderId="24" xfId="0" applyFont="1" applyFill="1" applyBorder="1" applyAlignment="1" applyProtection="1">
      <alignment horizontal="centerContinuous" vertical="center"/>
      <protection/>
    </xf>
    <xf numFmtId="0" fontId="5" fillId="33" borderId="21" xfId="0" applyFont="1" applyFill="1" applyBorder="1" applyAlignment="1" applyProtection="1">
      <alignment horizontal="centerContinuous" vertical="center"/>
      <protection/>
    </xf>
    <xf numFmtId="0" fontId="5" fillId="33" borderId="19" xfId="0" applyFont="1" applyFill="1" applyBorder="1" applyAlignment="1" applyProtection="1">
      <alignment horizontal="center" vertical="center"/>
      <protection/>
    </xf>
    <xf numFmtId="1" fontId="5" fillId="33" borderId="25"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xf>
    <xf numFmtId="2" fontId="5" fillId="33" borderId="12" xfId="0" applyNumberFormat="1" applyFont="1" applyFill="1" applyBorder="1" applyAlignment="1" applyProtection="1">
      <alignment vertical="center"/>
      <protection/>
    </xf>
    <xf numFmtId="3" fontId="5" fillId="33" borderId="12" xfId="0" applyNumberFormat="1" applyFont="1" applyFill="1" applyBorder="1" applyAlignment="1" applyProtection="1">
      <alignment vertical="center"/>
      <protection/>
    </xf>
    <xf numFmtId="2" fontId="5" fillId="35" borderId="12" xfId="0" applyNumberFormat="1" applyFont="1" applyFill="1" applyBorder="1" applyAlignment="1" applyProtection="1">
      <alignment horizontal="center" vertical="center"/>
      <protection locked="0"/>
    </xf>
    <xf numFmtId="3" fontId="5" fillId="35" borderId="12" xfId="0" applyNumberFormat="1"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protection locked="0"/>
    </xf>
    <xf numFmtId="175" fontId="5" fillId="35" borderId="12" xfId="0"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left" vertical="center"/>
      <protection/>
    </xf>
    <xf numFmtId="174" fontId="4" fillId="33" borderId="12" xfId="0" applyNumberFormat="1" applyFont="1" applyFill="1" applyBorder="1" applyAlignment="1" applyProtection="1">
      <alignment horizontal="center" vertical="center"/>
      <protection/>
    </xf>
    <xf numFmtId="2" fontId="4" fillId="33" borderId="1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3" borderId="12" xfId="0" applyNumberFormat="1" applyFont="1" applyFill="1" applyBorder="1" applyAlignment="1" applyProtection="1">
      <alignment horizontal="center" vertical="center"/>
      <protection/>
    </xf>
    <xf numFmtId="174" fontId="5" fillId="33" borderId="12" xfId="0" applyNumberFormat="1" applyFont="1" applyFill="1" applyBorder="1" applyAlignment="1" applyProtection="1">
      <alignment horizontal="center" vertical="center"/>
      <protection/>
    </xf>
    <xf numFmtId="2" fontId="5" fillId="33" borderId="12"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xf>
    <xf numFmtId="175" fontId="5" fillId="33" borderId="12" xfId="0" applyNumberFormat="1" applyFont="1" applyFill="1" applyBorder="1" applyAlignment="1" applyProtection="1">
      <alignment horizontal="center" vertical="center"/>
      <protection/>
    </xf>
    <xf numFmtId="1" fontId="4" fillId="33"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3"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3" borderId="0" xfId="0" applyNumberFormat="1" applyFont="1" applyFill="1" applyAlignment="1" applyProtection="1">
      <alignment horizontal="right" vertical="center"/>
      <protection/>
    </xf>
    <xf numFmtId="0" fontId="4" fillId="33" borderId="0" xfId="0" applyFont="1" applyFill="1" applyAlignment="1" applyProtection="1">
      <alignment vertical="center"/>
      <protection/>
    </xf>
    <xf numFmtId="0" fontId="5" fillId="33" borderId="0" xfId="0" applyFont="1" applyFill="1" applyBorder="1" applyAlignment="1" applyProtection="1">
      <alignment horizontal="fill" vertical="center"/>
      <protection/>
    </xf>
    <xf numFmtId="1" fontId="5" fillId="33" borderId="24"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18" xfId="0" applyFont="1" applyFill="1" applyBorder="1" applyAlignment="1" applyProtection="1">
      <alignment horizontal="left" vertical="center"/>
      <protection/>
    </xf>
    <xf numFmtId="37" fontId="5" fillId="35" borderId="18" xfId="0" applyNumberFormat="1" applyFont="1" applyFill="1" applyBorder="1" applyAlignment="1" applyProtection="1">
      <alignment vertical="center"/>
      <protection locked="0"/>
    </xf>
    <xf numFmtId="37" fontId="5" fillId="35" borderId="16"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xf>
    <xf numFmtId="0" fontId="5" fillId="33" borderId="25" xfId="0" applyFont="1" applyFill="1" applyBorder="1" applyAlignment="1" applyProtection="1">
      <alignment horizontal="left" vertical="center"/>
      <protection/>
    </xf>
    <xf numFmtId="3" fontId="5" fillId="35" borderId="18" xfId="0" applyNumberFormat="1" applyFont="1" applyFill="1" applyBorder="1" applyAlignment="1" applyProtection="1">
      <alignment vertical="center"/>
      <protection locked="0"/>
    </xf>
    <xf numFmtId="3" fontId="5" fillId="35" borderId="16" xfId="0" applyNumberFormat="1" applyFont="1" applyFill="1" applyBorder="1" applyAlignment="1" applyProtection="1">
      <alignment vertical="center"/>
      <protection locked="0"/>
    </xf>
    <xf numFmtId="37" fontId="5" fillId="33" borderId="12" xfId="0" applyNumberFormat="1" applyFont="1" applyFill="1" applyBorder="1" applyAlignment="1" applyProtection="1">
      <alignment horizontal="fill" vertical="center"/>
      <protection/>
    </xf>
    <xf numFmtId="37" fontId="5" fillId="35" borderId="12" xfId="0" applyNumberFormat="1" applyFont="1" applyFill="1" applyBorder="1" applyAlignment="1" applyProtection="1">
      <alignment vertical="center"/>
      <protection locked="0"/>
    </xf>
    <xf numFmtId="0" fontId="5" fillId="35" borderId="18" xfId="0" applyFont="1" applyFill="1" applyBorder="1" applyAlignment="1" applyProtection="1">
      <alignment horizontal="left" vertical="center"/>
      <protection locked="0"/>
    </xf>
    <xf numFmtId="37" fontId="17" fillId="40" borderId="18" xfId="0" applyNumberFormat="1" applyFont="1" applyFill="1" applyBorder="1" applyAlignment="1" applyProtection="1">
      <alignment horizontal="center" vertical="center"/>
      <protection/>
    </xf>
    <xf numFmtId="37" fontId="17" fillId="40" borderId="16" xfId="0" applyNumberFormat="1" applyFont="1" applyFill="1" applyBorder="1" applyAlignment="1" applyProtection="1">
      <alignment horizontal="center" vertical="center"/>
      <protection/>
    </xf>
    <xf numFmtId="37" fontId="4" fillId="33" borderId="18" xfId="0" applyNumberFormat="1" applyFont="1" applyFill="1" applyBorder="1" applyAlignment="1" applyProtection="1">
      <alignment horizontal="left" vertical="center"/>
      <protection/>
    </xf>
    <xf numFmtId="37" fontId="4" fillId="39" borderId="12" xfId="0" applyNumberFormat="1" applyFont="1" applyFill="1" applyBorder="1" applyAlignment="1" applyProtection="1">
      <alignment vertical="center"/>
      <protection/>
    </xf>
    <xf numFmtId="3" fontId="4" fillId="39" borderId="18"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xf>
    <xf numFmtId="0" fontId="4" fillId="33" borderId="18" xfId="0" applyFont="1" applyFill="1" applyBorder="1" applyAlignment="1" applyProtection="1">
      <alignment horizontal="left" vertical="center"/>
      <protection/>
    </xf>
    <xf numFmtId="3" fontId="5" fillId="39" borderId="18"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9" borderId="18" xfId="0" applyFont="1" applyFill="1" applyBorder="1" applyAlignment="1" applyProtection="1">
      <alignment vertical="center"/>
      <protection/>
    </xf>
    <xf numFmtId="0" fontId="5" fillId="35" borderId="18" xfId="0" applyFont="1" applyFill="1" applyBorder="1" applyAlignment="1" applyProtection="1">
      <alignment vertical="center"/>
      <protection locked="0"/>
    </xf>
    <xf numFmtId="0" fontId="5" fillId="33" borderId="18" xfId="0" applyFont="1" applyFill="1" applyBorder="1" applyAlignment="1" applyProtection="1">
      <alignment vertical="center"/>
      <protection/>
    </xf>
    <xf numFmtId="37" fontId="5" fillId="39" borderId="12"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3" borderId="0" xfId="0" applyFont="1" applyFill="1" applyAlignment="1" applyProtection="1">
      <alignment horizontal="center" vertical="center"/>
      <protection/>
    </xf>
    <xf numFmtId="0" fontId="5" fillId="33" borderId="0" xfId="0" applyFont="1" applyFill="1" applyAlignment="1" applyProtection="1">
      <alignment horizontal="fill" vertical="center"/>
      <protection/>
    </xf>
    <xf numFmtId="1" fontId="5" fillId="33" borderId="11"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left" vertical="center"/>
      <protection locked="0"/>
    </xf>
    <xf numFmtId="0" fontId="5" fillId="35" borderId="12" xfId="0" applyFont="1" applyFill="1" applyBorder="1" applyAlignment="1" applyProtection="1">
      <alignment horizontal="left" vertical="center"/>
      <protection locked="0"/>
    </xf>
    <xf numFmtId="0" fontId="5" fillId="35" borderId="0" xfId="0" applyFont="1" applyFill="1" applyAlignment="1" applyProtection="1">
      <alignment horizontal="left" vertical="center"/>
      <protection locked="0"/>
    </xf>
    <xf numFmtId="37" fontId="4" fillId="39" borderId="23" xfId="0" applyNumberFormat="1" applyFont="1" applyFill="1" applyBorder="1" applyAlignment="1" applyProtection="1">
      <alignment vertical="center"/>
      <protection/>
    </xf>
    <xf numFmtId="0" fontId="17" fillId="33" borderId="0" xfId="0" applyFont="1" applyFill="1" applyAlignment="1" applyProtection="1">
      <alignment vertical="center"/>
      <protection/>
    </xf>
    <xf numFmtId="37" fontId="5" fillId="33" borderId="25" xfId="0" applyNumberFormat="1" applyFont="1" applyFill="1" applyBorder="1" applyAlignment="1" applyProtection="1">
      <alignment horizontal="left" vertical="center"/>
      <protection/>
    </xf>
    <xf numFmtId="3" fontId="5" fillId="33" borderId="12" xfId="0" applyNumberFormat="1" applyFont="1" applyFill="1" applyBorder="1" applyAlignment="1" applyProtection="1">
      <alignment horizontal="fill" vertical="center"/>
      <protection/>
    </xf>
    <xf numFmtId="3" fontId="5" fillId="41" borderId="12" xfId="0" applyNumberFormat="1" applyFont="1" applyFill="1" applyBorder="1" applyAlignment="1" applyProtection="1">
      <alignment vertical="center"/>
      <protection/>
    </xf>
    <xf numFmtId="1" fontId="5"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fill" vertical="center"/>
      <protection/>
    </xf>
    <xf numFmtId="3" fontId="5" fillId="40" borderId="12"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5" borderId="18" xfId="0"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3" fontId="5" fillId="33" borderId="10" xfId="0" applyNumberFormat="1" applyFont="1" applyFill="1" applyBorder="1" applyAlignment="1" applyProtection="1">
      <alignment horizontal="fill" vertical="center"/>
      <protection/>
    </xf>
    <xf numFmtId="0" fontId="5" fillId="33" borderId="24"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xf>
    <xf numFmtId="37" fontId="5" fillId="33" borderId="10" xfId="0" applyNumberFormat="1" applyFont="1" applyFill="1" applyBorder="1" applyAlignment="1" applyProtection="1" quotePrefix="1">
      <alignment horizontal="right" vertical="center"/>
      <protection/>
    </xf>
    <xf numFmtId="37" fontId="5" fillId="35" borderId="18" xfId="0" applyNumberFormat="1" applyFont="1" applyFill="1" applyBorder="1" applyAlignment="1" applyProtection="1">
      <alignment horizontal="left" vertical="center"/>
      <protection locked="0"/>
    </xf>
    <xf numFmtId="37" fontId="17" fillId="40" borderId="12" xfId="0" applyNumberFormat="1" applyFont="1" applyFill="1" applyBorder="1" applyAlignment="1" applyProtection="1">
      <alignment horizontal="center" vertical="center"/>
      <protection/>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14" fillId="33" borderId="0" xfId="0" applyFont="1" applyFill="1" applyAlignment="1">
      <alignment horizontal="center" vertical="center"/>
    </xf>
    <xf numFmtId="0" fontId="5" fillId="33" borderId="16" xfId="0" applyFont="1" applyFill="1" applyBorder="1" applyAlignment="1">
      <alignment horizontal="center" vertical="center"/>
    </xf>
    <xf numFmtId="0" fontId="13" fillId="33" borderId="11" xfId="0" applyFont="1" applyFill="1" applyBorder="1" applyAlignment="1">
      <alignment vertical="center"/>
    </xf>
    <xf numFmtId="0" fontId="13" fillId="33" borderId="16" xfId="0" applyFont="1" applyFill="1" applyBorder="1" applyAlignment="1">
      <alignment horizontal="center" vertical="center"/>
    </xf>
    <xf numFmtId="0" fontId="13" fillId="33" borderId="21" xfId="0" applyFont="1" applyFill="1" applyBorder="1" applyAlignment="1">
      <alignment vertical="center"/>
    </xf>
    <xf numFmtId="0" fontId="13" fillId="33" borderId="12" xfId="0" applyFont="1" applyFill="1" applyBorder="1" applyAlignment="1">
      <alignment horizontal="center" vertical="center"/>
    </xf>
    <xf numFmtId="0" fontId="5" fillId="33" borderId="16" xfId="0" applyFont="1" applyFill="1" applyBorder="1" applyAlignment="1">
      <alignment vertical="center"/>
    </xf>
    <xf numFmtId="0" fontId="5" fillId="33" borderId="12" xfId="0" applyFont="1" applyFill="1" applyBorder="1" applyAlignment="1">
      <alignment horizontal="center" vertical="center"/>
    </xf>
    <xf numFmtId="0" fontId="13" fillId="33" borderId="25" xfId="0" applyFont="1" applyFill="1" applyBorder="1" applyAlignment="1">
      <alignment vertical="center"/>
    </xf>
    <xf numFmtId="3" fontId="13" fillId="35" borderId="12" xfId="0" applyNumberFormat="1" applyFont="1" applyFill="1" applyBorder="1" applyAlignment="1" applyProtection="1">
      <alignment horizontal="center" vertical="center"/>
      <protection locked="0"/>
    </xf>
    <xf numFmtId="0" fontId="13" fillId="33" borderId="10" xfId="0" applyFont="1" applyFill="1" applyBorder="1" applyAlignment="1">
      <alignment vertical="center"/>
    </xf>
    <xf numFmtId="3" fontId="13" fillId="39" borderId="12" xfId="0" applyNumberFormat="1" applyFont="1" applyFill="1" applyBorder="1" applyAlignment="1">
      <alignment horizontal="center" vertical="center"/>
    </xf>
    <xf numFmtId="0" fontId="13" fillId="33" borderId="0" xfId="0" applyFont="1" applyFill="1" applyAlignment="1">
      <alignment vertical="center"/>
    </xf>
    <xf numFmtId="3" fontId="13" fillId="33" borderId="0" xfId="0" applyNumberFormat="1" applyFont="1" applyFill="1" applyAlignment="1">
      <alignment horizontal="center" vertical="center"/>
    </xf>
    <xf numFmtId="0" fontId="13" fillId="33" borderId="0" xfId="0" applyFont="1" applyFill="1" applyAlignment="1">
      <alignment horizontal="center" vertical="center"/>
    </xf>
    <xf numFmtId="0" fontId="13" fillId="35" borderId="12" xfId="0" applyFont="1" applyFill="1" applyBorder="1" applyAlignment="1" applyProtection="1">
      <alignment vertical="center"/>
      <protection locked="0"/>
    </xf>
    <xf numFmtId="0" fontId="13" fillId="35" borderId="21" xfId="0" applyFont="1" applyFill="1" applyBorder="1" applyAlignment="1" applyProtection="1">
      <alignment vertical="center"/>
      <protection locked="0"/>
    </xf>
    <xf numFmtId="0" fontId="13" fillId="35" borderId="0" xfId="0" applyFont="1" applyFill="1" applyAlignment="1" applyProtection="1">
      <alignment vertical="center"/>
      <protection locked="0"/>
    </xf>
    <xf numFmtId="0" fontId="13" fillId="35" borderId="16" xfId="0" applyFont="1" applyFill="1" applyBorder="1" applyAlignment="1" applyProtection="1">
      <alignment vertical="center"/>
      <protection locked="0"/>
    </xf>
    <xf numFmtId="0" fontId="13" fillId="35" borderId="14" xfId="0" applyFont="1" applyFill="1" applyBorder="1" applyAlignment="1" applyProtection="1">
      <alignment vertical="center"/>
      <protection locked="0"/>
    </xf>
    <xf numFmtId="0" fontId="13" fillId="35" borderId="20" xfId="0" applyFont="1" applyFill="1" applyBorder="1" applyAlignment="1" applyProtection="1">
      <alignment vertical="center"/>
      <protection locked="0"/>
    </xf>
    <xf numFmtId="3" fontId="19" fillId="40" borderId="12" xfId="0" applyNumberFormat="1" applyFont="1" applyFill="1" applyBorder="1" applyAlignment="1">
      <alignment horizontal="center" vertical="center"/>
    </xf>
    <xf numFmtId="3" fontId="5" fillId="0" borderId="0" xfId="0" applyNumberFormat="1" applyFont="1" applyAlignment="1">
      <alignment vertical="center"/>
    </xf>
    <xf numFmtId="0" fontId="5" fillId="39" borderId="0" xfId="0" applyFont="1" applyFill="1" applyAlignment="1">
      <alignment vertical="center"/>
    </xf>
    <xf numFmtId="0" fontId="5" fillId="0" borderId="0" xfId="0" applyFont="1" applyAlignment="1">
      <alignment horizontal="centerContinuous" vertical="center"/>
    </xf>
    <xf numFmtId="1" fontId="5" fillId="33" borderId="18" xfId="0" applyNumberFormat="1" applyFont="1" applyFill="1" applyBorder="1" applyAlignment="1" applyProtection="1">
      <alignment horizontal="centerContinuous" vertical="center"/>
      <protection/>
    </xf>
    <xf numFmtId="164" fontId="5" fillId="33" borderId="12" xfId="0" applyNumberFormat="1" applyFont="1" applyFill="1" applyBorder="1" applyAlignment="1" applyProtection="1">
      <alignment vertical="center"/>
      <protection/>
    </xf>
    <xf numFmtId="37" fontId="5" fillId="33" borderId="14" xfId="0" applyNumberFormat="1" applyFont="1" applyFill="1" applyBorder="1" applyAlignment="1" applyProtection="1">
      <alignment horizontal="fill" vertical="center"/>
      <protection/>
    </xf>
    <xf numFmtId="1" fontId="6" fillId="33" borderId="0" xfId="0" applyNumberFormat="1" applyFont="1" applyFill="1" applyAlignment="1" applyProtection="1">
      <alignment horizontal="center" vertical="center"/>
      <protection/>
    </xf>
    <xf numFmtId="3" fontId="5" fillId="33" borderId="10"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3" fontId="5" fillId="35" borderId="12" xfId="0" applyNumberFormat="1" applyFont="1" applyFill="1" applyBorder="1" applyAlignment="1" applyProtection="1">
      <alignment horizontal="center" vertical="center"/>
      <protection locked="0"/>
    </xf>
    <xf numFmtId="188" fontId="5" fillId="33" borderId="12"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locked="0"/>
    </xf>
    <xf numFmtId="3" fontId="5" fillId="33" borderId="23" xfId="0" applyNumberFormat="1" applyFont="1" applyFill="1" applyBorder="1" applyAlignment="1" applyProtection="1">
      <alignment horizontal="center" vertical="center"/>
      <protection/>
    </xf>
    <xf numFmtId="188" fontId="5" fillId="33" borderId="23" xfId="0" applyNumberFormat="1" applyFont="1" applyFill="1" applyBorder="1" applyAlignment="1" applyProtection="1">
      <alignment horizontal="center" vertical="center"/>
      <protection/>
    </xf>
    <xf numFmtId="188" fontId="5" fillId="33" borderId="10" xfId="0" applyNumberFormat="1" applyFont="1" applyFill="1" applyBorder="1" applyAlignment="1" applyProtection="1">
      <alignment horizontal="center" vertical="center"/>
      <protection/>
    </xf>
    <xf numFmtId="188" fontId="5" fillId="33" borderId="0" xfId="0" applyNumberFormat="1" applyFont="1" applyFill="1" applyBorder="1" applyAlignment="1" applyProtection="1">
      <alignment horizontal="center" vertical="center"/>
      <protection/>
    </xf>
    <xf numFmtId="3" fontId="5" fillId="33" borderId="10" xfId="0" applyNumberFormat="1" applyFont="1" applyFill="1" applyBorder="1" applyAlignment="1">
      <alignment horizontal="center" vertical="center"/>
    </xf>
    <xf numFmtId="0" fontId="0" fillId="33" borderId="0" xfId="0" applyFill="1" applyAlignment="1">
      <alignment horizontal="center" vertical="center"/>
    </xf>
    <xf numFmtId="188" fontId="5" fillId="33" borderId="10" xfId="0" applyNumberFormat="1" applyFont="1" applyFill="1" applyBorder="1" applyAlignment="1">
      <alignment horizontal="center" vertical="center"/>
    </xf>
    <xf numFmtId="178" fontId="5" fillId="33"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2" xfId="0" applyNumberFormat="1" applyFont="1" applyFill="1" applyBorder="1" applyAlignment="1" applyProtection="1">
      <alignment vertical="center"/>
      <protection/>
    </xf>
    <xf numFmtId="37" fontId="5" fillId="42" borderId="12" xfId="0" applyNumberFormat="1" applyFont="1" applyFill="1" applyBorder="1" applyAlignment="1" applyProtection="1">
      <alignment vertical="center"/>
      <protection/>
    </xf>
    <xf numFmtId="0" fontId="5" fillId="0" borderId="0" xfId="537" applyFont="1" applyAlignment="1">
      <alignment vertical="center"/>
      <protection/>
    </xf>
    <xf numFmtId="0" fontId="5" fillId="0" borderId="0" xfId="191" applyFont="1" applyAlignment="1">
      <alignment vertical="center" wrapText="1"/>
      <protection/>
    </xf>
    <xf numFmtId="0" fontId="5" fillId="35" borderId="10" xfId="0" applyFont="1" applyFill="1" applyBorder="1" applyAlignment="1" applyProtection="1">
      <alignment vertical="center"/>
      <protection locked="0"/>
    </xf>
    <xf numFmtId="0" fontId="5" fillId="35" borderId="15" xfId="0" applyFont="1" applyFill="1" applyBorder="1" applyAlignment="1" applyProtection="1">
      <alignment vertical="center"/>
      <protection locked="0"/>
    </xf>
    <xf numFmtId="0" fontId="29" fillId="0" borderId="0" xfId="543">
      <alignment/>
      <protection/>
    </xf>
    <xf numFmtId="0" fontId="5" fillId="0" borderId="0" xfId="543" applyFont="1" applyAlignment="1">
      <alignment horizontal="left" vertical="center"/>
      <protection/>
    </xf>
    <xf numFmtId="189" fontId="13" fillId="0" borderId="0" xfId="543" applyNumberFormat="1" applyFont="1" applyAlignment="1">
      <alignment horizontal="left" vertical="center"/>
      <protection/>
    </xf>
    <xf numFmtId="49" fontId="5" fillId="0" borderId="0" xfId="543" applyNumberFormat="1" applyFont="1" applyAlignment="1">
      <alignment horizontal="left" vertical="center"/>
      <protection/>
    </xf>
    <xf numFmtId="0" fontId="13" fillId="0" borderId="0" xfId="543" applyFont="1" applyAlignment="1">
      <alignment horizontal="left" vertical="center"/>
      <protection/>
    </xf>
    <xf numFmtId="190" fontId="13" fillId="0" borderId="0" xfId="543" applyNumberFormat="1" applyFont="1" applyAlignment="1">
      <alignment horizontal="left" vertical="center"/>
      <protection/>
    </xf>
    <xf numFmtId="0" fontId="0" fillId="0" borderId="0" xfId="243" applyFont="1" applyFill="1">
      <alignment/>
      <protection/>
    </xf>
    <xf numFmtId="0" fontId="0" fillId="0" borderId="0" xfId="243"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55" applyFont="1" applyAlignment="1">
      <alignment vertical="center"/>
      <protection/>
    </xf>
    <xf numFmtId="0" fontId="6" fillId="0" borderId="0" xfId="160" applyFont="1" applyAlignment="1">
      <alignment vertical="center"/>
      <protection/>
    </xf>
    <xf numFmtId="0" fontId="5" fillId="0" borderId="0" xfId="359" applyFont="1" applyAlignment="1">
      <alignment vertical="center" wrapText="1"/>
      <protection/>
    </xf>
    <xf numFmtId="0" fontId="5" fillId="0" borderId="0" xfId="181" applyFont="1" applyAlignment="1">
      <alignment vertical="center" wrapText="1"/>
      <protection/>
    </xf>
    <xf numFmtId="0" fontId="5" fillId="33" borderId="0" xfId="0" applyFont="1" applyFill="1" applyAlignment="1">
      <alignment/>
    </xf>
    <xf numFmtId="0" fontId="87" fillId="33" borderId="0" xfId="0" applyFont="1" applyFill="1" applyAlignment="1" applyProtection="1">
      <alignment horizontal="right" vertical="center"/>
      <protection locked="0"/>
    </xf>
    <xf numFmtId="0" fontId="8" fillId="33" borderId="0" xfId="0" applyFont="1" applyFill="1" applyAlignment="1" applyProtection="1">
      <alignment horizontal="left" vertical="center"/>
      <protection locked="0"/>
    </xf>
    <xf numFmtId="14" fontId="5" fillId="35" borderId="12" xfId="0" applyNumberFormat="1" applyFont="1" applyFill="1" applyBorder="1" applyAlignment="1" applyProtection="1">
      <alignment horizontal="center" vertical="center"/>
      <protection locked="0"/>
    </xf>
    <xf numFmtId="3" fontId="13" fillId="39" borderId="14" xfId="0" applyNumberFormat="1" applyFont="1" applyFill="1" applyBorder="1" applyAlignment="1">
      <alignment horizontal="center" vertical="center"/>
    </xf>
    <xf numFmtId="0" fontId="5" fillId="33" borderId="25" xfId="0" applyNumberFormat="1" applyFont="1" applyFill="1" applyBorder="1" applyAlignment="1" applyProtection="1">
      <alignment horizontal="center" vertical="center"/>
      <protection/>
    </xf>
    <xf numFmtId="3" fontId="5" fillId="41" borderId="18" xfId="0" applyNumberFormat="1" applyFont="1" applyFill="1" applyBorder="1" applyAlignment="1" applyProtection="1">
      <alignment vertical="center"/>
      <protection/>
    </xf>
    <xf numFmtId="0" fontId="15" fillId="33" borderId="0" xfId="0"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3" fontId="5" fillId="33" borderId="0" xfId="0" applyNumberFormat="1" applyFont="1" applyFill="1" applyBorder="1" applyAlignment="1" applyProtection="1">
      <alignment horizontal="fill" vertical="center"/>
      <protection/>
    </xf>
    <xf numFmtId="49" fontId="5" fillId="42" borderId="12" xfId="125" applyNumberFormat="1" applyFont="1" applyFill="1" applyBorder="1" applyAlignment="1" applyProtection="1">
      <alignment horizontal="center" vertical="center"/>
      <protection/>
    </xf>
    <xf numFmtId="37" fontId="17" fillId="35" borderId="12" xfId="0" applyNumberFormat="1" applyFont="1" applyFill="1" applyBorder="1" applyAlignment="1" applyProtection="1">
      <alignment horizontal="center" vertical="center"/>
      <protection/>
    </xf>
    <xf numFmtId="49" fontId="5" fillId="35" borderId="12" xfId="0" applyNumberFormat="1" applyFont="1" applyFill="1" applyBorder="1" applyAlignment="1" applyProtection="1">
      <alignment horizontal="center" vertical="center"/>
      <protection locked="0"/>
    </xf>
    <xf numFmtId="0" fontId="5" fillId="33" borderId="0" xfId="125" applyFont="1" applyFill="1" applyAlignment="1" applyProtection="1">
      <alignment horizontal="right" vertical="center"/>
      <protection/>
    </xf>
    <xf numFmtId="188" fontId="5" fillId="33" borderId="0" xfId="563" applyNumberFormat="1" applyFont="1" applyFill="1" applyAlignment="1" applyProtection="1">
      <alignment horizontal="center" vertical="center"/>
      <protection/>
    </xf>
    <xf numFmtId="0" fontId="0" fillId="0" borderId="0" xfId="120">
      <alignment/>
      <protection/>
    </xf>
    <xf numFmtId="0" fontId="5" fillId="33" borderId="0" xfId="120" applyFont="1" applyFill="1" applyAlignment="1" applyProtection="1">
      <alignment vertical="center"/>
      <protection/>
    </xf>
    <xf numFmtId="0" fontId="5" fillId="0" borderId="0" xfId="120" applyFont="1" applyAlignment="1" applyProtection="1">
      <alignment vertical="center"/>
      <protection locked="0"/>
    </xf>
    <xf numFmtId="37" fontId="5" fillId="33" borderId="0" xfId="120" applyNumberFormat="1" applyFont="1" applyFill="1" applyAlignment="1" applyProtection="1">
      <alignment horizontal="left" vertical="center"/>
      <protection/>
    </xf>
    <xf numFmtId="0" fontId="4" fillId="33" borderId="0" xfId="120" applyFont="1" applyFill="1" applyAlignment="1" applyProtection="1">
      <alignment vertical="center"/>
      <protection/>
    </xf>
    <xf numFmtId="3" fontId="5" fillId="35" borderId="12" xfId="120" applyNumberFormat="1" applyFont="1" applyFill="1" applyBorder="1" applyAlignment="1" applyProtection="1">
      <alignment vertical="center"/>
      <protection locked="0"/>
    </xf>
    <xf numFmtId="3" fontId="5" fillId="39" borderId="12" xfId="120" applyNumberFormat="1" applyFont="1" applyFill="1" applyBorder="1" applyAlignment="1" applyProtection="1">
      <alignment vertical="center"/>
      <protection/>
    </xf>
    <xf numFmtId="0" fontId="5" fillId="33" borderId="0" xfId="120" applyFont="1" applyFill="1" applyAlignment="1" applyProtection="1">
      <alignment vertical="center"/>
      <protection locked="0"/>
    </xf>
    <xf numFmtId="0" fontId="0" fillId="0" borderId="0" xfId="120" applyAlignment="1">
      <alignment vertical="center"/>
      <protection/>
    </xf>
    <xf numFmtId="1" fontId="5" fillId="33" borderId="0" xfId="120" applyNumberFormat="1" applyFont="1" applyFill="1" applyBorder="1" applyAlignment="1" applyProtection="1">
      <alignment horizontal="right" vertical="center"/>
      <protection/>
    </xf>
    <xf numFmtId="37" fontId="5" fillId="33" borderId="0" xfId="120" applyNumberFormat="1" applyFont="1" applyFill="1" applyAlignment="1" applyProtection="1" quotePrefix="1">
      <alignment horizontal="right" vertical="center"/>
      <protection/>
    </xf>
    <xf numFmtId="37" fontId="5" fillId="33" borderId="11" xfId="120" applyNumberFormat="1" applyFont="1" applyFill="1" applyBorder="1" applyAlignment="1" applyProtection="1">
      <alignment horizontal="center" vertical="center"/>
      <protection/>
    </xf>
    <xf numFmtId="37" fontId="5" fillId="33" borderId="18" xfId="120" applyNumberFormat="1" applyFont="1" applyFill="1" applyBorder="1" applyAlignment="1" applyProtection="1">
      <alignment horizontal="left" vertical="center"/>
      <protection/>
    </xf>
    <xf numFmtId="3" fontId="5" fillId="33" borderId="12" xfId="120" applyNumberFormat="1" applyFont="1" applyFill="1" applyBorder="1" applyAlignment="1" applyProtection="1">
      <alignment vertical="center"/>
      <protection/>
    </xf>
    <xf numFmtId="37" fontId="5" fillId="33" borderId="18" xfId="120" applyNumberFormat="1" applyFont="1" applyFill="1" applyBorder="1" applyAlignment="1" applyProtection="1">
      <alignment vertical="center"/>
      <protection/>
    </xf>
    <xf numFmtId="0" fontId="5" fillId="33" borderId="18" xfId="120" applyFont="1" applyFill="1" applyBorder="1" applyAlignment="1" applyProtection="1">
      <alignment vertical="center"/>
      <protection/>
    </xf>
    <xf numFmtId="37" fontId="5" fillId="33" borderId="0" xfId="120" applyNumberFormat="1" applyFont="1" applyFill="1" applyAlignment="1" applyProtection="1">
      <alignment vertical="center"/>
      <protection/>
    </xf>
    <xf numFmtId="0" fontId="5" fillId="33" borderId="0" xfId="120" applyFont="1" applyFill="1" applyAlignment="1" applyProtection="1">
      <alignment horizontal="right" vertical="center"/>
      <protection/>
    </xf>
    <xf numFmtId="37" fontId="5" fillId="33" borderId="0" xfId="120" applyNumberFormat="1" applyFont="1" applyFill="1" applyAlignment="1" applyProtection="1">
      <alignment horizontal="right" vertical="center"/>
      <protection/>
    </xf>
    <xf numFmtId="1" fontId="5" fillId="33" borderId="14" xfId="120" applyNumberFormat="1" applyFont="1" applyFill="1" applyBorder="1" applyAlignment="1" applyProtection="1">
      <alignment horizontal="center" vertical="center"/>
      <protection/>
    </xf>
    <xf numFmtId="37" fontId="5" fillId="33" borderId="0" xfId="120" applyNumberFormat="1" applyFont="1" applyFill="1" applyAlignment="1" applyProtection="1">
      <alignment horizontal="fill" vertical="center"/>
      <protection/>
    </xf>
    <xf numFmtId="37" fontId="5" fillId="33" borderId="25" xfId="120" applyNumberFormat="1" applyFont="1" applyFill="1" applyBorder="1" applyAlignment="1" applyProtection="1">
      <alignment horizontal="left" vertical="center"/>
      <protection/>
    </xf>
    <xf numFmtId="37" fontId="4" fillId="33" borderId="18" xfId="120" applyNumberFormat="1" applyFont="1" applyFill="1" applyBorder="1" applyAlignment="1" applyProtection="1">
      <alignment horizontal="left" vertical="center"/>
      <protection/>
    </xf>
    <xf numFmtId="0" fontId="17" fillId="0" borderId="0" xfId="120" applyFont="1" applyAlignment="1" applyProtection="1">
      <alignment vertical="center"/>
      <protection/>
    </xf>
    <xf numFmtId="0" fontId="15" fillId="33" borderId="0" xfId="120" applyFont="1" applyFill="1" applyAlignment="1" applyProtection="1">
      <alignment horizontal="center" vertical="center"/>
      <protection/>
    </xf>
    <xf numFmtId="37" fontId="5" fillId="35" borderId="18" xfId="120" applyNumberFormat="1" applyFont="1" applyFill="1" applyBorder="1" applyAlignment="1" applyProtection="1">
      <alignment horizontal="left" vertical="center"/>
      <protection locked="0"/>
    </xf>
    <xf numFmtId="3" fontId="4" fillId="39" borderId="12" xfId="120" applyNumberFormat="1" applyFont="1" applyFill="1" applyBorder="1" applyAlignment="1" applyProtection="1">
      <alignment vertical="center"/>
      <protection/>
    </xf>
    <xf numFmtId="0" fontId="5" fillId="33" borderId="18" xfId="120" applyFont="1" applyFill="1" applyBorder="1" applyAlignment="1" applyProtection="1">
      <alignment vertical="center"/>
      <protection locked="0"/>
    </xf>
    <xf numFmtId="3" fontId="5" fillId="33" borderId="12" xfId="120" applyNumberFormat="1" applyFont="1" applyFill="1" applyBorder="1" applyAlignment="1" applyProtection="1">
      <alignment horizontal="fill" vertical="center"/>
      <protection/>
    </xf>
    <xf numFmtId="37" fontId="5" fillId="35" borderId="0" xfId="120" applyNumberFormat="1" applyFont="1" applyFill="1" applyAlignment="1" applyProtection="1">
      <alignment horizontal="left" vertical="center"/>
      <protection locked="0"/>
    </xf>
    <xf numFmtId="0" fontId="5" fillId="35" borderId="18" xfId="120" applyFont="1" applyFill="1" applyBorder="1" applyAlignment="1" applyProtection="1">
      <alignment horizontal="left" vertical="center"/>
      <protection locked="0"/>
    </xf>
    <xf numFmtId="3" fontId="4" fillId="33" borderId="12" xfId="120" applyNumberFormat="1" applyFont="1" applyFill="1" applyBorder="1" applyAlignment="1" applyProtection="1">
      <alignment vertical="center"/>
      <protection/>
    </xf>
    <xf numFmtId="37" fontId="5" fillId="33" borderId="24" xfId="120" applyNumberFormat="1" applyFont="1" applyFill="1" applyBorder="1" applyAlignment="1" applyProtection="1">
      <alignment horizontal="center" vertical="center"/>
      <protection/>
    </xf>
    <xf numFmtId="1" fontId="5" fillId="33" borderId="24" xfId="120" applyNumberFormat="1" applyFont="1" applyFill="1" applyBorder="1" applyAlignment="1" applyProtection="1">
      <alignment horizontal="center" vertical="center"/>
      <protection/>
    </xf>
    <xf numFmtId="1" fontId="5" fillId="33" borderId="25" xfId="120" applyNumberFormat="1" applyFont="1" applyFill="1" applyBorder="1" applyAlignment="1" applyProtection="1">
      <alignment horizontal="center" vertical="center"/>
      <protection/>
    </xf>
    <xf numFmtId="37" fontId="5" fillId="35" borderId="18" xfId="120" applyNumberFormat="1" applyFont="1" applyFill="1" applyBorder="1" applyAlignment="1" applyProtection="1">
      <alignment horizontal="right" vertical="center"/>
      <protection locked="0"/>
    </xf>
    <xf numFmtId="3" fontId="4" fillId="39" borderId="18" xfId="120" applyNumberFormat="1" applyFont="1" applyFill="1" applyBorder="1" applyAlignment="1" applyProtection="1">
      <alignment vertical="center"/>
      <protection/>
    </xf>
    <xf numFmtId="3" fontId="5" fillId="33" borderId="18" xfId="120" applyNumberFormat="1" applyFont="1" applyFill="1" applyBorder="1" applyAlignment="1" applyProtection="1">
      <alignment vertical="center"/>
      <protection/>
    </xf>
    <xf numFmtId="37" fontId="5" fillId="35" borderId="18" xfId="120" applyNumberFormat="1" applyFont="1" applyFill="1" applyBorder="1" applyAlignment="1" applyProtection="1">
      <alignment vertical="center"/>
      <protection locked="0"/>
    </xf>
    <xf numFmtId="3" fontId="5" fillId="35" borderId="18" xfId="120" applyNumberFormat="1" applyFont="1" applyFill="1" applyBorder="1" applyAlignment="1" applyProtection="1">
      <alignment vertical="center"/>
      <protection locked="0"/>
    </xf>
    <xf numFmtId="3" fontId="4" fillId="33" borderId="18" xfId="120" applyNumberFormat="1" applyFont="1" applyFill="1" applyBorder="1" applyAlignment="1" applyProtection="1">
      <alignment vertical="center"/>
      <protection/>
    </xf>
    <xf numFmtId="3" fontId="5" fillId="39" borderId="18" xfId="120" applyNumberFormat="1" applyFont="1" applyFill="1" applyBorder="1" applyAlignment="1" applyProtection="1">
      <alignment vertical="center"/>
      <protection/>
    </xf>
    <xf numFmtId="37" fontId="4" fillId="33" borderId="10" xfId="120" applyNumberFormat="1" applyFont="1" applyFill="1" applyBorder="1" applyAlignment="1" applyProtection="1">
      <alignment vertical="center"/>
      <protection/>
    </xf>
    <xf numFmtId="37" fontId="4" fillId="33" borderId="0" xfId="120" applyNumberFormat="1" applyFont="1" applyFill="1" applyBorder="1" applyAlignment="1" applyProtection="1">
      <alignment vertical="center"/>
      <protection/>
    </xf>
    <xf numFmtId="37" fontId="5" fillId="33" borderId="0" xfId="125" applyNumberFormat="1" applyFont="1" applyFill="1" applyBorder="1" applyAlignment="1" applyProtection="1">
      <alignment horizontal="left" vertical="center"/>
      <protection/>
    </xf>
    <xf numFmtId="37" fontId="5" fillId="33" borderId="12" xfId="125" applyNumberFormat="1" applyFont="1" applyFill="1" applyBorder="1" applyAlignment="1" applyProtection="1">
      <alignment horizontal="left" vertical="center"/>
      <protection/>
    </xf>
    <xf numFmtId="3" fontId="5" fillId="35" borderId="12" xfId="125" applyNumberFormat="1" applyFont="1" applyFill="1" applyBorder="1" applyAlignment="1" applyProtection="1">
      <alignment vertical="center"/>
      <protection locked="0"/>
    </xf>
    <xf numFmtId="49" fontId="5" fillId="33" borderId="12" xfId="125" applyNumberFormat="1" applyFont="1" applyFill="1" applyBorder="1" applyAlignment="1" applyProtection="1">
      <alignment horizontal="center" vertical="center"/>
      <protection/>
    </xf>
    <xf numFmtId="0" fontId="9" fillId="36" borderId="12" xfId="0" applyFont="1" applyFill="1" applyBorder="1" applyAlignment="1" applyProtection="1">
      <alignment vertical="center" shrinkToFit="1"/>
      <protection/>
    </xf>
    <xf numFmtId="37" fontId="4" fillId="33" borderId="24" xfId="120" applyNumberFormat="1" applyFont="1" applyFill="1" applyBorder="1" applyAlignment="1" applyProtection="1">
      <alignment horizontal="left" vertical="center"/>
      <protection/>
    </xf>
    <xf numFmtId="49" fontId="5" fillId="33" borderId="0" xfId="125" applyNumberFormat="1" applyFont="1" applyFill="1" applyBorder="1" applyAlignment="1" applyProtection="1">
      <alignment horizontal="center" vertical="center"/>
      <protection/>
    </xf>
    <xf numFmtId="37" fontId="15" fillId="33" borderId="0" xfId="120" applyNumberFormat="1" applyFont="1" applyFill="1" applyAlignment="1" applyProtection="1">
      <alignment horizontal="center" vertical="center"/>
      <protection/>
    </xf>
    <xf numFmtId="37" fontId="5" fillId="33" borderId="12" xfId="120" applyNumberFormat="1" applyFont="1" applyFill="1" applyBorder="1" applyAlignment="1" applyProtection="1">
      <alignment horizontal="center" vertical="center"/>
      <protection/>
    </xf>
    <xf numFmtId="37" fontId="15" fillId="33" borderId="0" xfId="120" applyNumberFormat="1" applyFont="1" applyFill="1" applyAlignment="1" applyProtection="1">
      <alignment horizontal="right" vertical="center"/>
      <protection/>
    </xf>
    <xf numFmtId="37" fontId="14" fillId="33" borderId="0" xfId="120" applyNumberFormat="1" applyFont="1" applyFill="1" applyAlignment="1" applyProtection="1">
      <alignment horizontal="center" vertical="center"/>
      <protection/>
    </xf>
    <xf numFmtId="37" fontId="88" fillId="33" borderId="0" xfId="120" applyNumberFormat="1" applyFont="1" applyFill="1" applyAlignment="1" applyProtection="1">
      <alignment horizontal="center" vertical="center"/>
      <protection/>
    </xf>
    <xf numFmtId="37" fontId="5" fillId="33" borderId="19" xfId="120" applyNumberFormat="1" applyFont="1" applyFill="1" applyBorder="1" applyAlignment="1" applyProtection="1">
      <alignment horizontal="center" vertical="center"/>
      <protection/>
    </xf>
    <xf numFmtId="37" fontId="5" fillId="33" borderId="14" xfId="120"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3" borderId="0" xfId="0" applyFont="1" applyFill="1" applyAlignment="1">
      <alignment/>
    </xf>
    <xf numFmtId="0" fontId="33" fillId="44" borderId="0" xfId="0" applyFont="1" applyFill="1" applyAlignment="1">
      <alignment/>
    </xf>
    <xf numFmtId="0" fontId="89" fillId="43" borderId="0" xfId="0" applyFont="1" applyFill="1" applyAlignment="1">
      <alignment horizontal="center" wrapText="1"/>
    </xf>
    <xf numFmtId="0" fontId="89" fillId="44" borderId="0" xfId="0" applyFont="1" applyFill="1" applyAlignment="1">
      <alignment/>
    </xf>
    <xf numFmtId="0" fontId="33" fillId="44" borderId="0" xfId="0" applyFont="1" applyFill="1" applyAlignment="1">
      <alignment horizontal="center"/>
    </xf>
    <xf numFmtId="0" fontId="89" fillId="44" borderId="26" xfId="0" applyFont="1" applyFill="1" applyBorder="1" applyAlignment="1">
      <alignment/>
    </xf>
    <xf numFmtId="0" fontId="33" fillId="44" borderId="27" xfId="0" applyFont="1" applyFill="1" applyBorder="1" applyAlignment="1">
      <alignment/>
    </xf>
    <xf numFmtId="0" fontId="33" fillId="44" borderId="28" xfId="0" applyFont="1" applyFill="1" applyBorder="1" applyAlignment="1">
      <alignment/>
    </xf>
    <xf numFmtId="195" fontId="33" fillId="44" borderId="29" xfId="0" applyNumberFormat="1" applyFont="1" applyFill="1" applyBorder="1" applyAlignment="1">
      <alignment/>
    </xf>
    <xf numFmtId="0" fontId="33" fillId="44" borderId="0" xfId="0" applyFont="1" applyFill="1" applyBorder="1" applyAlignment="1">
      <alignment/>
    </xf>
    <xf numFmtId="195" fontId="33" fillId="44" borderId="10" xfId="0" applyNumberFormat="1" applyFont="1" applyFill="1" applyBorder="1" applyAlignment="1">
      <alignment horizontal="center"/>
    </xf>
    <xf numFmtId="0" fontId="33" fillId="44" borderId="30" xfId="0" applyFont="1" applyFill="1" applyBorder="1" applyAlignment="1">
      <alignment/>
    </xf>
    <xf numFmtId="0" fontId="33" fillId="44" borderId="31" xfId="0" applyFont="1" applyFill="1" applyBorder="1" applyAlignment="1">
      <alignment/>
    </xf>
    <xf numFmtId="0" fontId="33" fillId="44" borderId="32" xfId="0" applyFont="1" applyFill="1" applyBorder="1" applyAlignment="1">
      <alignment/>
    </xf>
    <xf numFmtId="0" fontId="33" fillId="44" borderId="33" xfId="0" applyFont="1" applyFill="1" applyBorder="1" applyAlignment="1">
      <alignment/>
    </xf>
    <xf numFmtId="195" fontId="33" fillId="44" borderId="0" xfId="0" applyNumberFormat="1" applyFont="1" applyFill="1" applyAlignment="1">
      <alignment/>
    </xf>
    <xf numFmtId="0" fontId="33" fillId="44" borderId="26" xfId="0" applyFont="1" applyFill="1" applyBorder="1" applyAlignment="1">
      <alignment/>
    </xf>
    <xf numFmtId="0" fontId="33" fillId="44" borderId="34" xfId="0" applyFont="1" applyFill="1" applyBorder="1" applyAlignment="1">
      <alignment/>
    </xf>
    <xf numFmtId="195" fontId="33" fillId="45" borderId="29" xfId="0" applyNumberFormat="1" applyFont="1" applyFill="1" applyBorder="1" applyAlignment="1" applyProtection="1">
      <alignment horizontal="center"/>
      <protection locked="0"/>
    </xf>
    <xf numFmtId="188" fontId="33" fillId="44" borderId="0" xfId="0" applyNumberFormat="1" applyFont="1" applyFill="1" applyBorder="1" applyAlignment="1">
      <alignment horizontal="center"/>
    </xf>
    <xf numFmtId="0" fontId="90" fillId="0" borderId="0" xfId="0" applyFont="1" applyBorder="1" applyAlignment="1">
      <alignment/>
    </xf>
    <xf numFmtId="0" fontId="33" fillId="0" borderId="0" xfId="0" applyFont="1" applyBorder="1" applyAlignment="1">
      <alignment/>
    </xf>
    <xf numFmtId="0" fontId="89" fillId="0" borderId="0" xfId="0" applyFont="1" applyBorder="1" applyAlignment="1">
      <alignment horizontal="centerContinuous"/>
    </xf>
    <xf numFmtId="0" fontId="33" fillId="0" borderId="0" xfId="0" applyFont="1" applyBorder="1" applyAlignment="1">
      <alignment horizontal="centerContinuous"/>
    </xf>
    <xf numFmtId="0" fontId="33" fillId="43" borderId="0" xfId="0" applyFont="1" applyFill="1" applyBorder="1" applyAlignment="1">
      <alignment/>
    </xf>
    <xf numFmtId="0" fontId="33" fillId="44" borderId="35" xfId="0" applyFont="1" applyFill="1" applyBorder="1" applyAlignment="1">
      <alignment/>
    </xf>
    <xf numFmtId="0" fontId="33" fillId="44" borderId="17" xfId="0" applyFont="1" applyFill="1" applyBorder="1" applyAlignment="1">
      <alignment/>
    </xf>
    <xf numFmtId="0" fontId="33" fillId="44" borderId="36" xfId="0" applyFont="1" applyFill="1" applyBorder="1" applyAlignment="1">
      <alignment/>
    </xf>
    <xf numFmtId="5" fontId="33" fillId="44" borderId="32" xfId="0" applyNumberFormat="1" applyFont="1" applyFill="1" applyBorder="1" applyAlignment="1">
      <alignment horizontal="center"/>
    </xf>
    <xf numFmtId="0" fontId="33" fillId="44" borderId="32" xfId="0" applyFont="1" applyFill="1" applyBorder="1" applyAlignment="1">
      <alignment horizontal="center"/>
    </xf>
    <xf numFmtId="188" fontId="33" fillId="44" borderId="32" xfId="0" applyNumberFormat="1" applyFont="1" applyFill="1" applyBorder="1" applyAlignment="1">
      <alignment horizontal="center"/>
    </xf>
    <xf numFmtId="196" fontId="33" fillId="44" borderId="32" xfId="0" applyNumberFormat="1" applyFont="1" applyFill="1" applyBorder="1" applyAlignment="1">
      <alignment horizontal="center"/>
    </xf>
    <xf numFmtId="0" fontId="33" fillId="44" borderId="0" xfId="0" applyFont="1" applyFill="1" applyAlignment="1">
      <alignment horizontal="center" wrapText="1"/>
    </xf>
    <xf numFmtId="0" fontId="89" fillId="44" borderId="26" xfId="0" applyFont="1" applyFill="1" applyBorder="1" applyAlignment="1">
      <alignment/>
    </xf>
    <xf numFmtId="0" fontId="33" fillId="44" borderId="27" xfId="0" applyFont="1" applyFill="1" applyBorder="1" applyAlignment="1">
      <alignment/>
    </xf>
    <xf numFmtId="0" fontId="33" fillId="44" borderId="28" xfId="0" applyFont="1" applyFill="1" applyBorder="1" applyAlignment="1">
      <alignment/>
    </xf>
    <xf numFmtId="0" fontId="33" fillId="44" borderId="34" xfId="0" applyFont="1" applyFill="1" applyBorder="1" applyAlignment="1">
      <alignment/>
    </xf>
    <xf numFmtId="0" fontId="33" fillId="44" borderId="30" xfId="0" applyFont="1" applyFill="1" applyBorder="1" applyAlignment="1">
      <alignment/>
    </xf>
    <xf numFmtId="0" fontId="33" fillId="44" borderId="35" xfId="0" applyFont="1" applyFill="1" applyBorder="1" applyAlignment="1">
      <alignment/>
    </xf>
    <xf numFmtId="0" fontId="33" fillId="44" borderId="17" xfId="0" applyFont="1" applyFill="1" applyBorder="1" applyAlignment="1">
      <alignment/>
    </xf>
    <xf numFmtId="0" fontId="33" fillId="44" borderId="36" xfId="0" applyFont="1" applyFill="1" applyBorder="1" applyAlignment="1">
      <alignment/>
    </xf>
    <xf numFmtId="178" fontId="33" fillId="44" borderId="0" xfId="0" applyNumberFormat="1" applyFont="1" applyFill="1" applyBorder="1" applyAlignment="1">
      <alignment horizontal="center"/>
    </xf>
    <xf numFmtId="0" fontId="33" fillId="44" borderId="31" xfId="0" applyFont="1" applyFill="1" applyBorder="1" applyAlignment="1">
      <alignment/>
    </xf>
    <xf numFmtId="5" fontId="33" fillId="44" borderId="0" xfId="0" applyNumberFormat="1" applyFont="1" applyFill="1" applyBorder="1" applyAlignment="1">
      <alignment horizontal="center"/>
    </xf>
    <xf numFmtId="0" fontId="33" fillId="43" borderId="0" xfId="0" applyFont="1" applyFill="1" applyAlignment="1">
      <alignment/>
    </xf>
    <xf numFmtId="188" fontId="33" fillId="45" borderId="10" xfId="0" applyNumberFormat="1" applyFont="1" applyFill="1" applyBorder="1" applyAlignment="1" applyProtection="1">
      <alignment horizontal="center"/>
      <protection locked="0"/>
    </xf>
    <xf numFmtId="196" fontId="33" fillId="44"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71" applyFont="1" applyAlignment="1" applyProtection="1">
      <alignment/>
      <protection/>
    </xf>
    <xf numFmtId="3" fontId="5" fillId="33" borderId="14" xfId="0" applyNumberFormat="1" applyFont="1" applyFill="1" applyBorder="1" applyAlignment="1" applyProtection="1">
      <alignment horizontal="center" vertical="center"/>
      <protection/>
    </xf>
    <xf numFmtId="188" fontId="5" fillId="45" borderId="12" xfId="120" applyNumberFormat="1" applyFont="1" applyFill="1" applyBorder="1" applyAlignment="1" applyProtection="1">
      <alignment horizontal="center" vertical="center"/>
      <protection locked="0"/>
    </xf>
    <xf numFmtId="49" fontId="15" fillId="45" borderId="12" xfId="120" applyNumberFormat="1" applyFont="1" applyFill="1" applyBorder="1" applyAlignment="1" applyProtection="1">
      <alignment horizontal="center" vertical="center"/>
      <protection locked="0"/>
    </xf>
    <xf numFmtId="3" fontId="5" fillId="35" borderId="18" xfId="120" applyNumberFormat="1" applyFont="1" applyFill="1" applyBorder="1" applyAlignment="1" applyProtection="1">
      <alignment horizontal="right" vertical="center"/>
      <protection locked="0"/>
    </xf>
    <xf numFmtId="0" fontId="5" fillId="0" borderId="0" xfId="125" applyFont="1" applyAlignment="1">
      <alignment vertical="center" wrapText="1"/>
      <protection/>
    </xf>
    <xf numFmtId="0" fontId="5" fillId="0" borderId="0" xfId="468" applyFont="1" applyAlignment="1">
      <alignment vertical="center" wrapText="1"/>
      <protection/>
    </xf>
    <xf numFmtId="0" fontId="5" fillId="0" borderId="0" xfId="501" applyNumberFormat="1" applyFont="1" applyAlignment="1">
      <alignment vertical="center" wrapText="1"/>
      <protection/>
    </xf>
    <xf numFmtId="37" fontId="5" fillId="33" borderId="12" xfId="0" applyNumberFormat="1" applyFont="1" applyFill="1" applyBorder="1" applyAlignment="1" applyProtection="1">
      <alignment horizontal="left"/>
      <protection/>
    </xf>
    <xf numFmtId="37" fontId="5" fillId="33" borderId="12" xfId="0" applyNumberFormat="1" applyFont="1" applyFill="1" applyBorder="1" applyAlignment="1" applyProtection="1">
      <alignment/>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25" applyFont="1" applyAlignment="1">
      <alignment vertical="center"/>
      <protection/>
    </xf>
    <xf numFmtId="0" fontId="91" fillId="0" borderId="0" xfId="0" applyFont="1" applyAlignment="1">
      <alignment wrapText="1"/>
    </xf>
    <xf numFmtId="0" fontId="25" fillId="0" borderId="0" xfId="0" applyFont="1" applyAlignment="1">
      <alignment wrapText="1"/>
    </xf>
    <xf numFmtId="188" fontId="5" fillId="45" borderId="20" xfId="120" applyNumberFormat="1" applyFont="1" applyFill="1" applyBorder="1" applyAlignment="1" applyProtection="1">
      <alignment horizontal="center"/>
      <protection locked="0"/>
    </xf>
    <xf numFmtId="0" fontId="37" fillId="44" borderId="37" xfId="120" applyFont="1" applyFill="1" applyBorder="1" applyProtection="1">
      <alignment/>
      <protection/>
    </xf>
    <xf numFmtId="0" fontId="5" fillId="44" borderId="0" xfId="120" applyFont="1" applyFill="1" applyBorder="1" applyProtection="1">
      <alignment/>
      <protection/>
    </xf>
    <xf numFmtId="195" fontId="5" fillId="44" borderId="20" xfId="120" applyNumberFormat="1" applyFont="1" applyFill="1" applyBorder="1" applyAlignment="1" applyProtection="1">
      <alignment horizontal="center"/>
      <protection/>
    </xf>
    <xf numFmtId="0" fontId="5" fillId="44" borderId="25" xfId="120" applyFont="1" applyFill="1" applyBorder="1" applyProtection="1">
      <alignment/>
      <protection/>
    </xf>
    <xf numFmtId="0" fontId="5" fillId="44" borderId="10" xfId="120" applyFont="1" applyFill="1" applyBorder="1" applyProtection="1">
      <alignment/>
      <protection/>
    </xf>
    <xf numFmtId="195" fontId="5" fillId="47" borderId="13" xfId="120" applyNumberFormat="1" applyFont="1" applyFill="1" applyBorder="1" applyAlignment="1" applyProtection="1">
      <alignment horizontal="center"/>
      <protection/>
    </xf>
    <xf numFmtId="0" fontId="5" fillId="0" borderId="0" xfId="120" applyFont="1" applyFill="1" applyBorder="1" applyProtection="1">
      <alignment/>
      <protection/>
    </xf>
    <xf numFmtId="0" fontId="5" fillId="44" borderId="37" xfId="120" applyFont="1" applyFill="1" applyBorder="1" applyProtection="1">
      <alignment/>
      <protection/>
    </xf>
    <xf numFmtId="0" fontId="5" fillId="44" borderId="20" xfId="120" applyFont="1" applyFill="1" applyBorder="1" applyProtection="1">
      <alignment/>
      <protection/>
    </xf>
    <xf numFmtId="178" fontId="5" fillId="44" borderId="20" xfId="120" applyNumberFormat="1" applyFont="1" applyFill="1" applyBorder="1" applyAlignment="1" applyProtection="1">
      <alignment horizontal="center"/>
      <protection/>
    </xf>
    <xf numFmtId="0" fontId="5" fillId="47" borderId="37" xfId="120" applyFont="1" applyFill="1" applyBorder="1" applyProtection="1">
      <alignment/>
      <protection/>
    </xf>
    <xf numFmtId="0" fontId="5" fillId="47" borderId="0" xfId="120" applyFont="1" applyFill="1" applyBorder="1" applyProtection="1">
      <alignment/>
      <protection/>
    </xf>
    <xf numFmtId="0" fontId="5" fillId="47" borderId="25" xfId="120" applyFont="1" applyFill="1" applyBorder="1" applyProtection="1">
      <alignment/>
      <protection/>
    </xf>
    <xf numFmtId="0" fontId="5" fillId="47" borderId="10" xfId="120" applyFont="1" applyFill="1" applyBorder="1" applyProtection="1">
      <alignment/>
      <protection/>
    </xf>
    <xf numFmtId="0" fontId="5" fillId="0" borderId="0" xfId="120" applyFont="1" applyProtection="1">
      <alignment/>
      <protection/>
    </xf>
    <xf numFmtId="195" fontId="5" fillId="44" borderId="13" xfId="120" applyNumberFormat="1" applyFont="1" applyFill="1" applyBorder="1" applyAlignment="1" applyProtection="1">
      <alignment horizontal="center"/>
      <protection/>
    </xf>
    <xf numFmtId="0" fontId="6" fillId="0" borderId="0" xfId="161" applyFont="1" applyAlignment="1">
      <alignment vertical="center"/>
      <protection/>
    </xf>
    <xf numFmtId="0" fontId="92" fillId="0" borderId="0" xfId="0" applyFont="1" applyAlignment="1">
      <alignment vertical="center"/>
    </xf>
    <xf numFmtId="0" fontId="93" fillId="0" borderId="0" xfId="0" applyFont="1" applyAlignment="1" applyProtection="1">
      <alignment horizontal="center" vertical="center"/>
      <protection locked="0"/>
    </xf>
    <xf numFmtId="0" fontId="94" fillId="33" borderId="0" xfId="0" applyFont="1" applyFill="1" applyAlignment="1" applyProtection="1">
      <alignment horizontal="center" vertical="center"/>
      <protection/>
    </xf>
    <xf numFmtId="37" fontId="5" fillId="33" borderId="38" xfId="0" applyNumberFormat="1" applyFont="1" applyFill="1" applyBorder="1" applyAlignment="1" applyProtection="1">
      <alignment vertical="center"/>
      <protection/>
    </xf>
    <xf numFmtId="0" fontId="5" fillId="33" borderId="38" xfId="0" applyFont="1" applyFill="1" applyBorder="1" applyAlignment="1" applyProtection="1">
      <alignment vertical="center"/>
      <protection/>
    </xf>
    <xf numFmtId="177" fontId="5" fillId="35" borderId="12" xfId="42" applyNumberFormat="1" applyFont="1" applyFill="1" applyBorder="1" applyAlignment="1" applyProtection="1">
      <alignment vertical="center"/>
      <protection locked="0"/>
    </xf>
    <xf numFmtId="37" fontId="4" fillId="33" borderId="0" xfId="0" applyNumberFormat="1" applyFont="1" applyFill="1" applyBorder="1" applyAlignment="1" applyProtection="1">
      <alignment vertical="center"/>
      <protection/>
    </xf>
    <xf numFmtId="0" fontId="5" fillId="35" borderId="18" xfId="101" applyNumberFormat="1" applyFont="1" applyFill="1" applyBorder="1" applyAlignment="1" applyProtection="1">
      <alignment horizontal="left" vertical="center"/>
      <protection locked="0"/>
    </xf>
    <xf numFmtId="0" fontId="5" fillId="35" borderId="18" xfId="125" applyNumberFormat="1" applyFont="1" applyFill="1" applyBorder="1" applyAlignment="1" applyProtection="1">
      <alignment horizontal="left" vertical="center"/>
      <protection locked="0"/>
    </xf>
    <xf numFmtId="37" fontId="5" fillId="33" borderId="11" xfId="101" applyNumberFormat="1" applyFont="1" applyFill="1" applyBorder="1" applyAlignment="1" applyProtection="1">
      <alignment horizontal="center"/>
      <protection/>
    </xf>
    <xf numFmtId="37" fontId="5" fillId="33" borderId="14" xfId="101" applyNumberFormat="1" applyFont="1" applyFill="1" applyBorder="1" applyAlignment="1" applyProtection="1">
      <alignment horizontal="center"/>
      <protection/>
    </xf>
    <xf numFmtId="0" fontId="89" fillId="44" borderId="34" xfId="0" applyFont="1" applyFill="1" applyBorder="1" applyAlignment="1">
      <alignment horizontal="centerContinuous" vertical="center"/>
    </xf>
    <xf numFmtId="195" fontId="89" fillId="44" borderId="0" xfId="0" applyNumberFormat="1" applyFont="1" applyFill="1" applyBorder="1" applyAlignment="1">
      <alignment horizontal="centerContinuous" vertical="center"/>
    </xf>
    <xf numFmtId="0" fontId="89" fillId="44" borderId="0" xfId="0" applyFont="1" applyFill="1" applyBorder="1" applyAlignment="1">
      <alignment horizontal="centerContinuous" vertical="center"/>
    </xf>
    <xf numFmtId="188" fontId="89" fillId="44" borderId="0" xfId="0" applyNumberFormat="1" applyFont="1" applyFill="1" applyBorder="1" applyAlignment="1" applyProtection="1">
      <alignment horizontal="centerContinuous" vertical="center"/>
      <protection locked="0"/>
    </xf>
    <xf numFmtId="196" fontId="89" fillId="44" borderId="0" xfId="0" applyNumberFormat="1" applyFont="1" applyFill="1" applyBorder="1" applyAlignment="1">
      <alignment horizontal="centerContinuous" vertical="center"/>
    </xf>
    <xf numFmtId="0" fontId="89" fillId="44" borderId="30" xfId="0" applyFont="1" applyFill="1" applyBorder="1" applyAlignment="1">
      <alignment horizontal="centerContinuous" vertical="center"/>
    </xf>
    <xf numFmtId="0" fontId="89" fillId="44" borderId="34" xfId="0" applyFont="1" applyFill="1" applyBorder="1" applyAlignment="1">
      <alignment horizontal="centerContinuous"/>
    </xf>
    <xf numFmtId="195" fontId="89" fillId="44" borderId="0" xfId="0" applyNumberFormat="1" applyFont="1" applyFill="1" applyBorder="1" applyAlignment="1">
      <alignment horizontal="centerContinuous"/>
    </xf>
    <xf numFmtId="0" fontId="89" fillId="44" borderId="0" xfId="0" applyFont="1" applyFill="1" applyBorder="1" applyAlignment="1">
      <alignment horizontal="centerContinuous"/>
    </xf>
    <xf numFmtId="188" fontId="89" fillId="44" borderId="0" xfId="0" applyNumberFormat="1" applyFont="1" applyFill="1" applyBorder="1" applyAlignment="1" applyProtection="1">
      <alignment horizontal="centerContinuous"/>
      <protection locked="0"/>
    </xf>
    <xf numFmtId="196" fontId="89" fillId="44" borderId="0" xfId="0" applyNumberFormat="1" applyFont="1" applyFill="1" applyBorder="1" applyAlignment="1">
      <alignment horizontal="centerContinuous"/>
    </xf>
    <xf numFmtId="0" fontId="89" fillId="44" borderId="30" xfId="0" applyFont="1" applyFill="1" applyBorder="1" applyAlignment="1">
      <alignment horizontal="centerContinuous"/>
    </xf>
    <xf numFmtId="195" fontId="33" fillId="0" borderId="0" xfId="0" applyNumberFormat="1" applyFont="1" applyAlignment="1">
      <alignment/>
    </xf>
    <xf numFmtId="195" fontId="33" fillId="44" borderId="32" xfId="0" applyNumberFormat="1" applyFont="1" applyFill="1" applyBorder="1" applyAlignment="1">
      <alignment horizontal="center"/>
    </xf>
    <xf numFmtId="188" fontId="33" fillId="44" borderId="32" xfId="0" applyNumberFormat="1" applyFont="1" applyFill="1" applyBorder="1" applyAlignment="1" applyProtection="1">
      <alignment horizontal="center"/>
      <protection locked="0"/>
    </xf>
    <xf numFmtId="196" fontId="33" fillId="44" borderId="32" xfId="0" applyNumberFormat="1" applyFont="1" applyFill="1" applyBorder="1" applyAlignment="1">
      <alignment/>
    </xf>
    <xf numFmtId="188" fontId="33" fillId="44" borderId="0" xfId="0" applyNumberFormat="1" applyFont="1" applyFill="1" applyBorder="1" applyAlignment="1" applyProtection="1">
      <alignment horizontal="center"/>
      <protection locked="0"/>
    </xf>
    <xf numFmtId="195" fontId="33" fillId="44" borderId="27" xfId="0" applyNumberFormat="1" applyFont="1" applyFill="1" applyBorder="1" applyAlignment="1">
      <alignment horizontal="center"/>
    </xf>
    <xf numFmtId="0" fontId="33" fillId="44" borderId="27" xfId="0" applyFont="1" applyFill="1" applyBorder="1" applyAlignment="1">
      <alignment horizontal="center"/>
    </xf>
    <xf numFmtId="188" fontId="33" fillId="44" borderId="27" xfId="0" applyNumberFormat="1" applyFont="1" applyFill="1" applyBorder="1" applyAlignment="1" applyProtection="1">
      <alignment horizontal="center"/>
      <protection locked="0"/>
    </xf>
    <xf numFmtId="196" fontId="33" fillId="44" borderId="27" xfId="0" applyNumberFormat="1" applyFont="1" applyFill="1" applyBorder="1" applyAlignment="1">
      <alignment/>
    </xf>
    <xf numFmtId="195" fontId="33" fillId="44" borderId="0" xfId="0" applyNumberFormat="1" applyFont="1" applyFill="1" applyBorder="1" applyAlignment="1" applyProtection="1">
      <alignment horizontal="center"/>
      <protection locked="0"/>
    </xf>
    <xf numFmtId="195" fontId="5" fillId="47" borderId="20" xfId="120"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0" xfId="0" applyFont="1" applyFill="1" applyBorder="1" applyAlignment="1">
      <alignment vertical="center"/>
    </xf>
    <xf numFmtId="195" fontId="5" fillId="47" borderId="13" xfId="0" applyNumberFormat="1" applyFont="1" applyFill="1" applyBorder="1" applyAlignment="1">
      <alignment horizontal="center" vertical="center"/>
    </xf>
    <xf numFmtId="0" fontId="4" fillId="33" borderId="0" xfId="0" applyFont="1" applyFill="1" applyAlignment="1" applyProtection="1">
      <alignment horizontal="center" vertical="center"/>
      <protection/>
    </xf>
    <xf numFmtId="0" fontId="5" fillId="33" borderId="0" xfId="71" applyNumberFormat="1" applyFont="1" applyFill="1" applyBorder="1" applyAlignment="1" applyProtection="1">
      <alignment horizontal="right" vertical="center"/>
      <protection/>
    </xf>
    <xf numFmtId="195" fontId="33" fillId="45" borderId="10" xfId="0" applyNumberFormat="1" applyFont="1" applyFill="1" applyBorder="1" applyAlignment="1" applyProtection="1">
      <alignment horizontal="center"/>
      <protection locked="0"/>
    </xf>
    <xf numFmtId="195" fontId="33" fillId="44" borderId="0" xfId="0" applyNumberFormat="1" applyFont="1" applyFill="1" applyBorder="1" applyAlignment="1">
      <alignment horizontal="center"/>
    </xf>
    <xf numFmtId="0" fontId="33" fillId="44" borderId="17" xfId="0" applyFont="1" applyFill="1" applyBorder="1" applyAlignment="1">
      <alignment horizontal="center"/>
    </xf>
    <xf numFmtId="0" fontId="89" fillId="44" borderId="0" xfId="0" applyFont="1" applyFill="1" applyAlignment="1">
      <alignment horizontal="center" wrapText="1"/>
    </xf>
    <xf numFmtId="0" fontId="89" fillId="44" borderId="0" xfId="0" applyFont="1" applyFill="1" applyAlignment="1">
      <alignment horizontal="center"/>
    </xf>
    <xf numFmtId="195" fontId="33" fillId="44" borderId="0" xfId="0" applyNumberFormat="1" applyFont="1" applyFill="1" applyAlignment="1">
      <alignment horizontal="center"/>
    </xf>
    <xf numFmtId="0" fontId="33" fillId="44" borderId="0" xfId="0" applyFont="1" applyFill="1" applyBorder="1" applyAlignment="1">
      <alignment/>
    </xf>
    <xf numFmtId="0" fontId="33" fillId="44" borderId="33" xfId="0" applyFont="1" applyFill="1" applyBorder="1" applyAlignment="1">
      <alignment/>
    </xf>
    <xf numFmtId="0" fontId="33" fillId="44" borderId="0" xfId="0" applyFont="1" applyFill="1" applyBorder="1" applyAlignment="1">
      <alignment horizontal="center"/>
    </xf>
    <xf numFmtId="196" fontId="33" fillId="44" borderId="0" xfId="0" applyNumberFormat="1" applyFont="1" applyFill="1" applyBorder="1" applyAlignment="1">
      <alignment horizontal="center"/>
    </xf>
    <xf numFmtId="0" fontId="5" fillId="33" borderId="0" xfId="0" applyNumberFormat="1" applyFont="1" applyFill="1" applyBorder="1" applyAlignment="1" applyProtection="1">
      <alignment horizontal="right" vertical="center"/>
      <protection/>
    </xf>
    <xf numFmtId="49" fontId="5" fillId="0" borderId="0" xfId="543" applyNumberFormat="1" applyFont="1" applyFill="1" applyAlignment="1" applyProtection="1">
      <alignment horizontal="left" vertical="center"/>
      <protection locked="0"/>
    </xf>
    <xf numFmtId="0" fontId="95" fillId="0" borderId="0" xfId="0" applyFont="1" applyAlignment="1">
      <alignment/>
    </xf>
    <xf numFmtId="0" fontId="96" fillId="0" borderId="0" xfId="543" applyFont="1">
      <alignment/>
      <protection/>
    </xf>
    <xf numFmtId="189" fontId="97" fillId="0" borderId="0" xfId="543" applyNumberFormat="1" applyFont="1" applyAlignment="1">
      <alignment horizontal="left" vertical="center"/>
      <protection/>
    </xf>
    <xf numFmtId="0" fontId="97" fillId="0" borderId="0" xfId="543" applyNumberFormat="1" applyFont="1" applyAlignment="1">
      <alignment horizontal="left" vertical="center"/>
      <protection/>
    </xf>
    <xf numFmtId="1" fontId="97" fillId="0" borderId="0" xfId="543" applyNumberFormat="1" applyFont="1" applyAlignment="1">
      <alignment horizontal="left" vertical="center"/>
      <protection/>
    </xf>
    <xf numFmtId="0" fontId="98" fillId="0" borderId="0" xfId="543" applyFont="1" applyAlignment="1">
      <alignment horizontal="left" vertical="center"/>
      <protection/>
    </xf>
    <xf numFmtId="37" fontId="5" fillId="33" borderId="0" xfId="101" applyNumberFormat="1" applyFont="1" applyFill="1" applyAlignment="1" applyProtection="1">
      <alignment vertical="center"/>
      <protection/>
    </xf>
    <xf numFmtId="0" fontId="5" fillId="33" borderId="0" xfId="101" applyFont="1" applyFill="1" applyAlignment="1" applyProtection="1">
      <alignment vertical="center"/>
      <protection/>
    </xf>
    <xf numFmtId="1" fontId="5" fillId="33" borderId="0" xfId="101" applyNumberFormat="1" applyFont="1" applyFill="1" applyBorder="1" applyAlignment="1" applyProtection="1">
      <alignment horizontal="right" vertical="center"/>
      <protection/>
    </xf>
    <xf numFmtId="0" fontId="5" fillId="0" borderId="0" xfId="101" applyFont="1" applyAlignment="1" applyProtection="1">
      <alignment vertical="center"/>
      <protection locked="0"/>
    </xf>
    <xf numFmtId="37" fontId="5" fillId="33" borderId="0" xfId="101" applyNumberFormat="1" applyFont="1" applyFill="1" applyAlignment="1" applyProtection="1">
      <alignment horizontal="right" vertical="center"/>
      <protection/>
    </xf>
    <xf numFmtId="0" fontId="4" fillId="33" borderId="0" xfId="101" applyFont="1" applyFill="1" applyAlignment="1" applyProtection="1">
      <alignment vertical="center"/>
      <protection/>
    </xf>
    <xf numFmtId="37" fontId="5" fillId="33" borderId="0" xfId="101" applyNumberFormat="1" applyFont="1" applyFill="1" applyAlignment="1" applyProtection="1">
      <alignment horizontal="fill" vertical="center"/>
      <protection/>
    </xf>
    <xf numFmtId="37" fontId="5" fillId="33" borderId="0" xfId="101" applyNumberFormat="1" applyFont="1" applyFill="1" applyAlignment="1" applyProtection="1">
      <alignment horizontal="left" vertical="center"/>
      <protection/>
    </xf>
    <xf numFmtId="1" fontId="5" fillId="33" borderId="24" xfId="101" applyNumberFormat="1" applyFont="1" applyFill="1" applyBorder="1" applyAlignment="1" applyProtection="1">
      <alignment horizontal="center" vertical="center"/>
      <protection/>
    </xf>
    <xf numFmtId="37" fontId="5" fillId="33" borderId="24" xfId="101" applyNumberFormat="1" applyFont="1" applyFill="1" applyBorder="1" applyAlignment="1" applyProtection="1">
      <alignment horizontal="center" vertical="center"/>
      <protection/>
    </xf>
    <xf numFmtId="37" fontId="5" fillId="33" borderId="11" xfId="101" applyNumberFormat="1" applyFont="1" applyFill="1" applyBorder="1" applyAlignment="1" applyProtection="1">
      <alignment horizontal="center" vertical="center"/>
      <protection/>
    </xf>
    <xf numFmtId="37" fontId="4" fillId="33" borderId="0" xfId="101" applyNumberFormat="1" applyFont="1" applyFill="1" applyBorder="1" applyAlignment="1" applyProtection="1">
      <alignment vertical="center"/>
      <protection/>
    </xf>
    <xf numFmtId="0" fontId="5" fillId="33" borderId="25" xfId="101" applyNumberFormat="1" applyFont="1" applyFill="1" applyBorder="1" applyAlignment="1" applyProtection="1">
      <alignment horizontal="center" vertical="center"/>
      <protection/>
    </xf>
    <xf numFmtId="1" fontId="5" fillId="33" borderId="14" xfId="101" applyNumberFormat="1" applyFont="1" applyFill="1" applyBorder="1" applyAlignment="1" applyProtection="1">
      <alignment horizontal="center" vertical="center"/>
      <protection/>
    </xf>
    <xf numFmtId="37" fontId="5" fillId="33" borderId="18" xfId="101" applyNumberFormat="1" applyFont="1" applyFill="1" applyBorder="1" applyAlignment="1" applyProtection="1">
      <alignment horizontal="left" vertical="center"/>
      <protection/>
    </xf>
    <xf numFmtId="3" fontId="5" fillId="35" borderId="24" xfId="101"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xf>
    <xf numFmtId="3" fontId="5" fillId="33" borderId="13" xfId="42" applyNumberFormat="1" applyFont="1" applyFill="1" applyBorder="1" applyAlignment="1" applyProtection="1">
      <alignment horizontal="right" vertical="center"/>
      <protection/>
    </xf>
    <xf numFmtId="37" fontId="5" fillId="33" borderId="25" xfId="101" applyNumberFormat="1" applyFont="1" applyFill="1" applyBorder="1" applyAlignment="1" applyProtection="1">
      <alignment horizontal="left" vertical="center"/>
      <protection/>
    </xf>
    <xf numFmtId="3" fontId="5" fillId="33" borderId="24" xfId="101" applyNumberFormat="1" applyFont="1" applyFill="1" applyBorder="1" applyAlignment="1" applyProtection="1">
      <alignment horizontal="right" vertical="center"/>
      <protection locked="0"/>
    </xf>
    <xf numFmtId="3" fontId="5" fillId="33" borderId="16" xfId="42" applyNumberFormat="1" applyFont="1" applyFill="1" applyBorder="1" applyAlignment="1" applyProtection="1">
      <alignment horizontal="right" vertical="center"/>
      <protection/>
    </xf>
    <xf numFmtId="3" fontId="5" fillId="33" borderId="16" xfId="101" applyNumberFormat="1" applyFont="1" applyFill="1" applyBorder="1" applyAlignment="1" applyProtection="1">
      <alignment horizontal="fill" vertical="center"/>
      <protection/>
    </xf>
    <xf numFmtId="3" fontId="5" fillId="35" borderId="12" xfId="101" applyNumberFormat="1" applyFont="1" applyFill="1" applyBorder="1" applyAlignment="1" applyProtection="1">
      <alignment horizontal="right" vertical="center"/>
      <protection locked="0"/>
    </xf>
    <xf numFmtId="3" fontId="5" fillId="35" borderId="16" xfId="101" applyNumberFormat="1" applyFont="1" applyFill="1" applyBorder="1" applyAlignment="1" applyProtection="1">
      <alignment horizontal="right" vertical="center"/>
      <protection locked="0"/>
    </xf>
    <xf numFmtId="3" fontId="5" fillId="33" borderId="16" xfId="101" applyNumberFormat="1" applyFont="1" applyFill="1" applyBorder="1" applyAlignment="1" applyProtection="1">
      <alignment horizontal="right" vertical="center"/>
      <protection/>
    </xf>
    <xf numFmtId="0" fontId="5" fillId="33" borderId="18" xfId="101" applyNumberFormat="1" applyFont="1" applyFill="1" applyBorder="1" applyAlignment="1" applyProtection="1">
      <alignment horizontal="left" vertical="center"/>
      <protection/>
    </xf>
    <xf numFmtId="3" fontId="5" fillId="35" borderId="16" xfId="101" applyNumberFormat="1" applyFont="1" applyFill="1" applyBorder="1" applyAlignment="1" applyProtection="1">
      <alignment horizontal="right" vertical="center"/>
      <protection locked="0"/>
    </xf>
    <xf numFmtId="0" fontId="5" fillId="35" borderId="18" xfId="101" applyNumberFormat="1" applyFont="1" applyFill="1" applyBorder="1" applyAlignment="1" applyProtection="1">
      <alignment horizontal="left"/>
      <protection locked="0"/>
    </xf>
    <xf numFmtId="3" fontId="5" fillId="35" borderId="18" xfId="101" applyNumberFormat="1" applyFont="1" applyFill="1" applyBorder="1" applyAlignment="1" applyProtection="1">
      <alignment horizontal="right" vertical="center"/>
      <protection locked="0"/>
    </xf>
    <xf numFmtId="0" fontId="5" fillId="35" borderId="24" xfId="101" applyNumberFormat="1" applyFont="1" applyFill="1" applyBorder="1" applyAlignment="1" applyProtection="1">
      <alignment horizontal="left" vertical="center"/>
      <protection locked="0"/>
    </xf>
    <xf numFmtId="0" fontId="5" fillId="33" borderId="18" xfId="101" applyFont="1" applyFill="1" applyBorder="1" applyAlignment="1" applyProtection="1">
      <alignment vertical="center"/>
      <protection/>
    </xf>
    <xf numFmtId="3" fontId="5" fillId="35" borderId="13" xfId="101" applyNumberFormat="1" applyFont="1" applyFill="1" applyBorder="1" applyAlignment="1" applyProtection="1">
      <alignment horizontal="right" vertical="center"/>
      <protection locked="0"/>
    </xf>
    <xf numFmtId="3" fontId="17" fillId="41" borderId="18" xfId="101" applyNumberFormat="1" applyFont="1" applyFill="1" applyBorder="1" applyAlignment="1" applyProtection="1">
      <alignment horizontal="center" vertical="center"/>
      <protection/>
    </xf>
    <xf numFmtId="3" fontId="17" fillId="41" borderId="12" xfId="101" applyNumberFormat="1" applyFont="1" applyFill="1" applyBorder="1" applyAlignment="1" applyProtection="1">
      <alignment horizontal="center" vertical="center"/>
      <protection/>
    </xf>
    <xf numFmtId="3" fontId="17" fillId="41" borderId="16" xfId="101" applyNumberFormat="1" applyFont="1" applyFill="1" applyBorder="1" applyAlignment="1" applyProtection="1">
      <alignment horizontal="center" vertical="center"/>
      <protection/>
    </xf>
    <xf numFmtId="37" fontId="4" fillId="33" borderId="18" xfId="101" applyNumberFormat="1" applyFont="1" applyFill="1" applyBorder="1" applyAlignment="1" applyProtection="1">
      <alignment horizontal="left" vertical="center"/>
      <protection/>
    </xf>
    <xf numFmtId="3" fontId="4" fillId="39" borderId="18" xfId="101" applyNumberFormat="1" applyFont="1" applyFill="1" applyBorder="1" applyAlignment="1" applyProtection="1">
      <alignment horizontal="right" vertical="center"/>
      <protection/>
    </xf>
    <xf numFmtId="3" fontId="4" fillId="39" borderId="12" xfId="101" applyNumberFormat="1" applyFont="1" applyFill="1" applyBorder="1" applyAlignment="1" applyProtection="1">
      <alignment horizontal="right" vertical="center"/>
      <protection/>
    </xf>
    <xf numFmtId="3" fontId="4" fillId="39" borderId="13" xfId="101" applyNumberFormat="1" applyFont="1" applyFill="1" applyBorder="1" applyAlignment="1" applyProtection="1">
      <alignment horizontal="right" vertical="center"/>
      <protection/>
    </xf>
    <xf numFmtId="3" fontId="4" fillId="39" borderId="16" xfId="101" applyNumberFormat="1" applyFont="1" applyFill="1" applyBorder="1" applyAlignment="1" applyProtection="1">
      <alignment horizontal="right" vertical="center"/>
      <protection/>
    </xf>
    <xf numFmtId="3" fontId="5" fillId="33" borderId="18" xfId="101" applyNumberFormat="1" applyFont="1" applyFill="1" applyBorder="1" applyAlignment="1" applyProtection="1">
      <alignment horizontal="right" vertical="center"/>
      <protection/>
    </xf>
    <xf numFmtId="3" fontId="5" fillId="33" borderId="12" xfId="101" applyNumberFormat="1" applyFont="1" applyFill="1" applyBorder="1" applyAlignment="1" applyProtection="1">
      <alignment horizontal="right" vertical="center"/>
      <protection/>
    </xf>
    <xf numFmtId="0" fontId="5" fillId="35" borderId="18" xfId="101" applyFont="1" applyFill="1" applyBorder="1" applyAlignment="1" applyProtection="1">
      <alignment vertical="center"/>
      <protection locked="0"/>
    </xf>
    <xf numFmtId="3" fontId="5" fillId="35" borderId="16" xfId="101" applyNumberFormat="1" applyFont="1" applyFill="1" applyBorder="1" applyAlignment="1" applyProtection="1">
      <alignment horizontal="right"/>
      <protection locked="0"/>
    </xf>
    <xf numFmtId="0" fontId="5" fillId="35" borderId="18" xfId="101" applyFont="1" applyFill="1" applyBorder="1" applyProtection="1">
      <alignment/>
      <protection locked="0"/>
    </xf>
    <xf numFmtId="0" fontId="5" fillId="35" borderId="18" xfId="172" applyFont="1" applyFill="1" applyBorder="1" applyProtection="1">
      <alignment/>
      <protection locked="0"/>
    </xf>
    <xf numFmtId="0" fontId="5" fillId="0" borderId="0" xfId="101" applyFont="1" applyFill="1" applyBorder="1" applyAlignment="1" applyProtection="1">
      <alignment horizontal="center" vertical="center"/>
      <protection locked="0"/>
    </xf>
    <xf numFmtId="0" fontId="0" fillId="0" borderId="0" xfId="101" applyFill="1" applyBorder="1" applyAlignment="1">
      <alignment vertical="center"/>
      <protection/>
    </xf>
    <xf numFmtId="0" fontId="5" fillId="0" borderId="0" xfId="101" applyFont="1" applyFill="1" applyBorder="1" applyAlignment="1" applyProtection="1">
      <alignment vertical="center"/>
      <protection locked="0"/>
    </xf>
    <xf numFmtId="3" fontId="5" fillId="0" borderId="0" xfId="101" applyNumberFormat="1" applyFont="1" applyFill="1" applyBorder="1" applyAlignment="1" applyProtection="1">
      <alignment horizontal="center" vertical="center"/>
      <protection locked="0"/>
    </xf>
    <xf numFmtId="0" fontId="5" fillId="0" borderId="0" xfId="101" applyFont="1" applyFill="1" applyBorder="1" applyAlignment="1" applyProtection="1">
      <alignment horizontal="left" vertical="center"/>
      <protection locked="0"/>
    </xf>
    <xf numFmtId="3" fontId="5" fillId="45" borderId="16" xfId="101" applyNumberFormat="1" applyFont="1" applyFill="1" applyBorder="1" applyAlignment="1" applyProtection="1">
      <alignment horizontal="right" vertical="center"/>
      <protection locked="0"/>
    </xf>
    <xf numFmtId="0" fontId="37" fillId="44" borderId="37" xfId="101" applyFont="1" applyFill="1" applyBorder="1" applyAlignment="1" applyProtection="1">
      <alignment vertical="center"/>
      <protection/>
    </xf>
    <xf numFmtId="0" fontId="5" fillId="44" borderId="0" xfId="101" applyFont="1" applyFill="1" applyBorder="1" applyAlignment="1" applyProtection="1">
      <alignment vertical="center"/>
      <protection/>
    </xf>
    <xf numFmtId="0" fontId="37" fillId="44" borderId="0" xfId="101" applyFont="1" applyFill="1" applyBorder="1" applyAlignment="1" applyProtection="1">
      <alignment vertical="center"/>
      <protection/>
    </xf>
    <xf numFmtId="195" fontId="37" fillId="44" borderId="20" xfId="101" applyNumberFormat="1" applyFont="1" applyFill="1" applyBorder="1" applyAlignment="1" applyProtection="1">
      <alignment horizontal="center" vertical="center"/>
      <protection/>
    </xf>
    <xf numFmtId="0" fontId="37" fillId="44" borderId="37" xfId="101" applyFont="1" applyFill="1" applyBorder="1" applyAlignment="1" applyProtection="1">
      <alignment horizontal="left" vertical="center"/>
      <protection/>
    </xf>
    <xf numFmtId="195" fontId="37" fillId="45" borderId="12" xfId="101" applyNumberFormat="1" applyFont="1" applyFill="1" applyBorder="1" applyAlignment="1" applyProtection="1">
      <alignment horizontal="center" vertical="center"/>
      <protection locked="0"/>
    </xf>
    <xf numFmtId="0" fontId="39" fillId="44" borderId="16" xfId="101" applyFont="1" applyFill="1" applyBorder="1" applyAlignment="1" applyProtection="1">
      <alignment horizontal="center" vertical="center"/>
      <protection/>
    </xf>
    <xf numFmtId="0" fontId="39" fillId="47" borderId="37" xfId="101" applyFont="1" applyFill="1" applyBorder="1" applyAlignment="1" applyProtection="1">
      <alignment vertical="center"/>
      <protection/>
    </xf>
    <xf numFmtId="0" fontId="5" fillId="47" borderId="0" xfId="101" applyFont="1" applyFill="1" applyBorder="1" applyAlignment="1" applyProtection="1">
      <alignment vertical="center"/>
      <protection/>
    </xf>
    <xf numFmtId="0" fontId="37" fillId="47" borderId="0" xfId="101" applyFont="1" applyFill="1" applyBorder="1" applyAlignment="1" applyProtection="1">
      <alignment vertical="center"/>
      <protection/>
    </xf>
    <xf numFmtId="195" fontId="39" fillId="47" borderId="16" xfId="101" applyNumberFormat="1" applyFont="1" applyFill="1" applyBorder="1" applyAlignment="1" applyProtection="1">
      <alignment horizontal="center" vertical="center"/>
      <protection/>
    </xf>
    <xf numFmtId="37" fontId="37" fillId="33" borderId="25" xfId="101" applyNumberFormat="1" applyFont="1" applyFill="1" applyBorder="1" applyAlignment="1" applyProtection="1">
      <alignment horizontal="left" vertical="center"/>
      <protection/>
    </xf>
    <xf numFmtId="0" fontId="40" fillId="44" borderId="10" xfId="101" applyFont="1" applyFill="1" applyBorder="1" applyAlignment="1">
      <alignment horizontal="left" vertical="center"/>
      <protection/>
    </xf>
    <xf numFmtId="195" fontId="39" fillId="47" borderId="13" xfId="101" applyNumberFormat="1" applyFont="1" applyFill="1" applyBorder="1" applyAlignment="1" applyProtection="1">
      <alignment horizontal="center" vertical="center"/>
      <protection locked="0"/>
    </xf>
    <xf numFmtId="0" fontId="5" fillId="44" borderId="37" xfId="101" applyFont="1" applyFill="1" applyBorder="1" applyAlignment="1" applyProtection="1">
      <alignment vertical="center"/>
      <protection/>
    </xf>
    <xf numFmtId="0" fontId="5" fillId="44" borderId="20" xfId="101" applyFont="1" applyFill="1" applyBorder="1" applyAlignment="1" applyProtection="1">
      <alignment vertical="center"/>
      <protection/>
    </xf>
    <xf numFmtId="195" fontId="37" fillId="44" borderId="37" xfId="101" applyNumberFormat="1" applyFont="1" applyFill="1" applyBorder="1" applyAlignment="1" applyProtection="1">
      <alignment horizontal="center" vertical="center"/>
      <protection/>
    </xf>
    <xf numFmtId="0" fontId="37" fillId="44" borderId="0" xfId="101" applyFont="1" applyFill="1" applyBorder="1" applyAlignment="1" applyProtection="1">
      <alignment horizontal="left" vertical="center"/>
      <protection/>
    </xf>
    <xf numFmtId="0" fontId="37" fillId="44" borderId="20" xfId="101" applyFont="1" applyFill="1" applyBorder="1" applyAlignment="1" applyProtection="1">
      <alignment vertical="center"/>
      <protection/>
    </xf>
    <xf numFmtId="3" fontId="5" fillId="39" borderId="18" xfId="101" applyNumberFormat="1" applyFont="1" applyFill="1" applyBorder="1" applyAlignment="1" applyProtection="1">
      <alignment horizontal="right" vertical="center"/>
      <protection/>
    </xf>
    <xf numFmtId="3" fontId="5" fillId="39" borderId="12" xfId="101" applyNumberFormat="1" applyFont="1" applyFill="1" applyBorder="1" applyAlignment="1" applyProtection="1">
      <alignment horizontal="right" vertical="center"/>
      <protection/>
    </xf>
    <xf numFmtId="0" fontId="5" fillId="33" borderId="0" xfId="101" applyFont="1" applyFill="1" applyAlignment="1" applyProtection="1">
      <alignment horizontal="right" vertical="center"/>
      <protection/>
    </xf>
    <xf numFmtId="0" fontId="17" fillId="0" borderId="0" xfId="101" applyFont="1" applyAlignment="1" applyProtection="1">
      <alignment vertical="center"/>
      <protection/>
    </xf>
    <xf numFmtId="195" fontId="37" fillId="44" borderId="25" xfId="101" applyNumberFormat="1" applyFont="1" applyFill="1" applyBorder="1" applyAlignment="1" applyProtection="1">
      <alignment horizontal="center" vertical="center"/>
      <protection/>
    </xf>
    <xf numFmtId="0" fontId="92" fillId="0" borderId="0" xfId="101" applyFont="1" applyProtection="1">
      <alignment/>
      <protection locked="0"/>
    </xf>
    <xf numFmtId="3" fontId="5" fillId="35" borderId="12" xfId="101" applyNumberFormat="1" applyFont="1" applyFill="1" applyBorder="1" applyAlignment="1" applyProtection="1">
      <alignment vertical="center"/>
      <protection locked="0"/>
    </xf>
    <xf numFmtId="0" fontId="41" fillId="0" borderId="0" xfId="101" applyFont="1" applyAlignment="1" applyProtection="1">
      <alignment vertical="center"/>
      <protection/>
    </xf>
    <xf numFmtId="0" fontId="94" fillId="33" borderId="0" xfId="101" applyFont="1" applyFill="1" applyAlignment="1" applyProtection="1">
      <alignment horizontal="center" vertical="center"/>
      <protection/>
    </xf>
    <xf numFmtId="3" fontId="5" fillId="33" borderId="12" xfId="101" applyNumberFormat="1" applyFont="1" applyFill="1" applyBorder="1" applyAlignment="1" applyProtection="1">
      <alignment vertical="center"/>
      <protection/>
    </xf>
    <xf numFmtId="195" fontId="37" fillId="44" borderId="37" xfId="101" applyNumberFormat="1" applyFont="1" applyFill="1" applyBorder="1" applyAlignment="1" applyProtection="1">
      <alignment vertical="center"/>
      <protection/>
    </xf>
    <xf numFmtId="0" fontId="15" fillId="33" borderId="0" xfId="101" applyFont="1" applyFill="1" applyAlignment="1" applyProtection="1">
      <alignment horizontal="center" vertical="center"/>
      <protection/>
    </xf>
    <xf numFmtId="3" fontId="5" fillId="39" borderId="12" xfId="101" applyNumberFormat="1" applyFont="1" applyFill="1" applyBorder="1" applyAlignment="1" applyProtection="1">
      <alignment vertical="center"/>
      <protection/>
    </xf>
    <xf numFmtId="2" fontId="5" fillId="33" borderId="0" xfId="101" applyNumberFormat="1" applyFont="1" applyFill="1" applyAlignment="1" applyProtection="1">
      <alignment horizontal="right" vertical="center"/>
      <protection locked="0"/>
    </xf>
    <xf numFmtId="198" fontId="5" fillId="44" borderId="0" xfId="125" applyNumberFormat="1" applyFont="1" applyFill="1" applyAlignment="1">
      <alignment horizontal="center" vertical="center"/>
      <protection/>
    </xf>
    <xf numFmtId="195" fontId="39" fillId="47" borderId="25" xfId="101" applyNumberFormat="1" applyFont="1" applyFill="1" applyBorder="1" applyAlignment="1" applyProtection="1">
      <alignment horizontal="center" vertical="center"/>
      <protection/>
    </xf>
    <xf numFmtId="0" fontId="39" fillId="47" borderId="10" xfId="101" applyFont="1" applyFill="1" applyBorder="1" applyAlignment="1" applyProtection="1">
      <alignment vertical="center"/>
      <protection/>
    </xf>
    <xf numFmtId="0" fontId="37" fillId="47" borderId="13" xfId="101" applyFont="1" applyFill="1" applyBorder="1" applyAlignment="1" applyProtection="1">
      <alignment vertical="center"/>
      <protection/>
    </xf>
    <xf numFmtId="0" fontId="5" fillId="47" borderId="13" xfId="101" applyFont="1" applyFill="1" applyBorder="1" applyAlignment="1" applyProtection="1">
      <alignment vertical="center"/>
      <protection/>
    </xf>
    <xf numFmtId="3" fontId="4" fillId="40" borderId="23" xfId="101" applyNumberFormat="1" applyFont="1" applyFill="1" applyBorder="1" applyAlignment="1" applyProtection="1">
      <alignment vertical="center"/>
      <protection/>
    </xf>
    <xf numFmtId="0" fontId="5" fillId="35" borderId="0" xfId="101" applyFont="1" applyFill="1" applyAlignment="1" applyProtection="1">
      <alignment horizontal="left" vertical="center"/>
      <protection locked="0"/>
    </xf>
    <xf numFmtId="0" fontId="5" fillId="44" borderId="0" xfId="101" applyFont="1" applyFill="1" applyAlignment="1" applyProtection="1">
      <alignment vertical="center"/>
      <protection/>
    </xf>
    <xf numFmtId="188" fontId="37" fillId="44" borderId="37" xfId="101" applyNumberFormat="1" applyFont="1" applyFill="1" applyBorder="1" applyAlignment="1" applyProtection="1">
      <alignment horizontal="center" vertical="center"/>
      <protection/>
    </xf>
    <xf numFmtId="0" fontId="38" fillId="44" borderId="0" xfId="101" applyFont="1" applyFill="1" applyBorder="1" applyAlignment="1" applyProtection="1">
      <alignment horizontal="center" vertical="center"/>
      <protection/>
    </xf>
    <xf numFmtId="0" fontId="0" fillId="44" borderId="20" xfId="101" applyFill="1" applyBorder="1" applyAlignment="1" applyProtection="1">
      <alignment vertical="center"/>
      <protection/>
    </xf>
    <xf numFmtId="188" fontId="37" fillId="47" borderId="25" xfId="101" applyNumberFormat="1" applyFont="1" applyFill="1" applyBorder="1" applyAlignment="1" applyProtection="1">
      <alignment horizontal="center" vertical="center"/>
      <protection/>
    </xf>
    <xf numFmtId="0" fontId="5" fillId="0" borderId="0" xfId="101" applyFont="1" applyFill="1" applyBorder="1" applyAlignment="1" applyProtection="1">
      <alignment vertical="center"/>
      <protection/>
    </xf>
    <xf numFmtId="195" fontId="5" fillId="0" borderId="0" xfId="101" applyNumberFormat="1" applyFont="1" applyFill="1" applyBorder="1" applyAlignment="1" applyProtection="1">
      <alignment vertical="center"/>
      <protection locked="0"/>
    </xf>
    <xf numFmtId="188" fontId="37" fillId="44" borderId="18" xfId="101" applyNumberFormat="1" applyFont="1" applyFill="1" applyBorder="1" applyAlignment="1" applyProtection="1">
      <alignment horizontal="center" vertical="center"/>
      <protection/>
    </xf>
    <xf numFmtId="195" fontId="5" fillId="0" borderId="0" xfId="101" applyNumberFormat="1" applyFont="1" applyAlignment="1" applyProtection="1">
      <alignment vertical="center"/>
      <protection locked="0"/>
    </xf>
    <xf numFmtId="0" fontId="37" fillId="0" borderId="0" xfId="101" applyFont="1" applyFill="1" applyBorder="1" applyAlignment="1" applyProtection="1">
      <alignment horizontal="left" vertical="center"/>
      <protection/>
    </xf>
    <xf numFmtId="0" fontId="37" fillId="0" borderId="0" xfId="101" applyFont="1" applyFill="1" applyBorder="1" applyAlignment="1" applyProtection="1">
      <alignment vertical="center"/>
      <protection/>
    </xf>
    <xf numFmtId="195" fontId="37" fillId="0" borderId="0" xfId="101" applyNumberFormat="1" applyFont="1" applyFill="1" applyBorder="1" applyAlignment="1" applyProtection="1">
      <alignment horizontal="center" vertical="center"/>
      <protection locked="0"/>
    </xf>
    <xf numFmtId="0" fontId="37" fillId="0" borderId="0" xfId="101" applyFont="1" applyFill="1" applyBorder="1" applyAlignment="1" applyProtection="1">
      <alignment vertical="center"/>
      <protection locked="0"/>
    </xf>
    <xf numFmtId="188" fontId="37" fillId="47" borderId="18" xfId="101" applyNumberFormat="1" applyFont="1" applyFill="1" applyBorder="1" applyAlignment="1" applyProtection="1">
      <alignment horizontal="center" vertical="center"/>
      <protection/>
    </xf>
    <xf numFmtId="3" fontId="5" fillId="0" borderId="0" xfId="101" applyNumberFormat="1" applyFont="1" applyFill="1" applyBorder="1" applyAlignment="1" applyProtection="1">
      <alignment horizontal="left" vertical="center"/>
      <protection locked="0"/>
    </xf>
    <xf numFmtId="6" fontId="5" fillId="0" borderId="0" xfId="101" applyNumberFormat="1" applyFont="1" applyFill="1" applyBorder="1" applyAlignment="1" applyProtection="1">
      <alignment horizontal="left" vertical="center"/>
      <protection locked="0"/>
    </xf>
    <xf numFmtId="0" fontId="37" fillId="44" borderId="10" xfId="101" applyFont="1" applyFill="1" applyBorder="1" applyAlignment="1" applyProtection="1">
      <alignment horizontal="left" vertical="center"/>
      <protection/>
    </xf>
    <xf numFmtId="0" fontId="38" fillId="44" borderId="10" xfId="101" applyFont="1" applyFill="1" applyBorder="1" applyAlignment="1" applyProtection="1">
      <alignment horizontal="center" vertical="center"/>
      <protection/>
    </xf>
    <xf numFmtId="0" fontId="0" fillId="44" borderId="13" xfId="101" applyFill="1" applyBorder="1" applyAlignment="1" applyProtection="1">
      <alignment vertical="center"/>
      <protection/>
    </xf>
    <xf numFmtId="188" fontId="37" fillId="0" borderId="0" xfId="101" applyNumberFormat="1" applyFont="1" applyFill="1" applyBorder="1" applyAlignment="1" applyProtection="1">
      <alignment horizontal="center" vertical="center"/>
      <protection locked="0"/>
    </xf>
    <xf numFmtId="0" fontId="39" fillId="0" borderId="0" xfId="101" applyFont="1" applyFill="1" applyBorder="1" applyAlignment="1" applyProtection="1">
      <alignment horizontal="center" vertical="center"/>
      <protection/>
    </xf>
    <xf numFmtId="195" fontId="39" fillId="0" borderId="0" xfId="101" applyNumberFormat="1" applyFont="1" applyFill="1" applyBorder="1" applyAlignment="1" applyProtection="1">
      <alignment horizontal="center" vertical="center"/>
      <protection/>
    </xf>
    <xf numFmtId="3" fontId="94" fillId="0" borderId="0" xfId="101" applyNumberFormat="1" applyFont="1" applyFill="1" applyBorder="1" applyAlignment="1" applyProtection="1">
      <alignment horizontal="center" vertical="center"/>
      <protection locked="0"/>
    </xf>
    <xf numFmtId="0" fontId="94" fillId="0" borderId="0" xfId="101" applyFont="1" applyFill="1" applyBorder="1" applyAlignment="1" applyProtection="1">
      <alignment horizontal="center" vertical="center"/>
      <protection locked="0"/>
    </xf>
    <xf numFmtId="0" fontId="94" fillId="0" borderId="0" xfId="101" applyFont="1" applyAlignment="1" applyProtection="1">
      <alignment horizontal="center" vertical="center"/>
      <protection locked="0"/>
    </xf>
    <xf numFmtId="0" fontId="5" fillId="44" borderId="0" xfId="101" applyFont="1" applyFill="1">
      <alignment/>
      <protection/>
    </xf>
    <xf numFmtId="0" fontId="0" fillId="0" borderId="0" xfId="101">
      <alignment/>
      <protection/>
    </xf>
    <xf numFmtId="0" fontId="5" fillId="44" borderId="0" xfId="101" applyFont="1" applyFill="1" applyAlignment="1">
      <alignment vertical="center"/>
      <protection/>
    </xf>
    <xf numFmtId="37" fontId="5" fillId="44" borderId="0" xfId="101" applyNumberFormat="1" applyFont="1" applyFill="1" applyAlignment="1">
      <alignment vertical="center"/>
      <protection/>
    </xf>
    <xf numFmtId="0" fontId="5" fillId="44" borderId="10" xfId="101" applyFont="1" applyFill="1" applyBorder="1" applyAlignment="1">
      <alignment vertical="center"/>
      <protection/>
    </xf>
    <xf numFmtId="0" fontId="5" fillId="44" borderId="0" xfId="101" applyFont="1" applyFill="1" applyAlignment="1">
      <alignment horizontal="center" vertical="center"/>
      <protection/>
    </xf>
    <xf numFmtId="0" fontId="6" fillId="44" borderId="0" xfId="101" applyFont="1" applyFill="1" applyAlignment="1">
      <alignment horizontal="center" vertical="center"/>
      <protection/>
    </xf>
    <xf numFmtId="195" fontId="5" fillId="44" borderId="0" xfId="101" applyNumberFormat="1" applyFont="1" applyFill="1" applyAlignment="1">
      <alignment vertical="center"/>
      <protection/>
    </xf>
    <xf numFmtId="195" fontId="5" fillId="44" borderId="17" xfId="101" applyNumberFormat="1" applyFont="1" applyFill="1" applyBorder="1" applyAlignment="1">
      <alignment vertical="center"/>
      <protection/>
    </xf>
    <xf numFmtId="6" fontId="5" fillId="44" borderId="0" xfId="101" applyNumberFormat="1" applyFont="1" applyFill="1" applyBorder="1" applyAlignment="1">
      <alignment vertical="center"/>
      <protection/>
    </xf>
    <xf numFmtId="195" fontId="5" fillId="44" borderId="0" xfId="101" applyNumberFormat="1" applyFont="1" applyFill="1" applyBorder="1" applyAlignment="1">
      <alignment vertical="center"/>
      <protection/>
    </xf>
    <xf numFmtId="0" fontId="93" fillId="47" borderId="0" xfId="101" applyFont="1" applyFill="1" applyAlignment="1">
      <alignment vertical="center"/>
      <protection/>
    </xf>
    <xf numFmtId="0" fontId="93" fillId="44" borderId="0" xfId="101" applyFont="1" applyFill="1" applyAlignment="1">
      <alignment horizontal="center" vertical="center"/>
      <protection/>
    </xf>
    <xf numFmtId="188" fontId="5" fillId="44" borderId="0" xfId="101" applyNumberFormat="1" applyFont="1" applyFill="1" applyAlignment="1">
      <alignment horizontal="center" vertical="center"/>
      <protection/>
    </xf>
    <xf numFmtId="199" fontId="93" fillId="44" borderId="0" xfId="101" applyNumberFormat="1" applyFont="1" applyFill="1" applyAlignment="1">
      <alignment horizontal="center" vertical="center"/>
      <protection/>
    </xf>
    <xf numFmtId="0" fontId="93" fillId="47" borderId="0" xfId="101" applyFont="1" applyFill="1" applyAlignment="1">
      <alignment horizontal="center" vertical="center"/>
      <protection/>
    </xf>
    <xf numFmtId="0" fontId="99" fillId="47" borderId="0" xfId="101" applyFont="1" applyFill="1" applyAlignment="1">
      <alignment horizontal="center" vertical="center"/>
      <protection/>
    </xf>
    <xf numFmtId="0" fontId="5" fillId="44" borderId="0" xfId="101" applyFont="1" applyFill="1" applyAlignment="1">
      <alignment horizontal="right" vertical="center"/>
      <protection/>
    </xf>
    <xf numFmtId="0" fontId="5" fillId="44" borderId="0" xfId="101" applyFont="1" applyFill="1" applyAlignment="1">
      <alignment horizontal="left" vertical="center"/>
      <protection/>
    </xf>
    <xf numFmtId="0" fontId="5" fillId="44" borderId="0" xfId="91" applyFont="1" applyFill="1">
      <alignment/>
      <protection/>
    </xf>
    <xf numFmtId="0" fontId="0" fillId="44" borderId="0" xfId="101" applyFill="1">
      <alignment/>
      <protection/>
    </xf>
    <xf numFmtId="0" fontId="4" fillId="44" borderId="0" xfId="91" applyFont="1" applyFill="1">
      <alignment/>
      <protection/>
    </xf>
    <xf numFmtId="0" fontId="0" fillId="44" borderId="0" xfId="91" applyFill="1">
      <alignment/>
      <protection/>
    </xf>
    <xf numFmtId="0" fontId="11" fillId="0" borderId="0" xfId="71" applyAlignment="1" applyProtection="1">
      <alignment/>
      <protection/>
    </xf>
    <xf numFmtId="0" fontId="5" fillId="33" borderId="19" xfId="0" applyFont="1" applyFill="1" applyBorder="1" applyAlignment="1" applyProtection="1">
      <alignment/>
      <protection/>
    </xf>
    <xf numFmtId="0" fontId="8" fillId="33" borderId="14" xfId="0" applyFont="1" applyFill="1" applyBorder="1" applyAlignment="1" applyProtection="1">
      <alignment horizontal="center" vertical="center"/>
      <protection/>
    </xf>
    <xf numFmtId="14" fontId="5" fillId="33" borderId="14" xfId="0" applyNumberFormat="1" applyFont="1" applyFill="1" applyBorder="1" applyAlignment="1" applyProtection="1" quotePrefix="1">
      <alignment horizontal="center" vertical="center"/>
      <protection/>
    </xf>
    <xf numFmtId="3" fontId="4" fillId="39" borderId="23" xfId="0" applyNumberFormat="1" applyFont="1" applyFill="1" applyBorder="1" applyAlignment="1" applyProtection="1">
      <alignment horizontal="center" vertical="center"/>
      <protection/>
    </xf>
    <xf numFmtId="1" fontId="5" fillId="35" borderId="12" xfId="0" applyNumberFormat="1" applyFont="1" applyFill="1" applyBorder="1" applyAlignment="1" applyProtection="1">
      <alignment horizontal="center" vertical="center"/>
      <protection locked="0"/>
    </xf>
    <xf numFmtId="0" fontId="37" fillId="0" borderId="0" xfId="120" applyFont="1" applyFill="1" applyBorder="1" applyAlignment="1" applyProtection="1">
      <alignment vertical="center"/>
      <protection/>
    </xf>
    <xf numFmtId="0" fontId="5" fillId="0" borderId="0" xfId="120" applyFont="1" applyFill="1" applyBorder="1" applyAlignment="1" applyProtection="1">
      <alignment vertical="center"/>
      <protection locked="0"/>
    </xf>
    <xf numFmtId="0" fontId="37" fillId="0" borderId="0" xfId="120" applyFont="1" applyFill="1" applyBorder="1" applyAlignment="1" applyProtection="1">
      <alignment vertical="center"/>
      <protection locked="0"/>
    </xf>
    <xf numFmtId="188" fontId="37" fillId="0" borderId="0" xfId="120" applyNumberFormat="1" applyFont="1" applyFill="1" applyBorder="1" applyAlignment="1" applyProtection="1">
      <alignment horizontal="center" vertical="center"/>
      <protection locked="0"/>
    </xf>
    <xf numFmtId="195" fontId="39" fillId="0" borderId="0" xfId="120" applyNumberFormat="1" applyFont="1" applyFill="1" applyBorder="1" applyAlignment="1" applyProtection="1">
      <alignment horizontal="center" vertical="center"/>
      <protection locked="0"/>
    </xf>
    <xf numFmtId="198" fontId="5" fillId="33" borderId="0" xfId="563" applyNumberFormat="1" applyFont="1" applyFill="1" applyAlignment="1" applyProtection="1">
      <alignment horizontal="center" vertical="center"/>
      <protection/>
    </xf>
    <xf numFmtId="3" fontId="5" fillId="41" borderId="23" xfId="0" applyNumberFormat="1" applyFont="1" applyFill="1" applyBorder="1" applyAlignment="1" applyProtection="1">
      <alignment vertical="center"/>
      <protection/>
    </xf>
    <xf numFmtId="3" fontId="5" fillId="40" borderId="23" xfId="120" applyNumberFormat="1" applyFont="1" applyFill="1" applyBorder="1" applyAlignment="1" applyProtection="1">
      <alignment vertical="center"/>
      <protection/>
    </xf>
    <xf numFmtId="3" fontId="5" fillId="40" borderId="23" xfId="0" applyNumberFormat="1" applyFont="1" applyFill="1" applyBorder="1" applyAlignment="1" applyProtection="1">
      <alignment vertical="center"/>
      <protection/>
    </xf>
    <xf numFmtId="0" fontId="5" fillId="0" borderId="0" xfId="0" applyFont="1" applyBorder="1" applyAlignment="1" applyProtection="1">
      <alignment vertical="center"/>
      <protection locked="0"/>
    </xf>
    <xf numFmtId="0" fontId="5" fillId="33" borderId="0" xfId="0" applyFont="1" applyFill="1" applyBorder="1" applyAlignment="1" applyProtection="1">
      <alignment vertical="center"/>
      <protection locked="0"/>
    </xf>
    <xf numFmtId="37" fontId="5" fillId="33" borderId="0" xfId="0" applyNumberFormat="1" applyFont="1" applyFill="1" applyBorder="1" applyAlignment="1" applyProtection="1">
      <alignment horizontal="fill" vertical="center"/>
      <protection locked="0"/>
    </xf>
    <xf numFmtId="37" fontId="5" fillId="33" borderId="0" xfId="0" applyNumberFormat="1" applyFont="1" applyFill="1" applyBorder="1" applyAlignment="1" applyProtection="1">
      <alignment horizontal="centerContinuous" vertical="center"/>
      <protection/>
    </xf>
    <xf numFmtId="37" fontId="5" fillId="42" borderId="10" xfId="0" applyNumberFormat="1"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37" fontId="5" fillId="33" borderId="0" xfId="0" applyNumberFormat="1" applyFont="1" applyFill="1" applyBorder="1" applyAlignment="1" applyProtection="1">
      <alignment horizontal="center" vertical="center"/>
      <protection/>
    </xf>
    <xf numFmtId="0" fontId="5" fillId="33" borderId="25" xfId="0" applyFont="1" applyFill="1" applyBorder="1" applyAlignment="1" applyProtection="1">
      <alignment vertical="center"/>
      <protection/>
    </xf>
    <xf numFmtId="0" fontId="5" fillId="33" borderId="0" xfId="0" applyFont="1" applyFill="1" applyAlignment="1" applyProtection="1">
      <alignment/>
      <protection locked="0"/>
    </xf>
    <xf numFmtId="198" fontId="5" fillId="35" borderId="12" xfId="0" applyNumberFormat="1" applyFont="1" applyFill="1" applyBorder="1" applyAlignment="1" applyProtection="1">
      <alignment vertical="center"/>
      <protection locked="0"/>
    </xf>
    <xf numFmtId="198" fontId="5" fillId="35" borderId="14" xfId="0" applyNumberFormat="1" applyFont="1" applyFill="1" applyBorder="1" applyAlignment="1" applyProtection="1">
      <alignment vertical="center"/>
      <protection locked="0"/>
    </xf>
    <xf numFmtId="0" fontId="5" fillId="44" borderId="37" xfId="120" applyFont="1" applyFill="1" applyBorder="1" applyAlignment="1" applyProtection="1">
      <alignment vertical="center"/>
      <protection/>
    </xf>
    <xf numFmtId="0" fontId="5" fillId="44" borderId="0" xfId="120" applyFont="1" applyFill="1" applyBorder="1" applyAlignment="1" applyProtection="1">
      <alignment vertical="center"/>
      <protection/>
    </xf>
    <xf numFmtId="0" fontId="5" fillId="44" borderId="20" xfId="120" applyFont="1" applyFill="1" applyBorder="1" applyAlignment="1" applyProtection="1">
      <alignment vertical="center"/>
      <protection/>
    </xf>
    <xf numFmtId="0" fontId="37" fillId="44" borderId="37" xfId="120" applyFont="1" applyFill="1" applyBorder="1" applyAlignment="1" applyProtection="1">
      <alignment horizontal="left" vertical="center"/>
      <protection/>
    </xf>
    <xf numFmtId="0" fontId="37" fillId="44" borderId="0" xfId="120" applyFont="1" applyFill="1" applyBorder="1" applyAlignment="1" applyProtection="1">
      <alignment vertical="center"/>
      <protection/>
    </xf>
    <xf numFmtId="195" fontId="37" fillId="45" borderId="12" xfId="120" applyNumberFormat="1" applyFont="1" applyFill="1" applyBorder="1" applyAlignment="1" applyProtection="1">
      <alignment horizontal="center" vertical="center"/>
      <protection locked="0"/>
    </xf>
    <xf numFmtId="0" fontId="37" fillId="44" borderId="37" xfId="120" applyFont="1" applyFill="1" applyBorder="1" applyAlignment="1" applyProtection="1">
      <alignment vertical="center"/>
      <protection/>
    </xf>
    <xf numFmtId="0" fontId="5" fillId="44" borderId="0" xfId="120" applyFont="1" applyFill="1" applyBorder="1" applyAlignment="1" applyProtection="1">
      <alignment vertical="center"/>
      <protection locked="0"/>
    </xf>
    <xf numFmtId="0" fontId="37" fillId="44" borderId="0" xfId="120" applyFont="1" applyFill="1" applyBorder="1" applyAlignment="1" applyProtection="1">
      <alignment vertical="center"/>
      <protection locked="0"/>
    </xf>
    <xf numFmtId="188" fontId="37" fillId="44" borderId="16" xfId="120" applyNumberFormat="1" applyFont="1" applyFill="1" applyBorder="1" applyAlignment="1" applyProtection="1">
      <alignment horizontal="center" vertical="center"/>
      <protection locked="0"/>
    </xf>
    <xf numFmtId="0" fontId="39" fillId="47" borderId="37" xfId="120" applyFont="1" applyFill="1" applyBorder="1" applyAlignment="1" applyProtection="1">
      <alignment vertical="center"/>
      <protection locked="0"/>
    </xf>
    <xf numFmtId="0" fontId="5" fillId="47" borderId="0" xfId="120" applyFont="1" applyFill="1" applyBorder="1" applyAlignment="1" applyProtection="1">
      <alignment vertical="center"/>
      <protection locked="0"/>
    </xf>
    <xf numFmtId="0" fontId="37" fillId="47" borderId="0" xfId="120" applyFont="1" applyFill="1" applyBorder="1" applyAlignment="1" applyProtection="1">
      <alignment vertical="center"/>
      <protection locked="0"/>
    </xf>
    <xf numFmtId="195" fontId="39" fillId="47" borderId="13" xfId="120" applyNumberFormat="1" applyFont="1" applyFill="1" applyBorder="1" applyAlignment="1" applyProtection="1">
      <alignment horizontal="center" vertical="center"/>
      <protection locked="0"/>
    </xf>
    <xf numFmtId="0" fontId="37" fillId="44" borderId="25" xfId="0" applyFont="1" applyFill="1" applyBorder="1" applyAlignment="1" applyProtection="1">
      <alignment vertical="center"/>
      <protection locked="0"/>
    </xf>
    <xf numFmtId="0" fontId="37" fillId="44" borderId="10" xfId="0" applyFont="1" applyFill="1" applyBorder="1" applyAlignment="1" applyProtection="1">
      <alignment vertical="center"/>
      <protection locked="0"/>
    </xf>
    <xf numFmtId="0" fontId="5" fillId="44" borderId="10" xfId="0" applyFont="1" applyFill="1" applyBorder="1" applyAlignment="1" applyProtection="1">
      <alignment vertical="center"/>
      <protection locked="0"/>
    </xf>
    <xf numFmtId="195" fontId="39" fillId="47" borderId="13" xfId="0" applyNumberFormat="1" applyFont="1" applyFill="1" applyBorder="1" applyAlignment="1" applyProtection="1">
      <alignment horizontal="center" vertical="center"/>
      <protection locked="0"/>
    </xf>
    <xf numFmtId="195" fontId="37" fillId="44" borderId="37" xfId="120" applyNumberFormat="1" applyFont="1" applyFill="1" applyBorder="1" applyAlignment="1" applyProtection="1">
      <alignment horizontal="center" vertical="center"/>
      <protection/>
    </xf>
    <xf numFmtId="0" fontId="37" fillId="44" borderId="0" xfId="120" applyFont="1" applyFill="1" applyBorder="1" applyAlignment="1" applyProtection="1">
      <alignment horizontal="left" vertical="center"/>
      <protection/>
    </xf>
    <xf numFmtId="0" fontId="37" fillId="44" borderId="20" xfId="120" applyFont="1" applyFill="1" applyBorder="1" applyAlignment="1" applyProtection="1">
      <alignment vertical="center"/>
      <protection/>
    </xf>
    <xf numFmtId="195" fontId="37" fillId="44" borderId="25" xfId="120" applyNumberFormat="1" applyFont="1" applyFill="1" applyBorder="1" applyAlignment="1" applyProtection="1">
      <alignment horizontal="center" vertical="center"/>
      <protection/>
    </xf>
    <xf numFmtId="0" fontId="92" fillId="0" borderId="0" xfId="0" applyFont="1" applyAlignment="1" applyProtection="1">
      <alignment/>
      <protection locked="0"/>
    </xf>
    <xf numFmtId="195" fontId="37" fillId="44" borderId="37" xfId="120" applyNumberFormat="1" applyFont="1" applyFill="1" applyBorder="1" applyAlignment="1" applyProtection="1">
      <alignment vertical="center"/>
      <protection/>
    </xf>
    <xf numFmtId="195" fontId="39" fillId="47" borderId="25" xfId="120" applyNumberFormat="1" applyFont="1" applyFill="1" applyBorder="1" applyAlignment="1" applyProtection="1">
      <alignment horizontal="center" vertical="center"/>
      <protection/>
    </xf>
    <xf numFmtId="0" fontId="39" fillId="47" borderId="10" xfId="120" applyFont="1" applyFill="1" applyBorder="1" applyAlignment="1" applyProtection="1">
      <alignment vertical="center"/>
      <protection/>
    </xf>
    <xf numFmtId="0" fontId="37" fillId="47" borderId="13" xfId="120" applyFont="1" applyFill="1" applyBorder="1" applyAlignment="1" applyProtection="1">
      <alignment vertical="center"/>
      <protection/>
    </xf>
    <xf numFmtId="0" fontId="5" fillId="47" borderId="13" xfId="120" applyFont="1" applyFill="1" applyBorder="1" applyAlignment="1" applyProtection="1">
      <alignment vertical="center"/>
      <protection/>
    </xf>
    <xf numFmtId="188" fontId="37" fillId="44" borderId="37" xfId="0" applyNumberFormat="1" applyFont="1" applyFill="1" applyBorder="1" applyAlignment="1" applyProtection="1">
      <alignment horizontal="center" vertical="center"/>
      <protection/>
    </xf>
    <xf numFmtId="0" fontId="37" fillId="44" borderId="0" xfId="0" applyFont="1" applyFill="1" applyBorder="1" applyAlignment="1" applyProtection="1">
      <alignment horizontal="left" vertical="center"/>
      <protection/>
    </xf>
    <xf numFmtId="0" fontId="38" fillId="44" borderId="0" xfId="0" applyFont="1" applyFill="1" applyBorder="1" applyAlignment="1" applyProtection="1">
      <alignment horizontal="center" vertical="center"/>
      <protection/>
    </xf>
    <xf numFmtId="0" fontId="0" fillId="44" borderId="20"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4" borderId="18" xfId="0" applyNumberFormat="1" applyFont="1" applyFill="1" applyBorder="1" applyAlignment="1" applyProtection="1">
      <alignment horizontal="center" vertical="center"/>
      <protection/>
    </xf>
    <xf numFmtId="188" fontId="37" fillId="47" borderId="18" xfId="0" applyNumberFormat="1" applyFont="1" applyFill="1" applyBorder="1" applyAlignment="1" applyProtection="1">
      <alignment horizontal="center" vertical="center"/>
      <protection/>
    </xf>
    <xf numFmtId="0" fontId="37" fillId="44" borderId="10" xfId="0" applyFont="1" applyFill="1" applyBorder="1" applyAlignment="1" applyProtection="1">
      <alignment horizontal="left" vertical="center"/>
      <protection/>
    </xf>
    <xf numFmtId="0" fontId="38" fillId="44" borderId="10" xfId="0" applyFont="1" applyFill="1" applyBorder="1" applyAlignment="1" applyProtection="1">
      <alignment horizontal="center" vertical="center"/>
      <protection/>
    </xf>
    <xf numFmtId="0" fontId="0" fillId="44" borderId="13" xfId="0" applyFill="1" applyBorder="1" applyAlignment="1" applyProtection="1">
      <alignment vertical="center"/>
      <protection/>
    </xf>
    <xf numFmtId="0" fontId="37" fillId="44" borderId="37" xfId="0" applyFont="1" applyFill="1" applyBorder="1" applyAlignment="1" applyProtection="1">
      <alignment vertical="center"/>
      <protection/>
    </xf>
    <xf numFmtId="0" fontId="5" fillId="44" borderId="0" xfId="0" applyFont="1" applyFill="1" applyBorder="1" applyAlignment="1" applyProtection="1">
      <alignment vertical="center"/>
      <protection/>
    </xf>
    <xf numFmtId="0" fontId="37" fillId="44" borderId="0" xfId="0" applyFont="1" applyFill="1" applyBorder="1" applyAlignment="1" applyProtection="1">
      <alignment vertical="center"/>
      <protection/>
    </xf>
    <xf numFmtId="195" fontId="37" fillId="44" borderId="20" xfId="0" applyNumberFormat="1" applyFont="1" applyFill="1" applyBorder="1" applyAlignment="1" applyProtection="1">
      <alignment horizontal="center" vertical="center"/>
      <protection/>
    </xf>
    <xf numFmtId="0" fontId="37" fillId="44" borderId="37" xfId="0" applyFont="1" applyFill="1" applyBorder="1" applyAlignment="1" applyProtection="1">
      <alignment horizontal="left" vertical="center"/>
      <protection/>
    </xf>
    <xf numFmtId="195" fontId="37" fillId="45" borderId="12" xfId="0" applyNumberFormat="1" applyFont="1" applyFill="1" applyBorder="1" applyAlignment="1" applyProtection="1">
      <alignment horizontal="center" vertical="center"/>
      <protection locked="0"/>
    </xf>
    <xf numFmtId="188" fontId="39" fillId="44" borderId="16" xfId="0" applyNumberFormat="1" applyFont="1" applyFill="1" applyBorder="1" applyAlignment="1" applyProtection="1">
      <alignment horizontal="center" vertical="center"/>
      <protection/>
    </xf>
    <xf numFmtId="0" fontId="39" fillId="47" borderId="37"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6" xfId="0" applyNumberFormat="1" applyFont="1" applyFill="1" applyBorder="1" applyAlignment="1" applyProtection="1">
      <alignment horizontal="center" vertical="center"/>
      <protection/>
    </xf>
    <xf numFmtId="37" fontId="37" fillId="33" borderId="25" xfId="0" applyNumberFormat="1" applyFont="1" applyFill="1" applyBorder="1" applyAlignment="1" applyProtection="1">
      <alignment horizontal="left" vertical="center"/>
      <protection/>
    </xf>
    <xf numFmtId="0" fontId="40" fillId="44" borderId="10" xfId="0" applyFont="1" applyFill="1" applyBorder="1" applyAlignment="1">
      <alignment horizontal="left" vertical="center"/>
    </xf>
    <xf numFmtId="0" fontId="5" fillId="44" borderId="37" xfId="120" applyFont="1" applyFill="1" applyBorder="1" applyAlignment="1" applyProtection="1">
      <alignment vertical="center"/>
      <protection locked="0"/>
    </xf>
    <xf numFmtId="0" fontId="5" fillId="44" borderId="20" xfId="0" applyFont="1" applyFill="1" applyBorder="1" applyAlignment="1" applyProtection="1">
      <alignment vertical="center"/>
      <protection locked="0"/>
    </xf>
    <xf numFmtId="195" fontId="13" fillId="44" borderId="37" xfId="120" applyNumberFormat="1" applyFont="1" applyFill="1" applyBorder="1" applyAlignment="1" applyProtection="1">
      <alignment horizontal="center" vertical="center"/>
      <protection locked="0"/>
    </xf>
    <xf numFmtId="0" fontId="13" fillId="44" borderId="0" xfId="120" applyFont="1" applyFill="1" applyBorder="1" applyAlignment="1" applyProtection="1">
      <alignment horizontal="left" vertical="center"/>
      <protection locked="0"/>
    </xf>
    <xf numFmtId="0" fontId="5" fillId="44" borderId="20" xfId="120" applyFont="1" applyFill="1" applyBorder="1" applyAlignment="1" applyProtection="1">
      <alignment vertical="center"/>
      <protection locked="0"/>
    </xf>
    <xf numFmtId="0" fontId="13" fillId="44" borderId="0" xfId="120" applyFont="1" applyFill="1" applyBorder="1" applyAlignment="1" applyProtection="1">
      <alignment vertical="center"/>
      <protection locked="0"/>
    </xf>
    <xf numFmtId="195" fontId="13" fillId="44" borderId="25" xfId="120" applyNumberFormat="1" applyFont="1" applyFill="1" applyBorder="1" applyAlignment="1" applyProtection="1">
      <alignment horizontal="center" vertical="center"/>
      <protection locked="0"/>
    </xf>
    <xf numFmtId="195" fontId="13" fillId="44" borderId="37" xfId="120" applyNumberFormat="1" applyFont="1" applyFill="1" applyBorder="1" applyAlignment="1" applyProtection="1">
      <alignment vertical="center"/>
      <protection locked="0"/>
    </xf>
    <xf numFmtId="195" fontId="13" fillId="47" borderId="25" xfId="120" applyNumberFormat="1" applyFont="1" applyFill="1" applyBorder="1" applyAlignment="1" applyProtection="1">
      <alignment horizontal="center" vertical="center"/>
      <protection locked="0"/>
    </xf>
    <xf numFmtId="0" fontId="13" fillId="47" borderId="10" xfId="120" applyFont="1" applyFill="1" applyBorder="1" applyAlignment="1" applyProtection="1">
      <alignment vertical="center"/>
      <protection locked="0"/>
    </xf>
    <xf numFmtId="0" fontId="5" fillId="47" borderId="13" xfId="120" applyFont="1" applyFill="1" applyBorder="1" applyAlignment="1" applyProtection="1">
      <alignment vertical="center"/>
      <protection locked="0"/>
    </xf>
    <xf numFmtId="0" fontId="5" fillId="47" borderId="13" xfId="0" applyFont="1" applyFill="1" applyBorder="1" applyAlignment="1" applyProtection="1">
      <alignment vertical="center"/>
      <protection locked="0"/>
    </xf>
    <xf numFmtId="0" fontId="5" fillId="44" borderId="37" xfId="0" applyFont="1" applyFill="1" applyBorder="1" applyAlignment="1" applyProtection="1">
      <alignment vertical="center"/>
      <protection/>
    </xf>
    <xf numFmtId="0" fontId="5" fillId="44" borderId="20" xfId="0" applyFont="1" applyFill="1" applyBorder="1" applyAlignment="1" applyProtection="1">
      <alignment/>
      <protection locked="0"/>
    </xf>
    <xf numFmtId="195" fontId="37" fillId="44" borderId="37" xfId="0" applyNumberFormat="1" applyFont="1" applyFill="1" applyBorder="1" applyAlignment="1" applyProtection="1">
      <alignment horizontal="center" vertical="center"/>
      <protection/>
    </xf>
    <xf numFmtId="0" fontId="37" fillId="44" borderId="20" xfId="0" applyFont="1" applyFill="1" applyBorder="1" applyAlignment="1" applyProtection="1">
      <alignment vertical="center"/>
      <protection/>
    </xf>
    <xf numFmtId="195" fontId="37" fillId="44" borderId="25" xfId="0" applyNumberFormat="1" applyFont="1" applyFill="1" applyBorder="1" applyAlignment="1" applyProtection="1">
      <alignment horizontal="center" vertical="center"/>
      <protection/>
    </xf>
    <xf numFmtId="0" fontId="43" fillId="0" borderId="0" xfId="0" applyFont="1" applyAlignment="1" applyProtection="1">
      <alignment horizontal="right" vertical="center"/>
      <protection/>
    </xf>
    <xf numFmtId="195" fontId="13" fillId="44" borderId="37" xfId="0" applyNumberFormat="1" applyFont="1" applyFill="1" applyBorder="1" applyAlignment="1" applyProtection="1">
      <alignment horizontal="center" vertical="center"/>
      <protection/>
    </xf>
    <xf numFmtId="0" fontId="5" fillId="44" borderId="20" xfId="0" applyFont="1" applyFill="1" applyBorder="1" applyAlignment="1" applyProtection="1">
      <alignment vertical="center"/>
      <protection/>
    </xf>
    <xf numFmtId="195" fontId="13" fillId="44" borderId="37" xfId="0" applyNumberFormat="1" applyFont="1" applyFill="1" applyBorder="1" applyAlignment="1" applyProtection="1">
      <alignment vertical="center"/>
      <protection/>
    </xf>
    <xf numFmtId="0" fontId="13" fillId="44" borderId="0" xfId="0" applyFont="1" applyFill="1" applyBorder="1" applyAlignment="1" applyProtection="1">
      <alignment vertical="center"/>
      <protection/>
    </xf>
    <xf numFmtId="195" fontId="13" fillId="44"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0" xfId="0" applyFont="1" applyFill="1" applyBorder="1" applyAlignment="1" applyProtection="1">
      <alignment vertical="center"/>
      <protection/>
    </xf>
    <xf numFmtId="0" fontId="5" fillId="47" borderId="13" xfId="0" applyFont="1" applyFill="1" applyBorder="1" applyAlignment="1" applyProtection="1">
      <alignment vertical="center"/>
      <protection/>
    </xf>
    <xf numFmtId="0" fontId="5" fillId="47" borderId="13" xfId="0" applyFont="1" applyFill="1" applyBorder="1" applyAlignment="1" applyProtection="1">
      <alignment/>
      <protection locked="0"/>
    </xf>
    <xf numFmtId="0" fontId="92" fillId="0" borderId="0" xfId="0" applyFont="1" applyAlignment="1">
      <alignment/>
    </xf>
    <xf numFmtId="0" fontId="5" fillId="0" borderId="0" xfId="0" applyFont="1" applyBorder="1" applyAlignment="1" applyProtection="1">
      <alignment/>
      <protection locked="0"/>
    </xf>
    <xf numFmtId="188" fontId="37"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95" fontId="37" fillId="44" borderId="37"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0" xfId="0" applyFont="1" applyFill="1" applyBorder="1" applyAlignment="1" applyProtection="1">
      <alignment vertical="center"/>
      <protection/>
    </xf>
    <xf numFmtId="0" fontId="37" fillId="47" borderId="13" xfId="0" applyFont="1" applyFill="1" applyBorder="1" applyAlignment="1" applyProtection="1">
      <alignment vertical="center"/>
      <protection/>
    </xf>
    <xf numFmtId="3" fontId="5" fillId="33" borderId="12" xfId="0" applyNumberFormat="1" applyFont="1" applyFill="1" applyBorder="1" applyAlignment="1" applyProtection="1">
      <alignment horizontal="right"/>
      <protection/>
    </xf>
    <xf numFmtId="3" fontId="5" fillId="33" borderId="12" xfId="0" applyNumberFormat="1" applyFont="1" applyFill="1" applyBorder="1" applyAlignment="1" applyProtection="1">
      <alignment horizontal="right" vertical="center"/>
      <protection/>
    </xf>
    <xf numFmtId="188" fontId="5" fillId="33" borderId="12" xfId="0" applyNumberFormat="1" applyFont="1" applyFill="1" applyBorder="1" applyAlignment="1" applyProtection="1">
      <alignment horizontal="right" vertical="center"/>
      <protection/>
    </xf>
    <xf numFmtId="178" fontId="5" fillId="33" borderId="12" xfId="0" applyNumberFormat="1" applyFont="1" applyFill="1" applyBorder="1" applyAlignment="1" applyProtection="1">
      <alignment horizontal="right" vertical="center"/>
      <protection/>
    </xf>
    <xf numFmtId="38" fontId="5" fillId="33" borderId="12" xfId="0" applyNumberFormat="1" applyFont="1" applyFill="1" applyBorder="1" applyAlignment="1" applyProtection="1">
      <alignment horizontal="right"/>
      <protection/>
    </xf>
    <xf numFmtId="38" fontId="5" fillId="33" borderId="12" xfId="0" applyNumberFormat="1" applyFont="1" applyFill="1" applyBorder="1" applyAlignment="1" applyProtection="1">
      <alignment horizontal="right" vertical="center"/>
      <protection/>
    </xf>
    <xf numFmtId="200" fontId="5" fillId="33" borderId="12" xfId="0" applyNumberFormat="1" applyFont="1" applyFill="1" applyBorder="1" applyAlignment="1" applyProtection="1">
      <alignment horizontal="right" vertical="center"/>
      <protection/>
    </xf>
    <xf numFmtId="3" fontId="5" fillId="33" borderId="14" xfId="0" applyNumberFormat="1" applyFont="1" applyFill="1" applyBorder="1" applyAlignment="1" applyProtection="1">
      <alignment horizontal="right" vertical="center"/>
      <protection/>
    </xf>
    <xf numFmtId="188" fontId="5" fillId="33" borderId="14" xfId="0" applyNumberFormat="1"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protection/>
    </xf>
    <xf numFmtId="178" fontId="5" fillId="42" borderId="12" xfId="0" applyNumberFormat="1" applyFont="1" applyFill="1" applyBorder="1" applyAlignment="1" applyProtection="1">
      <alignment horizontal="right"/>
      <protection/>
    </xf>
    <xf numFmtId="3" fontId="5" fillId="33" borderId="23" xfId="0" applyNumberFormat="1" applyFont="1" applyFill="1" applyBorder="1" applyAlignment="1" applyProtection="1">
      <alignment horizontal="right" vertical="center"/>
      <protection/>
    </xf>
    <xf numFmtId="0" fontId="5" fillId="33" borderId="11" xfId="0"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xf>
    <xf numFmtId="197" fontId="5" fillId="33" borderId="12" xfId="0" applyNumberFormat="1" applyFont="1" applyFill="1" applyBorder="1" applyAlignment="1" applyProtection="1">
      <alignment horizontal="right" vertical="center"/>
      <protection/>
    </xf>
    <xf numFmtId="0" fontId="5" fillId="33" borderId="12" xfId="0" applyFont="1" applyFill="1" applyBorder="1" applyAlignment="1" applyProtection="1">
      <alignment horizontal="right" vertical="center"/>
      <protection/>
    </xf>
    <xf numFmtId="3" fontId="5" fillId="33" borderId="38" xfId="0" applyNumberFormat="1" applyFont="1" applyFill="1" applyBorder="1" applyAlignment="1" applyProtection="1">
      <alignment horizontal="right" vertical="center"/>
      <protection/>
    </xf>
    <xf numFmtId="0" fontId="5" fillId="33"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3" fontId="5" fillId="39" borderId="23" xfId="120" applyNumberFormat="1" applyFont="1" applyFill="1" applyBorder="1" applyAlignment="1" applyProtection="1">
      <alignment horizontal="right" vertical="center"/>
      <protection/>
    </xf>
    <xf numFmtId="188" fontId="5" fillId="39" borderId="11" xfId="120" applyNumberFormat="1" applyFont="1" applyFill="1" applyBorder="1" applyAlignment="1" applyProtection="1">
      <alignment horizontal="right" vertical="center"/>
      <protection/>
    </xf>
    <xf numFmtId="0" fontId="5" fillId="44" borderId="0" xfId="0" applyFont="1" applyFill="1" applyAlignment="1" applyProtection="1">
      <alignment vertical="center"/>
      <protection locked="0"/>
    </xf>
    <xf numFmtId="10" fontId="5" fillId="35" borderId="12" xfId="0" applyNumberFormat="1" applyFont="1" applyFill="1" applyBorder="1" applyAlignment="1" applyProtection="1">
      <alignment vertical="center"/>
      <protection locked="0"/>
    </xf>
    <xf numFmtId="0" fontId="5" fillId="0" borderId="0" xfId="161" applyFont="1" applyAlignment="1">
      <alignment vertical="center"/>
      <protection/>
    </xf>
    <xf numFmtId="0" fontId="5" fillId="0" borderId="0" xfId="566" applyFont="1" applyAlignment="1">
      <alignment vertical="center" wrapText="1"/>
      <protection/>
    </xf>
    <xf numFmtId="0" fontId="5" fillId="0" borderId="0" xfId="171" applyFont="1" applyAlignment="1">
      <alignment vertical="center" wrapText="1"/>
      <protection/>
    </xf>
    <xf numFmtId="0" fontId="5" fillId="0" borderId="0" xfId="90" applyFont="1" applyAlignment="1">
      <alignment vertical="center" wrapText="1"/>
      <protection/>
    </xf>
    <xf numFmtId="0" fontId="5" fillId="0" borderId="0" xfId="91" applyFont="1" applyAlignment="1">
      <alignment vertical="center" wrapText="1"/>
      <protection/>
    </xf>
    <xf numFmtId="0" fontId="5" fillId="0" borderId="0" xfId="360" applyFont="1" applyAlignment="1">
      <alignment vertical="center" wrapText="1"/>
      <protection/>
    </xf>
    <xf numFmtId="0" fontId="5" fillId="0" borderId="0" xfId="109" applyFont="1" applyAlignment="1">
      <alignment vertical="center" wrapText="1"/>
      <protection/>
    </xf>
    <xf numFmtId="0" fontId="5" fillId="0" borderId="0" xfId="148" applyFont="1" applyAlignment="1">
      <alignment vertical="center" wrapText="1"/>
      <protection/>
    </xf>
    <xf numFmtId="0" fontId="5" fillId="0" borderId="0" xfId="156" applyFont="1" applyAlignment="1">
      <alignment vertical="center" wrapText="1"/>
      <protection/>
    </xf>
    <xf numFmtId="0" fontId="5" fillId="0" borderId="0" xfId="182" applyFont="1" applyAlignment="1">
      <alignment vertical="center" wrapText="1"/>
      <protection/>
    </xf>
    <xf numFmtId="0" fontId="92" fillId="44" borderId="20" xfId="0" applyFont="1" applyFill="1" applyBorder="1" applyAlignment="1" applyProtection="1">
      <alignment vertical="center"/>
      <protection/>
    </xf>
    <xf numFmtId="0" fontId="93" fillId="0" borderId="0" xfId="0" applyFont="1" applyAlignment="1">
      <alignment horizontal="center"/>
    </xf>
    <xf numFmtId="201" fontId="93" fillId="0" borderId="0" xfId="0" applyNumberFormat="1" applyFont="1" applyAlignment="1" applyProtection="1">
      <alignment horizontal="center" vertical="center"/>
      <protection locked="0"/>
    </xf>
    <xf numFmtId="0" fontId="43" fillId="0" borderId="0" xfId="0" applyFont="1" applyAlignment="1" applyProtection="1">
      <alignment vertical="center"/>
      <protection/>
    </xf>
    <xf numFmtId="0" fontId="11" fillId="32" borderId="0" xfId="71" applyFill="1" applyAlignment="1" applyProtection="1">
      <alignment/>
      <protection/>
    </xf>
    <xf numFmtId="0" fontId="70" fillId="32" borderId="0" xfId="447" applyFill="1">
      <alignment/>
      <protection/>
    </xf>
    <xf numFmtId="0" fontId="5" fillId="0" borderId="0" xfId="203" applyFont="1" applyAlignment="1">
      <alignment vertical="center"/>
      <protection/>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0" fontId="100" fillId="44" borderId="16" xfId="0" applyFont="1" applyFill="1" applyBorder="1" applyAlignment="1">
      <alignment horizontal="center" vertical="center"/>
    </xf>
    <xf numFmtId="0" fontId="4" fillId="44" borderId="15" xfId="0" applyFont="1" applyFill="1" applyBorder="1" applyAlignment="1">
      <alignment horizontal="centerContinuous" vertical="center"/>
    </xf>
    <xf numFmtId="3" fontId="5" fillId="33" borderId="16" xfId="101" applyNumberFormat="1" applyFont="1" applyFill="1" applyBorder="1" applyAlignment="1" applyProtection="1">
      <alignment vertical="center"/>
      <protection/>
    </xf>
    <xf numFmtId="0" fontId="5" fillId="33" borderId="0" xfId="101" applyFont="1" applyFill="1" applyAlignment="1" applyProtection="1">
      <alignment horizontal="left" vertical="center"/>
      <protection/>
    </xf>
    <xf numFmtId="3" fontId="5" fillId="33" borderId="0" xfId="120" applyNumberFormat="1" applyFont="1" applyFill="1" applyAlignment="1" applyProtection="1">
      <alignment horizontal="right" vertical="center"/>
      <protection/>
    </xf>
    <xf numFmtId="3" fontId="5" fillId="33" borderId="12" xfId="120" applyNumberFormat="1" applyFont="1" applyFill="1" applyBorder="1" applyAlignment="1" applyProtection="1">
      <alignment horizontal="right" vertical="center"/>
      <protection/>
    </xf>
    <xf numFmtId="0" fontId="5" fillId="33" borderId="0" xfId="120" applyFont="1" applyFill="1" applyAlignment="1" applyProtection="1">
      <alignment horizontal="left" vertical="center"/>
      <protection/>
    </xf>
    <xf numFmtId="3" fontId="5" fillId="33" borderId="18"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vertical="center"/>
      <protection/>
    </xf>
    <xf numFmtId="37" fontId="15" fillId="33" borderId="17" xfId="0" applyNumberFormat="1" applyFont="1" applyFill="1" applyBorder="1" applyAlignment="1" applyProtection="1">
      <alignment horizontal="center" vertical="center"/>
      <protection/>
    </xf>
    <xf numFmtId="0" fontId="5" fillId="0" borderId="0" xfId="91" applyFont="1" applyAlignment="1">
      <alignment horizontal="left" vertical="center"/>
      <protection/>
    </xf>
    <xf numFmtId="37" fontId="5" fillId="35" borderId="18" xfId="0" applyNumberFormat="1" applyFont="1" applyFill="1" applyBorder="1" applyAlignment="1" applyProtection="1">
      <alignment horizontal="left" vertical="center"/>
      <protection locked="0"/>
    </xf>
    <xf numFmtId="0" fontId="5" fillId="35" borderId="16" xfId="0" applyFont="1" applyFill="1" applyBorder="1" applyAlignment="1" applyProtection="1">
      <alignment vertical="center"/>
      <protection/>
    </xf>
    <xf numFmtId="49" fontId="5" fillId="35" borderId="18" xfId="543" applyNumberFormat="1" applyFont="1" applyFill="1" applyBorder="1" applyAlignment="1" applyProtection="1">
      <alignment horizontal="left" vertical="center"/>
      <protection locked="0"/>
    </xf>
    <xf numFmtId="49" fontId="5" fillId="35" borderId="16" xfId="543" applyNumberFormat="1" applyFont="1" applyFill="1" applyBorder="1" applyAlignment="1" applyProtection="1">
      <alignment horizontal="left" vertical="center"/>
      <protection locked="0"/>
    </xf>
    <xf numFmtId="49" fontId="5" fillId="35" borderId="12" xfId="543" applyNumberFormat="1" applyFont="1" applyFill="1" applyBorder="1" applyAlignment="1" applyProtection="1">
      <alignment horizontal="left" vertical="center"/>
      <protection locked="0"/>
    </xf>
    <xf numFmtId="0" fontId="5" fillId="35" borderId="18" xfId="543" applyFont="1" applyFill="1" applyBorder="1" applyAlignment="1" applyProtection="1">
      <alignment horizontal="left" vertical="center"/>
      <protection locked="0"/>
    </xf>
    <xf numFmtId="0" fontId="5" fillId="35" borderId="15" xfId="543" applyFont="1" applyFill="1" applyBorder="1" applyAlignment="1" applyProtection="1">
      <alignment horizontal="left" vertical="center"/>
      <protection locked="0"/>
    </xf>
    <xf numFmtId="0" fontId="29" fillId="35" borderId="16" xfId="543" applyFill="1" applyBorder="1" applyAlignment="1" applyProtection="1">
      <alignment horizontal="left" vertical="center"/>
      <protection locked="0"/>
    </xf>
    <xf numFmtId="0" fontId="7" fillId="33" borderId="0" xfId="0" applyFont="1" applyFill="1" applyAlignment="1" applyProtection="1">
      <alignment horizontal="center" vertical="center"/>
      <protection/>
    </xf>
    <xf numFmtId="3" fontId="5" fillId="33" borderId="15"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44" borderId="0" xfId="0" applyFont="1" applyFill="1" applyAlignment="1" applyProtection="1">
      <alignment vertical="center"/>
      <protection/>
    </xf>
    <xf numFmtId="0" fontId="5" fillId="33" borderId="0" xfId="0" applyFont="1" applyFill="1" applyAlignment="1" applyProtection="1" quotePrefix="1">
      <alignment vertical="center"/>
      <protection/>
    </xf>
    <xf numFmtId="3" fontId="5" fillId="33" borderId="22" xfId="0" applyNumberFormat="1" applyFont="1" applyFill="1" applyBorder="1" applyAlignment="1" applyProtection="1">
      <alignment vertical="center"/>
      <protection/>
    </xf>
    <xf numFmtId="0" fontId="5" fillId="33" borderId="0" xfId="0" applyFont="1" applyFill="1" applyAlignment="1" applyProtection="1" quotePrefix="1">
      <alignment horizontal="left" vertical="center"/>
      <protection/>
    </xf>
    <xf numFmtId="10" fontId="5" fillId="33" borderId="10" xfId="0" applyNumberFormat="1" applyFont="1" applyFill="1" applyBorder="1" applyAlignment="1" applyProtection="1">
      <alignment vertical="center"/>
      <protection/>
    </xf>
    <xf numFmtId="10" fontId="5" fillId="33" borderId="0" xfId="0" applyNumberFormat="1" applyFont="1" applyFill="1" applyBorder="1" applyAlignment="1" applyProtection="1">
      <alignment vertical="center"/>
      <protection/>
    </xf>
    <xf numFmtId="0" fontId="7" fillId="33" borderId="0" xfId="0" applyFont="1" applyFill="1" applyAlignment="1" applyProtection="1">
      <alignment horizontal="left" vertical="center"/>
      <protection/>
    </xf>
    <xf numFmtId="37" fontId="5" fillId="47" borderId="12" xfId="0" applyNumberFormat="1" applyFont="1" applyFill="1" applyBorder="1" applyAlignment="1" applyProtection="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39" fillId="44" borderId="12" xfId="240" applyFont="1" applyFill="1" applyBorder="1" applyAlignment="1">
      <alignment horizontal="left" vertical="center"/>
      <protection/>
    </xf>
    <xf numFmtId="0" fontId="70" fillId="46" borderId="0" xfId="448" applyFill="1" applyBorder="1">
      <alignment/>
      <protection/>
    </xf>
    <xf numFmtId="0" fontId="70" fillId="46" borderId="0" xfId="448" applyFill="1" applyBorder="1" applyAlignment="1">
      <alignment horizontal="left" vertical="center"/>
      <protection/>
    </xf>
    <xf numFmtId="0" fontId="70" fillId="46" borderId="0" xfId="448" applyFill="1" applyBorder="1" applyAlignment="1">
      <alignment horizontal="center" vertical="center"/>
      <protection/>
    </xf>
    <xf numFmtId="0" fontId="45" fillId="0" borderId="0" xfId="0" applyFont="1" applyAlignment="1">
      <alignment/>
    </xf>
    <xf numFmtId="0" fontId="70" fillId="46" borderId="0" xfId="448" applyFill="1">
      <alignment/>
      <protection/>
    </xf>
    <xf numFmtId="0" fontId="85" fillId="46" borderId="0" xfId="448" applyFont="1" applyFill="1" applyBorder="1">
      <alignment/>
      <protection/>
    </xf>
    <xf numFmtId="0" fontId="85" fillId="46" borderId="30" xfId="448" applyFont="1" applyFill="1" applyBorder="1">
      <alignment/>
      <protection/>
    </xf>
    <xf numFmtId="0" fontId="85" fillId="46" borderId="34" xfId="448" applyFont="1" applyFill="1" applyBorder="1">
      <alignment/>
      <protection/>
    </xf>
    <xf numFmtId="0" fontId="85" fillId="46" borderId="31" xfId="448" applyFont="1" applyFill="1" applyBorder="1">
      <alignment/>
      <protection/>
    </xf>
    <xf numFmtId="0" fontId="85" fillId="46" borderId="32" xfId="448" applyFont="1" applyFill="1" applyBorder="1">
      <alignment/>
      <protection/>
    </xf>
    <xf numFmtId="0" fontId="85" fillId="46" borderId="0" xfId="448" applyFont="1" applyFill="1" applyBorder="1" applyAlignment="1">
      <alignment horizontal="center"/>
      <protection/>
    </xf>
    <xf numFmtId="0" fontId="85" fillId="46" borderId="0" xfId="448" applyFont="1" applyFill="1" applyBorder="1" applyAlignment="1">
      <alignment horizontal="right"/>
      <protection/>
    </xf>
    <xf numFmtId="0" fontId="85" fillId="46" borderId="33" xfId="448" applyFont="1" applyFill="1" applyBorder="1">
      <alignment/>
      <protection/>
    </xf>
    <xf numFmtId="3" fontId="85" fillId="46" borderId="10" xfId="448" applyNumberFormat="1" applyFont="1" applyFill="1" applyBorder="1">
      <alignment/>
      <protection/>
    </xf>
    <xf numFmtId="3" fontId="85" fillId="46" borderId="15" xfId="448" applyNumberFormat="1" applyFont="1" applyFill="1" applyBorder="1">
      <alignment/>
      <protection/>
    </xf>
    <xf numFmtId="0" fontId="85" fillId="46" borderId="10" xfId="448" applyFont="1" applyFill="1" applyBorder="1" applyAlignment="1" applyProtection="1">
      <alignment horizontal="center"/>
      <protection locked="0"/>
    </xf>
    <xf numFmtId="0" fontId="85" fillId="46" borderId="39" xfId="448" applyFont="1" applyFill="1" applyBorder="1" applyAlignment="1" applyProtection="1">
      <alignment horizontal="center"/>
      <protection locked="0"/>
    </xf>
    <xf numFmtId="49" fontId="5" fillId="35" borderId="14" xfId="0" applyNumberFormat="1" applyFont="1" applyFill="1" applyBorder="1" applyAlignment="1" applyProtection="1">
      <alignment horizontal="center" vertical="center"/>
      <protection locked="0"/>
    </xf>
    <xf numFmtId="37" fontId="15" fillId="33"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3" borderId="0" xfId="0" applyNumberFormat="1" applyFont="1" applyFill="1" applyAlignment="1" applyProtection="1">
      <alignment horizontal="left" vertical="center"/>
      <protection/>
    </xf>
    <xf numFmtId="0" fontId="0" fillId="0" borderId="0" xfId="0" applyAlignment="1">
      <alignment horizontal="left" vertical="center"/>
    </xf>
    <xf numFmtId="0" fontId="5"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3" borderId="0" xfId="0" applyFont="1" applyFill="1" applyBorder="1" applyAlignment="1">
      <alignment vertical="center"/>
    </xf>
    <xf numFmtId="0" fontId="20" fillId="0" borderId="0" xfId="0" applyFont="1" applyAlignment="1">
      <alignment vertical="center"/>
    </xf>
    <xf numFmtId="37" fontId="14" fillId="33"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4" borderId="17" xfId="0" applyFont="1" applyFill="1" applyBorder="1" applyAlignment="1">
      <alignment vertical="center" wrapText="1"/>
    </xf>
    <xf numFmtId="0" fontId="0" fillId="0" borderId="17" xfId="0" applyBorder="1" applyAlignment="1">
      <alignment vertical="center" wrapText="1"/>
    </xf>
    <xf numFmtId="0" fontId="4" fillId="36" borderId="0" xfId="0" applyFont="1" applyFill="1" applyBorder="1" applyAlignment="1">
      <alignment horizontal="center" vertical="center"/>
    </xf>
    <xf numFmtId="0" fontId="1" fillId="36" borderId="0" xfId="0" applyFont="1" applyFill="1" applyBorder="1" applyAlignment="1">
      <alignment horizontal="center" vertical="center"/>
    </xf>
    <xf numFmtId="37" fontId="4" fillId="48" borderId="0" xfId="120" applyNumberFormat="1" applyFont="1" applyFill="1" applyAlignment="1" applyProtection="1">
      <alignment horizontal="center" vertical="center"/>
      <protection/>
    </xf>
    <xf numFmtId="0" fontId="0" fillId="0" borderId="0" xfId="120" applyAlignment="1">
      <alignment horizontal="center" vertical="center"/>
      <protection/>
    </xf>
    <xf numFmtId="0" fontId="5" fillId="0" borderId="0" xfId="543" applyFont="1" applyAlignment="1">
      <alignment horizontal="left" vertical="center" wrapText="1"/>
      <protection/>
    </xf>
    <xf numFmtId="0" fontId="29" fillId="0" borderId="0" xfId="543" applyAlignment="1">
      <alignment horizontal="left" vertical="center" wrapText="1"/>
      <protection/>
    </xf>
    <xf numFmtId="0" fontId="14" fillId="0" borderId="0" xfId="543" applyFont="1" applyAlignment="1">
      <alignment horizontal="left" vertical="center"/>
      <protection/>
    </xf>
    <xf numFmtId="37" fontId="14" fillId="33" borderId="0" xfId="0" applyNumberFormat="1" applyFont="1" applyFill="1" applyAlignment="1" applyProtection="1">
      <alignment horizontal="center" vertical="center"/>
      <protection/>
    </xf>
    <xf numFmtId="0" fontId="1" fillId="33" borderId="0" xfId="0" applyFont="1" applyFill="1" applyAlignment="1" applyProtection="1">
      <alignment horizontal="center" vertical="center"/>
      <protection/>
    </xf>
    <xf numFmtId="37" fontId="5" fillId="33" borderId="0" xfId="0" applyNumberFormat="1"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0" borderId="0" xfId="0" applyAlignment="1">
      <alignment vertical="center"/>
    </xf>
    <xf numFmtId="0" fontId="9" fillId="36" borderId="11"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5" fillId="33" borderId="0" xfId="92" applyFont="1" applyFill="1" applyAlignment="1">
      <alignment horizontal="center" vertical="center"/>
      <protection/>
    </xf>
    <xf numFmtId="37" fontId="4" fillId="33" borderId="0" xfId="0" applyNumberFormat="1" applyFont="1" applyFill="1" applyAlignment="1">
      <alignment horizontal="center" vertical="center"/>
    </xf>
    <xf numFmtId="0" fontId="4" fillId="33" borderId="0" xfId="0" applyFont="1" applyFill="1" applyAlignment="1">
      <alignment horizontal="center" vertical="center"/>
    </xf>
    <xf numFmtId="0" fontId="7"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 vertical="center"/>
      <protection/>
    </xf>
    <xf numFmtId="37" fontId="5" fillId="33" borderId="18"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4" fillId="33" borderId="0" xfId="0" applyFont="1" applyFill="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0" fillId="0" borderId="13" xfId="0" applyBorder="1" applyAlignment="1" applyProtection="1">
      <alignment vertical="center"/>
      <protection/>
    </xf>
    <xf numFmtId="1" fontId="5" fillId="33" borderId="25"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4" fillId="44" borderId="0" xfId="101" applyFont="1" applyFill="1" applyAlignment="1">
      <alignment horizontal="center" vertical="center"/>
      <protection/>
    </xf>
    <xf numFmtId="0" fontId="14" fillId="44" borderId="0" xfId="101" applyFont="1" applyFill="1" applyAlignment="1">
      <alignment horizontal="center" vertical="center"/>
      <protection/>
    </xf>
    <xf numFmtId="0" fontId="5" fillId="44" borderId="0" xfId="101" applyFont="1" applyFill="1" applyAlignment="1">
      <alignment vertical="center" wrapText="1"/>
      <protection/>
    </xf>
    <xf numFmtId="0" fontId="14" fillId="44" borderId="0" xfId="564" applyFont="1" applyFill="1" applyAlignment="1">
      <alignment horizontal="center"/>
      <protection/>
    </xf>
    <xf numFmtId="0" fontId="0" fillId="44" borderId="0" xfId="101" applyFill="1" applyAlignment="1">
      <alignment horizontal="center"/>
      <protection/>
    </xf>
    <xf numFmtId="3" fontId="5" fillId="33" borderId="17" xfId="125" applyNumberFormat="1" applyFont="1" applyFill="1" applyBorder="1" applyAlignment="1" applyProtection="1">
      <alignment horizontal="right" vertical="center"/>
      <protection/>
    </xf>
    <xf numFmtId="0" fontId="0" fillId="0" borderId="21" xfId="125" applyBorder="1" applyAlignment="1">
      <alignment horizontal="right" vertical="center"/>
      <protection/>
    </xf>
    <xf numFmtId="0" fontId="5" fillId="33" borderId="0" xfId="125" applyFont="1" applyFill="1" applyAlignment="1" applyProtection="1">
      <alignment horizontal="right" vertical="center"/>
      <protection/>
    </xf>
    <xf numFmtId="0" fontId="5" fillId="0" borderId="20" xfId="125" applyFont="1" applyBorder="1" applyAlignment="1">
      <alignment horizontal="right" vertical="center"/>
      <protection/>
    </xf>
    <xf numFmtId="0" fontId="5" fillId="33"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4" borderId="24" xfId="120" applyFont="1" applyFill="1" applyBorder="1" applyAlignment="1" applyProtection="1">
      <alignment horizontal="center" vertical="center"/>
      <protection/>
    </xf>
    <xf numFmtId="0" fontId="38" fillId="44" borderId="17" xfId="120" applyFont="1" applyFill="1" applyBorder="1" applyAlignment="1" applyProtection="1">
      <alignment horizontal="center" vertical="center"/>
      <protection/>
    </xf>
    <xf numFmtId="0" fontId="0" fillId="0" borderId="21" xfId="120" applyBorder="1" applyAlignment="1" applyProtection="1">
      <alignment vertical="center"/>
      <protection/>
    </xf>
    <xf numFmtId="0" fontId="0" fillId="0" borderId="17" xfId="0" applyBorder="1" applyAlignment="1">
      <alignment vertical="center"/>
    </xf>
    <xf numFmtId="0" fontId="0" fillId="0" borderId="21" xfId="0" applyBorder="1" applyAlignment="1">
      <alignment vertical="center"/>
    </xf>
    <xf numFmtId="188" fontId="38" fillId="44" borderId="24" xfId="0" applyNumberFormat="1" applyFont="1" applyFill="1" applyBorder="1" applyAlignment="1" applyProtection="1">
      <alignment horizontal="center"/>
      <protection/>
    </xf>
    <xf numFmtId="0" fontId="16" fillId="0" borderId="17" xfId="0" applyFont="1" applyBorder="1" applyAlignment="1">
      <alignment/>
    </xf>
    <xf numFmtId="0" fontId="16" fillId="0" borderId="21" xfId="0" applyFont="1" applyBorder="1" applyAlignment="1">
      <alignment/>
    </xf>
    <xf numFmtId="188" fontId="38" fillId="44" borderId="24" xfId="101" applyNumberFormat="1" applyFont="1" applyFill="1" applyBorder="1" applyAlignment="1" applyProtection="1">
      <alignment horizontal="center"/>
      <protection/>
    </xf>
    <xf numFmtId="0" fontId="16" fillId="0" borderId="17" xfId="101" applyFont="1" applyBorder="1" applyAlignment="1">
      <alignment/>
      <protection/>
    </xf>
    <xf numFmtId="0" fontId="16" fillId="0" borderId="21" xfId="101" applyFont="1" applyBorder="1" applyAlignment="1">
      <alignment/>
      <protection/>
    </xf>
    <xf numFmtId="0" fontId="38" fillId="0" borderId="0" xfId="101" applyFont="1" applyFill="1" applyBorder="1" applyAlignment="1" applyProtection="1">
      <alignment horizontal="center" vertical="center"/>
      <protection/>
    </xf>
    <xf numFmtId="0" fontId="0" fillId="0" borderId="0" xfId="101" applyFill="1" applyBorder="1" applyAlignment="1" applyProtection="1">
      <alignment vertical="center"/>
      <protection/>
    </xf>
    <xf numFmtId="0" fontId="5" fillId="0" borderId="0" xfId="101" applyFont="1" applyFill="1" applyBorder="1" applyAlignment="1" applyProtection="1">
      <alignment horizontal="center" vertical="center"/>
      <protection locked="0"/>
    </xf>
    <xf numFmtId="0" fontId="0" fillId="0" borderId="0" xfId="101" applyFill="1" applyBorder="1" applyAlignment="1">
      <alignment vertical="center"/>
      <protection/>
    </xf>
    <xf numFmtId="0" fontId="38" fillId="44" borderId="24" xfId="101" applyFont="1" applyFill="1" applyBorder="1" applyAlignment="1" applyProtection="1">
      <alignment horizontal="center" vertical="center"/>
      <protection/>
    </xf>
    <xf numFmtId="0" fontId="0" fillId="0" borderId="17" xfId="101" applyBorder="1" applyAlignment="1">
      <alignment vertical="center"/>
      <protection/>
    </xf>
    <xf numFmtId="0" fontId="0" fillId="0" borderId="21" xfId="101" applyBorder="1" applyAlignment="1">
      <alignment vertical="center"/>
      <protection/>
    </xf>
    <xf numFmtId="0" fontId="5" fillId="33" borderId="0" xfId="71"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xf>
    <xf numFmtId="0" fontId="38" fillId="44" borderId="24" xfId="0" applyFont="1" applyFill="1" applyBorder="1" applyAlignment="1" applyProtection="1">
      <alignment horizontal="center" vertical="center"/>
      <protection/>
    </xf>
    <xf numFmtId="0" fontId="31" fillId="44" borderId="24" xfId="120" applyFont="1" applyFill="1" applyBorder="1" applyAlignment="1" applyProtection="1">
      <alignment horizontal="center" vertical="center"/>
      <protection locked="0"/>
    </xf>
    <xf numFmtId="0" fontId="40" fillId="0" borderId="17" xfId="0" applyFont="1" applyBorder="1" applyAlignment="1">
      <alignment horizontal="center" vertical="center"/>
    </xf>
    <xf numFmtId="0" fontId="0" fillId="0" borderId="21" xfId="0" applyBorder="1" applyAlignment="1">
      <alignment/>
    </xf>
    <xf numFmtId="0" fontId="0" fillId="0" borderId="0" xfId="0" applyBorder="1" applyAlignment="1">
      <alignment horizontal="right" vertical="center"/>
    </xf>
    <xf numFmtId="0" fontId="0" fillId="0" borderId="17" xfId="0" applyBorder="1" applyAlignment="1">
      <alignment horizontal="center"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37" fontId="5" fillId="33" borderId="17" xfId="0" applyNumberFormat="1" applyFont="1" applyFill="1" applyBorder="1" applyAlignment="1" applyProtection="1">
      <alignment horizontal="center" vertical="center"/>
      <protection/>
    </xf>
    <xf numFmtId="37" fontId="5" fillId="44" borderId="0" xfId="147" applyNumberFormat="1" applyFont="1" applyFill="1" applyAlignment="1" applyProtection="1">
      <alignment horizontal="center"/>
      <protection/>
    </xf>
    <xf numFmtId="37" fontId="4" fillId="33" borderId="10" xfId="0" applyNumberFormat="1" applyFont="1" applyFill="1" applyBorder="1" applyAlignment="1" applyProtection="1">
      <alignment horizontal="center" vertical="center"/>
      <protection locked="0"/>
    </xf>
    <xf numFmtId="0" fontId="14" fillId="44" borderId="24" xfId="120" applyFont="1" applyFill="1" applyBorder="1" applyAlignment="1" applyProtection="1">
      <alignment horizontal="center"/>
      <protection/>
    </xf>
    <xf numFmtId="0" fontId="0" fillId="0" borderId="17" xfId="120" applyBorder="1" applyAlignment="1" applyProtection="1">
      <alignment horizontal="center"/>
      <protection/>
    </xf>
    <xf numFmtId="0" fontId="0" fillId="0" borderId="21" xfId="120" applyBorder="1" applyAlignment="1" applyProtection="1">
      <alignment horizontal="center"/>
      <protection/>
    </xf>
    <xf numFmtId="0" fontId="14" fillId="44" borderId="17" xfId="120" applyFont="1" applyFill="1" applyBorder="1" applyAlignment="1" applyProtection="1">
      <alignment horizontal="center"/>
      <protection/>
    </xf>
    <xf numFmtId="0" fontId="14" fillId="44" borderId="21" xfId="120" applyFont="1" applyFill="1" applyBorder="1" applyAlignment="1" applyProtection="1">
      <alignment horizontal="center"/>
      <protection/>
    </xf>
    <xf numFmtId="0" fontId="0" fillId="0" borderId="17" xfId="0" applyBorder="1" applyAlignment="1">
      <alignment horizontal="center"/>
    </xf>
    <xf numFmtId="0" fontId="0" fillId="0" borderId="21" xfId="0" applyBorder="1" applyAlignment="1">
      <alignment horizontal="center"/>
    </xf>
    <xf numFmtId="37" fontId="5" fillId="44" borderId="0" xfId="0" applyNumberFormat="1" applyFont="1" applyFill="1" applyAlignment="1" applyProtection="1">
      <alignment horizontal="center" vertical="center"/>
      <protection/>
    </xf>
    <xf numFmtId="0" fontId="5" fillId="33" borderId="0" xfId="0" applyFont="1" applyFill="1" applyAlignment="1">
      <alignment horizontal="right" vertical="center"/>
    </xf>
    <xf numFmtId="0" fontId="0" fillId="0" borderId="0" xfId="0" applyAlignment="1" applyProtection="1">
      <alignment vertical="center"/>
      <protection/>
    </xf>
    <xf numFmtId="0" fontId="5" fillId="33" borderId="0" xfId="0" applyFont="1" applyFill="1" applyAlignment="1" applyProtection="1">
      <alignment horizontal="right" vertical="center"/>
      <protection/>
    </xf>
    <xf numFmtId="0" fontId="85" fillId="46" borderId="31" xfId="448" applyFont="1" applyFill="1" applyBorder="1" applyAlignment="1">
      <alignment horizontal="left" vertical="top" wrapText="1"/>
      <protection/>
    </xf>
    <xf numFmtId="0" fontId="85" fillId="46" borderId="32" xfId="448" applyFont="1" applyFill="1" applyBorder="1" applyAlignment="1">
      <alignment horizontal="left" vertical="top" wrapText="1"/>
      <protection/>
    </xf>
    <xf numFmtId="0" fontId="85" fillId="46" borderId="33" xfId="448" applyFont="1" applyFill="1" applyBorder="1" applyAlignment="1">
      <alignment horizontal="left" vertical="top" wrapText="1"/>
      <protection/>
    </xf>
    <xf numFmtId="0" fontId="101" fillId="46" borderId="40" xfId="448" applyFont="1" applyFill="1" applyBorder="1" applyAlignment="1">
      <alignment horizontal="center"/>
      <protection/>
    </xf>
    <xf numFmtId="0" fontId="70" fillId="46" borderId="41" xfId="448" applyFill="1" applyBorder="1" applyAlignment="1">
      <alignment horizontal="center"/>
      <protection/>
    </xf>
    <xf numFmtId="0" fontId="70" fillId="46" borderId="42" xfId="448" applyFill="1" applyBorder="1" applyAlignment="1">
      <alignment horizontal="center"/>
      <protection/>
    </xf>
    <xf numFmtId="0" fontId="85" fillId="46" borderId="26" xfId="448" applyFont="1" applyFill="1" applyBorder="1" applyAlignment="1">
      <alignment horizontal="center"/>
      <protection/>
    </xf>
    <xf numFmtId="0" fontId="85" fillId="46" borderId="27" xfId="448" applyFont="1" applyFill="1" applyBorder="1" applyAlignment="1">
      <alignment horizontal="center"/>
      <protection/>
    </xf>
    <xf numFmtId="0" fontId="85" fillId="46" borderId="28" xfId="448" applyFont="1" applyFill="1" applyBorder="1" applyAlignment="1">
      <alignment horizontal="center"/>
      <protection/>
    </xf>
    <xf numFmtId="0" fontId="101" fillId="0" borderId="0" xfId="448" applyFont="1" applyBorder="1" applyAlignment="1">
      <alignment horizontal="center"/>
      <protection/>
    </xf>
    <xf numFmtId="0" fontId="85" fillId="46" borderId="34" xfId="448" applyFont="1" applyFill="1" applyBorder="1" applyAlignment="1">
      <alignment horizontal="center"/>
      <protection/>
    </xf>
    <xf numFmtId="0" fontId="85" fillId="46" borderId="0" xfId="448" applyFont="1" applyFill="1" applyBorder="1" applyAlignment="1">
      <alignment horizontal="center"/>
      <protection/>
    </xf>
    <xf numFmtId="0" fontId="85" fillId="46" borderId="30" xfId="448" applyFont="1" applyFill="1" applyBorder="1" applyAlignment="1">
      <alignment horizontal="center"/>
      <protection/>
    </xf>
    <xf numFmtId="195" fontId="33" fillId="44" borderId="0" xfId="0" applyNumberFormat="1" applyFont="1" applyFill="1" applyBorder="1" applyAlignment="1">
      <alignment horizontal="center"/>
    </xf>
    <xf numFmtId="0" fontId="33" fillId="44" borderId="34" xfId="0" applyFont="1" applyFill="1" applyBorder="1" applyAlignment="1">
      <alignment vertical="top" wrapText="1"/>
    </xf>
    <xf numFmtId="0" fontId="33" fillId="0" borderId="0" xfId="0" applyFont="1" applyAlignment="1">
      <alignment vertical="top" wrapText="1"/>
    </xf>
    <xf numFmtId="0" fontId="33" fillId="0" borderId="30" xfId="0" applyFont="1" applyBorder="1" applyAlignment="1">
      <alignment vertical="top" wrapText="1"/>
    </xf>
    <xf numFmtId="196" fontId="33" fillId="44" borderId="0" xfId="0" applyNumberFormat="1" applyFont="1" applyFill="1" applyBorder="1" applyAlignment="1">
      <alignment horizontal="center"/>
    </xf>
    <xf numFmtId="0" fontId="33" fillId="0" borderId="30" xfId="0" applyFont="1" applyBorder="1" applyAlignment="1">
      <alignment horizontal="center"/>
    </xf>
    <xf numFmtId="178" fontId="33" fillId="45" borderId="10" xfId="0" applyNumberFormat="1" applyFont="1" applyFill="1" applyBorder="1" applyAlignment="1" applyProtection="1">
      <alignment horizontal="center"/>
      <protection locked="0"/>
    </xf>
    <xf numFmtId="196" fontId="33" fillId="0" borderId="30" xfId="0" applyNumberFormat="1" applyFont="1" applyBorder="1" applyAlignment="1">
      <alignment horizontal="center"/>
    </xf>
    <xf numFmtId="0" fontId="89" fillId="44" borderId="27" xfId="0" applyFont="1" applyFill="1" applyBorder="1" applyAlignment="1">
      <alignment horizontal="center" vertical="center"/>
    </xf>
    <xf numFmtId="0" fontId="89" fillId="44" borderId="0" xfId="0" applyFont="1" applyFill="1" applyAlignment="1">
      <alignment horizontal="center" wrapText="1"/>
    </xf>
    <xf numFmtId="0" fontId="33" fillId="44" borderId="0" xfId="0" applyFont="1" applyFill="1" applyBorder="1" applyAlignment="1">
      <alignment horizontal="center"/>
    </xf>
    <xf numFmtId="0" fontId="33" fillId="44" borderId="0" xfId="0" applyFont="1" applyFill="1" applyAlignment="1">
      <alignment wrapText="1"/>
    </xf>
    <xf numFmtId="0" fontId="89" fillId="44" borderId="0" xfId="0" applyFont="1" applyFill="1" applyBorder="1" applyAlignment="1">
      <alignment horizontal="center" wrapText="1"/>
    </xf>
    <xf numFmtId="0" fontId="33" fillId="0" borderId="0" xfId="0" applyFont="1" applyAlignment="1">
      <alignment horizontal="center" wrapText="1"/>
    </xf>
    <xf numFmtId="0" fontId="89" fillId="0" borderId="0" xfId="0" applyFont="1" applyAlignment="1">
      <alignment horizontal="center" wrapText="1"/>
    </xf>
    <xf numFmtId="0" fontId="33" fillId="44" borderId="0" xfId="0" applyFont="1" applyFill="1" applyBorder="1" applyAlignment="1">
      <alignment wrapText="1"/>
    </xf>
    <xf numFmtId="0" fontId="33" fillId="0" borderId="0" xfId="0" applyFont="1" applyAlignment="1">
      <alignment wrapText="1"/>
    </xf>
    <xf numFmtId="195" fontId="33" fillId="45" borderId="10" xfId="0" applyNumberFormat="1" applyFont="1" applyFill="1" applyBorder="1" applyAlignment="1" applyProtection="1">
      <alignment horizontal="center"/>
      <protection locked="0"/>
    </xf>
    <xf numFmtId="5" fontId="33" fillId="44" borderId="10" xfId="0" applyNumberFormat="1" applyFont="1" applyFill="1" applyBorder="1" applyAlignment="1">
      <alignment horizontal="center"/>
    </xf>
    <xf numFmtId="0" fontId="89" fillId="44" borderId="0" xfId="0" applyFont="1" applyFill="1" applyAlignment="1">
      <alignment horizontal="center"/>
    </xf>
    <xf numFmtId="195" fontId="33" fillId="44" borderId="0" xfId="0" applyNumberFormat="1" applyFont="1" applyFill="1" applyAlignment="1">
      <alignment horizontal="center"/>
    </xf>
    <xf numFmtId="195" fontId="33" fillId="45" borderId="29" xfId="0" applyNumberFormat="1" applyFont="1" applyFill="1" applyBorder="1" applyAlignment="1" applyProtection="1">
      <alignment horizontal="center"/>
      <protection locked="0"/>
    </xf>
    <xf numFmtId="0" fontId="33" fillId="44" borderId="0" xfId="0" applyFont="1" applyFill="1" applyBorder="1" applyAlignment="1">
      <alignment/>
    </xf>
    <xf numFmtId="0" fontId="33" fillId="0" borderId="0" xfId="0" applyFont="1" applyBorder="1" applyAlignment="1">
      <alignment/>
    </xf>
    <xf numFmtId="0" fontId="33" fillId="44" borderId="32" xfId="0" applyFont="1" applyFill="1" applyBorder="1" applyAlignment="1">
      <alignment/>
    </xf>
    <xf numFmtId="0" fontId="33" fillId="44" borderId="33" xfId="0" applyFont="1" applyFill="1" applyBorder="1" applyAlignment="1">
      <alignment/>
    </xf>
    <xf numFmtId="0" fontId="89" fillId="44" borderId="0" xfId="0" applyFont="1" applyFill="1" applyAlignment="1">
      <alignment horizontal="center" vertical="center"/>
    </xf>
    <xf numFmtId="0" fontId="89" fillId="0" borderId="0" xfId="0" applyFont="1" applyAlignment="1">
      <alignment horizontal="center" vertical="center"/>
    </xf>
    <xf numFmtId="195" fontId="33" fillId="44" borderId="0" xfId="0" applyNumberFormat="1" applyFont="1" applyFill="1" applyAlignment="1">
      <alignment/>
    </xf>
    <xf numFmtId="0" fontId="33" fillId="44" borderId="17" xfId="0" applyFont="1" applyFill="1" applyBorder="1" applyAlignment="1">
      <alignment horizontal="center"/>
    </xf>
    <xf numFmtId="0" fontId="33" fillId="0" borderId="27" xfId="0" applyFont="1" applyBorder="1" applyAlignment="1">
      <alignment horizontal="center" vertical="center"/>
    </xf>
  </cellXfs>
  <cellStyles count="5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2" xfId="76"/>
    <cellStyle name="Hyperlink 3 3" xfId="77"/>
    <cellStyle name="Hyperlink 3 4" xfId="78"/>
    <cellStyle name="Hyperlink 4" xfId="79"/>
    <cellStyle name="Hyperlink 4 2"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3 2" xfId="96"/>
    <cellStyle name="Normal 10 3 3" xfId="97"/>
    <cellStyle name="Normal 10 4" xfId="98"/>
    <cellStyle name="Normal 10 4 2" xfId="99"/>
    <cellStyle name="Normal 10 4 3" xfId="100"/>
    <cellStyle name="Normal 10 5" xfId="101"/>
    <cellStyle name="Normal 10 5 2" xfId="102"/>
    <cellStyle name="Normal 10 5 3" xfId="103"/>
    <cellStyle name="Normal 10 6" xfId="104"/>
    <cellStyle name="Normal 10 6 2" xfId="105"/>
    <cellStyle name="Normal 10 6 3" xfId="106"/>
    <cellStyle name="Normal 10 7" xfId="107"/>
    <cellStyle name="Normal 10 7 2" xfId="108"/>
    <cellStyle name="Normal 11" xfId="109"/>
    <cellStyle name="Normal 11 2" xfId="110"/>
    <cellStyle name="Normal 11 2 2" xfId="111"/>
    <cellStyle name="Normal 11 2 3" xfId="112"/>
    <cellStyle name="Normal 11 3" xfId="113"/>
    <cellStyle name="Normal 11 4" xfId="114"/>
    <cellStyle name="Normal 11 5" xfId="115"/>
    <cellStyle name="Normal 11 5 2" xfId="116"/>
    <cellStyle name="Normal 11 5 3" xfId="117"/>
    <cellStyle name="Normal 11 6" xfId="118"/>
    <cellStyle name="Normal 12" xfId="119"/>
    <cellStyle name="Normal 12 10" xfId="120"/>
    <cellStyle name="Normal 12 11" xfId="121"/>
    <cellStyle name="Normal 12 12" xfId="122"/>
    <cellStyle name="Normal 12 13" xfId="123"/>
    <cellStyle name="Normal 12 2" xfId="124"/>
    <cellStyle name="Normal 12 2 2" xfId="125"/>
    <cellStyle name="Normal 12 3" xfId="126"/>
    <cellStyle name="Normal 12 4" xfId="127"/>
    <cellStyle name="Normal 12 5" xfId="128"/>
    <cellStyle name="Normal 12 6" xfId="129"/>
    <cellStyle name="Normal 12 7" xfId="130"/>
    <cellStyle name="Normal 12 8" xfId="131"/>
    <cellStyle name="Normal 12 9" xfId="132"/>
    <cellStyle name="Normal 13" xfId="133"/>
    <cellStyle name="Normal 13 10" xfId="134"/>
    <cellStyle name="Normal 13 11" xfId="135"/>
    <cellStyle name="Normal 13 12" xfId="136"/>
    <cellStyle name="Normal 13 13" xfId="137"/>
    <cellStyle name="Normal 13 2" xfId="138"/>
    <cellStyle name="Normal 13 2 2" xfId="139"/>
    <cellStyle name="Normal 13 3" xfId="140"/>
    <cellStyle name="Normal 13 4" xfId="141"/>
    <cellStyle name="Normal 13 5" xfId="142"/>
    <cellStyle name="Normal 13 6" xfId="143"/>
    <cellStyle name="Normal 13 7" xfId="144"/>
    <cellStyle name="Normal 13 8" xfId="145"/>
    <cellStyle name="Normal 13 9" xfId="146"/>
    <cellStyle name="Normal 14" xfId="147"/>
    <cellStyle name="Normal 14 2" xfId="148"/>
    <cellStyle name="Normal 14 3" xfId="149"/>
    <cellStyle name="Normal 14 4" xfId="150"/>
    <cellStyle name="Normal 14 5" xfId="151"/>
    <cellStyle name="Normal 14 6" xfId="152"/>
    <cellStyle name="Normal 14 7" xfId="153"/>
    <cellStyle name="Normal 14 7 2" xfId="154"/>
    <cellStyle name="Normal 15" xfId="155"/>
    <cellStyle name="Normal 15 2" xfId="156"/>
    <cellStyle name="Normal 15 3" xfId="157"/>
    <cellStyle name="Normal 15 4" xfId="158"/>
    <cellStyle name="Normal 15 5" xfId="159"/>
    <cellStyle name="Normal 16" xfId="160"/>
    <cellStyle name="Normal 16 2" xfId="161"/>
    <cellStyle name="Normal 16 3" xfId="162"/>
    <cellStyle name="Normal 16 4" xfId="163"/>
    <cellStyle name="Normal 16 5" xfId="164"/>
    <cellStyle name="Normal 17" xfId="165"/>
    <cellStyle name="Normal 17 2" xfId="166"/>
    <cellStyle name="Normal 17 3" xfId="167"/>
    <cellStyle name="Normal 17 4" xfId="168"/>
    <cellStyle name="Normal 17 5" xfId="169"/>
    <cellStyle name="Normal 18" xfId="170"/>
    <cellStyle name="Normal 18 2" xfId="171"/>
    <cellStyle name="Normal 18 2 2" xfId="172"/>
    <cellStyle name="Normal 18 2 3" xfId="173"/>
    <cellStyle name="Normal 18 3" xfId="174"/>
    <cellStyle name="Normal 18 4" xfId="175"/>
    <cellStyle name="Normal 18 5" xfId="176"/>
    <cellStyle name="Normal 18 6" xfId="177"/>
    <cellStyle name="Normal 18 7" xfId="178"/>
    <cellStyle name="Normal 18 8" xfId="179"/>
    <cellStyle name="Normal 18 9" xfId="180"/>
    <cellStyle name="Normal 19" xfId="181"/>
    <cellStyle name="Normal 19 2" xfId="182"/>
    <cellStyle name="Normal 19 2 2" xfId="183"/>
    <cellStyle name="Normal 19 2 3" xfId="184"/>
    <cellStyle name="Normal 19 3" xfId="185"/>
    <cellStyle name="Normal 19 4" xfId="186"/>
    <cellStyle name="Normal 19 5" xfId="187"/>
    <cellStyle name="Normal 19 6" xfId="188"/>
    <cellStyle name="Normal 19 7" xfId="189"/>
    <cellStyle name="Normal 19 8" xfId="190"/>
    <cellStyle name="Normal 2" xfId="191"/>
    <cellStyle name="Normal 2 10" xfId="192"/>
    <cellStyle name="Normal 2 10 10" xfId="193"/>
    <cellStyle name="Normal 2 10 11" xfId="194"/>
    <cellStyle name="Normal 2 10 11 2" xfId="195"/>
    <cellStyle name="Normal 2 10 11 2 2" xfId="196"/>
    <cellStyle name="Normal 2 10 11 2 2 2" xfId="197"/>
    <cellStyle name="Normal 2 10 11 3" xfId="198"/>
    <cellStyle name="Normal 2 10 11 4" xfId="199"/>
    <cellStyle name="Normal 2 10 11 5" xfId="200"/>
    <cellStyle name="Normal 2 10 12" xfId="201"/>
    <cellStyle name="Normal 2 10 2" xfId="202"/>
    <cellStyle name="Normal 2 10 2 2" xfId="203"/>
    <cellStyle name="Normal 2 10 3" xfId="204"/>
    <cellStyle name="Normal 2 10 3 2" xfId="205"/>
    <cellStyle name="Normal 2 10 4" xfId="206"/>
    <cellStyle name="Normal 2 10 4 2" xfId="207"/>
    <cellStyle name="Normal 2 10 5" xfId="208"/>
    <cellStyle name="Normal 2 10 5 2" xfId="209"/>
    <cellStyle name="Normal 2 10 6" xfId="210"/>
    <cellStyle name="Normal 2 10 6 2" xfId="211"/>
    <cellStyle name="Normal 2 10 7" xfId="212"/>
    <cellStyle name="Normal 2 10 7 2" xfId="213"/>
    <cellStyle name="Normal 2 10 8" xfId="214"/>
    <cellStyle name="Normal 2 10 8 2" xfId="215"/>
    <cellStyle name="Normal 2 10 9" xfId="216"/>
    <cellStyle name="Normal 2 11" xfId="217"/>
    <cellStyle name="Normal 2 11 10" xfId="218"/>
    <cellStyle name="Normal 2 11 11" xfId="219"/>
    <cellStyle name="Normal 2 11 2" xfId="220"/>
    <cellStyle name="Normal 2 11 2 2" xfId="221"/>
    <cellStyle name="Normal 2 11 3" xfId="222"/>
    <cellStyle name="Normal 2 11 3 2" xfId="223"/>
    <cellStyle name="Normal 2 11 4" xfId="224"/>
    <cellStyle name="Normal 2 11 4 2" xfId="225"/>
    <cellStyle name="Normal 2 11 5" xfId="226"/>
    <cellStyle name="Normal 2 11 5 2" xfId="227"/>
    <cellStyle name="Normal 2 11 6" xfId="228"/>
    <cellStyle name="Normal 2 11 6 2" xfId="229"/>
    <cellStyle name="Normal 2 11 7" xfId="230"/>
    <cellStyle name="Normal 2 11 7 2" xfId="231"/>
    <cellStyle name="Normal 2 11 8" xfId="232"/>
    <cellStyle name="Normal 2 11 8 2" xfId="233"/>
    <cellStyle name="Normal 2 11 9" xfId="234"/>
    <cellStyle name="Normal 2 12" xfId="235"/>
    <cellStyle name="Normal 2 13" xfId="236"/>
    <cellStyle name="Normal 2 14" xfId="237"/>
    <cellStyle name="Normal 2 15" xfId="238"/>
    <cellStyle name="Normal 2 16" xfId="239"/>
    <cellStyle name="Normal 2 17" xfId="240"/>
    <cellStyle name="Normal 2 17 2" xfId="241"/>
    <cellStyle name="Normal 2 17 3" xfId="242"/>
    <cellStyle name="Normal 2 2" xfId="243"/>
    <cellStyle name="Normal 2 2 10" xfId="244"/>
    <cellStyle name="Normal 2 2 10 2" xfId="245"/>
    <cellStyle name="Normal 2 2 11" xfId="246"/>
    <cellStyle name="Normal 2 2 11 2" xfId="247"/>
    <cellStyle name="Normal 2 2 12" xfId="248"/>
    <cellStyle name="Normal 2 2 12 2" xfId="249"/>
    <cellStyle name="Normal 2 2 12 2 2" xfId="250"/>
    <cellStyle name="Normal 2 2 12 2 3" xfId="251"/>
    <cellStyle name="Normal 2 2 12 2 4" xfId="252"/>
    <cellStyle name="Normal 2 2 12 3" xfId="253"/>
    <cellStyle name="Normal 2 2 12 4" xfId="254"/>
    <cellStyle name="Normal 2 2 13" xfId="255"/>
    <cellStyle name="Normal 2 2 13 2" xfId="256"/>
    <cellStyle name="Normal 2 2 13 2 2" xfId="257"/>
    <cellStyle name="Normal 2 2 13 2 3" xfId="258"/>
    <cellStyle name="Normal 2 2 13 2 4" xfId="259"/>
    <cellStyle name="Normal 2 2 13 3" xfId="260"/>
    <cellStyle name="Normal 2 2 13 4" xfId="261"/>
    <cellStyle name="Normal 2 2 14" xfId="262"/>
    <cellStyle name="Normal 2 2 14 2" xfId="263"/>
    <cellStyle name="Normal 2 2 15" xfId="264"/>
    <cellStyle name="Normal 2 2 15 2" xfId="265"/>
    <cellStyle name="Normal 2 2 16" xfId="266"/>
    <cellStyle name="Normal 2 2 16 2" xfId="267"/>
    <cellStyle name="Normal 2 2 16 3" xfId="268"/>
    <cellStyle name="Normal 2 2 17" xfId="269"/>
    <cellStyle name="Normal 2 2 18" xfId="270"/>
    <cellStyle name="Normal 2 2 19" xfId="271"/>
    <cellStyle name="Normal 2 2 2" xfId="272"/>
    <cellStyle name="Normal 2 2 2 2" xfId="273"/>
    <cellStyle name="Normal 2 2 2 2 2" xfId="274"/>
    <cellStyle name="Normal 2 2 2 2 3" xfId="275"/>
    <cellStyle name="Normal 2 2 2 2 3 2" xfId="276"/>
    <cellStyle name="Normal 2 2 2 2 3 3" xfId="277"/>
    <cellStyle name="Normal 2 2 2 3" xfId="278"/>
    <cellStyle name="Normal 2 2 2 3 2" xfId="279"/>
    <cellStyle name="Normal 2 2 2 3 3" xfId="280"/>
    <cellStyle name="Normal 2 2 2 3 4" xfId="281"/>
    <cellStyle name="Normal 2 2 2 4" xfId="282"/>
    <cellStyle name="Normal 2 2 2 4 2" xfId="283"/>
    <cellStyle name="Normal 2 2 2 5" xfId="284"/>
    <cellStyle name="Normal 2 2 2 5 2" xfId="285"/>
    <cellStyle name="Normal 2 2 2 5 3" xfId="286"/>
    <cellStyle name="Normal 2 2 2 5 4" xfId="287"/>
    <cellStyle name="Normal 2 2 2 6" xfId="288"/>
    <cellStyle name="Normal 2 2 2 6 2" xfId="289"/>
    <cellStyle name="Normal 2 2 2 7" xfId="290"/>
    <cellStyle name="Normal 2 2 2 7 2" xfId="291"/>
    <cellStyle name="Normal 2 2 2 7 3" xfId="292"/>
    <cellStyle name="Normal 2 2 2 8" xfId="293"/>
    <cellStyle name="Normal 2 2 20" xfId="294"/>
    <cellStyle name="Normal 2 2 21" xfId="295"/>
    <cellStyle name="Normal 2 2 22" xfId="296"/>
    <cellStyle name="Normal 2 2 3" xfId="297"/>
    <cellStyle name="Normal 2 2 3 2" xfId="298"/>
    <cellStyle name="Normal 2 2 4" xfId="299"/>
    <cellStyle name="Normal 2 2 4 2" xfId="300"/>
    <cellStyle name="Normal 2 2 5" xfId="301"/>
    <cellStyle name="Normal 2 2 5 2" xfId="302"/>
    <cellStyle name="Normal 2 2 6" xfId="303"/>
    <cellStyle name="Normal 2 2 6 2" xfId="304"/>
    <cellStyle name="Normal 2 2 7" xfId="305"/>
    <cellStyle name="Normal 2 2 7 2" xfId="306"/>
    <cellStyle name="Normal 2 2 8" xfId="307"/>
    <cellStyle name="Normal 2 2 8 2" xfId="308"/>
    <cellStyle name="Normal 2 2 9" xfId="309"/>
    <cellStyle name="Normal 2 2 9 2" xfId="310"/>
    <cellStyle name="Normal 2 3" xfId="311"/>
    <cellStyle name="Normal 2 3 10" xfId="312"/>
    <cellStyle name="Normal 2 3 11" xfId="313"/>
    <cellStyle name="Normal 2 3 12" xfId="314"/>
    <cellStyle name="Normal 2 3 13" xfId="315"/>
    <cellStyle name="Normal 2 3 14" xfId="316"/>
    <cellStyle name="Normal 2 3 15" xfId="317"/>
    <cellStyle name="Normal 2 3 2" xfId="318"/>
    <cellStyle name="Normal 2 3 2 2" xfId="319"/>
    <cellStyle name="Normal 2 3 2 2 2" xfId="320"/>
    <cellStyle name="Normal 2 3 2 2 3" xfId="321"/>
    <cellStyle name="Normal 2 3 2 3" xfId="322"/>
    <cellStyle name="Normal 2 3 2 4" xfId="323"/>
    <cellStyle name="Normal 2 3 2 5" xfId="324"/>
    <cellStyle name="Normal 2 3 3" xfId="325"/>
    <cellStyle name="Normal 2 3 3 2" xfId="326"/>
    <cellStyle name="Normal 2 3 3 3" xfId="327"/>
    <cellStyle name="Normal 2 3 4" xfId="328"/>
    <cellStyle name="Normal 2 3 5" xfId="329"/>
    <cellStyle name="Normal 2 3 6" xfId="330"/>
    <cellStyle name="Normal 2 3 7" xfId="331"/>
    <cellStyle name="Normal 2 3 8" xfId="332"/>
    <cellStyle name="Normal 2 3 9" xfId="333"/>
    <cellStyle name="Normal 2 4" xfId="334"/>
    <cellStyle name="Normal 2 4 10" xfId="335"/>
    <cellStyle name="Normal 2 4 11" xfId="336"/>
    <cellStyle name="Normal 2 4 12" xfId="337"/>
    <cellStyle name="Normal 2 4 12 2" xfId="338"/>
    <cellStyle name="Normal 2 4 12 3" xfId="339"/>
    <cellStyle name="Normal 2 4 13" xfId="340"/>
    <cellStyle name="Normal 2 4 13 2" xfId="341"/>
    <cellStyle name="Normal 2 4 13 3" xfId="342"/>
    <cellStyle name="Normal 2 4 2" xfId="343"/>
    <cellStyle name="Normal 2 4 2 2" xfId="344"/>
    <cellStyle name="Normal 2 4 2 2 2" xfId="345"/>
    <cellStyle name="Normal 2 4 2 2 3" xfId="346"/>
    <cellStyle name="Normal 2 4 2 3" xfId="347"/>
    <cellStyle name="Normal 2 4 2 4" xfId="348"/>
    <cellStyle name="Normal 2 4 2 5" xfId="349"/>
    <cellStyle name="Normal 2 4 3" xfId="350"/>
    <cellStyle name="Normal 2 4 3 2" xfId="351"/>
    <cellStyle name="Normal 2 4 3 3" xfId="352"/>
    <cellStyle name="Normal 2 4 4" xfId="353"/>
    <cellStyle name="Normal 2 4 5" xfId="354"/>
    <cellStyle name="Normal 2 4 6" xfId="355"/>
    <cellStyle name="Normal 2 4 7" xfId="356"/>
    <cellStyle name="Normal 2 4 8" xfId="357"/>
    <cellStyle name="Normal 2 4 9" xfId="358"/>
    <cellStyle name="Normal 2 5" xfId="359"/>
    <cellStyle name="Normal 2 5 10" xfId="360"/>
    <cellStyle name="Normal 2 5 11" xfId="361"/>
    <cellStyle name="Normal 2 5 12" xfId="362"/>
    <cellStyle name="Normal 2 5 12 2" xfId="363"/>
    <cellStyle name="Normal 2 5 12 3" xfId="364"/>
    <cellStyle name="Normal 2 5 2" xfId="365"/>
    <cellStyle name="Normal 2 5 2 2" xfId="366"/>
    <cellStyle name="Normal 2 5 3" xfId="367"/>
    <cellStyle name="Normal 2 5 3 2" xfId="368"/>
    <cellStyle name="Normal 2 5 4" xfId="369"/>
    <cellStyle name="Normal 2 5 5" xfId="370"/>
    <cellStyle name="Normal 2 5 6" xfId="371"/>
    <cellStyle name="Normal 2 5 7" xfId="372"/>
    <cellStyle name="Normal 2 5 8" xfId="373"/>
    <cellStyle name="Normal 2 5 9" xfId="374"/>
    <cellStyle name="Normal 2 6" xfId="375"/>
    <cellStyle name="Normal 2 6 10" xfId="376"/>
    <cellStyle name="Normal 2 6 11" xfId="377"/>
    <cellStyle name="Normal 2 6 12" xfId="378"/>
    <cellStyle name="Normal 2 6 2" xfId="379"/>
    <cellStyle name="Normal 2 6 2 2" xfId="380"/>
    <cellStyle name="Normal 2 6 3" xfId="381"/>
    <cellStyle name="Normal 2 6 3 2" xfId="382"/>
    <cellStyle name="Normal 2 6 4" xfId="383"/>
    <cellStyle name="Normal 2 6 5" xfId="384"/>
    <cellStyle name="Normal 2 6 6" xfId="385"/>
    <cellStyle name="Normal 2 6 7" xfId="386"/>
    <cellStyle name="Normal 2 6 8" xfId="387"/>
    <cellStyle name="Normal 2 6 9" xfId="388"/>
    <cellStyle name="Normal 2 7" xfId="389"/>
    <cellStyle name="Normal 2 7 10" xfId="390"/>
    <cellStyle name="Normal 2 7 11" xfId="391"/>
    <cellStyle name="Normal 2 7 2" xfId="392"/>
    <cellStyle name="Normal 2 7 2 2" xfId="393"/>
    <cellStyle name="Normal 2 7 2 3" xfId="394"/>
    <cellStyle name="Normal 2 7 3" xfId="395"/>
    <cellStyle name="Normal 2 7 3 2" xfId="396"/>
    <cellStyle name="Normal 2 7 4" xfId="397"/>
    <cellStyle name="Normal 2 7 4 2" xfId="398"/>
    <cellStyle name="Normal 2 7 5" xfId="399"/>
    <cellStyle name="Normal 2 7 5 2" xfId="400"/>
    <cellStyle name="Normal 2 7 6" xfId="401"/>
    <cellStyle name="Normal 2 7 6 2" xfId="402"/>
    <cellStyle name="Normal 2 7 7" xfId="403"/>
    <cellStyle name="Normal 2 7 7 2" xfId="404"/>
    <cellStyle name="Normal 2 7 8" xfId="405"/>
    <cellStyle name="Normal 2 7 8 2" xfId="406"/>
    <cellStyle name="Normal 2 7 9" xfId="407"/>
    <cellStyle name="Normal 2 8" xfId="408"/>
    <cellStyle name="Normal 2 8 10" xfId="409"/>
    <cellStyle name="Normal 2 8 11" xfId="410"/>
    <cellStyle name="Normal 2 8 2" xfId="411"/>
    <cellStyle name="Normal 2 8 2 2" xfId="412"/>
    <cellStyle name="Normal 2 8 3" xfId="413"/>
    <cellStyle name="Normal 2 8 3 2" xfId="414"/>
    <cellStyle name="Normal 2 8 4" xfId="415"/>
    <cellStyle name="Normal 2 8 4 2" xfId="416"/>
    <cellStyle name="Normal 2 8 5" xfId="417"/>
    <cellStyle name="Normal 2 8 5 2" xfId="418"/>
    <cellStyle name="Normal 2 8 6" xfId="419"/>
    <cellStyle name="Normal 2 8 6 2" xfId="420"/>
    <cellStyle name="Normal 2 8 7" xfId="421"/>
    <cellStyle name="Normal 2 8 7 2" xfId="422"/>
    <cellStyle name="Normal 2 8 8" xfId="423"/>
    <cellStyle name="Normal 2 8 8 2" xfId="424"/>
    <cellStyle name="Normal 2 8 9" xfId="425"/>
    <cellStyle name="Normal 2 9" xfId="426"/>
    <cellStyle name="Normal 2 9 10" xfId="427"/>
    <cellStyle name="Normal 2 9 11" xfId="428"/>
    <cellStyle name="Normal 2 9 2" xfId="429"/>
    <cellStyle name="Normal 2 9 2 2" xfId="430"/>
    <cellStyle name="Normal 2 9 3" xfId="431"/>
    <cellStyle name="Normal 2 9 3 2" xfId="432"/>
    <cellStyle name="Normal 2 9 4" xfId="433"/>
    <cellStyle name="Normal 2 9 4 2" xfId="434"/>
    <cellStyle name="Normal 2 9 5" xfId="435"/>
    <cellStyle name="Normal 2 9 5 2" xfId="436"/>
    <cellStyle name="Normal 2 9 6" xfId="437"/>
    <cellStyle name="Normal 2 9 6 2" xfId="438"/>
    <cellStyle name="Normal 2 9 7" xfId="439"/>
    <cellStyle name="Normal 2 9 7 2" xfId="440"/>
    <cellStyle name="Normal 2 9 8" xfId="441"/>
    <cellStyle name="Normal 2 9 8 2" xfId="442"/>
    <cellStyle name="Normal 2 9 9" xfId="443"/>
    <cellStyle name="Normal 20" xfId="444"/>
    <cellStyle name="Normal 20 2" xfId="445"/>
    <cellStyle name="Normal 20 3" xfId="446"/>
    <cellStyle name="Normal 21" xfId="447"/>
    <cellStyle name="Normal 21 2" xfId="448"/>
    <cellStyle name="Normal 21 2 2" xfId="449"/>
    <cellStyle name="Normal 21 2 3" xfId="450"/>
    <cellStyle name="Normal 21 3" xfId="451"/>
    <cellStyle name="Normal 21 4" xfId="452"/>
    <cellStyle name="Normal 21 5" xfId="453"/>
    <cellStyle name="Normal 22" xfId="454"/>
    <cellStyle name="Normal 22 2" xfId="455"/>
    <cellStyle name="Normal 22 3" xfId="456"/>
    <cellStyle name="Normal 23" xfId="457"/>
    <cellStyle name="Normal 23 2" xfId="458"/>
    <cellStyle name="Normal 23 3" xfId="459"/>
    <cellStyle name="Normal 24" xfId="460"/>
    <cellStyle name="Normal 24 2" xfId="461"/>
    <cellStyle name="Normal 24 3" xfId="462"/>
    <cellStyle name="Normal 25" xfId="463"/>
    <cellStyle name="Normal 25 2" xfId="464"/>
    <cellStyle name="Normal 25 3" xfId="465"/>
    <cellStyle name="Normal 26" xfId="466"/>
    <cellStyle name="Normal 27" xfId="467"/>
    <cellStyle name="Normal 3" xfId="468"/>
    <cellStyle name="Normal 3 10" xfId="469"/>
    <cellStyle name="Normal 3 10 2" xfId="470"/>
    <cellStyle name="Normal 3 11" xfId="471"/>
    <cellStyle name="Normal 3 12" xfId="472"/>
    <cellStyle name="Normal 3 13" xfId="473"/>
    <cellStyle name="Normal 3 14" xfId="474"/>
    <cellStyle name="Normal 3 15" xfId="475"/>
    <cellStyle name="Normal 3 2" xfId="476"/>
    <cellStyle name="Normal 3 2 2" xfId="477"/>
    <cellStyle name="Normal 3 2 2 2" xfId="478"/>
    <cellStyle name="Normal 3 2 2 3" xfId="479"/>
    <cellStyle name="Normal 3 2 3" xfId="480"/>
    <cellStyle name="Normal 3 2 4" xfId="481"/>
    <cellStyle name="Normal 3 2 5" xfId="482"/>
    <cellStyle name="Normal 3 3" xfId="483"/>
    <cellStyle name="Normal 3 3 2" xfId="484"/>
    <cellStyle name="Normal 3 3 2 2" xfId="485"/>
    <cellStyle name="Normal 3 3 2 3" xfId="486"/>
    <cellStyle name="Normal 3 3 3" xfId="487"/>
    <cellStyle name="Normal 3 3 4" xfId="488"/>
    <cellStyle name="Normal 3 4" xfId="489"/>
    <cellStyle name="Normal 3 5" xfId="490"/>
    <cellStyle name="Normal 3 6" xfId="491"/>
    <cellStyle name="Normal 3 7" xfId="492"/>
    <cellStyle name="Normal 3 7 2" xfId="493"/>
    <cellStyle name="Normal 3 7 3" xfId="494"/>
    <cellStyle name="Normal 3 8" xfId="495"/>
    <cellStyle name="Normal 3 8 2" xfId="496"/>
    <cellStyle name="Normal 3 8 3" xfId="497"/>
    <cellStyle name="Normal 3 9" xfId="498"/>
    <cellStyle name="Normal 3 9 2" xfId="499"/>
    <cellStyle name="Normal 3 9 3" xfId="500"/>
    <cellStyle name="Normal 4" xfId="501"/>
    <cellStyle name="Normal 4 10" xfId="502"/>
    <cellStyle name="Normal 4 11" xfId="503"/>
    <cellStyle name="Normal 4 12" xfId="504"/>
    <cellStyle name="Normal 4 13" xfId="505"/>
    <cellStyle name="Normal 4 2" xfId="506"/>
    <cellStyle name="Normal 4 2 2" xfId="507"/>
    <cellStyle name="Normal 4 2 2 2" xfId="508"/>
    <cellStyle name="Normal 4 2 2 3" xfId="509"/>
    <cellStyle name="Normal 4 2 2 3 2" xfId="510"/>
    <cellStyle name="Normal 4 2 3" xfId="511"/>
    <cellStyle name="Normal 4 2 4" xfId="512"/>
    <cellStyle name="Normal 4 2 5" xfId="513"/>
    <cellStyle name="Normal 4 3" xfId="514"/>
    <cellStyle name="Normal 4 3 2" xfId="515"/>
    <cellStyle name="Normal 4 3 3" xfId="516"/>
    <cellStyle name="Normal 4 4" xfId="517"/>
    <cellStyle name="Normal 4 5" xfId="518"/>
    <cellStyle name="Normal 4 5 2" xfId="519"/>
    <cellStyle name="Normal 4 5 3" xfId="520"/>
    <cellStyle name="Normal 4 6" xfId="521"/>
    <cellStyle name="Normal 4 6 2" xfId="522"/>
    <cellStyle name="Normal 4 6 3" xfId="523"/>
    <cellStyle name="Normal 4 7" xfId="524"/>
    <cellStyle name="Normal 4 8" xfId="525"/>
    <cellStyle name="Normal 4 9" xfId="526"/>
    <cellStyle name="Normal 5" xfId="527"/>
    <cellStyle name="Normal 5 2" xfId="528"/>
    <cellStyle name="Normal 5 3" xfId="529"/>
    <cellStyle name="Normal 5 3 2" xfId="530"/>
    <cellStyle name="Normal 5 3 3" xfId="531"/>
    <cellStyle name="Normal 5 4" xfId="532"/>
    <cellStyle name="Normal 5 5" xfId="533"/>
    <cellStyle name="Normal 5 5 2" xfId="534"/>
    <cellStyle name="Normal 5 5 3" xfId="535"/>
    <cellStyle name="Normal 5 6" xfId="536"/>
    <cellStyle name="Normal 6" xfId="537"/>
    <cellStyle name="Normal 6 2" xfId="538"/>
    <cellStyle name="Normal 6 3" xfId="539"/>
    <cellStyle name="Normal 6 4" xfId="540"/>
    <cellStyle name="Normal 6 5" xfId="541"/>
    <cellStyle name="Normal 7" xfId="542"/>
    <cellStyle name="Normal 7 2" xfId="543"/>
    <cellStyle name="Normal 7 2 2" xfId="544"/>
    <cellStyle name="Normal 7 2 2 2" xfId="545"/>
    <cellStyle name="Normal 7 2 2 3" xfId="546"/>
    <cellStyle name="Normal 7 2 3" xfId="547"/>
    <cellStyle name="Normal 7 2 4" xfId="548"/>
    <cellStyle name="Normal 7 2 4 2" xfId="549"/>
    <cellStyle name="Normal 7 2 4 3" xfId="550"/>
    <cellStyle name="Normal 7 2 5" xfId="551"/>
    <cellStyle name="Normal 7 3" xfId="552"/>
    <cellStyle name="Normal 7 4" xfId="553"/>
    <cellStyle name="Normal 7 4 2" xfId="554"/>
    <cellStyle name="Normal 7 4 3" xfId="555"/>
    <cellStyle name="Normal 7 5" xfId="556"/>
    <cellStyle name="Normal 7 5 2" xfId="557"/>
    <cellStyle name="Normal 7 5 3" xfId="558"/>
    <cellStyle name="Normal 7 5 4" xfId="559"/>
    <cellStyle name="Normal 7 5 5" xfId="560"/>
    <cellStyle name="Normal 7 6" xfId="561"/>
    <cellStyle name="Normal 7 7" xfId="562"/>
    <cellStyle name="Normal 8" xfId="563"/>
    <cellStyle name="Normal 8 2" xfId="564"/>
    <cellStyle name="Normal 8 3" xfId="565"/>
    <cellStyle name="Normal 9" xfId="566"/>
    <cellStyle name="Normal 9 2" xfId="567"/>
    <cellStyle name="Normal 9 2 2" xfId="568"/>
    <cellStyle name="Normal 9 2 3" xfId="569"/>
    <cellStyle name="Normal 9 3" xfId="570"/>
    <cellStyle name="Normal 9 4" xfId="571"/>
    <cellStyle name="Normal 9 5" xfId="572"/>
    <cellStyle name="Normal 9 5 2" xfId="573"/>
    <cellStyle name="Normal 9 5 3" xfId="574"/>
    <cellStyle name="Normal 9 6" xfId="575"/>
    <cellStyle name="Normal 9 6 2" xfId="576"/>
    <cellStyle name="Normal 9 6 3" xfId="577"/>
    <cellStyle name="Normal_debt" xfId="578"/>
    <cellStyle name="Normal_lpform" xfId="579"/>
    <cellStyle name="Note" xfId="580"/>
    <cellStyle name="Output" xfId="581"/>
    <cellStyle name="Percent" xfId="582"/>
    <cellStyle name="Title" xfId="583"/>
    <cellStyle name="Total" xfId="584"/>
    <cellStyle name="Warning Text" xfId="585"/>
  </cellStyles>
  <dxfs count="32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6"/>
  <sheetViews>
    <sheetView zoomScale="80" zoomScaleNormal="80" zoomScalePageLayoutView="0" workbookViewId="0" topLeftCell="A64">
      <selection activeCell="R73" sqref="R73"/>
    </sheetView>
  </sheetViews>
  <sheetFormatPr defaultColWidth="8.8984375" defaultRowHeight="15"/>
  <cols>
    <col min="1" max="1" width="75.69921875" style="18" customWidth="1"/>
    <col min="2" max="16384" width="8.8984375" style="18" customWidth="1"/>
  </cols>
  <sheetData>
    <row r="1" ht="15">
      <c r="A1" s="17" t="s">
        <v>789</v>
      </c>
    </row>
    <row r="3" ht="39.75" customHeight="1">
      <c r="A3" s="481" t="s">
        <v>964</v>
      </c>
    </row>
    <row r="4" ht="15">
      <c r="A4" s="19"/>
    </row>
    <row r="5" ht="49.5" customHeight="1">
      <c r="A5" s="20" t="s">
        <v>7</v>
      </c>
    </row>
    <row r="6" ht="15">
      <c r="A6" s="20"/>
    </row>
    <row r="7" ht="85.5" customHeight="1">
      <c r="A7" s="20" t="s">
        <v>957</v>
      </c>
    </row>
    <row r="8" ht="15">
      <c r="A8" s="20"/>
    </row>
    <row r="9" ht="32.25" customHeight="1">
      <c r="A9" s="20" t="s">
        <v>292</v>
      </c>
    </row>
    <row r="11" ht="51" customHeight="1">
      <c r="A11" s="20" t="s">
        <v>63</v>
      </c>
    </row>
    <row r="13" ht="15">
      <c r="A13" s="17" t="s">
        <v>16</v>
      </c>
    </row>
    <row r="14" ht="15">
      <c r="A14" s="17"/>
    </row>
    <row r="15" ht="15">
      <c r="A15" s="19" t="s">
        <v>17</v>
      </c>
    </row>
    <row r="17" ht="37.5" customHeight="1">
      <c r="A17" s="21" t="s">
        <v>318</v>
      </c>
    </row>
    <row r="18" ht="9" customHeight="1">
      <c r="A18" s="21"/>
    </row>
    <row r="20" ht="15">
      <c r="A20" s="17" t="s">
        <v>69</v>
      </c>
    </row>
    <row r="22" ht="36" customHeight="1">
      <c r="A22" s="20" t="s">
        <v>293</v>
      </c>
    </row>
    <row r="23" ht="15">
      <c r="A23" s="20"/>
    </row>
    <row r="24" ht="15">
      <c r="A24" s="22" t="s">
        <v>294</v>
      </c>
    </row>
    <row r="25" ht="12" customHeight="1">
      <c r="A25" s="20"/>
    </row>
    <row r="26" ht="15">
      <c r="A26" s="23" t="s">
        <v>217</v>
      </c>
    </row>
    <row r="27" ht="15">
      <c r="A27" s="24"/>
    </row>
    <row r="28" ht="84.75" customHeight="1">
      <c r="A28" s="25" t="s">
        <v>2</v>
      </c>
    </row>
    <row r="29" ht="12.75" customHeight="1">
      <c r="A29" s="26"/>
    </row>
    <row r="30" ht="15">
      <c r="A30" s="27" t="s">
        <v>295</v>
      </c>
    </row>
    <row r="31" ht="15">
      <c r="A31" s="26"/>
    </row>
    <row r="32" ht="15">
      <c r="A32" s="28" t="s">
        <v>15</v>
      </c>
    </row>
    <row r="33" ht="15">
      <c r="A33" s="26"/>
    </row>
    <row r="34" ht="15">
      <c r="A34" s="20" t="s">
        <v>164</v>
      </c>
    </row>
    <row r="36" ht="15">
      <c r="A36" s="17" t="s">
        <v>165</v>
      </c>
    </row>
    <row r="38" ht="66.75" customHeight="1">
      <c r="A38" s="20" t="s">
        <v>720</v>
      </c>
    </row>
    <row r="39" ht="35.25" customHeight="1">
      <c r="A39" s="20" t="s">
        <v>227</v>
      </c>
    </row>
    <row r="40" ht="53.25" customHeight="1">
      <c r="A40" s="29" t="s">
        <v>296</v>
      </c>
    </row>
    <row r="42" ht="84" customHeight="1">
      <c r="A42" s="20" t="s">
        <v>721</v>
      </c>
    </row>
    <row r="43" ht="53.25" customHeight="1">
      <c r="A43" s="20" t="s">
        <v>297</v>
      </c>
    </row>
    <row r="44" ht="102" customHeight="1">
      <c r="A44" s="20" t="s">
        <v>64</v>
      </c>
    </row>
    <row r="45" ht="102" customHeight="1">
      <c r="A45" s="487" t="s">
        <v>722</v>
      </c>
    </row>
    <row r="46" ht="15.75" customHeight="1">
      <c r="A46" s="20"/>
    </row>
    <row r="47" ht="73.5" customHeight="1">
      <c r="A47" s="861" t="s">
        <v>922</v>
      </c>
    </row>
    <row r="48" ht="69.75" customHeight="1">
      <c r="A48" s="862" t="s">
        <v>606</v>
      </c>
    </row>
    <row r="49" ht="69.75" customHeight="1">
      <c r="A49" s="863" t="s">
        <v>923</v>
      </c>
    </row>
    <row r="50" ht="15.75" customHeight="1">
      <c r="A50" s="20"/>
    </row>
    <row r="51" ht="69.75" customHeight="1">
      <c r="A51" s="20" t="s">
        <v>607</v>
      </c>
    </row>
    <row r="52" ht="37.5" customHeight="1">
      <c r="A52" s="20" t="s">
        <v>608</v>
      </c>
    </row>
    <row r="53" ht="87" customHeight="1">
      <c r="A53" s="20" t="s">
        <v>968</v>
      </c>
    </row>
    <row r="54" ht="94.5" customHeight="1">
      <c r="A54" s="487" t="s">
        <v>723</v>
      </c>
    </row>
    <row r="55" ht="101.25" customHeight="1">
      <c r="A55" s="864" t="s">
        <v>958</v>
      </c>
    </row>
    <row r="57" ht="84.75" customHeight="1">
      <c r="A57" s="20" t="s">
        <v>969</v>
      </c>
    </row>
    <row r="58" ht="159" customHeight="1">
      <c r="A58" s="20" t="s">
        <v>970</v>
      </c>
    </row>
    <row r="59" ht="38.25" customHeight="1">
      <c r="A59" s="20" t="s">
        <v>971</v>
      </c>
    </row>
    <row r="60" ht="15">
      <c r="A60" s="20"/>
    </row>
    <row r="61" ht="68.25" customHeight="1">
      <c r="A61" s="864" t="s">
        <v>924</v>
      </c>
    </row>
    <row r="62" ht="15">
      <c r="A62" s="20"/>
    </row>
    <row r="63" ht="66.75" customHeight="1">
      <c r="A63" s="20" t="s">
        <v>609</v>
      </c>
    </row>
    <row r="64" ht="37.5" customHeight="1">
      <c r="A64" s="20" t="s">
        <v>617</v>
      </c>
    </row>
    <row r="65" ht="91.5" customHeight="1">
      <c r="A65" s="20" t="s">
        <v>618</v>
      </c>
    </row>
    <row r="66" ht="47.25" customHeight="1">
      <c r="A66" s="334" t="s">
        <v>619</v>
      </c>
    </row>
    <row r="68" s="20" customFormat="1" ht="66.75" customHeight="1">
      <c r="A68" s="20" t="s">
        <v>610</v>
      </c>
    </row>
    <row r="70" ht="67.5" customHeight="1">
      <c r="A70" s="20" t="s">
        <v>611</v>
      </c>
    </row>
    <row r="71" ht="15" customHeight="1">
      <c r="A71" s="20"/>
    </row>
    <row r="72" ht="161.25" customHeight="1">
      <c r="A72" s="864" t="s">
        <v>925</v>
      </c>
    </row>
    <row r="74" ht="95.25" customHeight="1">
      <c r="A74" s="20" t="s">
        <v>926</v>
      </c>
    </row>
    <row r="75" ht="70.5" customHeight="1">
      <c r="A75" s="864" t="s">
        <v>927</v>
      </c>
    </row>
    <row r="76" ht="103.5" customHeight="1">
      <c r="A76" s="487" t="s">
        <v>928</v>
      </c>
    </row>
    <row r="77" ht="81" customHeight="1">
      <c r="A77" s="487" t="s">
        <v>929</v>
      </c>
    </row>
    <row r="78" ht="93" customHeight="1">
      <c r="A78" s="487" t="s">
        <v>930</v>
      </c>
    </row>
    <row r="79" ht="138.75" customHeight="1">
      <c r="A79" s="20" t="s">
        <v>931</v>
      </c>
    </row>
    <row r="80" ht="83.25" customHeight="1">
      <c r="A80" s="864" t="s">
        <v>932</v>
      </c>
    </row>
    <row r="81" ht="123" customHeight="1">
      <c r="A81" s="20" t="s">
        <v>933</v>
      </c>
    </row>
    <row r="82" ht="135" customHeight="1">
      <c r="A82" s="20" t="s">
        <v>934</v>
      </c>
    </row>
    <row r="83" ht="65.25" customHeight="1">
      <c r="A83" s="20" t="s">
        <v>935</v>
      </c>
    </row>
    <row r="84" ht="114" customHeight="1">
      <c r="A84" s="20" t="s">
        <v>936</v>
      </c>
    </row>
    <row r="85" ht="61.5" customHeight="1">
      <c r="A85" s="20" t="s">
        <v>937</v>
      </c>
    </row>
    <row r="86" ht="117" customHeight="1">
      <c r="A86" s="20" t="s">
        <v>938</v>
      </c>
    </row>
    <row r="87" ht="117" customHeight="1">
      <c r="A87" s="488" t="s">
        <v>939</v>
      </c>
    </row>
    <row r="88" ht="117" customHeight="1">
      <c r="A88" s="489" t="s">
        <v>940</v>
      </c>
    </row>
    <row r="89" ht="77.25" customHeight="1">
      <c r="A89" s="865" t="s">
        <v>941</v>
      </c>
    </row>
    <row r="90" ht="94.5" customHeight="1">
      <c r="A90" s="865" t="s">
        <v>956</v>
      </c>
    </row>
    <row r="91" ht="15" customHeight="1">
      <c r="A91" s="355"/>
    </row>
    <row r="92" ht="67.5" customHeight="1">
      <c r="A92" s="864" t="s">
        <v>612</v>
      </c>
    </row>
    <row r="93" ht="29.25" customHeight="1">
      <c r="A93" s="866" t="s">
        <v>613</v>
      </c>
    </row>
    <row r="94" ht="44.25" customHeight="1">
      <c r="A94" s="487" t="s">
        <v>942</v>
      </c>
    </row>
    <row r="95" ht="129.75" customHeight="1">
      <c r="A95" s="487" t="s">
        <v>943</v>
      </c>
    </row>
    <row r="96" ht="155.25" customHeight="1">
      <c r="A96" s="487" t="s">
        <v>944</v>
      </c>
    </row>
    <row r="97" ht="84.75" customHeight="1">
      <c r="A97" s="867" t="s">
        <v>945</v>
      </c>
    </row>
    <row r="98" ht="89.25" customHeight="1">
      <c r="A98" s="868" t="s">
        <v>946</v>
      </c>
    </row>
    <row r="99" ht="15" customHeight="1">
      <c r="A99" s="355"/>
    </row>
    <row r="100" ht="150" customHeight="1">
      <c r="A100" s="20" t="s">
        <v>947</v>
      </c>
    </row>
    <row r="101" ht="138" customHeight="1">
      <c r="A101" s="20" t="s">
        <v>948</v>
      </c>
    </row>
    <row r="102" ht="74.25" customHeight="1">
      <c r="A102" s="20" t="s">
        <v>949</v>
      </c>
    </row>
    <row r="103" ht="28.5" customHeight="1">
      <c r="A103" s="20" t="s">
        <v>950</v>
      </c>
    </row>
    <row r="104" ht="15" customHeight="1">
      <c r="A104" s="355"/>
    </row>
    <row r="105" ht="68.25" customHeight="1">
      <c r="A105" s="864" t="s">
        <v>951</v>
      </c>
    </row>
    <row r="106" ht="15" customHeight="1">
      <c r="A106" s="869"/>
    </row>
    <row r="107" ht="67.5" customHeight="1">
      <c r="A107" s="487" t="s">
        <v>952</v>
      </c>
    </row>
    <row r="108" ht="125.25" customHeight="1">
      <c r="A108" s="487" t="s">
        <v>953</v>
      </c>
    </row>
    <row r="109" ht="134.25" customHeight="1">
      <c r="A109" s="487" t="s">
        <v>954</v>
      </c>
    </row>
    <row r="110" ht="59.25" customHeight="1">
      <c r="A110" s="20"/>
    </row>
    <row r="111" ht="30.75" customHeight="1">
      <c r="A111" s="20"/>
    </row>
    <row r="112" ht="15" customHeight="1"/>
    <row r="113" ht="36.75" customHeight="1">
      <c r="A113" s="20"/>
    </row>
    <row r="114" ht="34.5" customHeight="1">
      <c r="A114" s="356"/>
    </row>
    <row r="115" ht="99.75" customHeight="1">
      <c r="A115" s="487"/>
    </row>
    <row r="116" ht="34.5" customHeight="1">
      <c r="A116" s="487"/>
    </row>
    <row r="117" ht="85.5" customHeight="1">
      <c r="A117" s="487"/>
    </row>
    <row r="118" ht="91.5" customHeight="1">
      <c r="A118" s="487"/>
    </row>
    <row r="119" ht="58.5" customHeight="1">
      <c r="A119" s="356"/>
    </row>
    <row r="120" ht="66" customHeight="1">
      <c r="A120" s="356"/>
    </row>
    <row r="121" ht="16.5" customHeight="1">
      <c r="A121" s="20"/>
    </row>
    <row r="122" ht="72.75" customHeight="1">
      <c r="A122" s="20"/>
    </row>
    <row r="124" ht="69" customHeight="1">
      <c r="A124" s="487"/>
    </row>
    <row r="125" ht="110.25" customHeight="1">
      <c r="A125" s="487"/>
    </row>
    <row r="126" ht="132" customHeight="1">
      <c r="A126" s="487"/>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A15" sqref="A15"/>
    </sheetView>
  </sheetViews>
  <sheetFormatPr defaultColWidth="8.8984375" defaultRowHeight="15"/>
  <cols>
    <col min="1" max="1" width="8.8984375" style="30" customWidth="1"/>
    <col min="2" max="2" width="20.69921875" style="30" customWidth="1"/>
    <col min="3" max="3" width="9.296875" style="30" customWidth="1"/>
    <col min="4" max="4" width="9.69921875" style="30" customWidth="1"/>
    <col min="5" max="5" width="8.69921875" style="30" customWidth="1"/>
    <col min="6" max="6" width="12.69921875" style="30" customWidth="1"/>
    <col min="7" max="7" width="14.296875" style="30" customWidth="1"/>
    <col min="8" max="13" width="9.69921875" style="30" customWidth="1"/>
    <col min="14" max="16384" width="8.8984375" style="30" customWidth="1"/>
  </cols>
  <sheetData>
    <row r="1" spans="2:13" ht="15">
      <c r="B1" s="176" t="str">
        <f>inputPrYr!$D$2</f>
        <v>City of Russell</v>
      </c>
      <c r="C1" s="32"/>
      <c r="D1" s="32"/>
      <c r="E1" s="32"/>
      <c r="F1" s="32"/>
      <c r="G1" s="32"/>
      <c r="H1" s="32"/>
      <c r="I1" s="32"/>
      <c r="J1" s="32"/>
      <c r="K1" s="32"/>
      <c r="L1" s="32"/>
      <c r="M1" s="199">
        <f>inputPrYr!$C$5</f>
        <v>2015</v>
      </c>
    </row>
    <row r="2" spans="2:13" ht="15">
      <c r="B2" s="176"/>
      <c r="C2" s="32"/>
      <c r="D2" s="32"/>
      <c r="E2" s="32"/>
      <c r="F2" s="32"/>
      <c r="G2" s="32"/>
      <c r="H2" s="32"/>
      <c r="I2" s="32"/>
      <c r="J2" s="32"/>
      <c r="K2" s="32"/>
      <c r="L2" s="32"/>
      <c r="M2" s="151"/>
    </row>
    <row r="3" spans="2:13" ht="15">
      <c r="B3" s="200" t="s">
        <v>173</v>
      </c>
      <c r="C3" s="37"/>
      <c r="D3" s="37"/>
      <c r="E3" s="37"/>
      <c r="F3" s="37"/>
      <c r="G3" s="37"/>
      <c r="H3" s="37"/>
      <c r="I3" s="37"/>
      <c r="J3" s="37"/>
      <c r="K3" s="37"/>
      <c r="L3" s="37"/>
      <c r="M3" s="37"/>
    </row>
    <row r="4" spans="2:13" ht="10.5" customHeight="1">
      <c r="B4" s="32"/>
      <c r="C4" s="201"/>
      <c r="D4" s="201"/>
      <c r="E4" s="201"/>
      <c r="F4" s="201"/>
      <c r="G4" s="201"/>
      <c r="H4" s="201"/>
      <c r="I4" s="201"/>
      <c r="J4" s="201"/>
      <c r="K4" s="201"/>
      <c r="L4" s="201"/>
      <c r="M4" s="201"/>
    </row>
    <row r="5" spans="2:13" ht="18" customHeight="1">
      <c r="B5" s="135"/>
      <c r="C5" s="178" t="s">
        <v>141</v>
      </c>
      <c r="D5" s="178" t="s">
        <v>141</v>
      </c>
      <c r="E5" s="178" t="s">
        <v>155</v>
      </c>
      <c r="F5" s="178"/>
      <c r="G5" s="178" t="s">
        <v>257</v>
      </c>
      <c r="H5" s="32"/>
      <c r="I5" s="32"/>
      <c r="J5" s="202" t="s">
        <v>142</v>
      </c>
      <c r="K5" s="203"/>
      <c r="L5" s="202" t="s">
        <v>142</v>
      </c>
      <c r="M5" s="203"/>
    </row>
    <row r="6" spans="2:13" ht="15">
      <c r="B6" s="204" t="s">
        <v>871</v>
      </c>
      <c r="C6" s="204" t="s">
        <v>143</v>
      </c>
      <c r="D6" s="204" t="s">
        <v>258</v>
      </c>
      <c r="E6" s="204" t="s">
        <v>144</v>
      </c>
      <c r="F6" s="204" t="s">
        <v>96</v>
      </c>
      <c r="G6" s="204" t="s">
        <v>259</v>
      </c>
      <c r="H6" s="1001" t="s">
        <v>145</v>
      </c>
      <c r="I6" s="1002"/>
      <c r="J6" s="1003">
        <f>M1-1</f>
        <v>2014</v>
      </c>
      <c r="K6" s="1004"/>
      <c r="L6" s="1003">
        <f>M1</f>
        <v>2015</v>
      </c>
      <c r="M6" s="1004"/>
    </row>
    <row r="7" spans="2:13" ht="15">
      <c r="B7" s="180" t="s">
        <v>870</v>
      </c>
      <c r="C7" s="180" t="s">
        <v>146</v>
      </c>
      <c r="D7" s="180" t="s">
        <v>260</v>
      </c>
      <c r="E7" s="180" t="s">
        <v>121</v>
      </c>
      <c r="F7" s="180" t="s">
        <v>147</v>
      </c>
      <c r="G7" s="205" t="str">
        <f>CONCATENATE("Jan 1,",M1-1,"")</f>
        <v>Jan 1,2014</v>
      </c>
      <c r="H7" s="139" t="s">
        <v>155</v>
      </c>
      <c r="I7" s="139" t="s">
        <v>157</v>
      </c>
      <c r="J7" s="139" t="s">
        <v>155</v>
      </c>
      <c r="K7" s="139" t="s">
        <v>157</v>
      </c>
      <c r="L7" s="139" t="s">
        <v>155</v>
      </c>
      <c r="M7" s="139" t="s">
        <v>157</v>
      </c>
    </row>
    <row r="8" spans="2:13" ht="15">
      <c r="B8" s="206" t="s">
        <v>148</v>
      </c>
      <c r="C8" s="46"/>
      <c r="D8" s="46"/>
      <c r="E8" s="207"/>
      <c r="F8" s="208"/>
      <c r="G8" s="208"/>
      <c r="H8" s="46"/>
      <c r="I8" s="46"/>
      <c r="J8" s="208"/>
      <c r="K8" s="208"/>
      <c r="L8" s="208"/>
      <c r="M8" s="208"/>
    </row>
    <row r="9" spans="2:13" ht="15">
      <c r="B9" s="50" t="s">
        <v>1035</v>
      </c>
      <c r="C9" s="360">
        <v>40893</v>
      </c>
      <c r="D9" s="360">
        <v>46600</v>
      </c>
      <c r="E9" s="209" t="s">
        <v>1036</v>
      </c>
      <c r="F9" s="210">
        <v>5165000</v>
      </c>
      <c r="G9" s="211">
        <v>4570000</v>
      </c>
      <c r="H9" s="212" t="s">
        <v>1038</v>
      </c>
      <c r="I9" s="212">
        <v>41852</v>
      </c>
      <c r="J9" s="211">
        <v>108201</v>
      </c>
      <c r="K9" s="211">
        <v>285000</v>
      </c>
      <c r="L9" s="211">
        <v>102501</v>
      </c>
      <c r="M9" s="211">
        <v>290000</v>
      </c>
    </row>
    <row r="10" spans="2:13" ht="15">
      <c r="B10" s="50"/>
      <c r="C10" s="360"/>
      <c r="D10" s="360"/>
      <c r="E10" s="209"/>
      <c r="F10" s="210"/>
      <c r="G10" s="211"/>
      <c r="H10" s="212"/>
      <c r="I10" s="212"/>
      <c r="J10" s="211"/>
      <c r="K10" s="211"/>
      <c r="L10" s="211"/>
      <c r="M10" s="211"/>
    </row>
    <row r="11" spans="2:13" ht="15">
      <c r="B11" s="50"/>
      <c r="C11" s="360"/>
      <c r="D11" s="360"/>
      <c r="E11" s="209"/>
      <c r="F11" s="210"/>
      <c r="G11" s="211"/>
      <c r="H11" s="212"/>
      <c r="I11" s="212"/>
      <c r="J11" s="211"/>
      <c r="K11" s="211"/>
      <c r="L11" s="211"/>
      <c r="M11" s="211"/>
    </row>
    <row r="12" spans="2:13" ht="15">
      <c r="B12" s="50"/>
      <c r="C12" s="360"/>
      <c r="D12" s="360"/>
      <c r="E12" s="209"/>
      <c r="F12" s="210"/>
      <c r="G12" s="211"/>
      <c r="H12" s="212"/>
      <c r="I12" s="212"/>
      <c r="J12" s="211"/>
      <c r="K12" s="211"/>
      <c r="L12" s="211"/>
      <c r="M12" s="211"/>
    </row>
    <row r="13" spans="2:13" ht="15">
      <c r="B13" s="50"/>
      <c r="C13" s="360"/>
      <c r="D13" s="360"/>
      <c r="E13" s="209"/>
      <c r="F13" s="210"/>
      <c r="G13" s="211"/>
      <c r="H13" s="212"/>
      <c r="I13" s="212"/>
      <c r="J13" s="211"/>
      <c r="K13" s="211"/>
      <c r="L13" s="211"/>
      <c r="M13" s="211"/>
    </row>
    <row r="14" spans="2:13" ht="15">
      <c r="B14" s="50"/>
      <c r="C14" s="360"/>
      <c r="D14" s="360"/>
      <c r="E14" s="209"/>
      <c r="F14" s="210"/>
      <c r="G14" s="211"/>
      <c r="H14" s="212"/>
      <c r="I14" s="212"/>
      <c r="J14" s="211"/>
      <c r="K14" s="211"/>
      <c r="L14" s="211"/>
      <c r="M14" s="211"/>
    </row>
    <row r="15" spans="2:13" ht="15">
      <c r="B15" s="50"/>
      <c r="C15" s="360"/>
      <c r="D15" s="360"/>
      <c r="E15" s="209"/>
      <c r="F15" s="210"/>
      <c r="G15" s="211"/>
      <c r="H15" s="212"/>
      <c r="I15" s="212"/>
      <c r="J15" s="211"/>
      <c r="K15" s="211"/>
      <c r="L15" s="211"/>
      <c r="M15" s="211"/>
    </row>
    <row r="16" spans="2:13" ht="15">
      <c r="B16" s="50"/>
      <c r="C16" s="360"/>
      <c r="D16" s="360"/>
      <c r="E16" s="209"/>
      <c r="F16" s="210"/>
      <c r="G16" s="211"/>
      <c r="H16" s="212"/>
      <c r="I16" s="212"/>
      <c r="J16" s="211"/>
      <c r="K16" s="211"/>
      <c r="L16" s="211"/>
      <c r="M16" s="211"/>
    </row>
    <row r="17" spans="2:13" ht="15">
      <c r="B17" s="50"/>
      <c r="C17" s="360"/>
      <c r="D17" s="360"/>
      <c r="E17" s="209"/>
      <c r="F17" s="210"/>
      <c r="G17" s="211"/>
      <c r="H17" s="212"/>
      <c r="I17" s="212"/>
      <c r="J17" s="211"/>
      <c r="K17" s="211"/>
      <c r="L17" s="211"/>
      <c r="M17" s="211"/>
    </row>
    <row r="18" spans="2:13" ht="15">
      <c r="B18" s="50"/>
      <c r="C18" s="360"/>
      <c r="D18" s="360"/>
      <c r="E18" s="209"/>
      <c r="F18" s="210"/>
      <c r="G18" s="211"/>
      <c r="H18" s="212"/>
      <c r="I18" s="212"/>
      <c r="J18" s="211"/>
      <c r="K18" s="211"/>
      <c r="L18" s="211"/>
      <c r="M18" s="211"/>
    </row>
    <row r="19" spans="2:13" ht="15">
      <c r="B19" s="50"/>
      <c r="C19" s="360"/>
      <c r="D19" s="360"/>
      <c r="E19" s="209"/>
      <c r="F19" s="210"/>
      <c r="G19" s="211"/>
      <c r="H19" s="212"/>
      <c r="I19" s="212"/>
      <c r="J19" s="211"/>
      <c r="K19" s="211"/>
      <c r="L19" s="211"/>
      <c r="M19" s="211"/>
    </row>
    <row r="20" spans="2:13" ht="15">
      <c r="B20" s="213" t="s">
        <v>149</v>
      </c>
      <c r="C20" s="214"/>
      <c r="D20" s="214"/>
      <c r="E20" s="215"/>
      <c r="F20" s="216"/>
      <c r="G20" s="217">
        <f>SUM(G9:G19)</f>
        <v>4570000</v>
      </c>
      <c r="H20" s="218"/>
      <c r="I20" s="218"/>
      <c r="J20" s="217">
        <f>SUM(J9:J19)</f>
        <v>108201</v>
      </c>
      <c r="K20" s="217">
        <f>SUM(K9:K19)</f>
        <v>285000</v>
      </c>
      <c r="L20" s="217">
        <f>SUM(L9:L19)</f>
        <v>102501</v>
      </c>
      <c r="M20" s="217">
        <f>SUM(M9:M19)</f>
        <v>290000</v>
      </c>
    </row>
    <row r="21" spans="2:13" ht="15">
      <c r="B21" s="206" t="s">
        <v>150</v>
      </c>
      <c r="C21" s="219"/>
      <c r="D21" s="219"/>
      <c r="E21" s="220"/>
      <c r="F21" s="221"/>
      <c r="G21" s="221"/>
      <c r="H21" s="222"/>
      <c r="I21" s="222"/>
      <c r="J21" s="221"/>
      <c r="K21" s="221"/>
      <c r="L21" s="221"/>
      <c r="M21" s="221"/>
    </row>
    <row r="22" spans="2:13" ht="15">
      <c r="B22" s="50"/>
      <c r="C22" s="360"/>
      <c r="D22" s="360"/>
      <c r="E22" s="209"/>
      <c r="F22" s="210"/>
      <c r="G22" s="211"/>
      <c r="H22" s="212"/>
      <c r="I22" s="212"/>
      <c r="J22" s="211"/>
      <c r="K22" s="211"/>
      <c r="L22" s="211"/>
      <c r="M22" s="211"/>
    </row>
    <row r="23" spans="2:13" ht="15">
      <c r="B23" s="50"/>
      <c r="C23" s="360"/>
      <c r="D23" s="360"/>
      <c r="E23" s="209"/>
      <c r="F23" s="210"/>
      <c r="G23" s="211"/>
      <c r="H23" s="212"/>
      <c r="I23" s="212"/>
      <c r="J23" s="211"/>
      <c r="K23" s="211"/>
      <c r="L23" s="211"/>
      <c r="M23" s="211"/>
    </row>
    <row r="24" spans="2:13" ht="15">
      <c r="B24" s="50"/>
      <c r="C24" s="360"/>
      <c r="D24" s="360"/>
      <c r="E24" s="209"/>
      <c r="F24" s="210"/>
      <c r="G24" s="211"/>
      <c r="H24" s="212"/>
      <c r="I24" s="212"/>
      <c r="J24" s="211"/>
      <c r="K24" s="211"/>
      <c r="L24" s="211"/>
      <c r="M24" s="211"/>
    </row>
    <row r="25" spans="2:13" ht="15">
      <c r="B25" s="50"/>
      <c r="C25" s="360"/>
      <c r="D25" s="360"/>
      <c r="E25" s="209"/>
      <c r="F25" s="210"/>
      <c r="G25" s="211"/>
      <c r="H25" s="212"/>
      <c r="I25" s="212"/>
      <c r="J25" s="211"/>
      <c r="K25" s="211"/>
      <c r="L25" s="211"/>
      <c r="M25" s="211"/>
    </row>
    <row r="26" spans="2:13" ht="15">
      <c r="B26" s="50"/>
      <c r="C26" s="360"/>
      <c r="D26" s="360"/>
      <c r="E26" s="209"/>
      <c r="F26" s="210"/>
      <c r="G26" s="211"/>
      <c r="H26" s="212"/>
      <c r="I26" s="212"/>
      <c r="J26" s="211"/>
      <c r="K26" s="211"/>
      <c r="L26" s="211"/>
      <c r="M26" s="211"/>
    </row>
    <row r="27" spans="2:13" ht="15">
      <c r="B27" s="50"/>
      <c r="C27" s="360"/>
      <c r="D27" s="360"/>
      <c r="E27" s="209"/>
      <c r="F27" s="210"/>
      <c r="G27" s="211"/>
      <c r="H27" s="212"/>
      <c r="I27" s="212"/>
      <c r="J27" s="211"/>
      <c r="K27" s="211"/>
      <c r="L27" s="211"/>
      <c r="M27" s="211"/>
    </row>
    <row r="28" spans="2:13" ht="15">
      <c r="B28" s="50"/>
      <c r="C28" s="360"/>
      <c r="D28" s="360"/>
      <c r="E28" s="209"/>
      <c r="F28" s="210"/>
      <c r="G28" s="211"/>
      <c r="H28" s="212"/>
      <c r="I28" s="212"/>
      <c r="J28" s="211"/>
      <c r="K28" s="211"/>
      <c r="L28" s="211"/>
      <c r="M28" s="211"/>
    </row>
    <row r="29" spans="2:13" ht="15">
      <c r="B29" s="50"/>
      <c r="C29" s="360"/>
      <c r="D29" s="360"/>
      <c r="E29" s="209"/>
      <c r="F29" s="210"/>
      <c r="G29" s="211"/>
      <c r="H29" s="212"/>
      <c r="I29" s="212"/>
      <c r="J29" s="211"/>
      <c r="K29" s="211"/>
      <c r="L29" s="211"/>
      <c r="M29" s="211"/>
    </row>
    <row r="30" spans="2:13" ht="15">
      <c r="B30" s="50"/>
      <c r="C30" s="360"/>
      <c r="D30" s="360"/>
      <c r="E30" s="209"/>
      <c r="F30" s="210"/>
      <c r="G30" s="211"/>
      <c r="H30" s="212"/>
      <c r="I30" s="212"/>
      <c r="J30" s="211"/>
      <c r="K30" s="211"/>
      <c r="L30" s="211"/>
      <c r="M30" s="211"/>
    </row>
    <row r="31" spans="2:13" ht="15">
      <c r="B31" s="50"/>
      <c r="C31" s="360"/>
      <c r="D31" s="360"/>
      <c r="E31" s="209"/>
      <c r="F31" s="210"/>
      <c r="G31" s="211"/>
      <c r="H31" s="212"/>
      <c r="I31" s="212"/>
      <c r="J31" s="211"/>
      <c r="K31" s="211"/>
      <c r="L31" s="211"/>
      <c r="M31" s="211"/>
    </row>
    <row r="32" spans="2:13" ht="15">
      <c r="B32" s="213" t="s">
        <v>151</v>
      </c>
      <c r="C32" s="214"/>
      <c r="D32" s="214"/>
      <c r="E32" s="223"/>
      <c r="F32" s="216"/>
      <c r="G32" s="224">
        <f>SUM(G22:G31)</f>
        <v>0</v>
      </c>
      <c r="H32" s="218"/>
      <c r="I32" s="218"/>
      <c r="J32" s="224">
        <f>SUM(J22:J31)</f>
        <v>0</v>
      </c>
      <c r="K32" s="224">
        <f>SUM(K22:K31)</f>
        <v>0</v>
      </c>
      <c r="L32" s="217">
        <f>SUM(L22:L31)</f>
        <v>0</v>
      </c>
      <c r="M32" s="224">
        <f>SUM(M22:M31)</f>
        <v>0</v>
      </c>
    </row>
    <row r="33" spans="2:13" ht="15">
      <c r="B33" s="206" t="s">
        <v>152</v>
      </c>
      <c r="C33" s="219"/>
      <c r="D33" s="219"/>
      <c r="E33" s="220"/>
      <c r="F33" s="221"/>
      <c r="G33" s="225"/>
      <c r="H33" s="222"/>
      <c r="I33" s="222"/>
      <c r="J33" s="221"/>
      <c r="K33" s="221"/>
      <c r="L33" s="221"/>
      <c r="M33" s="221"/>
    </row>
    <row r="34" spans="2:13" ht="15">
      <c r="B34" s="50" t="s">
        <v>1144</v>
      </c>
      <c r="C34" s="360">
        <v>40917</v>
      </c>
      <c r="D34" s="360">
        <v>48611</v>
      </c>
      <c r="E34" s="209">
        <v>2.42</v>
      </c>
      <c r="F34" s="210">
        <v>350099</v>
      </c>
      <c r="G34" s="211">
        <v>332183</v>
      </c>
      <c r="H34" s="212" t="s">
        <v>1038</v>
      </c>
      <c r="I34" s="212" t="s">
        <v>1038</v>
      </c>
      <c r="J34" s="211">
        <f>3180+3366+538+569</f>
        <v>7653</v>
      </c>
      <c r="K34" s="211">
        <f>7008+6791</f>
        <v>13799</v>
      </c>
      <c r="L34" s="211">
        <f>3295+3224+557+545</f>
        <v>7621</v>
      </c>
      <c r="M34" s="211">
        <f>6873+6956</f>
        <v>13829</v>
      </c>
    </row>
    <row r="35" spans="2:13" ht="15">
      <c r="B35" s="50" t="s">
        <v>1145</v>
      </c>
      <c r="C35" s="360">
        <v>41221</v>
      </c>
      <c r="D35" s="360">
        <v>49157</v>
      </c>
      <c r="E35" s="209">
        <v>2.23</v>
      </c>
      <c r="F35" s="210">
        <v>1365000</v>
      </c>
      <c r="G35" s="211">
        <v>400000</v>
      </c>
      <c r="H35" s="212" t="s">
        <v>1038</v>
      </c>
      <c r="I35" s="212" t="s">
        <v>1038</v>
      </c>
      <c r="J35" s="211">
        <v>2800</v>
      </c>
      <c r="K35" s="211">
        <v>0</v>
      </c>
      <c r="L35" s="211">
        <f>12831+12575+2389+2341</f>
        <v>30136</v>
      </c>
      <c r="M35" s="211">
        <f>27266+27570</f>
        <v>54836</v>
      </c>
    </row>
    <row r="36" spans="2:13" ht="15">
      <c r="B36" s="50" t="s">
        <v>1037</v>
      </c>
      <c r="C36" s="360">
        <v>41579</v>
      </c>
      <c r="D36" s="360">
        <v>41944</v>
      </c>
      <c r="E36" s="209">
        <v>0.9</v>
      </c>
      <c r="F36" s="210">
        <v>1000000</v>
      </c>
      <c r="G36" s="211">
        <v>1000000</v>
      </c>
      <c r="H36" s="212">
        <v>41944</v>
      </c>
      <c r="I36" s="212">
        <v>41944</v>
      </c>
      <c r="J36" s="211">
        <v>9000</v>
      </c>
      <c r="K36" s="211">
        <v>1000000</v>
      </c>
      <c r="L36" s="211"/>
      <c r="M36" s="211"/>
    </row>
    <row r="37" spans="2:13" ht="15">
      <c r="B37" s="50"/>
      <c r="C37" s="360"/>
      <c r="D37" s="360"/>
      <c r="E37" s="209"/>
      <c r="F37" s="210"/>
      <c r="G37" s="211"/>
      <c r="H37" s="212"/>
      <c r="I37" s="212"/>
      <c r="J37" s="211"/>
      <c r="K37" s="211"/>
      <c r="L37" s="211"/>
      <c r="M37" s="211"/>
    </row>
    <row r="38" spans="2:13" ht="15">
      <c r="B38" s="50"/>
      <c r="C38" s="360"/>
      <c r="D38" s="360"/>
      <c r="E38" s="209"/>
      <c r="F38" s="210"/>
      <c r="G38" s="211"/>
      <c r="H38" s="212"/>
      <c r="I38" s="212"/>
      <c r="J38" s="211"/>
      <c r="K38" s="211"/>
      <c r="L38" s="211"/>
      <c r="M38" s="211"/>
    </row>
    <row r="39" spans="2:13" ht="15">
      <c r="B39" s="50"/>
      <c r="C39" s="360"/>
      <c r="D39" s="360"/>
      <c r="E39" s="209"/>
      <c r="F39" s="210"/>
      <c r="G39" s="211"/>
      <c r="H39" s="212"/>
      <c r="I39" s="212"/>
      <c r="J39" s="211"/>
      <c r="K39" s="211"/>
      <c r="L39" s="211"/>
      <c r="M39" s="211"/>
    </row>
    <row r="40" spans="2:13" ht="15">
      <c r="B40" s="50"/>
      <c r="C40" s="360"/>
      <c r="D40" s="360"/>
      <c r="E40" s="209"/>
      <c r="F40" s="210"/>
      <c r="G40" s="211"/>
      <c r="H40" s="212"/>
      <c r="I40" s="212"/>
      <c r="J40" s="211"/>
      <c r="K40" s="211"/>
      <c r="L40" s="211"/>
      <c r="M40" s="211"/>
    </row>
    <row r="41" spans="2:29" ht="15">
      <c r="B41" s="50"/>
      <c r="C41" s="360"/>
      <c r="D41" s="360"/>
      <c r="E41" s="209"/>
      <c r="F41" s="210"/>
      <c r="G41" s="211"/>
      <c r="H41" s="212"/>
      <c r="I41" s="212"/>
      <c r="J41" s="211"/>
      <c r="K41" s="211"/>
      <c r="L41" s="211"/>
      <c r="M41" s="211"/>
      <c r="N41" s="18"/>
      <c r="O41" s="18"/>
      <c r="P41" s="18"/>
      <c r="Q41" s="18"/>
      <c r="R41" s="18"/>
      <c r="S41" s="18"/>
      <c r="T41" s="18"/>
      <c r="U41" s="18"/>
      <c r="V41" s="18"/>
      <c r="W41" s="18"/>
      <c r="X41" s="18"/>
      <c r="Y41" s="18"/>
      <c r="Z41" s="18"/>
      <c r="AA41" s="18"/>
      <c r="AB41" s="18"/>
      <c r="AC41" s="18"/>
    </row>
    <row r="42" spans="2:13" ht="15">
      <c r="B42" s="213" t="s">
        <v>261</v>
      </c>
      <c r="C42" s="194"/>
      <c r="D42" s="194"/>
      <c r="E42" s="223"/>
      <c r="F42" s="216"/>
      <c r="G42" s="224">
        <f>SUM(G34:G41)</f>
        <v>1732183</v>
      </c>
      <c r="H42" s="216"/>
      <c r="I42" s="216"/>
      <c r="J42" s="224">
        <f>SUM(J34:J41)</f>
        <v>19453</v>
      </c>
      <c r="K42" s="224">
        <f>SUM(K34:K41)</f>
        <v>1013799</v>
      </c>
      <c r="L42" s="224">
        <f>SUM(L34:L41)</f>
        <v>37757</v>
      </c>
      <c r="M42" s="224">
        <f>SUM(M34:M41)</f>
        <v>68665</v>
      </c>
    </row>
    <row r="43" spans="2:13" ht="15">
      <c r="B43" s="213" t="s">
        <v>153</v>
      </c>
      <c r="C43" s="194"/>
      <c r="D43" s="194"/>
      <c r="E43" s="194"/>
      <c r="F43" s="216"/>
      <c r="G43" s="224">
        <f>SUM(G20+G32+G42)</f>
        <v>6302183</v>
      </c>
      <c r="H43" s="216"/>
      <c r="I43" s="216"/>
      <c r="J43" s="224">
        <f>SUM(J20+J32+J42)</f>
        <v>127654</v>
      </c>
      <c r="K43" s="224">
        <f>SUM(K20+K32+K42)</f>
        <v>1298799</v>
      </c>
      <c r="L43" s="224">
        <f>SUM(L20+L32+L42)</f>
        <v>140258</v>
      </c>
      <c r="M43" s="224">
        <f>SUM(M20+M32+M42)</f>
        <v>358665</v>
      </c>
    </row>
    <row r="44" spans="2:13" ht="15">
      <c r="B44" s="18"/>
      <c r="C44" s="18"/>
      <c r="D44" s="18"/>
      <c r="E44" s="18"/>
      <c r="F44" s="18"/>
      <c r="G44" s="18"/>
      <c r="H44" s="18"/>
      <c r="I44" s="18"/>
      <c r="J44" s="18"/>
      <c r="K44" s="18"/>
      <c r="L44" s="18"/>
      <c r="M44" s="18"/>
    </row>
    <row r="45" spans="6:13" ht="15">
      <c r="F45" s="226"/>
      <c r="G45" s="226"/>
      <c r="J45" s="226"/>
      <c r="K45" s="226"/>
      <c r="L45" s="226"/>
      <c r="M45" s="226"/>
    </row>
    <row r="46" spans="6:14" ht="15">
      <c r="F46" s="18"/>
      <c r="H46" s="227"/>
      <c r="N46" s="18"/>
    </row>
    <row r="47" spans="2:13" ht="15">
      <c r="B47" s="18"/>
      <c r="C47" s="18"/>
      <c r="D47" s="18"/>
      <c r="E47" s="18"/>
      <c r="F47" s="18"/>
      <c r="G47" s="18"/>
      <c r="H47" s="18"/>
      <c r="I47" s="18"/>
      <c r="J47" s="18"/>
      <c r="K47" s="18"/>
      <c r="L47" s="18"/>
      <c r="M47" s="18"/>
    </row>
    <row r="48" spans="2:13" ht="15">
      <c r="B48" s="18"/>
      <c r="C48" s="18"/>
      <c r="D48" s="18"/>
      <c r="E48" s="18"/>
      <c r="F48" s="18"/>
      <c r="G48" s="18"/>
      <c r="H48" s="18"/>
      <c r="I48" s="18"/>
      <c r="J48" s="18"/>
      <c r="K48" s="18"/>
      <c r="L48" s="18"/>
      <c r="M48" s="18"/>
    </row>
  </sheetData>
  <sheetProtection sheet="1"/>
  <mergeCells count="3">
    <mergeCell ref="H6:I6"/>
    <mergeCell ref="J6:K6"/>
    <mergeCell ref="L6:M6"/>
  </mergeCells>
  <printOptions/>
  <pageMargins left="0.25" right="0.34"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75" zoomScaleNormal="75" zoomScalePageLayoutView="0" workbookViewId="0" topLeftCell="A1">
      <selection activeCell="D2" sqref="D2"/>
    </sheetView>
  </sheetViews>
  <sheetFormatPr defaultColWidth="8.8984375" defaultRowHeight="15"/>
  <cols>
    <col min="1" max="1" width="8.8984375" style="2" customWidth="1"/>
    <col min="2" max="2" width="23.59765625" style="2" customWidth="1"/>
    <col min="3" max="5" width="9.69921875" style="2" customWidth="1"/>
    <col min="6" max="6" width="18.296875" style="2" customWidth="1"/>
    <col min="7" max="9" width="15.69921875" style="2" customWidth="1"/>
    <col min="10" max="16384" width="8.8984375" style="2" customWidth="1"/>
  </cols>
  <sheetData>
    <row r="1" spans="1:10" ht="15">
      <c r="A1" s="745"/>
      <c r="B1" s="9" t="str">
        <f>inputPrYr!$D$2</f>
        <v>City of Russell</v>
      </c>
      <c r="C1" s="4"/>
      <c r="D1" s="4"/>
      <c r="E1" s="4"/>
      <c r="F1" s="4"/>
      <c r="G1" s="4"/>
      <c r="H1" s="4"/>
      <c r="I1" s="14">
        <f>inputPrYr!C5</f>
        <v>2015</v>
      </c>
      <c r="J1" s="745"/>
    </row>
    <row r="2" spans="1:10" ht="15">
      <c r="A2" s="745"/>
      <c r="B2" s="9"/>
      <c r="C2" s="4"/>
      <c r="D2" s="4"/>
      <c r="E2" s="4"/>
      <c r="F2" s="4"/>
      <c r="G2" s="4"/>
      <c r="H2" s="4"/>
      <c r="I2" s="6"/>
      <c r="J2" s="745"/>
    </row>
    <row r="3" spans="1:10" ht="15">
      <c r="A3" s="745"/>
      <c r="B3" s="4"/>
      <c r="C3" s="4"/>
      <c r="D3" s="4"/>
      <c r="E3" s="4"/>
      <c r="F3" s="4"/>
      <c r="G3" s="4"/>
      <c r="H3" s="4"/>
      <c r="I3" s="5"/>
      <c r="J3" s="745"/>
    </row>
    <row r="4" spans="1:10" ht="15">
      <c r="A4" s="745"/>
      <c r="B4" s="10" t="s">
        <v>167</v>
      </c>
      <c r="C4" s="7"/>
      <c r="D4" s="7"/>
      <c r="E4" s="7"/>
      <c r="F4" s="7"/>
      <c r="G4" s="7"/>
      <c r="H4" s="7"/>
      <c r="I4" s="7"/>
      <c r="J4" s="745"/>
    </row>
    <row r="5" spans="1:10" ht="15">
      <c r="A5" s="745"/>
      <c r="B5" s="3"/>
      <c r="C5" s="11"/>
      <c r="D5" s="11"/>
      <c r="E5" s="11"/>
      <c r="F5" s="11"/>
      <c r="G5" s="11"/>
      <c r="H5" s="11"/>
      <c r="I5" s="11"/>
      <c r="J5" s="745"/>
    </row>
    <row r="6" spans="1:10" ht="15">
      <c r="A6" s="745"/>
      <c r="B6" s="8"/>
      <c r="C6" s="178"/>
      <c r="D6" s="178"/>
      <c r="E6" s="178"/>
      <c r="F6" s="178" t="s">
        <v>75</v>
      </c>
      <c r="G6" s="178"/>
      <c r="H6" s="178"/>
      <c r="I6" s="178"/>
      <c r="J6" s="745"/>
    </row>
    <row r="7" spans="1:10" ht="15">
      <c r="A7" s="745"/>
      <c r="B7" s="723"/>
      <c r="C7" s="204"/>
      <c r="D7" s="204" t="s">
        <v>154</v>
      </c>
      <c r="E7" s="204" t="s">
        <v>155</v>
      </c>
      <c r="F7" s="204" t="s">
        <v>96</v>
      </c>
      <c r="G7" s="204" t="s">
        <v>157</v>
      </c>
      <c r="H7" s="204" t="s">
        <v>158</v>
      </c>
      <c r="I7" s="204" t="s">
        <v>158</v>
      </c>
      <c r="J7" s="745"/>
    </row>
    <row r="8" spans="1:10" ht="15">
      <c r="A8" s="745"/>
      <c r="B8" s="204" t="s">
        <v>873</v>
      </c>
      <c r="C8" s="204" t="s">
        <v>159</v>
      </c>
      <c r="D8" s="204" t="s">
        <v>160</v>
      </c>
      <c r="E8" s="204" t="s">
        <v>144</v>
      </c>
      <c r="F8" s="204" t="s">
        <v>161</v>
      </c>
      <c r="G8" s="204" t="s">
        <v>207</v>
      </c>
      <c r="H8" s="204" t="s">
        <v>162</v>
      </c>
      <c r="I8" s="204" t="s">
        <v>162</v>
      </c>
      <c r="J8" s="745"/>
    </row>
    <row r="9" spans="1:10" ht="15">
      <c r="A9" s="745"/>
      <c r="B9" s="180" t="s">
        <v>872</v>
      </c>
      <c r="C9" s="180" t="s">
        <v>141</v>
      </c>
      <c r="D9" s="724" t="s">
        <v>163</v>
      </c>
      <c r="E9" s="180" t="s">
        <v>121</v>
      </c>
      <c r="F9" s="724" t="s">
        <v>220</v>
      </c>
      <c r="G9" s="725" t="str">
        <f>CONCATENATE("Jan 1,",I1-1,"")</f>
        <v>Jan 1,2014</v>
      </c>
      <c r="H9" s="180">
        <f>I1-1</f>
        <v>2014</v>
      </c>
      <c r="I9" s="180">
        <f>I1</f>
        <v>2015</v>
      </c>
      <c r="J9" s="745"/>
    </row>
    <row r="10" spans="1:10" ht="15">
      <c r="A10" s="745"/>
      <c r="B10" s="50" t="s">
        <v>1146</v>
      </c>
      <c r="C10" s="360">
        <v>41669</v>
      </c>
      <c r="D10" s="727">
        <v>60</v>
      </c>
      <c r="E10" s="209">
        <v>2.6</v>
      </c>
      <c r="F10" s="210">
        <v>259266</v>
      </c>
      <c r="G10" s="210">
        <v>0</v>
      </c>
      <c r="H10" s="210">
        <v>55069</v>
      </c>
      <c r="I10" s="210">
        <v>55069</v>
      </c>
      <c r="J10" s="745"/>
    </row>
    <row r="11" spans="1:10" ht="15">
      <c r="A11" s="745"/>
      <c r="B11" s="50"/>
      <c r="C11" s="360"/>
      <c r="D11" s="727"/>
      <c r="E11" s="209"/>
      <c r="F11" s="210"/>
      <c r="G11" s="210"/>
      <c r="H11" s="210"/>
      <c r="I11" s="210"/>
      <c r="J11" s="745"/>
    </row>
    <row r="12" spans="1:10" ht="15">
      <c r="A12" s="745"/>
      <c r="B12" s="50"/>
      <c r="C12" s="360"/>
      <c r="D12" s="727"/>
      <c r="E12" s="209"/>
      <c r="F12" s="210"/>
      <c r="G12" s="210"/>
      <c r="H12" s="210"/>
      <c r="I12" s="210"/>
      <c r="J12" s="745"/>
    </row>
    <row r="13" spans="1:10" ht="15">
      <c r="A13" s="745"/>
      <c r="B13" s="50"/>
      <c r="C13" s="360"/>
      <c r="D13" s="727"/>
      <c r="E13" s="209"/>
      <c r="F13" s="210"/>
      <c r="G13" s="210"/>
      <c r="H13" s="210"/>
      <c r="I13" s="210"/>
      <c r="J13" s="745"/>
    </row>
    <row r="14" spans="1:10" ht="15">
      <c r="A14" s="745"/>
      <c r="B14" s="50"/>
      <c r="C14" s="360"/>
      <c r="D14" s="727"/>
      <c r="E14" s="209"/>
      <c r="F14" s="210"/>
      <c r="G14" s="210"/>
      <c r="H14" s="210"/>
      <c r="I14" s="210"/>
      <c r="J14" s="745"/>
    </row>
    <row r="15" spans="1:10" ht="15">
      <c r="A15" s="745"/>
      <c r="B15" s="50"/>
      <c r="C15" s="360"/>
      <c r="D15" s="727"/>
      <c r="E15" s="209"/>
      <c r="F15" s="210"/>
      <c r="G15" s="210"/>
      <c r="H15" s="210"/>
      <c r="I15" s="210"/>
      <c r="J15" s="745"/>
    </row>
    <row r="16" spans="1:10" ht="15">
      <c r="A16" s="745"/>
      <c r="B16" s="50"/>
      <c r="C16" s="360"/>
      <c r="D16" s="727"/>
      <c r="E16" s="209"/>
      <c r="F16" s="210"/>
      <c r="G16" s="210"/>
      <c r="H16" s="210"/>
      <c r="I16" s="210"/>
      <c r="J16" s="745"/>
    </row>
    <row r="17" spans="1:10" ht="15">
      <c r="A17" s="745"/>
      <c r="B17" s="50"/>
      <c r="C17" s="360"/>
      <c r="D17" s="727"/>
      <c r="E17" s="209"/>
      <c r="F17" s="210"/>
      <c r="G17" s="210"/>
      <c r="H17" s="210"/>
      <c r="I17" s="210"/>
      <c r="J17" s="745"/>
    </row>
    <row r="18" spans="1:10" ht="15">
      <c r="A18" s="745"/>
      <c r="B18" s="50"/>
      <c r="C18" s="360"/>
      <c r="D18" s="727"/>
      <c r="E18" s="209"/>
      <c r="F18" s="210"/>
      <c r="G18" s="210"/>
      <c r="H18" s="210"/>
      <c r="I18" s="210"/>
      <c r="J18" s="745"/>
    </row>
    <row r="19" spans="1:10" ht="15">
      <c r="A19" s="745"/>
      <c r="B19" s="50"/>
      <c r="C19" s="360"/>
      <c r="D19" s="727"/>
      <c r="E19" s="209"/>
      <c r="F19" s="210"/>
      <c r="G19" s="210"/>
      <c r="H19" s="210"/>
      <c r="I19" s="210"/>
      <c r="J19" s="745"/>
    </row>
    <row r="20" spans="1:10" ht="15">
      <c r="A20" s="745"/>
      <c r="B20" s="50"/>
      <c r="C20" s="360"/>
      <c r="D20" s="727"/>
      <c r="E20" s="209"/>
      <c r="F20" s="210"/>
      <c r="G20" s="210"/>
      <c r="H20" s="210"/>
      <c r="I20" s="210"/>
      <c r="J20" s="745"/>
    </row>
    <row r="21" spans="1:10" ht="15">
      <c r="A21" s="745"/>
      <c r="B21" s="50"/>
      <c r="C21" s="360"/>
      <c r="D21" s="727"/>
      <c r="E21" s="209"/>
      <c r="F21" s="210"/>
      <c r="G21" s="210"/>
      <c r="H21" s="210"/>
      <c r="I21" s="210"/>
      <c r="J21" s="745"/>
    </row>
    <row r="22" spans="1:10" ht="15">
      <c r="A22" s="745"/>
      <c r="B22" s="50"/>
      <c r="C22" s="360"/>
      <c r="D22" s="727"/>
      <c r="E22" s="209"/>
      <c r="F22" s="210"/>
      <c r="G22" s="210"/>
      <c r="H22" s="210"/>
      <c r="I22" s="210"/>
      <c r="J22" s="745"/>
    </row>
    <row r="23" spans="1:10" ht="15">
      <c r="A23" s="745"/>
      <c r="B23" s="50"/>
      <c r="C23" s="360"/>
      <c r="D23" s="727"/>
      <c r="E23" s="209"/>
      <c r="F23" s="210"/>
      <c r="G23" s="210"/>
      <c r="H23" s="210"/>
      <c r="I23" s="210"/>
      <c r="J23" s="745"/>
    </row>
    <row r="24" spans="1:10" ht="15">
      <c r="A24" s="745"/>
      <c r="B24" s="50"/>
      <c r="C24" s="360"/>
      <c r="D24" s="727"/>
      <c r="E24" s="209"/>
      <c r="F24" s="210"/>
      <c r="G24" s="210"/>
      <c r="H24" s="210"/>
      <c r="I24" s="210"/>
      <c r="J24" s="745"/>
    </row>
    <row r="25" spans="1:10" ht="15">
      <c r="A25" s="745"/>
      <c r="B25" s="50"/>
      <c r="C25" s="360"/>
      <c r="D25" s="727"/>
      <c r="E25" s="209"/>
      <c r="F25" s="210"/>
      <c r="G25" s="210"/>
      <c r="H25" s="210"/>
      <c r="I25" s="210"/>
      <c r="J25" s="745"/>
    </row>
    <row r="26" spans="1:10" ht="15">
      <c r="A26" s="745"/>
      <c r="B26" s="50"/>
      <c r="C26" s="360"/>
      <c r="D26" s="727"/>
      <c r="E26" s="209"/>
      <c r="F26" s="210"/>
      <c r="G26" s="210"/>
      <c r="H26" s="210"/>
      <c r="I26" s="210"/>
      <c r="J26" s="745"/>
    </row>
    <row r="27" spans="1:10" ht="15">
      <c r="A27" s="745"/>
      <c r="B27" s="50"/>
      <c r="C27" s="360"/>
      <c r="D27" s="727"/>
      <c r="E27" s="209"/>
      <c r="F27" s="210"/>
      <c r="G27" s="210"/>
      <c r="H27" s="210"/>
      <c r="I27" s="210"/>
      <c r="J27" s="745"/>
    </row>
    <row r="28" spans="1:10" ht="15.75" thickBot="1">
      <c r="A28" s="745"/>
      <c r="B28" s="12"/>
      <c r="C28" s="13"/>
      <c r="D28" s="13"/>
      <c r="E28" s="13"/>
      <c r="F28" s="562" t="s">
        <v>91</v>
      </c>
      <c r="G28" s="726">
        <f>SUM(G10:G27)</f>
        <v>0</v>
      </c>
      <c r="H28" s="726">
        <f>SUM(H10:H27)</f>
        <v>55069</v>
      </c>
      <c r="I28" s="726">
        <f>SUM(I10:I27)</f>
        <v>55069</v>
      </c>
      <c r="J28" s="745"/>
    </row>
    <row r="29" spans="1:10" ht="15.75" thickTop="1">
      <c r="A29" s="745"/>
      <c r="B29" s="4"/>
      <c r="C29" s="4"/>
      <c r="D29" s="4"/>
      <c r="E29" s="4"/>
      <c r="F29" s="4"/>
      <c r="G29" s="4"/>
      <c r="H29" s="9"/>
      <c r="I29" s="9"/>
      <c r="J29" s="745"/>
    </row>
    <row r="30" spans="1:10" ht="15">
      <c r="A30" s="745"/>
      <c r="B30" s="15" t="s">
        <v>21</v>
      </c>
      <c r="C30" s="16"/>
      <c r="D30" s="16"/>
      <c r="E30" s="16"/>
      <c r="F30" s="16"/>
      <c r="G30" s="16"/>
      <c r="H30" s="9"/>
      <c r="I30" s="9"/>
      <c r="J30" s="745"/>
    </row>
  </sheetData>
  <sheetProtection sheet="1"/>
  <printOptions/>
  <pageMargins left="0.84" right="0.25" top="1" bottom="0.5" header="0.49"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N87" sqref="N87"/>
    </sheetView>
  </sheetViews>
  <sheetFormatPr defaultColWidth="8.8984375" defaultRowHeight="15"/>
  <cols>
    <col min="1" max="1" width="2.59765625" style="700" customWidth="1"/>
    <col min="2" max="4" width="8.8984375" style="700" customWidth="1"/>
    <col min="5" max="5" width="9.69921875" style="700" customWidth="1"/>
    <col min="6" max="6" width="8.8984375" style="700" customWidth="1"/>
    <col min="7" max="7" width="9.69921875" style="700" customWidth="1"/>
    <col min="8" max="16384" width="8.8984375" style="700" customWidth="1"/>
  </cols>
  <sheetData>
    <row r="1" spans="2:9" ht="15">
      <c r="B1" s="699"/>
      <c r="C1" s="699"/>
      <c r="D1" s="699"/>
      <c r="E1" s="699"/>
      <c r="F1" s="699"/>
      <c r="G1" s="699"/>
      <c r="H1" s="699"/>
      <c r="I1" s="699"/>
    </row>
    <row r="2" spans="2:9" ht="15">
      <c r="B2" s="1005" t="s">
        <v>811</v>
      </c>
      <c r="C2" s="1005"/>
      <c r="D2" s="1005"/>
      <c r="E2" s="1005"/>
      <c r="F2" s="1005"/>
      <c r="G2" s="1005"/>
      <c r="H2" s="1005"/>
      <c r="I2" s="1005"/>
    </row>
    <row r="3" spans="2:9" ht="15">
      <c r="B3" s="1005" t="s">
        <v>812</v>
      </c>
      <c r="C3" s="1005"/>
      <c r="D3" s="1005"/>
      <c r="E3" s="1005"/>
      <c r="F3" s="1005"/>
      <c r="G3" s="1005"/>
      <c r="H3" s="1005"/>
      <c r="I3" s="1005"/>
    </row>
    <row r="4" spans="2:9" ht="15">
      <c r="B4" s="701"/>
      <c r="C4" s="701"/>
      <c r="D4" s="701"/>
      <c r="E4" s="701"/>
      <c r="F4" s="701"/>
      <c r="G4" s="701"/>
      <c r="H4" s="701"/>
      <c r="I4" s="701"/>
    </row>
    <row r="5" spans="2:9" ht="15">
      <c r="B5" s="1006" t="str">
        <f>CONCATENATE("Budgeted Year: ",inputPrYr!C5,"")</f>
        <v>Budgeted Year: 2015</v>
      </c>
      <c r="C5" s="1006"/>
      <c r="D5" s="1006"/>
      <c r="E5" s="1006"/>
      <c r="F5" s="1006"/>
      <c r="G5" s="1006"/>
      <c r="H5" s="1006"/>
      <c r="I5" s="1006"/>
    </row>
    <row r="6" spans="2:9" ht="15">
      <c r="B6" s="702"/>
      <c r="C6" s="701"/>
      <c r="D6" s="701"/>
      <c r="E6" s="701"/>
      <c r="F6" s="701"/>
      <c r="G6" s="701"/>
      <c r="H6" s="701"/>
      <c r="I6" s="701"/>
    </row>
    <row r="7" spans="2:9" ht="15">
      <c r="B7" s="702" t="str">
        <f>CONCATENATE("Library found in: ",inputPrYr!D2,"")</f>
        <v>Library found in: City of Russell</v>
      </c>
      <c r="C7" s="701"/>
      <c r="D7" s="701"/>
      <c r="E7" s="701"/>
      <c r="F7" s="701"/>
      <c r="G7" s="701"/>
      <c r="H7" s="701"/>
      <c r="I7" s="701"/>
    </row>
    <row r="8" spans="2:9" ht="15">
      <c r="B8" s="702" t="str">
        <f>inputPrYr!D3</f>
        <v>Russell</v>
      </c>
      <c r="C8" s="701"/>
      <c r="D8" s="701"/>
      <c r="E8" s="701"/>
      <c r="F8" s="701"/>
      <c r="G8" s="701"/>
      <c r="H8" s="701"/>
      <c r="I8" s="701"/>
    </row>
    <row r="9" spans="2:9" ht="15">
      <c r="B9" s="701"/>
      <c r="C9" s="701"/>
      <c r="D9" s="701"/>
      <c r="E9" s="701"/>
      <c r="F9" s="701"/>
      <c r="G9" s="701"/>
      <c r="H9" s="701"/>
      <c r="I9" s="701"/>
    </row>
    <row r="10" spans="2:9" ht="39" customHeight="1">
      <c r="B10" s="1007" t="s">
        <v>813</v>
      </c>
      <c r="C10" s="1007"/>
      <c r="D10" s="1007"/>
      <c r="E10" s="1007"/>
      <c r="F10" s="1007"/>
      <c r="G10" s="1007"/>
      <c r="H10" s="1007"/>
      <c r="I10" s="1007"/>
    </row>
    <row r="11" spans="2:9" ht="15">
      <c r="B11" s="701"/>
      <c r="C11" s="701"/>
      <c r="D11" s="701"/>
      <c r="E11" s="701"/>
      <c r="F11" s="701"/>
      <c r="G11" s="701"/>
      <c r="H11" s="701"/>
      <c r="I11" s="701"/>
    </row>
    <row r="12" spans="2:9" ht="15">
      <c r="B12" s="703" t="s">
        <v>814</v>
      </c>
      <c r="C12" s="701"/>
      <c r="D12" s="701"/>
      <c r="E12" s="701"/>
      <c r="F12" s="701"/>
      <c r="G12" s="701"/>
      <c r="H12" s="701"/>
      <c r="I12" s="701"/>
    </row>
    <row r="13" spans="2:9" ht="15">
      <c r="B13" s="701"/>
      <c r="C13" s="701"/>
      <c r="D13" s="701"/>
      <c r="E13" s="704" t="s">
        <v>815</v>
      </c>
      <c r="F13" s="701"/>
      <c r="G13" s="704" t="s">
        <v>816</v>
      </c>
      <c r="H13" s="701"/>
      <c r="I13" s="701"/>
    </row>
    <row r="14" spans="2:9" ht="15">
      <c r="B14" s="701"/>
      <c r="C14" s="701"/>
      <c r="D14" s="701"/>
      <c r="E14" s="705">
        <f>inputPrYr!C5-1</f>
        <v>2014</v>
      </c>
      <c r="F14" s="701"/>
      <c r="G14" s="705">
        <f>inputPrYr!C5</f>
        <v>2015</v>
      </c>
      <c r="H14" s="701"/>
      <c r="I14" s="701"/>
    </row>
    <row r="15" spans="2:9" ht="15">
      <c r="B15" s="702" t="str">
        <f>'Library-Rec'!B8</f>
        <v>Ad Valorem Tax</v>
      </c>
      <c r="C15" s="701"/>
      <c r="D15" s="701"/>
      <c r="E15" s="706">
        <f>'Library-Rec'!D8</f>
        <v>122423</v>
      </c>
      <c r="F15" s="701"/>
      <c r="G15" s="706">
        <f>'Library-Rec'!E40</f>
        <v>130884</v>
      </c>
      <c r="H15" s="701"/>
      <c r="I15" s="701"/>
    </row>
    <row r="16" spans="2:9" ht="15">
      <c r="B16" s="702" t="str">
        <f>'Library-Rec'!B9</f>
        <v>Delinquent Tax</v>
      </c>
      <c r="C16" s="701"/>
      <c r="D16" s="701"/>
      <c r="E16" s="706">
        <f>'Library-Rec'!D9</f>
        <v>2140</v>
      </c>
      <c r="F16" s="701"/>
      <c r="G16" s="706">
        <f>'Library-Rec'!E9</f>
        <v>0</v>
      </c>
      <c r="H16" s="701"/>
      <c r="I16" s="701"/>
    </row>
    <row r="17" spans="2:9" ht="15">
      <c r="B17" s="702" t="str">
        <f>'Library-Rec'!B10</f>
        <v>Motor Vehicle Tax</v>
      </c>
      <c r="C17" s="701"/>
      <c r="D17" s="701"/>
      <c r="E17" s="706">
        <f>'Library-Rec'!D10</f>
        <v>23216</v>
      </c>
      <c r="F17" s="701"/>
      <c r="G17" s="706">
        <f>'Library-Rec'!E10</f>
        <v>19805</v>
      </c>
      <c r="H17" s="701"/>
      <c r="I17" s="701"/>
    </row>
    <row r="18" spans="2:9" ht="15">
      <c r="B18" s="702" t="str">
        <f>'Library-Rec'!B11</f>
        <v>Recreational Vehicle Tax</v>
      </c>
      <c r="C18" s="701"/>
      <c r="D18" s="701"/>
      <c r="E18" s="706">
        <f>'Library-Rec'!D11</f>
        <v>334</v>
      </c>
      <c r="F18" s="701"/>
      <c r="G18" s="706">
        <f>'Library-Rec'!E11</f>
        <v>286</v>
      </c>
      <c r="H18" s="701"/>
      <c r="I18" s="701"/>
    </row>
    <row r="19" spans="2:9" ht="15">
      <c r="B19" s="702" t="str">
        <f>'Library-Rec'!B12</f>
        <v>16/20M Vehicle Tax</v>
      </c>
      <c r="C19" s="701"/>
      <c r="D19" s="701"/>
      <c r="E19" s="706">
        <f>'Library-Rec'!D12</f>
        <v>419</v>
      </c>
      <c r="F19" s="701"/>
      <c r="G19" s="706">
        <f>'Library-Rec'!E12</f>
        <v>473</v>
      </c>
      <c r="H19" s="701"/>
      <c r="I19" s="701"/>
    </row>
    <row r="20" spans="2:9" ht="15">
      <c r="B20" s="701" t="s">
        <v>244</v>
      </c>
      <c r="C20" s="701"/>
      <c r="D20" s="701"/>
      <c r="E20" s="706">
        <v>0</v>
      </c>
      <c r="F20" s="701"/>
      <c r="G20" s="706">
        <v>0</v>
      </c>
      <c r="H20" s="701"/>
      <c r="I20" s="701"/>
    </row>
    <row r="21" spans="2:9" ht="15">
      <c r="B21" s="701"/>
      <c r="C21" s="701"/>
      <c r="D21" s="701"/>
      <c r="E21" s="706">
        <v>0</v>
      </c>
      <c r="F21" s="701"/>
      <c r="G21" s="706">
        <v>0</v>
      </c>
      <c r="H21" s="701"/>
      <c r="I21" s="701"/>
    </row>
    <row r="22" spans="2:9" ht="15">
      <c r="B22" s="701" t="s">
        <v>817</v>
      </c>
      <c r="C22" s="701"/>
      <c r="D22" s="701"/>
      <c r="E22" s="707">
        <f>SUM(E15:E21)</f>
        <v>148532</v>
      </c>
      <c r="F22" s="701"/>
      <c r="G22" s="707">
        <f>SUM(G15:G21)</f>
        <v>151448</v>
      </c>
      <c r="H22" s="701"/>
      <c r="I22" s="701"/>
    </row>
    <row r="23" spans="2:9" ht="15">
      <c r="B23" s="701" t="s">
        <v>818</v>
      </c>
      <c r="C23" s="701"/>
      <c r="D23" s="701"/>
      <c r="E23" s="708">
        <f>G22-E22</f>
        <v>2916</v>
      </c>
      <c r="F23" s="701"/>
      <c r="G23" s="709"/>
      <c r="H23" s="701"/>
      <c r="I23" s="701"/>
    </row>
    <row r="24" spans="2:9" ht="15">
      <c r="B24" s="701" t="s">
        <v>819</v>
      </c>
      <c r="C24" s="701"/>
      <c r="D24" s="710" t="str">
        <f>IF((G22-E22)&gt;0,"Qualify","Not Qualify")</f>
        <v>Qualify</v>
      </c>
      <c r="E24" s="701"/>
      <c r="F24" s="701"/>
      <c r="G24" s="701"/>
      <c r="H24" s="701"/>
      <c r="I24" s="701"/>
    </row>
    <row r="25" spans="2:9" ht="15">
      <c r="B25" s="701"/>
      <c r="C25" s="701"/>
      <c r="D25" s="701"/>
      <c r="E25" s="701"/>
      <c r="F25" s="701"/>
      <c r="G25" s="701"/>
      <c r="H25" s="701"/>
      <c r="I25" s="701"/>
    </row>
    <row r="26" spans="2:9" ht="15">
      <c r="B26" s="703" t="s">
        <v>820</v>
      </c>
      <c r="C26" s="701"/>
      <c r="D26" s="701"/>
      <c r="E26" s="701"/>
      <c r="F26" s="701"/>
      <c r="G26" s="701"/>
      <c r="H26" s="701"/>
      <c r="I26" s="701"/>
    </row>
    <row r="27" spans="2:9" ht="15">
      <c r="B27" s="701" t="s">
        <v>821</v>
      </c>
      <c r="C27" s="701"/>
      <c r="D27" s="701"/>
      <c r="E27" s="706">
        <f>summ!D59</f>
        <v>28677204</v>
      </c>
      <c r="F27" s="701"/>
      <c r="G27" s="706">
        <f>summ!F59</f>
        <v>29006726</v>
      </c>
      <c r="H27" s="701"/>
      <c r="I27" s="701"/>
    </row>
    <row r="28" spans="2:9" ht="15">
      <c r="B28" s="701" t="s">
        <v>822</v>
      </c>
      <c r="C28" s="701"/>
      <c r="D28" s="701"/>
      <c r="E28" s="711" t="str">
        <f>IF(G27-E27&gt;=0,"No","Yes")</f>
        <v>No</v>
      </c>
      <c r="F28" s="701"/>
      <c r="G28" s="701"/>
      <c r="H28" s="701"/>
      <c r="I28" s="701"/>
    </row>
    <row r="29" spans="2:9" ht="15">
      <c r="B29" s="701" t="s">
        <v>823</v>
      </c>
      <c r="C29" s="701"/>
      <c r="D29" s="701"/>
      <c r="E29" s="704">
        <f>summ!E17</f>
        <v>4.41</v>
      </c>
      <c r="F29" s="701"/>
      <c r="G29" s="712">
        <f>summ!H17</f>
        <v>4.512</v>
      </c>
      <c r="H29" s="701"/>
      <c r="I29" s="701"/>
    </row>
    <row r="30" spans="2:9" ht="15">
      <c r="B30" s="701" t="s">
        <v>824</v>
      </c>
      <c r="C30" s="701"/>
      <c r="D30" s="701"/>
      <c r="E30" s="713">
        <f>G29-E29</f>
        <v>0.10199999999999942</v>
      </c>
      <c r="F30" s="701"/>
      <c r="G30" s="701"/>
      <c r="H30" s="701"/>
      <c r="I30" s="701"/>
    </row>
    <row r="31" spans="2:9" ht="15">
      <c r="B31" s="701" t="s">
        <v>819</v>
      </c>
      <c r="C31" s="701"/>
      <c r="D31" s="714" t="str">
        <f>IF(E30&gt;=0,"Qualify","Not Qualify")</f>
        <v>Qualify</v>
      </c>
      <c r="E31" s="701"/>
      <c r="F31" s="701"/>
      <c r="G31" s="701"/>
      <c r="H31" s="701"/>
      <c r="I31" s="701"/>
    </row>
    <row r="32" spans="2:9" ht="15">
      <c r="B32" s="701"/>
      <c r="C32" s="701"/>
      <c r="D32" s="701"/>
      <c r="E32" s="701"/>
      <c r="F32" s="701"/>
      <c r="G32" s="701"/>
      <c r="H32" s="701"/>
      <c r="I32" s="701"/>
    </row>
    <row r="33" spans="2:9" ht="15">
      <c r="B33" s="701" t="s">
        <v>825</v>
      </c>
      <c r="C33" s="701"/>
      <c r="D33" s="701"/>
      <c r="E33" s="701"/>
      <c r="F33" s="715" t="str">
        <f>IF(D24="Not Qualify",IF(D31="Not Qualify",IF(D31="Not Qualify","Not Qualify","Qualify"),"Qualify"),"Qualify")</f>
        <v>Qualify</v>
      </c>
      <c r="G33" s="701"/>
      <c r="H33" s="701"/>
      <c r="I33" s="701"/>
    </row>
    <row r="34" spans="2:9" ht="15">
      <c r="B34" s="701"/>
      <c r="C34" s="701"/>
      <c r="D34" s="701"/>
      <c r="E34" s="701"/>
      <c r="F34" s="701"/>
      <c r="G34" s="701"/>
      <c r="H34" s="701"/>
      <c r="I34" s="701"/>
    </row>
    <row r="35" spans="2:9" ht="15">
      <c r="B35" s="701"/>
      <c r="C35" s="701"/>
      <c r="D35" s="701"/>
      <c r="E35" s="701"/>
      <c r="F35" s="701"/>
      <c r="G35" s="701"/>
      <c r="H35" s="701"/>
      <c r="I35" s="701"/>
    </row>
    <row r="36" spans="2:9" ht="37.5" customHeight="1">
      <c r="B36" s="1007" t="s">
        <v>826</v>
      </c>
      <c r="C36" s="1007"/>
      <c r="D36" s="1007"/>
      <c r="E36" s="1007"/>
      <c r="F36" s="1007"/>
      <c r="G36" s="1007"/>
      <c r="H36" s="1007"/>
      <c r="I36" s="1007"/>
    </row>
    <row r="37" spans="2:9" ht="15">
      <c r="B37" s="701"/>
      <c r="C37" s="701"/>
      <c r="D37" s="701"/>
      <c r="E37" s="701"/>
      <c r="F37" s="701"/>
      <c r="G37" s="701"/>
      <c r="H37" s="701"/>
      <c r="I37" s="701"/>
    </row>
    <row r="38" spans="2:9" ht="15">
      <c r="B38" s="701"/>
      <c r="C38" s="701"/>
      <c r="D38" s="701"/>
      <c r="E38" s="701"/>
      <c r="F38" s="701"/>
      <c r="G38" s="701"/>
      <c r="H38" s="701"/>
      <c r="I38" s="701"/>
    </row>
    <row r="39" spans="2:9" ht="15">
      <c r="B39" s="701"/>
      <c r="C39" s="701"/>
      <c r="D39" s="701"/>
      <c r="E39" s="701"/>
      <c r="F39" s="701"/>
      <c r="G39" s="701"/>
      <c r="H39" s="701"/>
      <c r="I39" s="701"/>
    </row>
    <row r="40" spans="2:9" ht="15">
      <c r="B40" s="701"/>
      <c r="C40" s="701"/>
      <c r="D40" s="701"/>
      <c r="E40" s="716" t="s">
        <v>114</v>
      </c>
      <c r="F40" s="717">
        <v>7</v>
      </c>
      <c r="G40" s="701"/>
      <c r="H40" s="701"/>
      <c r="I40" s="701"/>
    </row>
    <row r="41" spans="2:9" ht="15">
      <c r="B41" s="701"/>
      <c r="C41" s="701"/>
      <c r="D41" s="701"/>
      <c r="E41" s="701"/>
      <c r="F41" s="701"/>
      <c r="G41" s="701"/>
      <c r="H41" s="701"/>
      <c r="I41" s="701"/>
    </row>
    <row r="42" spans="2:9" ht="15">
      <c r="B42" s="701"/>
      <c r="C42" s="701"/>
      <c r="D42" s="701"/>
      <c r="E42" s="701"/>
      <c r="F42" s="701"/>
      <c r="G42" s="701"/>
      <c r="H42" s="701"/>
      <c r="I42" s="701"/>
    </row>
    <row r="43" spans="2:9" ht="15">
      <c r="B43" s="1008" t="s">
        <v>827</v>
      </c>
      <c r="C43" s="1009"/>
      <c r="D43" s="1009"/>
      <c r="E43" s="1009"/>
      <c r="F43" s="1009"/>
      <c r="G43" s="1009"/>
      <c r="H43" s="1009"/>
      <c r="I43" s="1009"/>
    </row>
    <row r="44" spans="2:9" ht="15">
      <c r="B44" s="701"/>
      <c r="C44" s="701"/>
      <c r="D44" s="701"/>
      <c r="E44" s="701"/>
      <c r="F44" s="701"/>
      <c r="G44" s="701"/>
      <c r="H44" s="701"/>
      <c r="I44" s="701"/>
    </row>
    <row r="45" spans="2:9" ht="15">
      <c r="B45" s="718" t="s">
        <v>828</v>
      </c>
      <c r="C45" s="701"/>
      <c r="D45" s="701"/>
      <c r="E45" s="701"/>
      <c r="F45" s="701"/>
      <c r="G45" s="701"/>
      <c r="H45" s="701"/>
      <c r="I45" s="701"/>
    </row>
    <row r="46" spans="2:9" ht="15">
      <c r="B46" s="718" t="str">
        <f>CONCATENATE("sources in your ",G14," library fund is not equal to or greater than the amount from the same")</f>
        <v>sources in your 2015 library fund is not equal to or greater than the amount from the same</v>
      </c>
      <c r="C46" s="701"/>
      <c r="D46" s="701"/>
      <c r="E46" s="701"/>
      <c r="F46" s="701"/>
      <c r="G46" s="701"/>
      <c r="H46" s="701"/>
      <c r="I46" s="701"/>
    </row>
    <row r="47" spans="2:9" ht="15">
      <c r="B47" s="718" t="str">
        <f>CONCATENATE("sources in ",E14,".")</f>
        <v>sources in 2014.</v>
      </c>
      <c r="C47" s="699"/>
      <c r="D47" s="699"/>
      <c r="E47" s="699"/>
      <c r="F47" s="699"/>
      <c r="G47" s="699"/>
      <c r="H47" s="699"/>
      <c r="I47" s="699"/>
    </row>
    <row r="48" spans="2:9" ht="15">
      <c r="B48" s="699"/>
      <c r="C48" s="699"/>
      <c r="D48" s="699"/>
      <c r="E48" s="699"/>
      <c r="F48" s="699"/>
      <c r="G48" s="699"/>
      <c r="H48" s="699"/>
      <c r="I48" s="699"/>
    </row>
    <row r="49" spans="2:9" ht="15">
      <c r="B49" s="718" t="s">
        <v>829</v>
      </c>
      <c r="C49" s="718"/>
      <c r="D49" s="719"/>
      <c r="E49" s="719"/>
      <c r="F49" s="719"/>
      <c r="G49" s="719"/>
      <c r="H49" s="719"/>
      <c r="I49" s="719"/>
    </row>
    <row r="50" spans="2:9" ht="15">
      <c r="B50" s="718" t="s">
        <v>830</v>
      </c>
      <c r="C50" s="718"/>
      <c r="D50" s="719"/>
      <c r="E50" s="719"/>
      <c r="F50" s="719"/>
      <c r="G50" s="719"/>
      <c r="H50" s="719"/>
      <c r="I50" s="719"/>
    </row>
    <row r="51" spans="2:9" ht="15">
      <c r="B51" s="718" t="s">
        <v>831</v>
      </c>
      <c r="C51" s="718"/>
      <c r="D51" s="719"/>
      <c r="E51" s="719"/>
      <c r="F51" s="719"/>
      <c r="G51" s="719"/>
      <c r="H51" s="719"/>
      <c r="I51" s="719"/>
    </row>
    <row r="52" spans="2:9" ht="15">
      <c r="B52" s="719"/>
      <c r="C52" s="719"/>
      <c r="D52" s="719"/>
      <c r="E52" s="719"/>
      <c r="F52" s="719"/>
      <c r="G52" s="719"/>
      <c r="H52" s="719"/>
      <c r="I52" s="719"/>
    </row>
    <row r="53" spans="2:9" ht="15">
      <c r="B53" s="720" t="s">
        <v>832</v>
      </c>
      <c r="C53" s="719"/>
      <c r="D53" s="719"/>
      <c r="E53" s="719"/>
      <c r="F53" s="719"/>
      <c r="G53" s="719"/>
      <c r="H53" s="719"/>
      <c r="I53" s="719"/>
    </row>
    <row r="54" spans="2:9" ht="15">
      <c r="B54" s="719"/>
      <c r="C54" s="719"/>
      <c r="D54" s="719"/>
      <c r="E54" s="719"/>
      <c r="F54" s="719"/>
      <c r="G54" s="719"/>
      <c r="H54" s="719"/>
      <c r="I54" s="719"/>
    </row>
    <row r="55" spans="2:9" ht="15">
      <c r="B55" s="718" t="s">
        <v>833</v>
      </c>
      <c r="C55" s="719"/>
      <c r="D55" s="719"/>
      <c r="E55" s="719"/>
      <c r="F55" s="719"/>
      <c r="G55" s="719"/>
      <c r="H55" s="719"/>
      <c r="I55" s="719"/>
    </row>
    <row r="56" spans="2:9" ht="15">
      <c r="B56" s="718" t="s">
        <v>834</v>
      </c>
      <c r="C56" s="719"/>
      <c r="D56" s="719"/>
      <c r="E56" s="719"/>
      <c r="F56" s="719"/>
      <c r="G56" s="719"/>
      <c r="H56" s="719"/>
      <c r="I56" s="719"/>
    </row>
    <row r="57" spans="2:9" ht="15">
      <c r="B57" s="719"/>
      <c r="C57" s="719"/>
      <c r="D57" s="719"/>
      <c r="E57" s="719"/>
      <c r="F57" s="719"/>
      <c r="G57" s="719"/>
      <c r="H57" s="719"/>
      <c r="I57" s="719"/>
    </row>
    <row r="58" spans="2:9" ht="15">
      <c r="B58" s="720" t="s">
        <v>835</v>
      </c>
      <c r="C58" s="718"/>
      <c r="D58" s="718"/>
      <c r="E58" s="718"/>
      <c r="F58" s="718"/>
      <c r="G58" s="719"/>
      <c r="H58" s="719"/>
      <c r="I58" s="719"/>
    </row>
    <row r="59" spans="2:9" ht="15">
      <c r="B59" s="718"/>
      <c r="C59" s="718"/>
      <c r="D59" s="718"/>
      <c r="E59" s="718"/>
      <c r="F59" s="718"/>
      <c r="G59" s="719"/>
      <c r="H59" s="719"/>
      <c r="I59" s="719"/>
    </row>
    <row r="60" spans="2:9" ht="15">
      <c r="B60" s="718" t="s">
        <v>836</v>
      </c>
      <c r="C60" s="718"/>
      <c r="D60" s="718"/>
      <c r="E60" s="718"/>
      <c r="F60" s="718"/>
      <c r="G60" s="719"/>
      <c r="H60" s="719"/>
      <c r="I60" s="719"/>
    </row>
    <row r="61" spans="2:9" ht="15">
      <c r="B61" s="718" t="s">
        <v>837</v>
      </c>
      <c r="C61" s="718"/>
      <c r="D61" s="718"/>
      <c r="E61" s="718"/>
      <c r="F61" s="718"/>
      <c r="G61" s="719"/>
      <c r="H61" s="719"/>
      <c r="I61" s="719"/>
    </row>
    <row r="62" spans="2:9" ht="15">
      <c r="B62" s="718" t="s">
        <v>838</v>
      </c>
      <c r="C62" s="718"/>
      <c r="D62" s="718"/>
      <c r="E62" s="718"/>
      <c r="F62" s="718"/>
      <c r="G62" s="719"/>
      <c r="H62" s="719"/>
      <c r="I62" s="719"/>
    </row>
    <row r="63" spans="2:9" ht="15">
      <c r="B63" s="718" t="s">
        <v>839</v>
      </c>
      <c r="C63" s="718"/>
      <c r="D63" s="718"/>
      <c r="E63" s="718"/>
      <c r="F63" s="718"/>
      <c r="G63" s="719"/>
      <c r="H63" s="719"/>
      <c r="I63" s="719"/>
    </row>
    <row r="64" spans="2:9" ht="15">
      <c r="B64" s="721"/>
      <c r="C64" s="721"/>
      <c r="D64" s="721"/>
      <c r="E64" s="721"/>
      <c r="F64" s="721"/>
      <c r="G64" s="719"/>
      <c r="H64" s="719"/>
      <c r="I64" s="719"/>
    </row>
    <row r="65" spans="2:9" ht="15">
      <c r="B65" s="718" t="s">
        <v>840</v>
      </c>
      <c r="C65" s="721"/>
      <c r="D65" s="721"/>
      <c r="E65" s="721"/>
      <c r="F65" s="721"/>
      <c r="G65" s="719"/>
      <c r="H65" s="719"/>
      <c r="I65" s="719"/>
    </row>
    <row r="66" spans="2:9" ht="15">
      <c r="B66" s="718" t="s">
        <v>841</v>
      </c>
      <c r="C66" s="721"/>
      <c r="D66" s="721"/>
      <c r="E66" s="721"/>
      <c r="F66" s="721"/>
      <c r="G66" s="719"/>
      <c r="H66" s="719"/>
      <c r="I66" s="719"/>
    </row>
    <row r="67" spans="2:9" ht="15">
      <c r="B67" s="721"/>
      <c r="C67" s="721"/>
      <c r="D67" s="721"/>
      <c r="E67" s="721"/>
      <c r="F67" s="721"/>
      <c r="G67" s="719"/>
      <c r="H67" s="719"/>
      <c r="I67" s="719"/>
    </row>
    <row r="68" spans="2:9" ht="15">
      <c r="B68" s="718" t="s">
        <v>842</v>
      </c>
      <c r="C68" s="721"/>
      <c r="D68" s="721"/>
      <c r="E68" s="721"/>
      <c r="F68" s="721"/>
      <c r="G68" s="719"/>
      <c r="H68" s="719"/>
      <c r="I68" s="719"/>
    </row>
    <row r="69" spans="2:9" ht="15">
      <c r="B69" s="718" t="s">
        <v>843</v>
      </c>
      <c r="C69" s="721"/>
      <c r="D69" s="721"/>
      <c r="E69" s="721"/>
      <c r="F69" s="721"/>
      <c r="G69" s="719"/>
      <c r="H69" s="719"/>
      <c r="I69" s="719"/>
    </row>
    <row r="70" spans="2:9" ht="15">
      <c r="B70" s="721"/>
      <c r="C70" s="721"/>
      <c r="D70" s="721"/>
      <c r="E70" s="721"/>
      <c r="F70" s="721"/>
      <c r="G70" s="719"/>
      <c r="H70" s="719"/>
      <c r="I70" s="719"/>
    </row>
    <row r="71" spans="2:9" ht="15">
      <c r="B71" s="720" t="s">
        <v>844</v>
      </c>
      <c r="C71" s="721"/>
      <c r="D71" s="721"/>
      <c r="E71" s="721"/>
      <c r="F71" s="721"/>
      <c r="G71" s="719"/>
      <c r="H71" s="719"/>
      <c r="I71" s="719"/>
    </row>
    <row r="72" spans="2:9" ht="15">
      <c r="B72" s="721"/>
      <c r="C72" s="721"/>
      <c r="D72" s="721"/>
      <c r="E72" s="721"/>
      <c r="F72" s="721"/>
      <c r="G72" s="719"/>
      <c r="H72" s="719"/>
      <c r="I72" s="719"/>
    </row>
    <row r="73" spans="2:9" ht="15">
      <c r="B73" s="718" t="s">
        <v>845</v>
      </c>
      <c r="C73" s="721"/>
      <c r="D73" s="721"/>
      <c r="E73" s="721"/>
      <c r="F73" s="721"/>
      <c r="G73" s="719"/>
      <c r="H73" s="719"/>
      <c r="I73" s="719"/>
    </row>
    <row r="74" spans="2:9" ht="15">
      <c r="B74" s="718" t="s">
        <v>846</v>
      </c>
      <c r="C74" s="721"/>
      <c r="D74" s="721"/>
      <c r="E74" s="721"/>
      <c r="F74" s="721"/>
      <c r="G74" s="719"/>
      <c r="H74" s="719"/>
      <c r="I74" s="719"/>
    </row>
    <row r="75" spans="2:9" ht="15">
      <c r="B75" s="721"/>
      <c r="C75" s="721"/>
      <c r="D75" s="721"/>
      <c r="E75" s="721"/>
      <c r="F75" s="721"/>
      <c r="G75" s="719"/>
      <c r="H75" s="719"/>
      <c r="I75" s="719"/>
    </row>
    <row r="76" spans="2:9" ht="15">
      <c r="B76" s="720" t="s">
        <v>847</v>
      </c>
      <c r="C76" s="721"/>
      <c r="D76" s="721"/>
      <c r="E76" s="721"/>
      <c r="F76" s="721"/>
      <c r="G76" s="719"/>
      <c r="H76" s="719"/>
      <c r="I76" s="719"/>
    </row>
    <row r="77" spans="2:9" ht="15">
      <c r="B77" s="721"/>
      <c r="C77" s="721"/>
      <c r="D77" s="721"/>
      <c r="E77" s="721"/>
      <c r="F77" s="721"/>
      <c r="G77" s="719"/>
      <c r="H77" s="719"/>
      <c r="I77" s="719"/>
    </row>
    <row r="78" spans="2:9" ht="15">
      <c r="B78" s="718" t="str">
        <f>CONCATENATE("If the ",G14," municipal budget has not been published and has not been submitted to the County")</f>
        <v>If the 2015 municipal budget has not been published and has not been submitted to the County</v>
      </c>
      <c r="C78" s="721"/>
      <c r="D78" s="721"/>
      <c r="E78" s="721"/>
      <c r="F78" s="721"/>
      <c r="G78" s="719"/>
      <c r="H78" s="719"/>
      <c r="I78" s="719"/>
    </row>
    <row r="79" spans="2:9" ht="15">
      <c r="B79" s="718" t="s">
        <v>848</v>
      </c>
      <c r="C79" s="721"/>
      <c r="D79" s="721"/>
      <c r="E79" s="721"/>
      <c r="F79" s="721"/>
      <c r="G79" s="719"/>
      <c r="H79" s="719"/>
      <c r="I79" s="719"/>
    </row>
    <row r="80" spans="2:9" ht="15">
      <c r="B80" s="721"/>
      <c r="C80" s="721"/>
      <c r="D80" s="721"/>
      <c r="E80" s="721"/>
      <c r="F80" s="721"/>
      <c r="G80" s="719"/>
      <c r="H80" s="719"/>
      <c r="I80" s="719"/>
    </row>
    <row r="81" spans="2:9" ht="15">
      <c r="B81" s="720" t="s">
        <v>409</v>
      </c>
      <c r="C81" s="721"/>
      <c r="D81" s="721"/>
      <c r="E81" s="721"/>
      <c r="F81" s="721"/>
      <c r="G81" s="719"/>
      <c r="H81" s="719"/>
      <c r="I81" s="719"/>
    </row>
    <row r="82" spans="2:9" ht="15">
      <c r="B82" s="721"/>
      <c r="C82" s="721"/>
      <c r="D82" s="721"/>
      <c r="E82" s="721"/>
      <c r="F82" s="721"/>
      <c r="G82" s="719"/>
      <c r="H82" s="719"/>
      <c r="I82" s="719"/>
    </row>
    <row r="83" spans="2:9" ht="15">
      <c r="B83" s="718" t="s">
        <v>849</v>
      </c>
      <c r="C83" s="721"/>
      <c r="D83" s="721"/>
      <c r="E83" s="721"/>
      <c r="F83" s="721"/>
      <c r="G83" s="719"/>
      <c r="H83" s="719"/>
      <c r="I83" s="719"/>
    </row>
    <row r="84" spans="2:9" ht="15">
      <c r="B84" s="718" t="str">
        <f>CONCATENATE("Budget Year ",G14," is equal to or greater than that for Current Year Estimate ",E14,".")</f>
        <v>Budget Year 2015 is equal to or greater than that for Current Year Estimate 2014.</v>
      </c>
      <c r="C84" s="721"/>
      <c r="D84" s="721"/>
      <c r="E84" s="721"/>
      <c r="F84" s="721"/>
      <c r="G84" s="719"/>
      <c r="H84" s="719"/>
      <c r="I84" s="719"/>
    </row>
    <row r="85" spans="2:9" ht="15">
      <c r="B85" s="721"/>
      <c r="C85" s="721"/>
      <c r="D85" s="721"/>
      <c r="E85" s="721"/>
      <c r="F85" s="721"/>
      <c r="G85" s="719"/>
      <c r="H85" s="719"/>
      <c r="I85" s="719"/>
    </row>
    <row r="86" spans="2:9" ht="15">
      <c r="B86" s="718" t="s">
        <v>850</v>
      </c>
      <c r="C86" s="721"/>
      <c r="D86" s="721"/>
      <c r="E86" s="721"/>
      <c r="F86" s="721"/>
      <c r="G86" s="719"/>
      <c r="H86" s="719"/>
      <c r="I86" s="719"/>
    </row>
    <row r="87" spans="2:9" ht="15">
      <c r="B87" s="718" t="s">
        <v>851</v>
      </c>
      <c r="C87" s="721"/>
      <c r="D87" s="721"/>
      <c r="E87" s="721"/>
      <c r="F87" s="721"/>
      <c r="G87" s="719"/>
      <c r="H87" s="719"/>
      <c r="I87" s="719"/>
    </row>
    <row r="88" spans="2:9" ht="15">
      <c r="B88" s="718" t="s">
        <v>852</v>
      </c>
      <c r="C88" s="721"/>
      <c r="D88" s="721"/>
      <c r="E88" s="721"/>
      <c r="F88" s="721"/>
      <c r="G88" s="719"/>
      <c r="H88" s="719"/>
      <c r="I88" s="719"/>
    </row>
    <row r="89" spans="2:9" ht="15">
      <c r="B89" s="718" t="str">
        <f>CONCATENATE("purpose for the previous (",E14,") year.")</f>
        <v>purpose for the previous (2014) year.</v>
      </c>
      <c r="C89" s="721"/>
      <c r="D89" s="721"/>
      <c r="E89" s="721"/>
      <c r="F89" s="721"/>
      <c r="G89" s="719"/>
      <c r="H89" s="719"/>
      <c r="I89" s="719"/>
    </row>
    <row r="90" spans="2:9" ht="15">
      <c r="B90" s="721"/>
      <c r="C90" s="721"/>
      <c r="D90" s="721"/>
      <c r="E90" s="721"/>
      <c r="F90" s="721"/>
      <c r="G90" s="719"/>
      <c r="H90" s="719"/>
      <c r="I90" s="719"/>
    </row>
    <row r="91" spans="2:9" ht="15">
      <c r="B91" s="718" t="str">
        <f>CONCATENATE("Next, look to see if delinquent tax for ",G14," is budgeted. Often this line is budgeted at $0 or left")</f>
        <v>Next, look to see if delinquent tax for 2015 is budgeted. Often this line is budgeted at $0 or left</v>
      </c>
      <c r="C91" s="721"/>
      <c r="D91" s="721"/>
      <c r="E91" s="721"/>
      <c r="F91" s="721"/>
      <c r="G91" s="719"/>
      <c r="H91" s="719"/>
      <c r="I91" s="719"/>
    </row>
    <row r="92" spans="2:9" ht="15">
      <c r="B92" s="718" t="s">
        <v>853</v>
      </c>
      <c r="C92" s="721"/>
      <c r="D92" s="721"/>
      <c r="E92" s="721"/>
      <c r="F92" s="721"/>
      <c r="G92" s="719"/>
      <c r="H92" s="719"/>
      <c r="I92" s="719"/>
    </row>
    <row r="93" spans="2:9" ht="15">
      <c r="B93" s="718" t="s">
        <v>854</v>
      </c>
      <c r="C93" s="721"/>
      <c r="D93" s="721"/>
      <c r="E93" s="721"/>
      <c r="F93" s="721"/>
      <c r="G93" s="719"/>
      <c r="H93" s="719"/>
      <c r="I93" s="719"/>
    </row>
    <row r="94" spans="2:9" ht="15">
      <c r="B94" s="718" t="s">
        <v>855</v>
      </c>
      <c r="C94" s="721"/>
      <c r="D94" s="721"/>
      <c r="E94" s="721"/>
      <c r="F94" s="721"/>
      <c r="G94" s="719"/>
      <c r="H94" s="719"/>
      <c r="I94" s="719"/>
    </row>
    <row r="95" spans="2:9" ht="15">
      <c r="B95" s="721"/>
      <c r="C95" s="721"/>
      <c r="D95" s="721"/>
      <c r="E95" s="721"/>
      <c r="F95" s="721"/>
      <c r="G95" s="719"/>
      <c r="H95" s="719"/>
      <c r="I95" s="719"/>
    </row>
    <row r="96" spans="2:9" ht="15">
      <c r="B96" s="720" t="s">
        <v>856</v>
      </c>
      <c r="C96" s="721"/>
      <c r="D96" s="721"/>
      <c r="E96" s="721"/>
      <c r="F96" s="721"/>
      <c r="G96" s="719"/>
      <c r="H96" s="719"/>
      <c r="I96" s="719"/>
    </row>
    <row r="97" spans="2:9" ht="15">
      <c r="B97" s="721"/>
      <c r="C97" s="721"/>
      <c r="D97" s="721"/>
      <c r="E97" s="721"/>
      <c r="F97" s="721"/>
      <c r="G97" s="719"/>
      <c r="H97" s="719"/>
      <c r="I97" s="719"/>
    </row>
    <row r="98" spans="2:9" ht="15">
      <c r="B98" s="718" t="s">
        <v>857</v>
      </c>
      <c r="C98" s="721"/>
      <c r="D98" s="721"/>
      <c r="E98" s="721"/>
      <c r="F98" s="721"/>
      <c r="G98" s="719"/>
      <c r="H98" s="719"/>
      <c r="I98" s="719"/>
    </row>
    <row r="99" spans="2:9" ht="15">
      <c r="B99" s="718" t="s">
        <v>858</v>
      </c>
      <c r="C99" s="721"/>
      <c r="D99" s="721"/>
      <c r="E99" s="721"/>
      <c r="F99" s="721"/>
      <c r="G99" s="719"/>
      <c r="H99" s="719"/>
      <c r="I99" s="719"/>
    </row>
    <row r="100" spans="2:9" ht="15">
      <c r="B100" s="721"/>
      <c r="C100" s="721"/>
      <c r="D100" s="721"/>
      <c r="E100" s="721"/>
      <c r="F100" s="721"/>
      <c r="G100" s="719"/>
      <c r="H100" s="719"/>
      <c r="I100" s="719"/>
    </row>
    <row r="101" spans="2:9" ht="15">
      <c r="B101" s="718" t="s">
        <v>859</v>
      </c>
      <c r="C101" s="721"/>
      <c r="D101" s="721"/>
      <c r="E101" s="721"/>
      <c r="F101" s="721"/>
      <c r="G101" s="719"/>
      <c r="H101" s="719"/>
      <c r="I101" s="719"/>
    </row>
    <row r="102" spans="2:9" ht="15">
      <c r="B102" s="718" t="s">
        <v>860</v>
      </c>
      <c r="C102" s="721"/>
      <c r="D102" s="721"/>
      <c r="E102" s="721"/>
      <c r="F102" s="721"/>
      <c r="G102" s="719"/>
      <c r="H102" s="719"/>
      <c r="I102" s="719"/>
    </row>
    <row r="103" spans="2:9" ht="15">
      <c r="B103" s="718" t="s">
        <v>861</v>
      </c>
      <c r="C103" s="721"/>
      <c r="D103" s="721"/>
      <c r="E103" s="721"/>
      <c r="F103" s="721"/>
      <c r="G103" s="719"/>
      <c r="H103" s="719"/>
      <c r="I103" s="719"/>
    </row>
    <row r="104" spans="2:9" ht="15">
      <c r="B104" s="718" t="s">
        <v>862</v>
      </c>
      <c r="C104" s="721"/>
      <c r="D104" s="721"/>
      <c r="E104" s="721"/>
      <c r="F104" s="721"/>
      <c r="G104" s="719"/>
      <c r="H104" s="719"/>
      <c r="I104" s="719"/>
    </row>
    <row r="105" spans="2:9" ht="15">
      <c r="B105" s="874" t="s">
        <v>960</v>
      </c>
      <c r="C105" s="875"/>
      <c r="D105" s="875"/>
      <c r="E105" s="875"/>
      <c r="F105" s="875"/>
      <c r="G105" s="719"/>
      <c r="H105" s="719"/>
      <c r="I105" s="719"/>
    </row>
    <row r="108" ht="15">
      <c r="G108" s="7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102">
      <selection activeCell="C75" sqref="C75"/>
    </sheetView>
  </sheetViews>
  <sheetFormatPr defaultColWidth="8.8984375" defaultRowHeight="15"/>
  <cols>
    <col min="1" max="1" width="2.3984375" style="30" customWidth="1"/>
    <col min="2" max="2" width="31.09765625" style="30" customWidth="1"/>
    <col min="3" max="4" width="15.69921875" style="30" customWidth="1"/>
    <col min="5" max="5" width="16.296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c r="C3" s="32"/>
      <c r="D3" s="32"/>
      <c r="E3" s="119"/>
    </row>
    <row r="4" spans="2:5" ht="15">
      <c r="B4" s="376" t="s">
        <v>171</v>
      </c>
      <c r="C4" s="230"/>
      <c r="D4" s="230"/>
      <c r="E4" s="230"/>
    </row>
    <row r="5" spans="2:5" ht="15">
      <c r="B5" s="153" t="s">
        <v>103</v>
      </c>
      <c r="C5" s="231" t="s">
        <v>806</v>
      </c>
      <c r="D5" s="232" t="s">
        <v>807</v>
      </c>
      <c r="E5" s="127" t="s">
        <v>808</v>
      </c>
    </row>
    <row r="6" spans="2:5" ht="15">
      <c r="B6" s="531" t="str">
        <f>inputPrYr!B17</f>
        <v>General</v>
      </c>
      <c r="C6" s="362" t="str">
        <f>CONCATENATE("Actual for ",E1-2,"")</f>
        <v>Actual for 2013</v>
      </c>
      <c r="D6" s="362" t="str">
        <f>CONCATENATE("Estimate for ",E1-1,"")</f>
        <v>Estimate for 2014</v>
      </c>
      <c r="E6" s="233" t="str">
        <f>CONCATENATE("Year for ",E1,"")</f>
        <v>Year for 2015</v>
      </c>
    </row>
    <row r="7" spans="2:5" ht="15">
      <c r="B7" s="234" t="s">
        <v>214</v>
      </c>
      <c r="C7" s="235">
        <v>1373311</v>
      </c>
      <c r="D7" s="237">
        <f>C112</f>
        <v>1389201</v>
      </c>
      <c r="E7" s="208">
        <f>D112</f>
        <v>1252554</v>
      </c>
    </row>
    <row r="8" spans="2:5" ht="15">
      <c r="B8" s="238" t="s">
        <v>216</v>
      </c>
      <c r="C8" s="142"/>
      <c r="D8" s="142"/>
      <c r="E8" s="68"/>
    </row>
    <row r="9" spans="2:5" ht="15">
      <c r="B9" s="234" t="s">
        <v>104</v>
      </c>
      <c r="C9" s="239">
        <v>796515</v>
      </c>
      <c r="D9" s="237">
        <f>IF(inputPrYr!H16&gt;0,inputPrYr!G17,inputPrYr!E17)</f>
        <v>696428</v>
      </c>
      <c r="E9" s="241" t="s">
        <v>92</v>
      </c>
    </row>
    <row r="10" spans="2:5" ht="15">
      <c r="B10" s="234" t="s">
        <v>105</v>
      </c>
      <c r="C10" s="239">
        <v>31323</v>
      </c>
      <c r="D10" s="239">
        <v>14648</v>
      </c>
      <c r="E10" s="242"/>
    </row>
    <row r="11" spans="2:5" ht="15">
      <c r="B11" s="234" t="s">
        <v>106</v>
      </c>
      <c r="C11" s="239">
        <v>156890</v>
      </c>
      <c r="D11" s="239">
        <v>148862</v>
      </c>
      <c r="E11" s="208">
        <f>mvalloc!D7</f>
        <v>112667</v>
      </c>
    </row>
    <row r="12" spans="2:5" ht="15">
      <c r="B12" s="234" t="s">
        <v>107</v>
      </c>
      <c r="C12" s="239">
        <v>2313</v>
      </c>
      <c r="D12" s="239">
        <v>2144</v>
      </c>
      <c r="E12" s="208">
        <f>mvalloc!E7</f>
        <v>1625</v>
      </c>
    </row>
    <row r="13" spans="2:5" ht="15">
      <c r="B13" s="234" t="s">
        <v>203</v>
      </c>
      <c r="C13" s="239"/>
      <c r="D13" s="239">
        <v>2877</v>
      </c>
      <c r="E13" s="208">
        <f>mvalloc!F7</f>
        <v>2695</v>
      </c>
    </row>
    <row r="14" spans="2:5" ht="15">
      <c r="B14" s="234" t="s">
        <v>204</v>
      </c>
      <c r="C14" s="239"/>
      <c r="D14" s="239"/>
      <c r="E14" s="208">
        <f>inputOth!E18</f>
        <v>0</v>
      </c>
    </row>
    <row r="15" spans="2:5" ht="15">
      <c r="B15" s="234" t="s">
        <v>244</v>
      </c>
      <c r="C15" s="239"/>
      <c r="D15" s="239"/>
      <c r="E15" s="208">
        <f>inputOth!E45</f>
        <v>0</v>
      </c>
    </row>
    <row r="16" spans="2:5" ht="15">
      <c r="B16" s="234" t="s">
        <v>245</v>
      </c>
      <c r="C16" s="239"/>
      <c r="D16" s="239"/>
      <c r="E16" s="208">
        <f>inputOth!E46</f>
        <v>0</v>
      </c>
    </row>
    <row r="17" spans="2:5" ht="15">
      <c r="B17" s="235" t="s">
        <v>1041</v>
      </c>
      <c r="C17" s="239">
        <v>35268</v>
      </c>
      <c r="D17" s="239">
        <v>30000</v>
      </c>
      <c r="E17" s="242">
        <v>26000</v>
      </c>
    </row>
    <row r="18" spans="2:5" ht="15">
      <c r="B18" s="235" t="s">
        <v>110</v>
      </c>
      <c r="C18" s="239">
        <v>848</v>
      </c>
      <c r="D18" s="239">
        <v>300</v>
      </c>
      <c r="E18" s="242">
        <v>700</v>
      </c>
    </row>
    <row r="19" spans="2:5" ht="15">
      <c r="B19" s="235" t="s">
        <v>108</v>
      </c>
      <c r="C19" s="239">
        <v>13061</v>
      </c>
      <c r="D19" s="239">
        <v>13000</v>
      </c>
      <c r="E19" s="242">
        <v>13469</v>
      </c>
    </row>
    <row r="20" spans="2:5" ht="15">
      <c r="B20" s="533" t="s">
        <v>1163</v>
      </c>
      <c r="C20" s="239">
        <v>227572</v>
      </c>
      <c r="D20" s="239">
        <v>230000</v>
      </c>
      <c r="E20" s="242">
        <v>223000</v>
      </c>
    </row>
    <row r="21" spans="2:5" ht="15">
      <c r="B21" s="532" t="s">
        <v>770</v>
      </c>
      <c r="C21" s="239">
        <v>445245</v>
      </c>
      <c r="D21" s="239">
        <v>450000</v>
      </c>
      <c r="E21" s="242">
        <v>436000</v>
      </c>
    </row>
    <row r="22" spans="2:5" ht="15">
      <c r="B22" s="532" t="s">
        <v>771</v>
      </c>
      <c r="C22" s="239">
        <v>178960</v>
      </c>
      <c r="D22" s="239">
        <v>150000</v>
      </c>
      <c r="E22" s="242">
        <v>150000</v>
      </c>
    </row>
    <row r="23" spans="2:5" ht="15">
      <c r="B23" s="532" t="s">
        <v>772</v>
      </c>
      <c r="C23" s="239">
        <v>17722</v>
      </c>
      <c r="D23" s="239">
        <v>17000</v>
      </c>
      <c r="E23" s="242">
        <v>17400</v>
      </c>
    </row>
    <row r="24" spans="2:5" ht="15">
      <c r="B24" s="235" t="s">
        <v>1042</v>
      </c>
      <c r="C24" s="239">
        <v>73348</v>
      </c>
      <c r="D24" s="239">
        <v>63100</v>
      </c>
      <c r="E24" s="242">
        <v>69200</v>
      </c>
    </row>
    <row r="25" spans="2:5" ht="15">
      <c r="B25" s="235" t="s">
        <v>1043</v>
      </c>
      <c r="C25" s="239">
        <v>24706</v>
      </c>
      <c r="D25" s="239">
        <v>25500</v>
      </c>
      <c r="E25" s="242">
        <v>21000</v>
      </c>
    </row>
    <row r="26" spans="2:5" ht="15">
      <c r="B26" s="235" t="s">
        <v>1044</v>
      </c>
      <c r="C26" s="239">
        <v>12513</v>
      </c>
      <c r="D26" s="239">
        <v>12000</v>
      </c>
      <c r="E26" s="242">
        <v>12000</v>
      </c>
    </row>
    <row r="27" spans="2:5" ht="15">
      <c r="B27" s="235" t="s">
        <v>1045</v>
      </c>
      <c r="C27" s="239">
        <v>47430</v>
      </c>
      <c r="D27" s="239">
        <v>50000</v>
      </c>
      <c r="E27" s="242">
        <v>48000</v>
      </c>
    </row>
    <row r="28" spans="2:5" ht="15">
      <c r="B28" s="235" t="s">
        <v>1046</v>
      </c>
      <c r="C28" s="239">
        <v>6912</v>
      </c>
      <c r="D28" s="239">
        <v>5500</v>
      </c>
      <c r="E28" s="242">
        <v>6500</v>
      </c>
    </row>
    <row r="29" spans="2:5" ht="15">
      <c r="B29" s="235" t="s">
        <v>1047</v>
      </c>
      <c r="C29" s="239">
        <v>196424</v>
      </c>
      <c r="D29" s="239">
        <v>190000</v>
      </c>
      <c r="E29" s="242">
        <v>190000</v>
      </c>
    </row>
    <row r="30" spans="2:5" ht="15">
      <c r="B30" s="235" t="s">
        <v>1048</v>
      </c>
      <c r="C30" s="239">
        <v>1080</v>
      </c>
      <c r="D30" s="239">
        <v>5000</v>
      </c>
      <c r="E30" s="242">
        <v>4000</v>
      </c>
    </row>
    <row r="31" spans="2:5" ht="15">
      <c r="B31" s="235" t="s">
        <v>1049</v>
      </c>
      <c r="C31" s="239">
        <v>43470</v>
      </c>
      <c r="D31" s="239">
        <v>30000</v>
      </c>
      <c r="E31" s="242"/>
    </row>
    <row r="32" spans="2:5" ht="15">
      <c r="B32" s="235" t="s">
        <v>1050</v>
      </c>
      <c r="C32" s="239">
        <v>2338</v>
      </c>
      <c r="D32" s="239">
        <v>4800</v>
      </c>
      <c r="E32" s="242">
        <v>1000</v>
      </c>
    </row>
    <row r="33" spans="2:5" ht="15">
      <c r="B33" s="235" t="s">
        <v>1051</v>
      </c>
      <c r="C33" s="239">
        <v>982</v>
      </c>
      <c r="D33" s="239">
        <v>500</v>
      </c>
      <c r="E33" s="242">
        <v>500</v>
      </c>
    </row>
    <row r="34" spans="2:5" ht="15">
      <c r="B34" s="235" t="s">
        <v>1052</v>
      </c>
      <c r="C34" s="239"/>
      <c r="D34" s="239"/>
      <c r="E34" s="242"/>
    </row>
    <row r="35" spans="2:5" ht="15">
      <c r="B35" s="235" t="s">
        <v>1053</v>
      </c>
      <c r="C35" s="239">
        <v>415000</v>
      </c>
      <c r="D35" s="239">
        <v>450000</v>
      </c>
      <c r="E35" s="242">
        <v>430000</v>
      </c>
    </row>
    <row r="36" spans="2:5" ht="15">
      <c r="B36" s="235" t="s">
        <v>1054</v>
      </c>
      <c r="C36" s="239">
        <v>110000</v>
      </c>
      <c r="D36" s="239">
        <v>115000</v>
      </c>
      <c r="E36" s="242">
        <v>100000</v>
      </c>
    </row>
    <row r="37" spans="2:5" ht="15">
      <c r="B37" s="235" t="s">
        <v>1055</v>
      </c>
      <c r="C37" s="239">
        <v>35000</v>
      </c>
      <c r="D37" s="239">
        <v>35000</v>
      </c>
      <c r="E37" s="242">
        <v>35000</v>
      </c>
    </row>
    <row r="38" spans="2:5" ht="15">
      <c r="B38" s="235" t="s">
        <v>1056</v>
      </c>
      <c r="C38" s="239">
        <v>43000</v>
      </c>
      <c r="D38" s="239">
        <v>45000</v>
      </c>
      <c r="E38" s="242">
        <v>250000</v>
      </c>
    </row>
    <row r="39" spans="2:5" ht="15">
      <c r="B39" s="235"/>
      <c r="C39" s="239"/>
      <c r="D39" s="239"/>
      <c r="E39" s="242"/>
    </row>
    <row r="40" spans="2:5" ht="15">
      <c r="B40" s="235"/>
      <c r="C40" s="239"/>
      <c r="D40" s="239"/>
      <c r="E40" s="242"/>
    </row>
    <row r="41" spans="2:5" ht="15">
      <c r="B41" s="235"/>
      <c r="C41" s="239"/>
      <c r="D41" s="239"/>
      <c r="E41" s="242"/>
    </row>
    <row r="42" spans="2:5" ht="15">
      <c r="B42" s="235"/>
      <c r="C42" s="239"/>
      <c r="D42" s="239"/>
      <c r="E42" s="242"/>
    </row>
    <row r="43" spans="2:5" ht="15">
      <c r="B43" s="235"/>
      <c r="C43" s="239"/>
      <c r="D43" s="239"/>
      <c r="E43" s="242"/>
    </row>
    <row r="44" spans="2:5" ht="15">
      <c r="B44" s="235"/>
      <c r="C44" s="239"/>
      <c r="D44" s="239"/>
      <c r="E44" s="242"/>
    </row>
    <row r="45" spans="2:5" ht="15">
      <c r="B45" s="235"/>
      <c r="C45" s="239"/>
      <c r="D45" s="239"/>
      <c r="E45" s="242"/>
    </row>
    <row r="46" spans="2:5" ht="15">
      <c r="B46" s="235"/>
      <c r="C46" s="239"/>
      <c r="D46" s="239"/>
      <c r="E46" s="242"/>
    </row>
    <row r="47" spans="2:5" ht="15">
      <c r="B47" s="235"/>
      <c r="C47" s="239"/>
      <c r="D47" s="239"/>
      <c r="E47" s="242"/>
    </row>
    <row r="48" spans="2:5" ht="15">
      <c r="B48" s="235"/>
      <c r="C48" s="239"/>
      <c r="D48" s="239"/>
      <c r="E48" s="242"/>
    </row>
    <row r="49" spans="2:5" ht="15">
      <c r="B49" s="235"/>
      <c r="C49" s="239"/>
      <c r="D49" s="239"/>
      <c r="E49" s="242"/>
    </row>
    <row r="50" spans="2:5" ht="15">
      <c r="B50" s="235"/>
      <c r="C50" s="239"/>
      <c r="D50" s="239"/>
      <c r="E50" s="242"/>
    </row>
    <row r="51" spans="2:5" ht="15">
      <c r="B51" s="235"/>
      <c r="C51" s="239"/>
      <c r="D51" s="239"/>
      <c r="E51" s="242"/>
    </row>
    <row r="52" spans="2:5" ht="15">
      <c r="B52" s="235" t="s">
        <v>109</v>
      </c>
      <c r="C52" s="239">
        <v>26029</v>
      </c>
      <c r="D52" s="239">
        <v>25000</v>
      </c>
      <c r="E52" s="242">
        <v>25000</v>
      </c>
    </row>
    <row r="53" spans="2:5" ht="15">
      <c r="B53" s="243" t="s">
        <v>111</v>
      </c>
      <c r="C53" s="239">
        <v>3351</v>
      </c>
      <c r="D53" s="239">
        <v>2000</v>
      </c>
      <c r="E53" s="242">
        <v>2000</v>
      </c>
    </row>
    <row r="54" spans="2:5" ht="15">
      <c r="B54" s="142" t="s">
        <v>13</v>
      </c>
      <c r="C54" s="239">
        <v>31251</v>
      </c>
      <c r="D54" s="239">
        <v>25000</v>
      </c>
      <c r="E54" s="242">
        <v>25000</v>
      </c>
    </row>
    <row r="55" spans="2:5" ht="15">
      <c r="B55" s="234" t="s">
        <v>785</v>
      </c>
      <c r="C55" s="244">
        <f>IF(C56*0.1&lt;C54,"Exceed 10% Rule","")</f>
      </c>
      <c r="D55" s="244">
        <f>IF(D56*0.1&lt;D54,"Exceed 10% Rule","")</f>
      </c>
      <c r="E55" s="282">
        <f>IF(E56*0.1+E118&lt;E54,"Exceed 10% Rule","")</f>
      </c>
    </row>
    <row r="56" spans="2:5" ht="15">
      <c r="B56" s="246" t="s">
        <v>112</v>
      </c>
      <c r="C56" s="248">
        <f>SUM(C9:C54)</f>
        <v>2978551</v>
      </c>
      <c r="D56" s="248">
        <f>SUM(D9:D54)</f>
        <v>2838659</v>
      </c>
      <c r="E56" s="249">
        <f>SUM(E10:E54)</f>
        <v>2202756</v>
      </c>
    </row>
    <row r="57" spans="2:5" ht="15">
      <c r="B57" s="246" t="s">
        <v>113</v>
      </c>
      <c r="C57" s="248">
        <f>C7+C56</f>
        <v>4351862</v>
      </c>
      <c r="D57" s="248">
        <f>D7+D56</f>
        <v>4227860</v>
      </c>
      <c r="E57" s="249">
        <f>E7+E56</f>
        <v>3455310</v>
      </c>
    </row>
    <row r="58" spans="2:5" ht="15">
      <c r="B58" s="32"/>
      <c r="C58" s="32"/>
      <c r="D58" s="32"/>
      <c r="E58" s="32"/>
    </row>
    <row r="59" spans="2:5" ht="15">
      <c r="B59" s="119" t="s">
        <v>122</v>
      </c>
      <c r="C59" s="153">
        <f>IF(inputPrYr!D19&gt;0,8,7)</f>
        <v>8</v>
      </c>
      <c r="D59" s="154"/>
      <c r="E59" s="154"/>
    </row>
    <row r="60" spans="2:5" ht="15">
      <c r="B60" s="154"/>
      <c r="C60" s="154"/>
      <c r="D60" s="154"/>
      <c r="E60" s="154"/>
    </row>
    <row r="61" spans="2:5" ht="15">
      <c r="B61" s="176" t="str">
        <f>inputPrYr!D2</f>
        <v>City of Russell</v>
      </c>
      <c r="C61" s="32"/>
      <c r="D61" s="32"/>
      <c r="E61" s="151"/>
    </row>
    <row r="62" spans="2:5" ht="15">
      <c r="B62" s="32"/>
      <c r="C62" s="32"/>
      <c r="D62" s="32"/>
      <c r="E62" s="119"/>
    </row>
    <row r="63" spans="2:5" ht="15">
      <c r="B63" s="250" t="s">
        <v>170</v>
      </c>
      <c r="C63" s="201"/>
      <c r="D63" s="201"/>
      <c r="E63" s="201"/>
    </row>
    <row r="64" spans="2:5" ht="15">
      <c r="B64" s="32" t="s">
        <v>103</v>
      </c>
      <c r="C64" s="231" t="s">
        <v>806</v>
      </c>
      <c r="D64" s="232" t="s">
        <v>815</v>
      </c>
      <c r="E64" s="127" t="s">
        <v>808</v>
      </c>
    </row>
    <row r="65" spans="2:5" ht="15">
      <c r="B65" s="58" t="str">
        <f>inputPrYr!B17</f>
        <v>General</v>
      </c>
      <c r="C65" s="362" t="str">
        <f>C6</f>
        <v>Actual for 2013</v>
      </c>
      <c r="D65" s="362" t="str">
        <f>D6</f>
        <v>Estimate for 2014</v>
      </c>
      <c r="E65" s="233" t="str">
        <f>E6</f>
        <v>Year for 2015</v>
      </c>
    </row>
    <row r="66" spans="2:5" ht="15">
      <c r="B66" s="251" t="s">
        <v>113</v>
      </c>
      <c r="C66" s="237">
        <f>C57</f>
        <v>4351862</v>
      </c>
      <c r="D66" s="237">
        <f>D57</f>
        <v>4227860</v>
      </c>
      <c r="E66" s="208">
        <f>E57</f>
        <v>3455310</v>
      </c>
    </row>
    <row r="67" spans="2:5" ht="15">
      <c r="B67" s="238" t="s">
        <v>115</v>
      </c>
      <c r="C67" s="142"/>
      <c r="D67" s="142"/>
      <c r="E67" s="68"/>
    </row>
    <row r="68" spans="2:6" ht="15">
      <c r="B68" s="234" t="str">
        <f>GenDetail!A7</f>
        <v>Mayor/Council/Admin</v>
      </c>
      <c r="C68" s="252">
        <f>GenDetail!B15</f>
        <v>40923</v>
      </c>
      <c r="D68" s="252">
        <f>GenDetail!C15</f>
        <v>53714</v>
      </c>
      <c r="E68" s="63">
        <f>GenDetail!D15</f>
        <v>60475</v>
      </c>
      <c r="F68" s="253"/>
    </row>
    <row r="69" spans="2:6" ht="15">
      <c r="B69" s="234" t="str">
        <f>GenDetail!A16</f>
        <v>City Manager/HR</v>
      </c>
      <c r="C69" s="252">
        <f>GenDetail!B22</f>
        <v>161536</v>
      </c>
      <c r="D69" s="252">
        <f>GenDetail!C22</f>
        <v>132600</v>
      </c>
      <c r="E69" s="63">
        <f>GenDetail!D22</f>
        <v>219450</v>
      </c>
      <c r="F69" s="253"/>
    </row>
    <row r="70" spans="2:5" ht="15">
      <c r="B70" s="234" t="str">
        <f>GenDetail!A23</f>
        <v>City Clerk</v>
      </c>
      <c r="C70" s="252">
        <f>GenDetail!B29</f>
        <v>238531</v>
      </c>
      <c r="D70" s="252">
        <f>GenDetail!C29</f>
        <v>305795</v>
      </c>
      <c r="E70" s="63">
        <f>GenDetail!D29</f>
        <v>232080</v>
      </c>
    </row>
    <row r="71" spans="2:5" ht="15">
      <c r="B71" s="234" t="str">
        <f>GenDetail!A30</f>
        <v>Public Transportation/Custodian</v>
      </c>
      <c r="C71" s="252">
        <f>GenDetail!B35</f>
        <v>59860</v>
      </c>
      <c r="D71" s="252">
        <f>GenDetail!C35</f>
        <v>63200</v>
      </c>
      <c r="E71" s="63">
        <f>GenDetail!D35</f>
        <v>68950</v>
      </c>
    </row>
    <row r="72" spans="2:5" ht="15">
      <c r="B72" s="234" t="str">
        <f>GenDetail!A36</f>
        <v>Police</v>
      </c>
      <c r="C72" s="252">
        <f>GenDetail!B42</f>
        <v>413796</v>
      </c>
      <c r="D72" s="252">
        <f>GenDetail!C42</f>
        <v>474650</v>
      </c>
      <c r="E72" s="63">
        <f>GenDetail!D42</f>
        <v>502400</v>
      </c>
    </row>
    <row r="73" spans="2:5" ht="15">
      <c r="B73" s="234" t="str">
        <f>GenDetail!A43</f>
        <v>Public Works</v>
      </c>
      <c r="C73" s="252">
        <f>GenDetail!B49</f>
        <v>75131</v>
      </c>
      <c r="D73" s="252">
        <f>GenDetail!C49</f>
        <v>83300</v>
      </c>
      <c r="E73" s="63">
        <f>GenDetail!D49</f>
        <v>82950</v>
      </c>
    </row>
    <row r="74" spans="2:5" ht="15">
      <c r="B74" s="234" t="str">
        <f>GenDetail!A50</f>
        <v>Fire</v>
      </c>
      <c r="C74" s="252">
        <f>GenDetail!B56</f>
        <v>197046</v>
      </c>
      <c r="D74" s="252">
        <f>GenDetail!C56</f>
        <v>204730</v>
      </c>
      <c r="E74" s="63">
        <f>GenDetail!D56</f>
        <v>234250</v>
      </c>
    </row>
    <row r="75" spans="2:5" ht="15">
      <c r="B75" s="234" t="str">
        <f>GenDetail!A57</f>
        <v>Municipal Court</v>
      </c>
      <c r="C75" s="252">
        <f>GenDetail!B63</f>
        <v>45758</v>
      </c>
      <c r="D75" s="252">
        <f>GenDetail!C63</f>
        <v>47600</v>
      </c>
      <c r="E75" s="63">
        <f>GenDetail!D63</f>
        <v>48860</v>
      </c>
    </row>
    <row r="76" spans="2:5" ht="15">
      <c r="B76" s="234">
        <f>GenDetail!A75</f>
        <v>911</v>
      </c>
      <c r="C76" s="252">
        <f>GenDetail!B81</f>
        <v>332570</v>
      </c>
      <c r="D76" s="252">
        <f>GenDetail!C81</f>
        <v>344770</v>
      </c>
      <c r="E76" s="63">
        <f>GenDetail!D81</f>
        <v>355950</v>
      </c>
    </row>
    <row r="77" spans="2:5" ht="15">
      <c r="B77" s="234" t="str">
        <f>GenDetail!A82</f>
        <v>Building Planning and Zoning</v>
      </c>
      <c r="C77" s="252">
        <f>GenDetail!B88</f>
        <v>107493</v>
      </c>
      <c r="D77" s="252">
        <f>GenDetail!C88</f>
        <v>114881</v>
      </c>
      <c r="E77" s="63">
        <f>GenDetail!D88</f>
        <v>119400</v>
      </c>
    </row>
    <row r="78" spans="2:5" ht="15">
      <c r="B78" s="234" t="str">
        <f>GenDetail!A89</f>
        <v>Street</v>
      </c>
      <c r="C78" s="252">
        <f>GenDetail!B95</f>
        <v>324407</v>
      </c>
      <c r="D78" s="252">
        <f>GenDetail!C95</f>
        <v>380500</v>
      </c>
      <c r="E78" s="63">
        <f>GenDetail!D95</f>
        <v>367650</v>
      </c>
    </row>
    <row r="79" spans="2:5" ht="15">
      <c r="B79" s="234" t="str">
        <f>GenDetail!A96</f>
        <v>Golf Course and Clubhouse</v>
      </c>
      <c r="C79" s="252">
        <f>GenDetail!B101</f>
        <v>169269</v>
      </c>
      <c r="D79" s="252">
        <f>GenDetail!C101</f>
        <v>163400</v>
      </c>
      <c r="E79" s="63">
        <f>GenDetail!D101</f>
        <v>166500</v>
      </c>
    </row>
    <row r="80" spans="2:5" ht="15">
      <c r="B80" s="234" t="str">
        <f>GenDetail!A102</f>
        <v>Swimming Pool</v>
      </c>
      <c r="C80" s="252">
        <f>GenDetail!B108</f>
        <v>68682</v>
      </c>
      <c r="D80" s="252">
        <f>GenDetail!C108</f>
        <v>87500</v>
      </c>
      <c r="E80" s="63">
        <f>GenDetail!D108</f>
        <v>85450</v>
      </c>
    </row>
    <row r="81" spans="2:5" ht="15">
      <c r="B81" s="234" t="str">
        <f>GenDetail!A109</f>
        <v>Park</v>
      </c>
      <c r="C81" s="252">
        <f>GenDetail!B115</f>
        <v>273668</v>
      </c>
      <c r="D81" s="252">
        <f>GenDetail!C115</f>
        <v>258850</v>
      </c>
      <c r="E81" s="63">
        <f>GenDetail!D115</f>
        <v>267600</v>
      </c>
    </row>
    <row r="82" spans="2:5" ht="15">
      <c r="B82" s="234" t="str">
        <f>GenDetail!A116</f>
        <v>Deines Cultural Center</v>
      </c>
      <c r="C82" s="252">
        <f>GenDetail!B122</f>
        <v>44244</v>
      </c>
      <c r="D82" s="252">
        <f>GenDetail!C122</f>
        <v>46110</v>
      </c>
      <c r="E82" s="63">
        <f>GenDetail!D122</f>
        <v>57400</v>
      </c>
    </row>
    <row r="83" spans="2:5" ht="15">
      <c r="B83" s="234" t="str">
        <f>GenDetail!A123</f>
        <v>Armory/Community Center</v>
      </c>
      <c r="C83" s="252">
        <f>GenDetail!B129</f>
        <v>4843</v>
      </c>
      <c r="D83" s="252">
        <f>GenDetail!C129</f>
        <v>11046</v>
      </c>
      <c r="E83" s="63">
        <f>GenDetail!D129</f>
        <v>9600</v>
      </c>
    </row>
    <row r="84" spans="2:5" ht="15">
      <c r="B84" s="254" t="s">
        <v>633</v>
      </c>
      <c r="C84" s="363">
        <f>SUM(C68:C83)</f>
        <v>2557757</v>
      </c>
      <c r="D84" s="363">
        <f>SUM(D68:D83)</f>
        <v>2772646</v>
      </c>
      <c r="E84" s="269">
        <f>SUM(E68:E83)</f>
        <v>2878965</v>
      </c>
    </row>
    <row r="85" spans="2:5" ht="15">
      <c r="B85" s="243"/>
      <c r="C85" s="239"/>
      <c r="D85" s="239"/>
      <c r="E85" s="242"/>
    </row>
    <row r="86" spans="2:5" ht="15">
      <c r="B86" s="243" t="s">
        <v>1153</v>
      </c>
      <c r="C86" s="239">
        <v>36899</v>
      </c>
      <c r="D86" s="239">
        <v>33000</v>
      </c>
      <c r="E86" s="242">
        <v>31000</v>
      </c>
    </row>
    <row r="87" spans="2:5" ht="15">
      <c r="B87" s="243" t="s">
        <v>1057</v>
      </c>
      <c r="C87" s="239">
        <v>182782</v>
      </c>
      <c r="D87" s="239">
        <v>85300</v>
      </c>
      <c r="E87" s="242">
        <v>120000</v>
      </c>
    </row>
    <row r="88" spans="2:5" ht="15">
      <c r="B88" s="243" t="s">
        <v>1058</v>
      </c>
      <c r="C88" s="239">
        <v>152883</v>
      </c>
      <c r="D88" s="239">
        <v>61500</v>
      </c>
      <c r="E88" s="242">
        <v>150000</v>
      </c>
    </row>
    <row r="89" spans="2:5" ht="15">
      <c r="B89" s="243" t="s">
        <v>1059</v>
      </c>
      <c r="C89" s="239">
        <v>500</v>
      </c>
      <c r="D89" s="239">
        <v>500</v>
      </c>
      <c r="E89" s="242">
        <v>500</v>
      </c>
    </row>
    <row r="90" spans="2:5" ht="15">
      <c r="B90" s="243"/>
      <c r="C90" s="239"/>
      <c r="D90" s="239"/>
      <c r="E90" s="242"/>
    </row>
    <row r="91" spans="2:5" ht="15">
      <c r="B91" s="255" t="s">
        <v>1025</v>
      </c>
      <c r="C91" s="239"/>
      <c r="D91" s="239"/>
      <c r="E91" s="242">
        <v>1300000</v>
      </c>
    </row>
    <row r="92" spans="2:5" ht="15">
      <c r="B92" s="255"/>
      <c r="C92" s="239"/>
      <c r="D92" s="239"/>
      <c r="E92" s="242"/>
    </row>
    <row r="93" spans="2:5" ht="15">
      <c r="B93" s="255"/>
      <c r="C93" s="239"/>
      <c r="D93" s="239"/>
      <c r="E93" s="242"/>
    </row>
    <row r="94" spans="2:5" ht="15">
      <c r="B94" s="255"/>
      <c r="C94" s="239"/>
      <c r="D94" s="239"/>
      <c r="E94" s="242"/>
    </row>
    <row r="95" spans="2:5" ht="15">
      <c r="B95" s="255"/>
      <c r="C95" s="239"/>
      <c r="D95" s="239"/>
      <c r="E95" s="242"/>
    </row>
    <row r="96" spans="2:5" ht="15">
      <c r="B96" s="255"/>
      <c r="C96" s="239"/>
      <c r="D96" s="239"/>
      <c r="E96" s="242"/>
    </row>
    <row r="97" spans="2:5" ht="15">
      <c r="B97" s="255"/>
      <c r="C97" s="239"/>
      <c r="D97" s="239"/>
      <c r="E97" s="242"/>
    </row>
    <row r="98" spans="2:5" ht="15">
      <c r="B98" s="255"/>
      <c r="C98" s="239"/>
      <c r="D98" s="239"/>
      <c r="E98" s="242"/>
    </row>
    <row r="99" spans="2:5" ht="15">
      <c r="B99" s="255"/>
      <c r="C99" s="239"/>
      <c r="D99" s="239"/>
      <c r="E99" s="242"/>
    </row>
    <row r="100" spans="2:5" ht="15">
      <c r="B100" s="255"/>
      <c r="C100" s="239"/>
      <c r="D100" s="239"/>
      <c r="E100" s="242"/>
    </row>
    <row r="101" spans="2:5" ht="15">
      <c r="B101" s="255"/>
      <c r="C101" s="239"/>
      <c r="D101" s="239"/>
      <c r="E101" s="242"/>
    </row>
    <row r="102" spans="2:10" ht="15">
      <c r="B102" s="255"/>
      <c r="C102" s="239"/>
      <c r="D102" s="239"/>
      <c r="E102" s="242"/>
      <c r="G102" s="1016" t="str">
        <f>CONCATENATE("Desired Carryover Into ",E1+1,"")</f>
        <v>Desired Carryover Into 2016</v>
      </c>
      <c r="H102" s="1017"/>
      <c r="I102" s="1017"/>
      <c r="J102" s="1018"/>
    </row>
    <row r="103" spans="2:10" ht="15">
      <c r="B103" s="255"/>
      <c r="C103" s="239"/>
      <c r="D103" s="239"/>
      <c r="E103" s="242"/>
      <c r="G103" s="748"/>
      <c r="H103" s="749"/>
      <c r="I103" s="749"/>
      <c r="J103" s="750"/>
    </row>
    <row r="104" spans="2:10" ht="15">
      <c r="B104" s="255"/>
      <c r="C104" s="239"/>
      <c r="D104" s="239"/>
      <c r="E104" s="242"/>
      <c r="G104" s="751" t="s">
        <v>773</v>
      </c>
      <c r="H104" s="752"/>
      <c r="I104" s="752"/>
      <c r="J104" s="753">
        <v>0</v>
      </c>
    </row>
    <row r="105" spans="2:10" ht="15">
      <c r="B105" s="255"/>
      <c r="C105" s="239"/>
      <c r="D105" s="239"/>
      <c r="E105" s="242"/>
      <c r="G105" s="754" t="s">
        <v>774</v>
      </c>
      <c r="H105" s="755"/>
      <c r="I105" s="756"/>
      <c r="J105" s="757">
        <f>IF(J104=0,"",ROUND((J104+E118-G117)/inputOth!E9*1000,3)-general!G122)</f>
      </c>
    </row>
    <row r="106" spans="2:10" ht="15">
      <c r="B106" s="255"/>
      <c r="C106" s="239"/>
      <c r="D106" s="239"/>
      <c r="E106" s="242"/>
      <c r="G106" s="758" t="str">
        <f>CONCATENATE("",E1," Total Expenditures Must Be:")</f>
        <v>2015 Total Expenditures Must Be:</v>
      </c>
      <c r="H106" s="759"/>
      <c r="I106" s="760"/>
      <c r="J106" s="761">
        <f>IF(J104&gt;0,IF(E115&lt;E57,IF(J104=G117,E115,((J104-G117)*(1-D117))+E57),E115+(J104-G117)),0)</f>
        <v>0</v>
      </c>
    </row>
    <row r="107" spans="2:10" ht="15">
      <c r="B107" s="255"/>
      <c r="C107" s="239"/>
      <c r="D107" s="239"/>
      <c r="E107" s="242"/>
      <c r="G107" s="762" t="s">
        <v>880</v>
      </c>
      <c r="H107" s="763"/>
      <c r="I107" s="764"/>
      <c r="J107" s="765">
        <f>IF(J104&gt;0,J106-E115,0)</f>
        <v>0</v>
      </c>
    </row>
    <row r="108" spans="2:5" ht="15">
      <c r="B108" s="256" t="s">
        <v>12</v>
      </c>
      <c r="C108" s="239">
        <v>31840</v>
      </c>
      <c r="D108" s="239">
        <v>22360</v>
      </c>
      <c r="E108" s="257">
        <f>nhood!E6</f>
        <v>30133</v>
      </c>
    </row>
    <row r="109" spans="2:10" ht="15">
      <c r="B109" s="256" t="s">
        <v>13</v>
      </c>
      <c r="C109" s="239"/>
      <c r="D109" s="239"/>
      <c r="E109" s="242"/>
      <c r="G109" s="1016" t="str">
        <f>CONCATENATE("Projected Carryover Into ",E1+1,"")</f>
        <v>Projected Carryover Into 2016</v>
      </c>
      <c r="H109" s="1019"/>
      <c r="I109" s="1019"/>
      <c r="J109" s="1020"/>
    </row>
    <row r="110" spans="2:10" ht="15">
      <c r="B110" s="256" t="s">
        <v>786</v>
      </c>
      <c r="C110" s="244">
        <f>IF(C111*0.1&lt;C109,"Exceed 10% Rule","")</f>
      </c>
      <c r="D110" s="244">
        <f>IF(D111*0.1&lt;D109,"Exceed 10% Rule","")</f>
      </c>
      <c r="E110" s="282">
        <f>IF(E111*0.1&lt;E109,"Exceed 10% Rule","")</f>
      </c>
      <c r="G110" s="748"/>
      <c r="H110" s="749"/>
      <c r="I110" s="749"/>
      <c r="J110" s="750"/>
    </row>
    <row r="111" spans="2:10" ht="15">
      <c r="B111" s="246" t="s">
        <v>119</v>
      </c>
      <c r="C111" s="248">
        <f>SUM(C84:C109)</f>
        <v>2962661</v>
      </c>
      <c r="D111" s="248">
        <f>SUM(D84:D109)</f>
        <v>2975306</v>
      </c>
      <c r="E111" s="249">
        <f>SUM(E84:E109)</f>
        <v>4510598</v>
      </c>
      <c r="G111" s="766">
        <f>D112</f>
        <v>1252554</v>
      </c>
      <c r="H111" s="767" t="str">
        <f>CONCATENATE("",E1-1," Ending Cash Balance (est.)")</f>
        <v>2014 Ending Cash Balance (est.)</v>
      </c>
      <c r="I111" s="768"/>
      <c r="J111" s="750"/>
    </row>
    <row r="112" spans="2:10" ht="15">
      <c r="B112" s="133" t="s">
        <v>215</v>
      </c>
      <c r="C112" s="252">
        <f>C57-C111</f>
        <v>1389201</v>
      </c>
      <c r="D112" s="252">
        <f>D57-D111</f>
        <v>1252554</v>
      </c>
      <c r="E112" s="241" t="s">
        <v>92</v>
      </c>
      <c r="G112" s="766">
        <f>E56</f>
        <v>2202756</v>
      </c>
      <c r="H112" s="752" t="str">
        <f>CONCATENATE("",E1," Non-AV Receipts (est.)")</f>
        <v>2015 Non-AV Receipts (est.)</v>
      </c>
      <c r="I112" s="768"/>
      <c r="J112" s="750"/>
    </row>
    <row r="113" spans="2:11" ht="15">
      <c r="B113" s="153" t="str">
        <f>CONCATENATE("",E1-2,"/",E1-1,"/",E1," Budget Authority Amount:")</f>
        <v>2013/2014/2015 Budget Authority Amount:</v>
      </c>
      <c r="C113" s="837">
        <f>inputOth!B63</f>
        <v>3563282</v>
      </c>
      <c r="D113" s="837">
        <f>inputPrYr!D17</f>
        <v>3979211</v>
      </c>
      <c r="E113" s="208">
        <f>E111</f>
        <v>4510598</v>
      </c>
      <c r="F113" s="258"/>
      <c r="G113" s="769">
        <f>IF(E117&gt;0,E116,E118)</f>
        <v>1055288</v>
      </c>
      <c r="H113" s="752" t="str">
        <f>CONCATENATE("",E1," Ad Valorem Tax (est.)")</f>
        <v>2015 Ad Valorem Tax (est.)</v>
      </c>
      <c r="I113" s="768"/>
      <c r="J113" s="750"/>
      <c r="K113" s="770" t="str">
        <f>IF(G113=E118,"","Note: Does not include Delinquent Taxes")</f>
        <v>Note: Does not include Delinquent Taxes</v>
      </c>
    </row>
    <row r="114" spans="2:10" ht="15">
      <c r="B114" s="119"/>
      <c r="C114" s="1010" t="s">
        <v>631</v>
      </c>
      <c r="D114" s="1011"/>
      <c r="E114" s="242"/>
      <c r="F114" s="430">
        <f>IF(E111/0.95-E111&lt;E114,"Exceeds 5%","")</f>
      </c>
      <c r="G114" s="766">
        <f>SUM(G111:G113)</f>
        <v>4510598</v>
      </c>
      <c r="H114" s="752" t="str">
        <f>CONCATENATE("Total ",E1," Resources Available")</f>
        <v>Total 2015 Resources Available</v>
      </c>
      <c r="I114" s="768"/>
      <c r="J114" s="750"/>
    </row>
    <row r="115" spans="2:10" ht="15">
      <c r="B115" s="527" t="str">
        <f>CONCATENATE(C132,"     ",D132)</f>
        <v>     </v>
      </c>
      <c r="C115" s="1012" t="s">
        <v>632</v>
      </c>
      <c r="D115" s="1013"/>
      <c r="E115" s="208">
        <f>E111+E114</f>
        <v>4510598</v>
      </c>
      <c r="G115" s="771"/>
      <c r="H115" s="752"/>
      <c r="I115" s="752"/>
      <c r="J115" s="750"/>
    </row>
    <row r="116" spans="2:10" ht="15">
      <c r="B116" s="527" t="str">
        <f>CONCATENATE(C133,"     ",D133)</f>
        <v>     </v>
      </c>
      <c r="C116" s="259"/>
      <c r="D116" s="151" t="s">
        <v>120</v>
      </c>
      <c r="E116" s="63">
        <f>IF(E115-E57&gt;0,E115-E57,0)</f>
        <v>1055288</v>
      </c>
      <c r="G116" s="769">
        <f>C111*0.05+C111</f>
        <v>3110794.05</v>
      </c>
      <c r="H116" s="752" t="str">
        <f>CONCATENATE("Less ",E1-2," Expenditures + 5%")</f>
        <v>Less 2013 Expenditures + 5%</v>
      </c>
      <c r="I116" s="768"/>
      <c r="J116" s="750"/>
    </row>
    <row r="117" spans="2:10" ht="15">
      <c r="B117" s="151"/>
      <c r="C117" s="370" t="s">
        <v>630</v>
      </c>
      <c r="D117" s="733">
        <f>inputOth!$E$50</f>
        <v>0.013</v>
      </c>
      <c r="E117" s="208">
        <f>ROUND(IF(D117&gt;0,(E116*D117),0),0)</f>
        <v>13719</v>
      </c>
      <c r="G117" s="772">
        <f>G114-G116</f>
        <v>1399803.9500000002</v>
      </c>
      <c r="H117" s="773" t="str">
        <f>CONCATENATE("Projected ",E1+1," Carryover (est.)")</f>
        <v>Projected 2016 Carryover (est.)</v>
      </c>
      <c r="I117" s="774"/>
      <c r="J117" s="775"/>
    </row>
    <row r="118" spans="2:5" ht="15.75" thickBot="1">
      <c r="B118" s="32"/>
      <c r="C118" s="1014" t="str">
        <f>CONCATENATE("Amount of  ",$E$1-1," Ad Valorem Tax")</f>
        <v>Amount of  2014 Ad Valorem Tax</v>
      </c>
      <c r="D118" s="1015"/>
      <c r="E118" s="734">
        <f>E116+E117</f>
        <v>1069007</v>
      </c>
    </row>
    <row r="119" spans="2:10" ht="15.75" thickTop="1">
      <c r="B119" s="32"/>
      <c r="C119" s="32"/>
      <c r="D119" s="32"/>
      <c r="E119" s="32"/>
      <c r="G119" s="1021" t="s">
        <v>810</v>
      </c>
      <c r="H119" s="1022"/>
      <c r="I119" s="1022"/>
      <c r="J119" s="1023"/>
    </row>
    <row r="120" spans="2:10" ht="15">
      <c r="B120" s="119" t="s">
        <v>114</v>
      </c>
      <c r="C120" s="153" t="str">
        <f>CONCATENATE("",C59,"b")</f>
        <v>8b</v>
      </c>
      <c r="D120" s="154"/>
      <c r="E120" s="154"/>
      <c r="G120" s="776"/>
      <c r="H120" s="777"/>
      <c r="I120" s="778"/>
      <c r="J120" s="779"/>
    </row>
    <row r="121" spans="7:10" ht="15">
      <c r="G121" s="780">
        <f>summ!H15</f>
        <v>36.854</v>
      </c>
      <c r="H121" s="777" t="str">
        <f>CONCATENATE("",E1," Fund Mill Rate")</f>
        <v>2015 Fund Mill Rate</v>
      </c>
      <c r="I121" s="778"/>
      <c r="J121" s="779"/>
    </row>
    <row r="122" spans="2:10" ht="15">
      <c r="B122" s="87"/>
      <c r="G122" s="781">
        <f>summ!E15</f>
        <v>25.087</v>
      </c>
      <c r="H122" s="777" t="str">
        <f>CONCATENATE("",E1-1," Fund Mill Rate")</f>
        <v>2014 Fund Mill Rate</v>
      </c>
      <c r="I122" s="778"/>
      <c r="J122" s="779"/>
    </row>
    <row r="123" spans="7:10" ht="15">
      <c r="G123" s="782">
        <f>summ!H52</f>
        <v>59.433</v>
      </c>
      <c r="H123" s="777" t="str">
        <f>CONCATENATE("Total ",E1," Mill Rate")</f>
        <v>Total 2015 Mill Rate</v>
      </c>
      <c r="I123" s="778"/>
      <c r="J123" s="779"/>
    </row>
    <row r="124" spans="7:10" ht="15">
      <c r="G124" s="781">
        <f>summ!E52</f>
        <v>60.644</v>
      </c>
      <c r="H124" s="783" t="str">
        <f>CONCATENATE("Total ",E1-1," Mill Rate")</f>
        <v>Total 2014 Mill Rate</v>
      </c>
      <c r="I124" s="784"/>
      <c r="J124" s="785"/>
    </row>
    <row r="125" spans="2:10" ht="15">
      <c r="B125" s="18"/>
      <c r="C125" s="18"/>
      <c r="G125" s="728"/>
      <c r="H125" s="729"/>
      <c r="I125" s="730"/>
      <c r="J125" s="731"/>
    </row>
    <row r="126" spans="7:10" ht="15">
      <c r="G126" s="933" t="s">
        <v>990</v>
      </c>
      <c r="H126" s="878"/>
      <c r="I126" s="877" t="str">
        <f>cert!F60</f>
        <v>Yes</v>
      </c>
      <c r="J126" s="732"/>
    </row>
    <row r="132" spans="3:4" ht="15" hidden="1">
      <c r="C132" s="526">
        <f>IF(C111&gt;C113,"See Tab A","")</f>
      </c>
      <c r="D132" s="526">
        <f>IF(D111&gt;D113,"See Tab C","")</f>
      </c>
    </row>
    <row r="133" spans="3:4" ht="15" hidden="1">
      <c r="C133" s="526">
        <f>IF(C112&lt;0,"See Tab B","")</f>
      </c>
      <c r="D133" s="526">
        <f>IF(D112&lt;0,"See Tab D","")</f>
      </c>
    </row>
  </sheetData>
  <sheetProtection sheet="1"/>
  <mergeCells count="6">
    <mergeCell ref="C114:D114"/>
    <mergeCell ref="C115:D115"/>
    <mergeCell ref="C118:D118"/>
    <mergeCell ref="G102:J102"/>
    <mergeCell ref="G109:J109"/>
    <mergeCell ref="G119:J119"/>
  </mergeCells>
  <conditionalFormatting sqref="E109">
    <cfRule type="cellIs" priority="2" dxfId="328" operator="greaterThan" stopIfTrue="1">
      <formula>$E$111*0.1</formula>
    </cfRule>
  </conditionalFormatting>
  <conditionalFormatting sqref="E114">
    <cfRule type="cellIs" priority="3" dxfId="328"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2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135"/>
  <sheetViews>
    <sheetView workbookViewId="0" topLeftCell="A112">
      <selection activeCell="A17" sqref="A17"/>
    </sheetView>
  </sheetViews>
  <sheetFormatPr defaultColWidth="8.8984375" defaultRowHeight="15"/>
  <cols>
    <col min="1" max="1" width="28.296875" style="18" customWidth="1"/>
    <col min="2" max="3" width="15.69921875" style="18" customWidth="1"/>
    <col min="4" max="4" width="16.09765625" style="18" customWidth="1"/>
    <col min="5" max="16384" width="8.8984375" style="18" customWidth="1"/>
  </cols>
  <sheetData>
    <row r="1" spans="1:4" ht="15">
      <c r="A1" s="176" t="str">
        <f>inputPrYr!D2</f>
        <v>City of Russell</v>
      </c>
      <c r="B1" s="32"/>
      <c r="C1" s="153"/>
      <c r="D1" s="32">
        <f>inputPrYr!C5</f>
        <v>2015</v>
      </c>
    </row>
    <row r="2" spans="1:4" ht="15">
      <c r="A2" s="32"/>
      <c r="B2" s="32"/>
      <c r="C2" s="32"/>
      <c r="D2" s="153"/>
    </row>
    <row r="3" spans="1:4" ht="15">
      <c r="A3" s="229"/>
      <c r="B3" s="260"/>
      <c r="C3" s="260"/>
      <c r="D3" s="260"/>
    </row>
    <row r="4" spans="1:4" ht="15">
      <c r="A4" s="206" t="s">
        <v>103</v>
      </c>
      <c r="B4" s="261" t="s">
        <v>806</v>
      </c>
      <c r="C4" s="127" t="s">
        <v>807</v>
      </c>
      <c r="D4" s="127" t="s">
        <v>808</v>
      </c>
    </row>
    <row r="5" spans="1:4" ht="15">
      <c r="A5" s="52" t="s">
        <v>375</v>
      </c>
      <c r="B5" s="233" t="str">
        <f>CONCATENATE("Actual for ",D1-2,"")</f>
        <v>Actual for 2013</v>
      </c>
      <c r="C5" s="233" t="str">
        <f>CONCATENATE("Estimate for ",D1-1,"")</f>
        <v>Estimate for 2014</v>
      </c>
      <c r="D5" s="233" t="str">
        <f>CONCATENATE("Year for ",D1,"")</f>
        <v>Year for 2015</v>
      </c>
    </row>
    <row r="6" spans="1:4" ht="15">
      <c r="A6" s="206" t="s">
        <v>115</v>
      </c>
      <c r="B6" s="68"/>
      <c r="C6" s="68"/>
      <c r="D6" s="68"/>
    </row>
    <row r="7" spans="1:4" ht="15">
      <c r="A7" s="262" t="s">
        <v>1165</v>
      </c>
      <c r="B7" s="68"/>
      <c r="C7" s="68"/>
      <c r="D7" s="68"/>
    </row>
    <row r="8" spans="1:4" ht="15">
      <c r="A8" s="263" t="s">
        <v>123</v>
      </c>
      <c r="B8" s="242">
        <v>4856</v>
      </c>
      <c r="C8" s="242">
        <v>4725</v>
      </c>
      <c r="D8" s="242">
        <v>4725</v>
      </c>
    </row>
    <row r="9" spans="1:4" ht="15">
      <c r="A9" s="263" t="s">
        <v>116</v>
      </c>
      <c r="B9" s="242">
        <v>33235</v>
      </c>
      <c r="C9" s="242">
        <v>39489</v>
      </c>
      <c r="D9" s="242">
        <v>41750</v>
      </c>
    </row>
    <row r="10" spans="1:4" ht="15">
      <c r="A10" s="263" t="s">
        <v>117</v>
      </c>
      <c r="B10" s="242">
        <v>2832</v>
      </c>
      <c r="C10" s="242">
        <v>4500</v>
      </c>
      <c r="D10" s="242">
        <v>4000</v>
      </c>
    </row>
    <row r="11" spans="1:4" ht="15">
      <c r="A11" s="263" t="s">
        <v>118</v>
      </c>
      <c r="B11" s="242"/>
      <c r="C11" s="242">
        <v>5000</v>
      </c>
      <c r="D11" s="242">
        <v>10000</v>
      </c>
    </row>
    <row r="12" spans="1:4" ht="15">
      <c r="A12" s="263"/>
      <c r="B12" s="242"/>
      <c r="C12" s="242"/>
      <c r="D12" s="242"/>
    </row>
    <row r="13" spans="1:4" ht="15">
      <c r="A13" s="50"/>
      <c r="B13" s="242"/>
      <c r="C13" s="242"/>
      <c r="D13" s="242"/>
    </row>
    <row r="14" spans="1:4" ht="15">
      <c r="A14" s="50"/>
      <c r="B14" s="242"/>
      <c r="C14" s="242"/>
      <c r="D14" s="242"/>
    </row>
    <row r="15" spans="1:4" ht="15">
      <c r="A15" s="206" t="s">
        <v>75</v>
      </c>
      <c r="B15" s="247">
        <f>SUM(B8:B14)</f>
        <v>40923</v>
      </c>
      <c r="C15" s="247">
        <f>SUM(C8:C14)</f>
        <v>53714</v>
      </c>
      <c r="D15" s="247">
        <f>SUM(D8:D14)</f>
        <v>60475</v>
      </c>
    </row>
    <row r="16" spans="1:4" ht="15">
      <c r="A16" s="264" t="s">
        <v>1169</v>
      </c>
      <c r="B16" s="176"/>
      <c r="C16" s="176"/>
      <c r="D16" s="176"/>
    </row>
    <row r="17" spans="1:4" ht="15">
      <c r="A17" s="263" t="s">
        <v>123</v>
      </c>
      <c r="B17" s="242">
        <v>149811</v>
      </c>
      <c r="C17" s="242">
        <v>117000</v>
      </c>
      <c r="D17" s="242">
        <v>203700</v>
      </c>
    </row>
    <row r="18" spans="1:4" ht="15">
      <c r="A18" s="263" t="s">
        <v>116</v>
      </c>
      <c r="B18" s="242">
        <v>7550</v>
      </c>
      <c r="C18" s="242">
        <v>9800</v>
      </c>
      <c r="D18" s="242">
        <v>11250</v>
      </c>
    </row>
    <row r="19" spans="1:4" ht="15">
      <c r="A19" s="263" t="s">
        <v>117</v>
      </c>
      <c r="B19" s="242">
        <v>4175</v>
      </c>
      <c r="C19" s="242">
        <v>4800</v>
      </c>
      <c r="D19" s="242">
        <v>4500</v>
      </c>
    </row>
    <row r="20" spans="1:4" ht="15">
      <c r="A20" s="263" t="s">
        <v>118</v>
      </c>
      <c r="B20" s="242"/>
      <c r="C20" s="242">
        <v>1000</v>
      </c>
      <c r="D20" s="242">
        <v>0</v>
      </c>
    </row>
    <row r="21" spans="1:4" ht="15">
      <c r="A21" s="263"/>
      <c r="B21" s="242"/>
      <c r="C21" s="242"/>
      <c r="D21" s="242"/>
    </row>
    <row r="22" spans="1:4" ht="15">
      <c r="A22" s="206" t="s">
        <v>75</v>
      </c>
      <c r="B22" s="247">
        <f>SUM(B17:B21)</f>
        <v>161536</v>
      </c>
      <c r="C22" s="247">
        <f>SUM(C17:C21)</f>
        <v>132600</v>
      </c>
      <c r="D22" s="247">
        <f>SUM(D17:D21)</f>
        <v>219450</v>
      </c>
    </row>
    <row r="23" spans="1:4" ht="15">
      <c r="A23" s="264" t="s">
        <v>1060</v>
      </c>
      <c r="B23" s="176"/>
      <c r="C23" s="176"/>
      <c r="D23" s="176"/>
    </row>
    <row r="24" spans="1:4" ht="15">
      <c r="A24" s="263" t="s">
        <v>123</v>
      </c>
      <c r="B24" s="242">
        <v>169978</v>
      </c>
      <c r="C24" s="242">
        <v>218300</v>
      </c>
      <c r="D24" s="242">
        <v>142180</v>
      </c>
    </row>
    <row r="25" spans="1:4" ht="15">
      <c r="A25" s="263" t="s">
        <v>116</v>
      </c>
      <c r="B25" s="242">
        <v>57041</v>
      </c>
      <c r="C25" s="242">
        <v>71395</v>
      </c>
      <c r="D25" s="242">
        <v>72400</v>
      </c>
    </row>
    <row r="26" spans="1:4" ht="15">
      <c r="A26" s="263" t="s">
        <v>117</v>
      </c>
      <c r="B26" s="242">
        <v>8261</v>
      </c>
      <c r="C26" s="242">
        <v>14100</v>
      </c>
      <c r="D26" s="242">
        <v>14500</v>
      </c>
    </row>
    <row r="27" spans="1:4" ht="15">
      <c r="A27" s="263" t="s">
        <v>118</v>
      </c>
      <c r="B27" s="242">
        <v>3251</v>
      </c>
      <c r="C27" s="242">
        <v>2000</v>
      </c>
      <c r="D27" s="242">
        <v>3000</v>
      </c>
    </row>
    <row r="28" spans="1:4" ht="15">
      <c r="A28" s="263"/>
      <c r="B28" s="242"/>
      <c r="C28" s="242"/>
      <c r="D28" s="242"/>
    </row>
    <row r="29" spans="1:4" ht="15">
      <c r="A29" s="206" t="s">
        <v>75</v>
      </c>
      <c r="B29" s="247">
        <f>SUM(B24:B28)</f>
        <v>238531</v>
      </c>
      <c r="C29" s="247">
        <f>SUM(C24:C28)</f>
        <v>305795</v>
      </c>
      <c r="D29" s="247">
        <f>SUM(D24:D28)</f>
        <v>232080</v>
      </c>
    </row>
    <row r="30" spans="1:4" ht="15">
      <c r="A30" s="264" t="s">
        <v>1061</v>
      </c>
      <c r="B30" s="176"/>
      <c r="C30" s="176"/>
      <c r="D30" s="176"/>
    </row>
    <row r="31" spans="1:4" ht="15">
      <c r="A31" s="263" t="s">
        <v>123</v>
      </c>
      <c r="B31" s="242">
        <v>45532</v>
      </c>
      <c r="C31" s="242">
        <v>47750</v>
      </c>
      <c r="D31" s="242">
        <v>51900</v>
      </c>
    </row>
    <row r="32" spans="1:4" ht="15">
      <c r="A32" s="263" t="s">
        <v>116</v>
      </c>
      <c r="B32" s="242">
        <v>2309</v>
      </c>
      <c r="C32" s="242">
        <v>2700</v>
      </c>
      <c r="D32" s="242">
        <v>2600</v>
      </c>
    </row>
    <row r="33" spans="1:4" ht="15">
      <c r="A33" s="263" t="s">
        <v>117</v>
      </c>
      <c r="B33" s="242">
        <v>12019</v>
      </c>
      <c r="C33" s="242">
        <v>12750</v>
      </c>
      <c r="D33" s="242">
        <v>14450</v>
      </c>
    </row>
    <row r="34" spans="1:4" ht="15">
      <c r="A34" s="263" t="s">
        <v>118</v>
      </c>
      <c r="B34" s="242"/>
      <c r="C34" s="242"/>
      <c r="D34" s="242"/>
    </row>
    <row r="35" spans="1:4" ht="15">
      <c r="A35" s="206" t="s">
        <v>75</v>
      </c>
      <c r="B35" s="247">
        <f>SUM(B31:B34)</f>
        <v>59860</v>
      </c>
      <c r="C35" s="247">
        <f>SUM(C31:C34)</f>
        <v>63200</v>
      </c>
      <c r="D35" s="247">
        <f>SUM(D31:D34)</f>
        <v>68950</v>
      </c>
    </row>
    <row r="36" spans="1:4" ht="15">
      <c r="A36" s="264" t="s">
        <v>1062</v>
      </c>
      <c r="B36" s="176"/>
      <c r="C36" s="176"/>
      <c r="D36" s="176"/>
    </row>
    <row r="37" spans="1:4" ht="15">
      <c r="A37" s="263" t="s">
        <v>123</v>
      </c>
      <c r="B37" s="242">
        <v>349520</v>
      </c>
      <c r="C37" s="242">
        <v>375100</v>
      </c>
      <c r="D37" s="242">
        <v>406400</v>
      </c>
    </row>
    <row r="38" spans="1:4" ht="15">
      <c r="A38" s="263" t="s">
        <v>116</v>
      </c>
      <c r="B38" s="242">
        <v>23806</v>
      </c>
      <c r="C38" s="242">
        <v>35300</v>
      </c>
      <c r="D38" s="242">
        <v>36900</v>
      </c>
    </row>
    <row r="39" spans="1:4" ht="15">
      <c r="A39" s="263" t="s">
        <v>117</v>
      </c>
      <c r="B39" s="242">
        <v>40290</v>
      </c>
      <c r="C39" s="242">
        <v>61250</v>
      </c>
      <c r="D39" s="242">
        <v>54500</v>
      </c>
    </row>
    <row r="40" spans="1:4" ht="15">
      <c r="A40" s="263" t="s">
        <v>118</v>
      </c>
      <c r="B40" s="242">
        <v>180</v>
      </c>
      <c r="C40" s="242">
        <v>3000</v>
      </c>
      <c r="D40" s="242">
        <v>4600</v>
      </c>
    </row>
    <row r="41" spans="1:4" ht="15">
      <c r="A41" s="263"/>
      <c r="B41" s="242"/>
      <c r="C41" s="242"/>
      <c r="D41" s="242"/>
    </row>
    <row r="42" spans="1:4" ht="15">
      <c r="A42" s="206" t="s">
        <v>75</v>
      </c>
      <c r="B42" s="247">
        <f>SUM(B37:B41)</f>
        <v>413796</v>
      </c>
      <c r="C42" s="247">
        <f>SUM(C37:C41)</f>
        <v>474650</v>
      </c>
      <c r="D42" s="247">
        <f>SUM(D37:D41)</f>
        <v>502400</v>
      </c>
    </row>
    <row r="43" spans="1:4" ht="15">
      <c r="A43" s="264" t="s">
        <v>1063</v>
      </c>
      <c r="B43" s="176"/>
      <c r="C43" s="176"/>
      <c r="D43" s="176"/>
    </row>
    <row r="44" spans="1:4" ht="15">
      <c r="A44" s="263" t="s">
        <v>123</v>
      </c>
      <c r="B44" s="242">
        <v>63249</v>
      </c>
      <c r="C44" s="242">
        <v>64900</v>
      </c>
      <c r="D44" s="242">
        <v>67000</v>
      </c>
    </row>
    <row r="45" spans="1:4" ht="15">
      <c r="A45" s="263" t="s">
        <v>116</v>
      </c>
      <c r="B45" s="242">
        <v>4494</v>
      </c>
      <c r="C45" s="242">
        <v>7750</v>
      </c>
      <c r="D45" s="242">
        <v>6750</v>
      </c>
    </row>
    <row r="46" spans="1:4" ht="15">
      <c r="A46" s="263" t="s">
        <v>117</v>
      </c>
      <c r="B46" s="242">
        <v>7388</v>
      </c>
      <c r="C46" s="242">
        <v>10650</v>
      </c>
      <c r="D46" s="242">
        <v>9200</v>
      </c>
    </row>
    <row r="47" spans="1:4" ht="15">
      <c r="A47" s="263" t="s">
        <v>118</v>
      </c>
      <c r="B47" s="242"/>
      <c r="C47" s="242"/>
      <c r="D47" s="242"/>
    </row>
    <row r="48" spans="1:4" ht="15">
      <c r="A48" s="263"/>
      <c r="B48" s="242"/>
      <c r="C48" s="242"/>
      <c r="D48" s="242"/>
    </row>
    <row r="49" spans="1:4" ht="15">
      <c r="A49" s="206" t="s">
        <v>75</v>
      </c>
      <c r="B49" s="247">
        <f>SUM(B44:B48)</f>
        <v>75131</v>
      </c>
      <c r="C49" s="247">
        <f>SUM(C44:C48)</f>
        <v>83300</v>
      </c>
      <c r="D49" s="247">
        <f>SUM(D44:D48)</f>
        <v>82950</v>
      </c>
    </row>
    <row r="50" spans="1:4" ht="15">
      <c r="A50" s="264" t="s">
        <v>1064</v>
      </c>
      <c r="B50" s="176"/>
      <c r="C50" s="176"/>
      <c r="D50" s="176"/>
    </row>
    <row r="51" spans="1:4" ht="15">
      <c r="A51" s="263" t="s">
        <v>123</v>
      </c>
      <c r="B51" s="242">
        <v>126856</v>
      </c>
      <c r="C51" s="242">
        <v>165530</v>
      </c>
      <c r="D51" s="242">
        <v>182800</v>
      </c>
    </row>
    <row r="52" spans="1:4" ht="15">
      <c r="A52" s="263" t="s">
        <v>116</v>
      </c>
      <c r="B52" s="242">
        <v>18356</v>
      </c>
      <c r="C52" s="242">
        <v>13000</v>
      </c>
      <c r="D52" s="242">
        <v>15950</v>
      </c>
    </row>
    <row r="53" spans="1:4" ht="15">
      <c r="A53" s="263" t="s">
        <v>117</v>
      </c>
      <c r="B53" s="242">
        <v>28467</v>
      </c>
      <c r="C53" s="242">
        <v>24200</v>
      </c>
      <c r="D53" s="242">
        <v>35500</v>
      </c>
    </row>
    <row r="54" spans="1:4" ht="15">
      <c r="A54" s="263" t="s">
        <v>118</v>
      </c>
      <c r="B54" s="242">
        <v>23367</v>
      </c>
      <c r="C54" s="242">
        <v>2000</v>
      </c>
      <c r="D54" s="242">
        <v>0</v>
      </c>
    </row>
    <row r="55" spans="1:4" ht="15">
      <c r="A55" s="263"/>
      <c r="B55" s="242"/>
      <c r="C55" s="242"/>
      <c r="D55" s="242"/>
    </row>
    <row r="56" spans="1:4" ht="15">
      <c r="A56" s="206" t="s">
        <v>75</v>
      </c>
      <c r="B56" s="247">
        <f>SUM(B51:B55)</f>
        <v>197046</v>
      </c>
      <c r="C56" s="247">
        <f>SUM(C51:C55)</f>
        <v>204730</v>
      </c>
      <c r="D56" s="247">
        <f>SUM(D51:D55)</f>
        <v>234250</v>
      </c>
    </row>
    <row r="57" spans="1:4" ht="15">
      <c r="A57" s="264" t="s">
        <v>1065</v>
      </c>
      <c r="B57" s="176"/>
      <c r="C57" s="176"/>
      <c r="D57" s="176"/>
    </row>
    <row r="58" spans="1:4" ht="15">
      <c r="A58" s="263" t="s">
        <v>123</v>
      </c>
      <c r="B58" s="242">
        <v>40805</v>
      </c>
      <c r="C58" s="242">
        <v>40550</v>
      </c>
      <c r="D58" s="242">
        <v>42700</v>
      </c>
    </row>
    <row r="59" spans="1:4" ht="15">
      <c r="A59" s="263" t="s">
        <v>116</v>
      </c>
      <c r="B59" s="242">
        <v>4465</v>
      </c>
      <c r="C59" s="242">
        <v>4350</v>
      </c>
      <c r="D59" s="242">
        <v>4660</v>
      </c>
    </row>
    <row r="60" spans="1:4" ht="15">
      <c r="A60" s="263" t="s">
        <v>117</v>
      </c>
      <c r="B60" s="242">
        <v>488</v>
      </c>
      <c r="C60" s="242">
        <v>2200</v>
      </c>
      <c r="D60" s="242">
        <v>1500</v>
      </c>
    </row>
    <row r="61" spans="1:4" ht="15">
      <c r="A61" s="263" t="s">
        <v>118</v>
      </c>
      <c r="B61" s="242"/>
      <c r="C61" s="242">
        <v>500</v>
      </c>
      <c r="D61" s="242">
        <v>0</v>
      </c>
    </row>
    <row r="62" spans="1:4" ht="15">
      <c r="A62" s="263"/>
      <c r="B62" s="242"/>
      <c r="C62" s="242"/>
      <c r="D62" s="242"/>
    </row>
    <row r="63" spans="1:4" ht="15">
      <c r="A63" s="206" t="s">
        <v>75</v>
      </c>
      <c r="B63" s="247">
        <f>SUM(B58:B62)</f>
        <v>45758</v>
      </c>
      <c r="C63" s="247">
        <f>SUM(C58:C62)</f>
        <v>47600</v>
      </c>
      <c r="D63" s="247">
        <f>SUM(D58:D62)</f>
        <v>48860</v>
      </c>
    </row>
    <row r="64" spans="1:4" ht="15">
      <c r="A64" s="32"/>
      <c r="B64" s="176"/>
      <c r="C64" s="176"/>
      <c r="D64" s="176"/>
    </row>
    <row r="65" spans="1:4" ht="15.75" thickBot="1">
      <c r="A65" s="206" t="s">
        <v>371</v>
      </c>
      <c r="B65" s="265">
        <f>B15+B22+B29+B35+B42+B49+B56+B63</f>
        <v>1232581</v>
      </c>
      <c r="C65" s="265">
        <f>C15+C22+C29+C35+C42+C49+C56+C63</f>
        <v>1365589</v>
      </c>
      <c r="D65" s="265">
        <f>D15+D22+D29+D35+D42+D49+D56+D63</f>
        <v>1449415</v>
      </c>
    </row>
    <row r="66" spans="1:4" ht="15.75" thickTop="1">
      <c r="A66" s="266"/>
      <c r="B66" s="176"/>
      <c r="C66" s="176"/>
      <c r="D66" s="176"/>
    </row>
    <row r="67" spans="1:4" ht="15">
      <c r="A67" s="119" t="s">
        <v>122</v>
      </c>
      <c r="B67" s="176" t="str">
        <f>CONCATENATE("",general!C59,"c")</f>
        <v>8c</v>
      </c>
      <c r="C67" s="176"/>
      <c r="D67" s="176"/>
    </row>
    <row r="68" spans="1:4" ht="15">
      <c r="A68" s="32"/>
      <c r="B68" s="176"/>
      <c r="C68" s="176"/>
      <c r="D68" s="176"/>
    </row>
    <row r="69" spans="1:4" ht="15">
      <c r="A69" s="176" t="str">
        <f>A1</f>
        <v>City of Russell</v>
      </c>
      <c r="B69" s="32"/>
      <c r="C69" s="153"/>
      <c r="D69" s="32">
        <f>D1</f>
        <v>2015</v>
      </c>
    </row>
    <row r="70" spans="1:4" ht="15">
      <c r="A70" s="32"/>
      <c r="B70" s="32"/>
      <c r="C70" s="32"/>
      <c r="D70" s="153"/>
    </row>
    <row r="71" spans="1:4" ht="15">
      <c r="A71" s="229"/>
      <c r="B71" s="260"/>
      <c r="C71" s="260"/>
      <c r="D71" s="260"/>
    </row>
    <row r="72" spans="1:4" ht="15">
      <c r="A72" s="206" t="s">
        <v>103</v>
      </c>
      <c r="B72" s="261" t="s">
        <v>806</v>
      </c>
      <c r="C72" s="127" t="s">
        <v>807</v>
      </c>
      <c r="D72" s="127" t="s">
        <v>808</v>
      </c>
    </row>
    <row r="73" spans="1:4" ht="15">
      <c r="A73" s="52" t="s">
        <v>376</v>
      </c>
      <c r="B73" s="233" t="str">
        <f>CONCATENATE("Actual for ",D69-2,"")</f>
        <v>Actual for 2013</v>
      </c>
      <c r="C73" s="233" t="str">
        <f>CONCATENATE("Estimate for ",D69-1,"")</f>
        <v>Estimate for 2014</v>
      </c>
      <c r="D73" s="233" t="str">
        <f>CONCATENATE("Year for ",D69,"")</f>
        <v>Year for 2015</v>
      </c>
    </row>
    <row r="74" spans="1:4" ht="15">
      <c r="A74" s="206" t="s">
        <v>115</v>
      </c>
      <c r="B74" s="68"/>
      <c r="C74" s="68"/>
      <c r="D74" s="68"/>
    </row>
    <row r="75" spans="1:4" ht="15">
      <c r="A75" s="262">
        <v>911</v>
      </c>
      <c r="B75" s="68"/>
      <c r="C75" s="68"/>
      <c r="D75" s="68"/>
    </row>
    <row r="76" spans="1:4" ht="15">
      <c r="A76" s="263" t="s">
        <v>123</v>
      </c>
      <c r="B76" s="242">
        <v>325399</v>
      </c>
      <c r="C76" s="242">
        <v>330390</v>
      </c>
      <c r="D76" s="242">
        <v>344400</v>
      </c>
    </row>
    <row r="77" spans="1:4" ht="15">
      <c r="A77" s="263" t="s">
        <v>116</v>
      </c>
      <c r="B77" s="242">
        <v>2990</v>
      </c>
      <c r="C77" s="242">
        <v>4730</v>
      </c>
      <c r="D77" s="242">
        <v>4550</v>
      </c>
    </row>
    <row r="78" spans="1:4" ht="15">
      <c r="A78" s="263" t="s">
        <v>117</v>
      </c>
      <c r="B78" s="242">
        <v>4181</v>
      </c>
      <c r="C78" s="242">
        <v>7650</v>
      </c>
      <c r="D78" s="242">
        <v>7000</v>
      </c>
    </row>
    <row r="79" spans="1:4" ht="15">
      <c r="A79" s="263" t="s">
        <v>118</v>
      </c>
      <c r="B79" s="242"/>
      <c r="C79" s="242">
        <v>2000</v>
      </c>
      <c r="D79" s="242"/>
    </row>
    <row r="80" spans="1:4" ht="15">
      <c r="A80" s="50"/>
      <c r="B80" s="242"/>
      <c r="C80" s="242"/>
      <c r="D80" s="242"/>
    </row>
    <row r="81" spans="1:4" ht="15">
      <c r="A81" s="206" t="s">
        <v>75</v>
      </c>
      <c r="B81" s="247">
        <f>SUM(B76:B80)</f>
        <v>332570</v>
      </c>
      <c r="C81" s="247">
        <f>SUM(C76:C80)</f>
        <v>344770</v>
      </c>
      <c r="D81" s="247">
        <f>SUM(D76:D80)</f>
        <v>355950</v>
      </c>
    </row>
    <row r="82" spans="1:4" ht="15">
      <c r="A82" s="264" t="s">
        <v>1066</v>
      </c>
      <c r="B82" s="176"/>
      <c r="C82" s="176"/>
      <c r="D82" s="176"/>
    </row>
    <row r="83" spans="1:4" ht="15">
      <c r="A83" s="263" t="s">
        <v>123</v>
      </c>
      <c r="B83" s="242">
        <v>86392</v>
      </c>
      <c r="C83" s="242">
        <v>88431</v>
      </c>
      <c r="D83" s="242">
        <v>92650</v>
      </c>
    </row>
    <row r="84" spans="1:4" ht="15">
      <c r="A84" s="263" t="s">
        <v>116</v>
      </c>
      <c r="B84" s="242">
        <v>18054</v>
      </c>
      <c r="C84" s="242">
        <v>22100</v>
      </c>
      <c r="D84" s="242">
        <v>22450</v>
      </c>
    </row>
    <row r="85" spans="1:4" ht="15">
      <c r="A85" s="263" t="s">
        <v>117</v>
      </c>
      <c r="B85" s="242">
        <v>3047</v>
      </c>
      <c r="C85" s="242">
        <v>4350</v>
      </c>
      <c r="D85" s="242">
        <v>4300</v>
      </c>
    </row>
    <row r="86" spans="1:4" ht="15">
      <c r="A86" s="263" t="s">
        <v>118</v>
      </c>
      <c r="B86" s="242"/>
      <c r="C86" s="242"/>
      <c r="D86" s="242"/>
    </row>
    <row r="87" spans="1:4" ht="15">
      <c r="A87" s="263"/>
      <c r="B87" s="242"/>
      <c r="C87" s="242"/>
      <c r="D87" s="242"/>
    </row>
    <row r="88" spans="1:4" ht="15">
      <c r="A88" s="206" t="s">
        <v>75</v>
      </c>
      <c r="B88" s="247">
        <f>SUM(B83:B87)</f>
        <v>107493</v>
      </c>
      <c r="C88" s="247">
        <f>SUM(C83:C87)</f>
        <v>114881</v>
      </c>
      <c r="D88" s="247">
        <f>SUM(D83:D87)</f>
        <v>119400</v>
      </c>
    </row>
    <row r="89" spans="1:4" ht="15">
      <c r="A89" s="264" t="s">
        <v>1067</v>
      </c>
      <c r="B89" s="176"/>
      <c r="C89" s="176"/>
      <c r="D89" s="176"/>
    </row>
    <row r="90" spans="1:4" ht="15">
      <c r="A90" s="263" t="s">
        <v>123</v>
      </c>
      <c r="B90" s="242">
        <v>234255</v>
      </c>
      <c r="C90" s="242">
        <v>264800</v>
      </c>
      <c r="D90" s="242">
        <v>259300</v>
      </c>
    </row>
    <row r="91" spans="1:4" ht="15">
      <c r="A91" s="263" t="s">
        <v>116</v>
      </c>
      <c r="B91" s="242">
        <v>16221</v>
      </c>
      <c r="C91" s="242">
        <v>18000</v>
      </c>
      <c r="D91" s="242">
        <v>21250</v>
      </c>
    </row>
    <row r="92" spans="1:4" ht="15">
      <c r="A92" s="263" t="s">
        <v>117</v>
      </c>
      <c r="B92" s="242">
        <v>73931</v>
      </c>
      <c r="C92" s="242">
        <v>97700</v>
      </c>
      <c r="D92" s="242">
        <v>87100</v>
      </c>
    </row>
    <row r="93" spans="1:4" ht="15">
      <c r="A93" s="263" t="s">
        <v>118</v>
      </c>
      <c r="B93" s="242"/>
      <c r="C93" s="242"/>
      <c r="D93" s="242"/>
    </row>
    <row r="94" spans="1:4" ht="15">
      <c r="A94" s="263"/>
      <c r="B94" s="242"/>
      <c r="C94" s="242"/>
      <c r="D94" s="242"/>
    </row>
    <row r="95" spans="1:4" ht="15">
      <c r="A95" s="206" t="s">
        <v>75</v>
      </c>
      <c r="B95" s="247">
        <f>SUM(B90:B94)</f>
        <v>324407</v>
      </c>
      <c r="C95" s="247">
        <f>SUM(C90:C94)</f>
        <v>380500</v>
      </c>
      <c r="D95" s="247">
        <f>SUM(D90:D94)</f>
        <v>367650</v>
      </c>
    </row>
    <row r="96" spans="1:4" ht="15">
      <c r="A96" s="264" t="s">
        <v>1068</v>
      </c>
      <c r="B96" s="176"/>
      <c r="C96" s="176"/>
      <c r="D96" s="176"/>
    </row>
    <row r="97" spans="1:4" ht="15">
      <c r="A97" s="263" t="s">
        <v>123</v>
      </c>
      <c r="B97" s="242">
        <v>82584</v>
      </c>
      <c r="C97" s="242">
        <v>85300</v>
      </c>
      <c r="D97" s="242">
        <v>86800</v>
      </c>
    </row>
    <row r="98" spans="1:4" ht="15">
      <c r="A98" s="263" t="s">
        <v>116</v>
      </c>
      <c r="B98" s="242">
        <v>43730</v>
      </c>
      <c r="C98" s="242">
        <v>34800</v>
      </c>
      <c r="D98" s="242">
        <v>34900</v>
      </c>
    </row>
    <row r="99" spans="1:4" ht="15">
      <c r="A99" s="263" t="s">
        <v>117</v>
      </c>
      <c r="B99" s="242">
        <v>39537</v>
      </c>
      <c r="C99" s="242">
        <v>43300</v>
      </c>
      <c r="D99" s="242">
        <v>44800</v>
      </c>
    </row>
    <row r="100" spans="1:4" ht="15">
      <c r="A100" s="263" t="s">
        <v>118</v>
      </c>
      <c r="B100" s="242">
        <v>3418</v>
      </c>
      <c r="C100" s="242"/>
      <c r="D100" s="242"/>
    </row>
    <row r="101" spans="1:4" ht="15">
      <c r="A101" s="206" t="s">
        <v>75</v>
      </c>
      <c r="B101" s="247">
        <f>SUM(B97:B100)</f>
        <v>169269</v>
      </c>
      <c r="C101" s="247">
        <f>SUM(C97:C100)</f>
        <v>163400</v>
      </c>
      <c r="D101" s="247">
        <f>SUM(D97:D100)</f>
        <v>166500</v>
      </c>
    </row>
    <row r="102" spans="1:4" ht="15">
      <c r="A102" s="264" t="s">
        <v>1043</v>
      </c>
      <c r="B102" s="176"/>
      <c r="C102" s="176"/>
      <c r="D102" s="176"/>
    </row>
    <row r="103" spans="1:4" ht="15">
      <c r="A103" s="263" t="s">
        <v>123</v>
      </c>
      <c r="B103" s="242">
        <v>44351</v>
      </c>
      <c r="C103" s="242">
        <v>53050</v>
      </c>
      <c r="D103" s="242">
        <v>53100</v>
      </c>
    </row>
    <row r="104" spans="1:4" ht="15">
      <c r="A104" s="263" t="s">
        <v>116</v>
      </c>
      <c r="B104" s="242">
        <v>3913</v>
      </c>
      <c r="C104" s="242">
        <v>7050</v>
      </c>
      <c r="D104" s="242">
        <v>4450</v>
      </c>
    </row>
    <row r="105" spans="1:4" ht="15">
      <c r="A105" s="263" t="s">
        <v>117</v>
      </c>
      <c r="B105" s="242">
        <v>16742</v>
      </c>
      <c r="C105" s="242">
        <v>27400</v>
      </c>
      <c r="D105" s="242">
        <v>27900</v>
      </c>
    </row>
    <row r="106" spans="1:4" ht="15">
      <c r="A106" s="263" t="s">
        <v>118</v>
      </c>
      <c r="B106" s="242">
        <v>3676</v>
      </c>
      <c r="C106" s="242"/>
      <c r="D106" s="242"/>
    </row>
    <row r="107" spans="1:4" ht="15">
      <c r="A107" s="263"/>
      <c r="B107" s="242"/>
      <c r="C107" s="242"/>
      <c r="D107" s="242"/>
    </row>
    <row r="108" spans="1:4" ht="15">
      <c r="A108" s="206" t="s">
        <v>75</v>
      </c>
      <c r="B108" s="247">
        <f>SUM(B103:B107)</f>
        <v>68682</v>
      </c>
      <c r="C108" s="247">
        <f>SUM(C103:C107)</f>
        <v>87500</v>
      </c>
      <c r="D108" s="247">
        <f>SUM(D103:D107)</f>
        <v>85450</v>
      </c>
    </row>
    <row r="109" spans="1:4" ht="15">
      <c r="A109" s="264" t="s">
        <v>1069</v>
      </c>
      <c r="B109" s="176"/>
      <c r="C109" s="176"/>
      <c r="D109" s="176"/>
    </row>
    <row r="110" spans="1:4" ht="15">
      <c r="A110" s="263" t="s">
        <v>123</v>
      </c>
      <c r="B110" s="242">
        <v>204125</v>
      </c>
      <c r="C110" s="242">
        <v>193350</v>
      </c>
      <c r="D110" s="242">
        <v>197600</v>
      </c>
    </row>
    <row r="111" spans="1:4" ht="15">
      <c r="A111" s="263" t="s">
        <v>116</v>
      </c>
      <c r="B111" s="242">
        <v>12849</v>
      </c>
      <c r="C111" s="242">
        <v>14300</v>
      </c>
      <c r="D111" s="242">
        <v>15800</v>
      </c>
    </row>
    <row r="112" spans="1:4" ht="15">
      <c r="A112" s="263" t="s">
        <v>117</v>
      </c>
      <c r="B112" s="242">
        <v>47064</v>
      </c>
      <c r="C112" s="242">
        <v>51200</v>
      </c>
      <c r="D112" s="242">
        <v>54200</v>
      </c>
    </row>
    <row r="113" spans="1:4" ht="15">
      <c r="A113" s="263" t="s">
        <v>118</v>
      </c>
      <c r="B113" s="242">
        <v>9630</v>
      </c>
      <c r="C113" s="242"/>
      <c r="D113" s="242"/>
    </row>
    <row r="114" spans="1:4" ht="15">
      <c r="A114" s="263"/>
      <c r="B114" s="242"/>
      <c r="C114" s="242"/>
      <c r="D114" s="242"/>
    </row>
    <row r="115" spans="1:4" ht="15">
      <c r="A115" s="206" t="s">
        <v>75</v>
      </c>
      <c r="B115" s="247">
        <f>SUM(B110:B114)</f>
        <v>273668</v>
      </c>
      <c r="C115" s="247">
        <f>SUM(C110:C114)</f>
        <v>258850</v>
      </c>
      <c r="D115" s="247">
        <f>SUM(D110:D114)</f>
        <v>267600</v>
      </c>
    </row>
    <row r="116" spans="1:4" ht="15">
      <c r="A116" s="264" t="s">
        <v>1164</v>
      </c>
      <c r="B116" s="176"/>
      <c r="C116" s="176"/>
      <c r="D116" s="176"/>
    </row>
    <row r="117" spans="1:4" ht="15">
      <c r="A117" s="263" t="s">
        <v>123</v>
      </c>
      <c r="B117" s="242">
        <v>22769</v>
      </c>
      <c r="C117" s="242">
        <v>20870</v>
      </c>
      <c r="D117" s="242">
        <v>32300</v>
      </c>
    </row>
    <row r="118" spans="1:4" ht="15">
      <c r="A118" s="263" t="s">
        <v>116</v>
      </c>
      <c r="B118" s="242">
        <v>15850</v>
      </c>
      <c r="C118" s="242">
        <v>16740</v>
      </c>
      <c r="D118" s="242">
        <v>17600</v>
      </c>
    </row>
    <row r="119" spans="1:4" ht="15">
      <c r="A119" s="263" t="s">
        <v>117</v>
      </c>
      <c r="B119" s="242">
        <v>5625</v>
      </c>
      <c r="C119" s="242">
        <v>8000</v>
      </c>
      <c r="D119" s="242">
        <v>6500</v>
      </c>
    </row>
    <row r="120" spans="1:4" ht="15">
      <c r="A120" s="263" t="s">
        <v>118</v>
      </c>
      <c r="B120" s="242"/>
      <c r="C120" s="242">
        <v>500</v>
      </c>
      <c r="D120" s="242">
        <v>1000</v>
      </c>
    </row>
    <row r="121" spans="1:4" ht="15">
      <c r="A121" s="263"/>
      <c r="B121" s="242"/>
      <c r="C121" s="242"/>
      <c r="D121" s="242"/>
    </row>
    <row r="122" spans="1:4" ht="15">
      <c r="A122" s="206" t="s">
        <v>75</v>
      </c>
      <c r="B122" s="247">
        <f>SUM(B117:B121)</f>
        <v>44244</v>
      </c>
      <c r="C122" s="247">
        <f>SUM(C117:C121)</f>
        <v>46110</v>
      </c>
      <c r="D122" s="247">
        <f>SUM(D117:D121)</f>
        <v>57400</v>
      </c>
    </row>
    <row r="123" spans="1:4" ht="15">
      <c r="A123" s="264" t="s">
        <v>1070</v>
      </c>
      <c r="B123" s="176"/>
      <c r="C123" s="176"/>
      <c r="D123" s="176"/>
    </row>
    <row r="124" spans="1:4" ht="15">
      <c r="A124" s="263" t="s">
        <v>123</v>
      </c>
      <c r="B124" s="242"/>
      <c r="C124" s="242"/>
      <c r="D124" s="242"/>
    </row>
    <row r="125" spans="1:4" ht="15">
      <c r="A125" s="263" t="s">
        <v>116</v>
      </c>
      <c r="B125" s="242">
        <v>2803</v>
      </c>
      <c r="C125" s="242">
        <v>3046</v>
      </c>
      <c r="D125" s="242">
        <v>3100</v>
      </c>
    </row>
    <row r="126" spans="1:4" ht="15">
      <c r="A126" s="263" t="s">
        <v>117</v>
      </c>
      <c r="B126" s="242">
        <v>2040</v>
      </c>
      <c r="C126" s="242">
        <v>8000</v>
      </c>
      <c r="D126" s="242">
        <v>6500</v>
      </c>
    </row>
    <row r="127" spans="1:4" ht="15">
      <c r="A127" s="263" t="s">
        <v>118</v>
      </c>
      <c r="B127" s="242"/>
      <c r="C127" s="242"/>
      <c r="D127" s="242"/>
    </row>
    <row r="128" spans="1:4" ht="15">
      <c r="A128" s="263"/>
      <c r="B128" s="242"/>
      <c r="C128" s="242"/>
      <c r="D128" s="242"/>
    </row>
    <row r="129" spans="1:4" ht="15">
      <c r="A129" s="206" t="s">
        <v>75</v>
      </c>
      <c r="B129" s="247">
        <f>SUM(B124:B128)</f>
        <v>4843</v>
      </c>
      <c r="C129" s="247">
        <f>SUM(C124:C128)</f>
        <v>11046</v>
      </c>
      <c r="D129" s="331">
        <f>SUM(D124:D128)</f>
        <v>9600</v>
      </c>
    </row>
    <row r="130" spans="1:4" ht="15">
      <c r="A130" s="206"/>
      <c r="B130" s="176"/>
      <c r="C130" s="176"/>
      <c r="D130" s="176"/>
    </row>
    <row r="131" spans="1:4" ht="15">
      <c r="A131" s="46" t="s">
        <v>373</v>
      </c>
      <c r="B131" s="332">
        <f>B81+B88+B95+B101+B108+B115+B122+B129</f>
        <v>1325176</v>
      </c>
      <c r="C131" s="332">
        <f>C81+C88+C95+C101+C108+C115+C122+C129</f>
        <v>1407057</v>
      </c>
      <c r="D131" s="332">
        <f>D81+D88+D95+D101+D108+D115+D122+D129</f>
        <v>1429550</v>
      </c>
    </row>
    <row r="132" spans="1:4" ht="15">
      <c r="A132" s="206" t="s">
        <v>372</v>
      </c>
      <c r="B132" s="247">
        <f>B65</f>
        <v>1232581</v>
      </c>
      <c r="C132" s="247">
        <f>C65</f>
        <v>1365589</v>
      </c>
      <c r="D132" s="247">
        <f>D65</f>
        <v>1449415</v>
      </c>
    </row>
    <row r="133" spans="1:4" ht="15.75" thickBot="1">
      <c r="A133" s="206" t="s">
        <v>374</v>
      </c>
      <c r="B133" s="265">
        <f>SUM(B131:B132)</f>
        <v>2557757</v>
      </c>
      <c r="C133" s="265">
        <f>SUM(C131:C132)</f>
        <v>2772646</v>
      </c>
      <c r="D133" s="265">
        <f>SUM(D131:D132)</f>
        <v>2878965</v>
      </c>
    </row>
    <row r="134" spans="1:4" ht="15.75" thickTop="1">
      <c r="A134" s="266" t="s">
        <v>45</v>
      </c>
      <c r="B134" s="176"/>
      <c r="C134" s="176"/>
      <c r="D134" s="176"/>
    </row>
    <row r="135" spans="1:4" ht="15">
      <c r="A135" s="119" t="s">
        <v>122</v>
      </c>
      <c r="B135" s="176" t="str">
        <f>CONCATENATE("",general!C59,"d")</f>
        <v>8d</v>
      </c>
      <c r="C135" s="176"/>
      <c r="D135" s="176"/>
    </row>
  </sheetData>
  <sheetProtection sheet="1"/>
  <printOptions/>
  <pageMargins left="0.5" right="0.5" top="1" bottom="0.5" header="0.5" footer="0.5"/>
  <pageSetup blackAndWhite="1" fitToHeight="2" fitToWidth="1" horizontalDpi="300" verticalDpi="300" orientation="portrait" scale="64"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P73"/>
  <sheetViews>
    <sheetView zoomScalePageLayoutView="0" workbookViewId="0" topLeftCell="A10">
      <selection activeCell="C66" sqref="C66"/>
    </sheetView>
  </sheetViews>
  <sheetFormatPr defaultColWidth="8.8984375" defaultRowHeight="15"/>
  <cols>
    <col min="1" max="1" width="2.3984375" style="585" customWidth="1"/>
    <col min="2" max="2" width="31.09765625" style="585" customWidth="1"/>
    <col min="3" max="4" width="15.69921875" style="585" customWidth="1"/>
    <col min="5" max="5" width="16.19921875" style="585" customWidth="1"/>
    <col min="6" max="6" width="8.09765625" style="585" customWidth="1"/>
    <col min="7" max="7" width="10.19921875" style="585" customWidth="1"/>
    <col min="8" max="8" width="8.8984375" style="585" customWidth="1"/>
    <col min="9" max="9" width="5" style="585" customWidth="1"/>
    <col min="10" max="10" width="10" style="585" customWidth="1"/>
    <col min="11" max="16384" width="8.8984375" style="585" customWidth="1"/>
  </cols>
  <sheetData>
    <row r="1" spans="2:5" ht="15">
      <c r="B1" s="582" t="str">
        <f>(inputPrYr!D2)</f>
        <v>City of Russell</v>
      </c>
      <c r="C1" s="583"/>
      <c r="D1" s="583"/>
      <c r="E1" s="584">
        <f>inputPrYr!$C$5</f>
        <v>2015</v>
      </c>
    </row>
    <row r="2" spans="2:5" ht="15">
      <c r="B2" s="583"/>
      <c r="C2" s="583"/>
      <c r="D2" s="583"/>
      <c r="E2" s="586"/>
    </row>
    <row r="3" spans="2:5" ht="15">
      <c r="B3" s="587" t="s">
        <v>171</v>
      </c>
      <c r="C3" s="588"/>
      <c r="D3" s="588"/>
      <c r="E3" s="588"/>
    </row>
    <row r="4" spans="2:5" ht="15">
      <c r="B4" s="589" t="s">
        <v>103</v>
      </c>
      <c r="C4" s="590" t="s">
        <v>806</v>
      </c>
      <c r="D4" s="591" t="s">
        <v>807</v>
      </c>
      <c r="E4" s="592" t="s">
        <v>808</v>
      </c>
    </row>
    <row r="5" spans="2:5" ht="15">
      <c r="B5" s="593" t="str">
        <f>+(inputPrYr!B18)</f>
        <v>Debt Service</v>
      </c>
      <c r="C5" s="594" t="str">
        <f>CONCATENATE("Actual for ",E1-2,"")</f>
        <v>Actual for 2013</v>
      </c>
      <c r="D5" s="594" t="str">
        <f>CONCATENATE("Estimate for ",E1-1,"")</f>
        <v>Estimate for 2014</v>
      </c>
      <c r="E5" s="595" t="str">
        <f>CONCATENATE("Year for ",E1,"")</f>
        <v>Year for 2015</v>
      </c>
    </row>
    <row r="6" spans="2:5" ht="15">
      <c r="B6" s="596" t="s">
        <v>214</v>
      </c>
      <c r="C6" s="597">
        <v>87907</v>
      </c>
      <c r="D6" s="598">
        <f>C57</f>
        <v>101105</v>
      </c>
      <c r="E6" s="599">
        <f>D57</f>
        <v>85279</v>
      </c>
    </row>
    <row r="7" spans="2:5" ht="15">
      <c r="B7" s="600" t="s">
        <v>216</v>
      </c>
      <c r="C7" s="601"/>
      <c r="D7" s="598"/>
      <c r="E7" s="602"/>
    </row>
    <row r="8" spans="2:5" ht="15">
      <c r="B8" s="596" t="s">
        <v>104</v>
      </c>
      <c r="C8" s="597">
        <v>56093</v>
      </c>
      <c r="D8" s="598">
        <f>IF(inputPrYr!H16&gt;0,inputPrYr!G18,inputPrYr!E18)</f>
        <v>14562</v>
      </c>
      <c r="E8" s="603" t="s">
        <v>92</v>
      </c>
    </row>
    <row r="9" spans="2:5" ht="15">
      <c r="B9" s="596" t="s">
        <v>105</v>
      </c>
      <c r="C9" s="597">
        <v>728</v>
      </c>
      <c r="D9" s="604">
        <v>720</v>
      </c>
      <c r="E9" s="605"/>
    </row>
    <row r="10" spans="2:5" ht="15">
      <c r="B10" s="596" t="s">
        <v>106</v>
      </c>
      <c r="C10" s="597">
        <v>1777</v>
      </c>
      <c r="D10" s="604">
        <v>10469</v>
      </c>
      <c r="E10" s="606">
        <f>mvalloc!D8</f>
        <v>2356</v>
      </c>
    </row>
    <row r="11" spans="2:5" ht="15">
      <c r="B11" s="596" t="s">
        <v>107</v>
      </c>
      <c r="C11" s="597">
        <v>24</v>
      </c>
      <c r="D11" s="604">
        <v>151</v>
      </c>
      <c r="E11" s="606">
        <f>mvalloc!E8</f>
        <v>34</v>
      </c>
    </row>
    <row r="12" spans="2:5" ht="15">
      <c r="B12" s="607" t="s">
        <v>203</v>
      </c>
      <c r="C12" s="597"/>
      <c r="D12" s="604">
        <v>189</v>
      </c>
      <c r="E12" s="606">
        <f>mvalloc!F8</f>
        <v>56</v>
      </c>
    </row>
    <row r="13" spans="2:5" ht="15">
      <c r="B13" s="532"/>
      <c r="C13" s="597"/>
      <c r="D13" s="604"/>
      <c r="E13" s="605"/>
    </row>
    <row r="14" spans="2:5" ht="15">
      <c r="B14" s="533" t="s">
        <v>1054</v>
      </c>
      <c r="C14" s="597">
        <v>440653</v>
      </c>
      <c r="D14" s="604">
        <v>438296</v>
      </c>
      <c r="E14" s="605">
        <v>475500</v>
      </c>
    </row>
    <row r="15" spans="2:5" ht="15">
      <c r="B15" s="532"/>
      <c r="C15" s="597"/>
      <c r="D15" s="604"/>
      <c r="E15" s="608"/>
    </row>
    <row r="16" spans="2:5" ht="15">
      <c r="B16" s="532"/>
      <c r="C16" s="597"/>
      <c r="D16" s="604"/>
      <c r="E16" s="605"/>
    </row>
    <row r="17" spans="2:5" ht="15">
      <c r="B17" s="532"/>
      <c r="C17" s="597"/>
      <c r="D17" s="604"/>
      <c r="E17" s="605"/>
    </row>
    <row r="18" spans="2:5" ht="15">
      <c r="B18" s="532"/>
      <c r="C18" s="597"/>
      <c r="D18" s="604"/>
      <c r="E18" s="605"/>
    </row>
    <row r="19" spans="2:5" ht="15">
      <c r="B19" s="609"/>
      <c r="C19" s="597"/>
      <c r="D19" s="604"/>
      <c r="E19" s="605"/>
    </row>
    <row r="20" spans="2:5" ht="15">
      <c r="B20" s="532"/>
      <c r="C20" s="597"/>
      <c r="D20" s="604"/>
      <c r="E20" s="605"/>
    </row>
    <row r="21" spans="2:5" ht="15">
      <c r="B21" s="532"/>
      <c r="C21" s="610"/>
      <c r="D21" s="604"/>
      <c r="E21" s="605"/>
    </row>
    <row r="22" spans="2:5" ht="15">
      <c r="B22" s="532"/>
      <c r="C22" s="610"/>
      <c r="D22" s="604"/>
      <c r="E22" s="605"/>
    </row>
    <row r="23" spans="2:5" ht="15">
      <c r="B23" s="532"/>
      <c r="C23" s="597"/>
      <c r="D23" s="604"/>
      <c r="E23" s="605"/>
    </row>
    <row r="24" spans="2:5" ht="15">
      <c r="B24" s="532"/>
      <c r="C24" s="597"/>
      <c r="D24" s="604"/>
      <c r="E24" s="605"/>
    </row>
    <row r="25" spans="2:5" ht="15">
      <c r="B25" s="611" t="s">
        <v>111</v>
      </c>
      <c r="C25" s="597">
        <v>66</v>
      </c>
      <c r="D25" s="604">
        <v>180</v>
      </c>
      <c r="E25" s="605"/>
    </row>
    <row r="26" spans="2:5" ht="15">
      <c r="B26" s="612" t="s">
        <v>13</v>
      </c>
      <c r="C26" s="610"/>
      <c r="D26" s="604"/>
      <c r="E26" s="613"/>
    </row>
    <row r="27" spans="2:5" ht="15">
      <c r="B27" s="612" t="s">
        <v>785</v>
      </c>
      <c r="C27" s="614">
        <f>IF(C28*0.1&lt;C26,"Exceed 10% Rule","")</f>
      </c>
      <c r="D27" s="615">
        <f>IF(D28*0.1&lt;D26,"Exceed 10% Rule","")</f>
      </c>
      <c r="E27" s="616">
        <f>IF(E28*0.1+E63&lt;E26,"Exceed 10% Rule","")</f>
      </c>
    </row>
    <row r="28" spans="2:5" ht="15">
      <c r="B28" s="617" t="s">
        <v>112</v>
      </c>
      <c r="C28" s="618">
        <f>SUM(C8:C26)</f>
        <v>499341</v>
      </c>
      <c r="D28" s="619">
        <f>SUM(D8:D26)</f>
        <v>464567</v>
      </c>
      <c r="E28" s="620">
        <f>SUM(E8:E26)</f>
        <v>477946</v>
      </c>
    </row>
    <row r="29" spans="2:5" ht="15">
      <c r="B29" s="617" t="s">
        <v>113</v>
      </c>
      <c r="C29" s="618">
        <f>C6+C28</f>
        <v>587248</v>
      </c>
      <c r="D29" s="619">
        <f>D6+D28</f>
        <v>565672</v>
      </c>
      <c r="E29" s="621">
        <f>E6+E28</f>
        <v>563225</v>
      </c>
    </row>
    <row r="30" spans="2:5" ht="15">
      <c r="B30" s="600" t="s">
        <v>115</v>
      </c>
      <c r="C30" s="622"/>
      <c r="D30" s="623"/>
      <c r="E30" s="606"/>
    </row>
    <row r="31" spans="2:5" ht="15">
      <c r="B31" s="624"/>
      <c r="C31" s="610"/>
      <c r="D31" s="604"/>
      <c r="E31" s="625"/>
    </row>
    <row r="32" spans="2:5" ht="15">
      <c r="B32" s="624" t="s">
        <v>1071</v>
      </c>
      <c r="C32" s="610">
        <v>365000</v>
      </c>
      <c r="D32" s="604">
        <v>370000</v>
      </c>
      <c r="E32" s="625">
        <v>373000</v>
      </c>
    </row>
    <row r="33" spans="2:5" ht="15">
      <c r="B33" s="626" t="s">
        <v>1072</v>
      </c>
      <c r="C33" s="610">
        <v>118901</v>
      </c>
      <c r="D33" s="604">
        <v>109925</v>
      </c>
      <c r="E33" s="625">
        <v>102501</v>
      </c>
    </row>
    <row r="34" spans="2:5" ht="15">
      <c r="B34" s="626" t="s">
        <v>1073</v>
      </c>
      <c r="C34" s="610"/>
      <c r="D34" s="604"/>
      <c r="E34" s="625"/>
    </row>
    <row r="35" spans="2:5" ht="15">
      <c r="B35" s="626"/>
      <c r="C35" s="610"/>
      <c r="D35" s="604"/>
      <c r="E35" s="625"/>
    </row>
    <row r="36" spans="2:5" ht="15">
      <c r="B36" s="626"/>
      <c r="C36" s="610"/>
      <c r="D36" s="604"/>
      <c r="E36" s="625"/>
    </row>
    <row r="37" spans="2:5" ht="15">
      <c r="B37" s="626"/>
      <c r="C37" s="610"/>
      <c r="D37" s="604"/>
      <c r="E37" s="625"/>
    </row>
    <row r="38" spans="2:5" ht="15">
      <c r="B38" s="627"/>
      <c r="C38" s="610"/>
      <c r="D38" s="604"/>
      <c r="E38" s="605"/>
    </row>
    <row r="39" spans="2:5" ht="15">
      <c r="B39" s="627"/>
      <c r="C39" s="610"/>
      <c r="D39" s="604"/>
      <c r="E39" s="605"/>
    </row>
    <row r="40" spans="2:5" ht="15">
      <c r="B40" s="627"/>
      <c r="C40" s="610"/>
      <c r="D40" s="604"/>
      <c r="E40" s="605"/>
    </row>
    <row r="41" spans="2:5" ht="15">
      <c r="B41" s="627"/>
      <c r="C41" s="610"/>
      <c r="D41" s="604"/>
      <c r="E41" s="605"/>
    </row>
    <row r="42" spans="2:5" ht="15">
      <c r="B42" s="627"/>
      <c r="C42" s="610"/>
      <c r="D42" s="604"/>
      <c r="E42" s="605"/>
    </row>
    <row r="43" spans="2:10" ht="15">
      <c r="B43" s="627"/>
      <c r="C43" s="610"/>
      <c r="D43" s="604"/>
      <c r="E43" s="605"/>
      <c r="G43" s="1029"/>
      <c r="H43" s="1029"/>
      <c r="I43" s="1029"/>
      <c r="J43" s="1030"/>
    </row>
    <row r="44" spans="2:10" ht="15">
      <c r="B44" s="627"/>
      <c r="C44" s="610"/>
      <c r="D44" s="604"/>
      <c r="E44" s="605"/>
      <c r="G44" s="630"/>
      <c r="H44" s="630"/>
      <c r="I44" s="630"/>
      <c r="J44" s="630"/>
    </row>
    <row r="45" spans="2:10" ht="15">
      <c r="B45" s="627"/>
      <c r="C45" s="610"/>
      <c r="D45" s="604"/>
      <c r="E45" s="605"/>
      <c r="G45" s="631"/>
      <c r="H45" s="632"/>
      <c r="I45" s="630"/>
      <c r="J45" s="630"/>
    </row>
    <row r="46" spans="2:10" ht="15">
      <c r="B46" s="627"/>
      <c r="C46" s="610"/>
      <c r="D46" s="604"/>
      <c r="E46" s="605"/>
      <c r="G46" s="631"/>
      <c r="H46" s="630"/>
      <c r="I46" s="630"/>
      <c r="J46" s="630"/>
    </row>
    <row r="47" spans="2:10" ht="15">
      <c r="B47" s="624"/>
      <c r="C47" s="610"/>
      <c r="D47" s="604"/>
      <c r="E47" s="633"/>
      <c r="G47" s="1031" t="str">
        <f>CONCATENATE("Desired Carryover Into ",E1+1,"")</f>
        <v>Desired Carryover Into 2016</v>
      </c>
      <c r="H47" s="1032"/>
      <c r="I47" s="1032"/>
      <c r="J47" s="1033"/>
    </row>
    <row r="48" spans="2:10" ht="15">
      <c r="B48" s="624"/>
      <c r="C48" s="610"/>
      <c r="D48" s="604"/>
      <c r="E48" s="605"/>
      <c r="G48" s="634"/>
      <c r="H48" s="635"/>
      <c r="I48" s="636"/>
      <c r="J48" s="637"/>
    </row>
    <row r="49" spans="2:10" ht="15">
      <c r="B49" s="624"/>
      <c r="C49" s="610"/>
      <c r="D49" s="604"/>
      <c r="E49" s="605"/>
      <c r="G49" s="638" t="s">
        <v>773</v>
      </c>
      <c r="H49" s="636"/>
      <c r="I49" s="636"/>
      <c r="J49" s="639">
        <v>0</v>
      </c>
    </row>
    <row r="50" spans="2:10" ht="15">
      <c r="B50" s="624"/>
      <c r="C50" s="610"/>
      <c r="D50" s="604"/>
      <c r="E50" s="605"/>
      <c r="G50" s="634" t="s">
        <v>774</v>
      </c>
      <c r="H50" s="635"/>
      <c r="I50" s="635"/>
      <c r="J50" s="640">
        <f>IF(J49=0,"",ROUND((J49+E63-G62)/inputOth!E9*1000,3)-G67)</f>
      </c>
    </row>
    <row r="51" spans="2:10" ht="15">
      <c r="B51" s="624"/>
      <c r="C51" s="610"/>
      <c r="D51" s="604"/>
      <c r="E51" s="605"/>
      <c r="G51" s="641" t="str">
        <f>CONCATENATE("",E1," Tot Exp/Non-Appr Must Be:")</f>
        <v>2015 Tot Exp/Non-Appr Must Be:</v>
      </c>
      <c r="H51" s="642"/>
      <c r="I51" s="643"/>
      <c r="J51" s="644">
        <f>IF(J49&gt;0,IF(E60&lt;E29,IF(J49=G62,E60,((J49-G62)*(1-D62))+E29),E60+(J49-G62)),0)</f>
        <v>0</v>
      </c>
    </row>
    <row r="52" spans="2:10" ht="15">
      <c r="B52" s="624"/>
      <c r="C52" s="610"/>
      <c r="D52" s="604"/>
      <c r="E52" s="605"/>
      <c r="G52" s="645" t="s">
        <v>809</v>
      </c>
      <c r="H52" s="646"/>
      <c r="I52" s="646"/>
      <c r="J52" s="647">
        <f>IF(J49&gt;0,J51-E60,0)</f>
        <v>0</v>
      </c>
    </row>
    <row r="53" spans="2:5" ht="15">
      <c r="B53" s="612" t="s">
        <v>12</v>
      </c>
      <c r="C53" s="610">
        <v>2239</v>
      </c>
      <c r="D53" s="604">
        <v>468</v>
      </c>
      <c r="E53" s="606">
        <f>nhood!E7</f>
      </c>
    </row>
    <row r="54" spans="2:10" ht="15">
      <c r="B54" s="612" t="s">
        <v>13</v>
      </c>
      <c r="C54" s="610">
        <v>3</v>
      </c>
      <c r="D54" s="604"/>
      <c r="E54" s="605"/>
      <c r="G54" s="1031" t="str">
        <f>CONCATENATE("Projected Carryover Into ",E1+1,"")</f>
        <v>Projected Carryover Into 2016</v>
      </c>
      <c r="H54" s="1032"/>
      <c r="I54" s="1032"/>
      <c r="J54" s="1033"/>
    </row>
    <row r="55" spans="2:10" ht="15">
      <c r="B55" s="612" t="s">
        <v>786</v>
      </c>
      <c r="C55" s="614">
        <f>IF(C56*0.1&lt;C54,"Exceed 10% Rule","")</f>
      </c>
      <c r="D55" s="615">
        <f>IF(D56*0.1&lt;D54,"Exceed 10% Rule","")</f>
      </c>
      <c r="E55" s="616">
        <f>IF(E56*0.1&lt;E54,"Exceed 10% Rule","")</f>
      </c>
      <c r="G55" s="648"/>
      <c r="H55" s="635"/>
      <c r="I55" s="635"/>
      <c r="J55" s="649"/>
    </row>
    <row r="56" spans="2:10" ht="15">
      <c r="B56" s="617" t="s">
        <v>119</v>
      </c>
      <c r="C56" s="618">
        <f>SUM(C31:C54)</f>
        <v>486143</v>
      </c>
      <c r="D56" s="619">
        <f>SUM(D31:D54)</f>
        <v>480393</v>
      </c>
      <c r="E56" s="620">
        <f>SUM(E31:E54)</f>
        <v>475501</v>
      </c>
      <c r="G56" s="650">
        <f>D57</f>
        <v>85279</v>
      </c>
      <c r="H56" s="651" t="str">
        <f>CONCATENATE("",E1-1," Ending Cash Balance (est.)")</f>
        <v>2014 Ending Cash Balance (est.)</v>
      </c>
      <c r="I56" s="652"/>
      <c r="J56" s="649"/>
    </row>
    <row r="57" spans="2:10" ht="15">
      <c r="B57" s="596" t="s">
        <v>215</v>
      </c>
      <c r="C57" s="653">
        <f>C29-C56</f>
        <v>101105</v>
      </c>
      <c r="D57" s="654">
        <f>D29-D56</f>
        <v>85279</v>
      </c>
      <c r="E57" s="603" t="s">
        <v>92</v>
      </c>
      <c r="G57" s="650">
        <f>E28</f>
        <v>477946</v>
      </c>
      <c r="H57" s="636" t="str">
        <f>CONCATENATE("",E1," Non-AV Receipts (est.)")</f>
        <v>2015 Non-AV Receipts (est.)</v>
      </c>
      <c r="I57" s="652"/>
      <c r="J57" s="649"/>
    </row>
    <row r="58" spans="2:11" ht="15">
      <c r="B58" s="906" t="str">
        <f>CONCATENATE("",E1-2,"/",E1-1,"/",E1," Budget Authority Amount:")</f>
        <v>2013/2014/2015 Budget Authority Amount:</v>
      </c>
      <c r="C58" s="623">
        <f>inputOth!B64</f>
        <v>621057</v>
      </c>
      <c r="D58" s="623">
        <f>inputPrYr!D18</f>
        <v>615390</v>
      </c>
      <c r="E58" s="905">
        <f>E56</f>
        <v>475501</v>
      </c>
      <c r="F58" s="656"/>
      <c r="G58" s="657">
        <f>IF(E62&gt;0,E61,E63)</f>
        <v>0</v>
      </c>
      <c r="H58" s="636" t="str">
        <f>CONCATENATE("",E1," Ad Valorem Tax (est.)")</f>
        <v>2015 Ad Valorem Tax (est.)</v>
      </c>
      <c r="I58" s="652"/>
      <c r="J58" s="649"/>
      <c r="K58" s="658">
        <f>IF(G58=E63,"","Note: Does not include Delinquent Taxes")</f>
      </c>
    </row>
    <row r="59" spans="2:10" ht="15">
      <c r="B59" s="655"/>
      <c r="C59" s="1010" t="s">
        <v>631</v>
      </c>
      <c r="D59" s="1011"/>
      <c r="E59" s="659"/>
      <c r="F59" s="660">
        <f>IF(E56/0.95-E56&lt;E59,"Exceeds 5%","")</f>
      </c>
      <c r="G59" s="650">
        <f>SUM(G56:G58)</f>
        <v>563225</v>
      </c>
      <c r="H59" s="636" t="str">
        <f>CONCATENATE("Total ",E1," Resources Available")</f>
        <v>Total 2015 Resources Available</v>
      </c>
      <c r="I59" s="652"/>
      <c r="J59" s="649"/>
    </row>
    <row r="60" spans="2:10" ht="15">
      <c r="B60" s="661" t="str">
        <f>CONCATENATE(C72,"     ",D72)</f>
        <v>     </v>
      </c>
      <c r="C60" s="1012" t="s">
        <v>632</v>
      </c>
      <c r="D60" s="1013"/>
      <c r="E60" s="662">
        <f>E56+E59</f>
        <v>475501</v>
      </c>
      <c r="G60" s="663"/>
      <c r="H60" s="636"/>
      <c r="I60" s="636"/>
      <c r="J60" s="649"/>
    </row>
    <row r="61" spans="2:10" ht="15">
      <c r="B61" s="661" t="str">
        <f>CONCATENATE(C73,"     ",D73)</f>
        <v>     </v>
      </c>
      <c r="C61" s="664"/>
      <c r="D61" s="586" t="s">
        <v>120</v>
      </c>
      <c r="E61" s="665">
        <f>IF(E60-E29&gt;0,E60-E29,0)</f>
        <v>0</v>
      </c>
      <c r="G61" s="657">
        <f>ROUND(C56*0.05+C56,0)</f>
        <v>510450</v>
      </c>
      <c r="H61" s="636" t="str">
        <f>CONCATENATE("Less ",E1-2," Expenditures + 5%")</f>
        <v>Less 2013 Expenditures + 5%</v>
      </c>
      <c r="I61" s="652"/>
      <c r="J61" s="649"/>
    </row>
    <row r="62" spans="2:10" ht="15">
      <c r="B62" s="666"/>
      <c r="C62" s="370" t="s">
        <v>630</v>
      </c>
      <c r="D62" s="667">
        <f>inputOth!E50</f>
        <v>0.013</v>
      </c>
      <c r="E62" s="662">
        <f>ROUND(IF(D62&gt;0,(E61*D62),0),0)</f>
        <v>0</v>
      </c>
      <c r="G62" s="668">
        <f>G59-G61</f>
        <v>52775</v>
      </c>
      <c r="H62" s="669" t="str">
        <f>CONCATENATE("Projected ",E1+1," Carryover (est.)")</f>
        <v>Projected 2016 Carryover (est.)</v>
      </c>
      <c r="I62" s="670"/>
      <c r="J62" s="671"/>
    </row>
    <row r="63" spans="2:5" ht="15.75" thickBot="1">
      <c r="B63" s="583"/>
      <c r="C63" s="1034" t="str">
        <f>CONCATENATE("Amount of  ",E1-1," Ad Valorem Tax")</f>
        <v>Amount of  2014 Ad Valorem Tax</v>
      </c>
      <c r="D63" s="1035"/>
      <c r="E63" s="672">
        <f>E61+E62</f>
        <v>0</v>
      </c>
    </row>
    <row r="64" spans="2:10" ht="15.75" thickTop="1">
      <c r="B64" s="586"/>
      <c r="C64" s="583"/>
      <c r="D64" s="583"/>
      <c r="E64" s="583"/>
      <c r="G64" s="1024" t="s">
        <v>810</v>
      </c>
      <c r="H64" s="1025"/>
      <c r="I64" s="1025"/>
      <c r="J64" s="1026"/>
    </row>
    <row r="65" spans="2:16" ht="15">
      <c r="B65" s="655" t="s">
        <v>122</v>
      </c>
      <c r="C65" s="673">
        <v>9</v>
      </c>
      <c r="D65" s="674"/>
      <c r="E65" s="583"/>
      <c r="G65" s="675"/>
      <c r="H65" s="651"/>
      <c r="I65" s="676"/>
      <c r="J65" s="677"/>
      <c r="M65" s="1027"/>
      <c r="N65" s="1027"/>
      <c r="O65" s="1027"/>
      <c r="P65" s="1028"/>
    </row>
    <row r="66" spans="7:16" ht="15">
      <c r="G66" s="678" t="str">
        <f>summ!H16</f>
        <v>  </v>
      </c>
      <c r="H66" s="651" t="str">
        <f>CONCATENATE("",E1," Fund Mill Rate")</f>
        <v>2015 Fund Mill Rate</v>
      </c>
      <c r="I66" s="676"/>
      <c r="J66" s="677"/>
      <c r="M66" s="679"/>
      <c r="N66" s="679"/>
      <c r="O66" s="679"/>
      <c r="P66" s="679"/>
    </row>
    <row r="67" spans="3:16" ht="15">
      <c r="C67" s="628"/>
      <c r="D67" s="628"/>
      <c r="E67" s="680"/>
      <c r="F67" s="629"/>
      <c r="G67" s="681">
        <f>summ!E16</f>
        <v>0.525</v>
      </c>
      <c r="H67" s="651" t="str">
        <f>CONCATENATE("",E1-1," Fund Mill Rate")</f>
        <v>2014 Fund Mill Rate</v>
      </c>
      <c r="I67" s="676"/>
      <c r="J67" s="677"/>
      <c r="L67" s="682"/>
      <c r="M67" s="683"/>
      <c r="N67" s="684"/>
      <c r="O67" s="684"/>
      <c r="P67" s="685"/>
    </row>
    <row r="68" spans="3:16" ht="15">
      <c r="C68" s="686"/>
      <c r="D68" s="630"/>
      <c r="E68" s="680"/>
      <c r="F68" s="630"/>
      <c r="G68" s="687">
        <f>summ!H52</f>
        <v>59.433</v>
      </c>
      <c r="H68" s="651" t="str">
        <f>CONCATENATE("Total ",E1," Mill Rate")</f>
        <v>Total 2015 Mill Rate</v>
      </c>
      <c r="I68" s="676"/>
      <c r="J68" s="677"/>
      <c r="M68" s="686"/>
      <c r="N68" s="630"/>
      <c r="O68" s="686"/>
      <c r="P68" s="685"/>
    </row>
    <row r="69" spans="3:16" ht="15">
      <c r="C69" s="688"/>
      <c r="D69" s="689"/>
      <c r="E69" s="680"/>
      <c r="F69" s="630"/>
      <c r="G69" s="681">
        <f>summ!E52</f>
        <v>60.644</v>
      </c>
      <c r="H69" s="690" t="str">
        <f>CONCATENATE("Total ",E1-1," Mill Rate")</f>
        <v>Total 2014 Mill Rate</v>
      </c>
      <c r="I69" s="691"/>
      <c r="J69" s="692"/>
      <c r="M69" s="686"/>
      <c r="N69" s="630"/>
      <c r="O69" s="686"/>
      <c r="P69" s="693"/>
    </row>
    <row r="70" spans="3:10" ht="14.25" customHeight="1">
      <c r="C70" s="631"/>
      <c r="D70" s="630"/>
      <c r="E70" s="630"/>
      <c r="F70" s="630"/>
      <c r="G70" s="684"/>
      <c r="H70" s="679"/>
      <c r="I70" s="679"/>
      <c r="J70" s="694"/>
    </row>
    <row r="71" spans="3:10" ht="15">
      <c r="C71" s="631"/>
      <c r="D71" s="630"/>
      <c r="E71" s="630"/>
      <c r="F71" s="630"/>
      <c r="G71" s="934" t="s">
        <v>990</v>
      </c>
      <c r="H71" s="880"/>
      <c r="I71" s="879" t="str">
        <f>cert!F60</f>
        <v>Yes</v>
      </c>
      <c r="J71" s="695"/>
    </row>
    <row r="72" spans="3:6" ht="15" hidden="1">
      <c r="C72" s="696">
        <f>IF(C56&gt;C58,"See Tab A","")</f>
      </c>
      <c r="D72" s="697">
        <f>IF(D56&gt;D58,"See Tab C","")</f>
      </c>
      <c r="E72" s="630"/>
      <c r="F72" s="630"/>
    </row>
    <row r="73" spans="3:4" ht="15" hidden="1">
      <c r="C73" s="698">
        <f>IF(C57&lt;0,"See Tab B","")</f>
      </c>
      <c r="D73" s="698">
        <f>IF(D57&lt;0,"See Tab D","")</f>
      </c>
    </row>
  </sheetData>
  <sheetProtection sheet="1"/>
  <mergeCells count="8">
    <mergeCell ref="G64:J64"/>
    <mergeCell ref="M65:P65"/>
    <mergeCell ref="G43:J43"/>
    <mergeCell ref="G47:J47"/>
    <mergeCell ref="G54:J54"/>
    <mergeCell ref="C59:D59"/>
    <mergeCell ref="C60:D60"/>
    <mergeCell ref="C63:D63"/>
  </mergeCells>
  <conditionalFormatting sqref="E54">
    <cfRule type="cellIs" priority="11" dxfId="328" operator="greaterThan" stopIfTrue="1">
      <formula>$E$56*0.1</formula>
    </cfRule>
  </conditionalFormatting>
  <conditionalFormatting sqref="E59">
    <cfRule type="cellIs" priority="10" dxfId="328" operator="greaterThan" stopIfTrue="1">
      <formula>$E$56/0.95-$E$56</formula>
    </cfRule>
  </conditionalFormatting>
  <conditionalFormatting sqref="C57">
    <cfRule type="cellIs" priority="9" dxfId="3" operator="lessThan" stopIfTrue="1">
      <formula>0</formula>
    </cfRule>
  </conditionalFormatting>
  <conditionalFormatting sqref="C56">
    <cfRule type="cellIs" priority="8" dxfId="3" operator="greaterThan" stopIfTrue="1">
      <formula>$C$58</formula>
    </cfRule>
  </conditionalFormatting>
  <conditionalFormatting sqref="C54">
    <cfRule type="cellIs" priority="7" dxfId="3" operator="greaterThan" stopIfTrue="1">
      <formula>$C$56*0.1</formula>
    </cfRule>
  </conditionalFormatting>
  <conditionalFormatting sqref="D54">
    <cfRule type="cellIs" priority="6" dxfId="3" operator="greaterThan" stopIfTrue="1">
      <formula>$D$56*0.1</formula>
    </cfRule>
  </conditionalFormatting>
  <conditionalFormatting sqref="C26">
    <cfRule type="cellIs" priority="5" dxfId="3" operator="greaterThan" stopIfTrue="1">
      <formula>$C$28*0.1</formula>
    </cfRule>
  </conditionalFormatting>
  <conditionalFormatting sqref="D26">
    <cfRule type="cellIs" priority="4" dxfId="3" operator="greaterThan" stopIfTrue="1">
      <formula>$D$28*0.1</formula>
    </cfRule>
  </conditionalFormatting>
  <conditionalFormatting sqref="E26">
    <cfRule type="cellIs" priority="3" dxfId="328" operator="greaterThan" stopIfTrue="1">
      <formula>$E$28*0.1+E63</formula>
    </cfRule>
  </conditionalFormatting>
  <conditionalFormatting sqref="D57">
    <cfRule type="cellIs" priority="2" dxfId="0" operator="lessThan" stopIfTrue="1">
      <formula>0</formula>
    </cfRule>
  </conditionalFormatting>
  <conditionalFormatting sqref="D56">
    <cfRule type="cellIs" priority="1" dxfId="0" operator="greaterThan" stopIfTrue="1">
      <formula>$D$58</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7">
      <selection activeCell="C82" sqref="C82"/>
    </sheetView>
  </sheetViews>
  <sheetFormatPr defaultColWidth="8.8984375" defaultRowHeight="15"/>
  <cols>
    <col min="1" max="1" width="2.3984375" style="30" customWidth="1"/>
    <col min="2" max="2" width="31.09765625" style="30" customWidth="1"/>
    <col min="3" max="4" width="15.69921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8984375" style="30" customWidth="1"/>
    <col min="11" max="16384" width="8.8984375" style="30" customWidth="1"/>
  </cols>
  <sheetData>
    <row r="1" spans="2:5" ht="15">
      <c r="B1" s="388" t="str">
        <f>inputPrYr!D2</f>
        <v>City of Russell</v>
      </c>
      <c r="C1" s="388"/>
      <c r="D1" s="373"/>
      <c r="E1" s="381">
        <f>inputPrYr!C5</f>
        <v>2015</v>
      </c>
    </row>
    <row r="2" spans="2:5" ht="15">
      <c r="B2" s="373"/>
      <c r="C2" s="373"/>
      <c r="D2" s="373"/>
      <c r="E2" s="390"/>
    </row>
    <row r="3" spans="2:5" ht="15">
      <c r="B3" s="376" t="s">
        <v>171</v>
      </c>
      <c r="C3" s="376"/>
      <c r="D3" s="392"/>
      <c r="E3" s="382"/>
    </row>
    <row r="4" spans="2:5" ht="15">
      <c r="B4" s="375" t="s">
        <v>103</v>
      </c>
      <c r="C4" s="405" t="s">
        <v>806</v>
      </c>
      <c r="D4" s="404" t="s">
        <v>807</v>
      </c>
      <c r="E4" s="383" t="s">
        <v>808</v>
      </c>
    </row>
    <row r="5" spans="2:5" ht="15">
      <c r="B5" s="414" t="str">
        <f>inputPrYr!B19</f>
        <v>Library</v>
      </c>
      <c r="C5" s="406" t="str">
        <f>CONCATENATE("Actual for ",E1-2,"")</f>
        <v>Actual for 2013</v>
      </c>
      <c r="D5" s="406" t="str">
        <f>CONCATENATE("Estimate for ",E1-1,"")</f>
        <v>Estimate for 2014</v>
      </c>
      <c r="E5" s="391" t="str">
        <f>CONCATENATE("Year for ",E1,"")</f>
        <v>Year for 2015</v>
      </c>
    </row>
    <row r="6" spans="2:5" ht="15">
      <c r="B6" s="384" t="s">
        <v>214</v>
      </c>
      <c r="C6" s="410">
        <v>6547</v>
      </c>
      <c r="D6" s="409">
        <f>C34</f>
        <v>9320</v>
      </c>
      <c r="E6" s="385">
        <f>D34</f>
        <v>6921</v>
      </c>
    </row>
    <row r="7" spans="2:5" ht="15">
      <c r="B7" s="384" t="s">
        <v>216</v>
      </c>
      <c r="C7" s="386"/>
      <c r="D7" s="409"/>
      <c r="E7" s="385"/>
    </row>
    <row r="8" spans="2:5" ht="15">
      <c r="B8" s="384" t="s">
        <v>104</v>
      </c>
      <c r="C8" s="407">
        <v>124255</v>
      </c>
      <c r="D8" s="409">
        <f>IF(inputPrYr!H16&gt;0,inputPrYr!G19,inputPrYr!E19)</f>
        <v>122423</v>
      </c>
      <c r="E8" s="400" t="s">
        <v>92</v>
      </c>
    </row>
    <row r="9" spans="2:5" ht="15">
      <c r="B9" s="384" t="s">
        <v>105</v>
      </c>
      <c r="C9" s="407">
        <v>4154</v>
      </c>
      <c r="D9" s="411">
        <v>2140</v>
      </c>
      <c r="E9" s="377"/>
    </row>
    <row r="10" spans="2:5" ht="15">
      <c r="B10" s="384" t="s">
        <v>106</v>
      </c>
      <c r="C10" s="407">
        <v>20452</v>
      </c>
      <c r="D10" s="411">
        <v>23216</v>
      </c>
      <c r="E10" s="385">
        <f>mvalloc!D9</f>
        <v>19805</v>
      </c>
    </row>
    <row r="11" spans="2:5" ht="15">
      <c r="B11" s="384" t="s">
        <v>107</v>
      </c>
      <c r="C11" s="407">
        <v>301</v>
      </c>
      <c r="D11" s="411">
        <v>334</v>
      </c>
      <c r="E11" s="385">
        <f>mvalloc!E9</f>
        <v>286</v>
      </c>
    </row>
    <row r="12" spans="2:5" ht="15">
      <c r="B12" s="387" t="s">
        <v>203</v>
      </c>
      <c r="C12" s="407"/>
      <c r="D12" s="411">
        <v>419</v>
      </c>
      <c r="E12" s="385">
        <f>mvalloc!F9</f>
        <v>473</v>
      </c>
    </row>
    <row r="13" spans="2:5" ht="15">
      <c r="B13" s="402" t="s">
        <v>109</v>
      </c>
      <c r="C13" s="407">
        <v>331</v>
      </c>
      <c r="D13" s="411"/>
      <c r="E13" s="377"/>
    </row>
    <row r="14" spans="2:5" ht="15">
      <c r="B14" s="402"/>
      <c r="C14" s="407"/>
      <c r="D14" s="411"/>
      <c r="E14" s="377"/>
    </row>
    <row r="15" spans="2:5" ht="15">
      <c r="B15" s="402"/>
      <c r="C15" s="407"/>
      <c r="D15" s="411"/>
      <c r="E15" s="377"/>
    </row>
    <row r="16" spans="2:5" ht="15">
      <c r="B16" s="402"/>
      <c r="C16" s="407"/>
      <c r="D16" s="411"/>
      <c r="E16" s="377"/>
    </row>
    <row r="17" spans="2:9" ht="15">
      <c r="B17" s="397" t="s">
        <v>111</v>
      </c>
      <c r="C17" s="407"/>
      <c r="D17" s="411"/>
      <c r="E17" s="377"/>
      <c r="F17" s="372"/>
      <c r="G17" s="372"/>
      <c r="H17" s="372"/>
      <c r="I17" s="372"/>
    </row>
    <row r="18" spans="2:9" ht="15">
      <c r="B18" s="384" t="s">
        <v>13</v>
      </c>
      <c r="C18" s="239"/>
      <c r="D18" s="239"/>
      <c r="E18" s="48"/>
      <c r="F18" s="372"/>
      <c r="G18" s="372"/>
      <c r="H18" s="372"/>
      <c r="I18" s="372"/>
    </row>
    <row r="19" spans="2:9" ht="15">
      <c r="B19" s="384" t="s">
        <v>785</v>
      </c>
      <c r="C19" s="244">
        <f>IF(C20*0.1&lt;C18,"Exceed 10% Rule","")</f>
      </c>
      <c r="D19" s="244">
        <f>IF(D20*0.1&lt;D18,"Exceed 10% Rule","")</f>
      </c>
      <c r="E19" s="282">
        <f>IF(E20*0.1+E40&lt;E18,"Exceed 10% Rule","")</f>
      </c>
      <c r="F19" s="372"/>
      <c r="G19" s="372"/>
      <c r="H19" s="372"/>
      <c r="I19" s="372"/>
    </row>
    <row r="20" spans="2:9" ht="15">
      <c r="B20" s="394" t="s">
        <v>112</v>
      </c>
      <c r="C20" s="412">
        <f>SUM(C8:C18)</f>
        <v>149493</v>
      </c>
      <c r="D20" s="412">
        <f>SUM(D8:D18)</f>
        <v>148532</v>
      </c>
      <c r="E20" s="403">
        <f>SUM(E9:E18)</f>
        <v>20564</v>
      </c>
      <c r="F20" s="372"/>
      <c r="G20" s="372"/>
      <c r="H20" s="372"/>
      <c r="I20" s="372"/>
    </row>
    <row r="21" spans="2:9" ht="15">
      <c r="B21" s="394" t="s">
        <v>113</v>
      </c>
      <c r="C21" s="412">
        <f>SUM(C6+C20)</f>
        <v>156040</v>
      </c>
      <c r="D21" s="412">
        <f>SUM(D6+D20)</f>
        <v>157852</v>
      </c>
      <c r="E21" s="403">
        <f>SUM(E6+E20)</f>
        <v>27485</v>
      </c>
      <c r="F21" s="372"/>
      <c r="G21" s="372"/>
      <c r="H21" s="372"/>
      <c r="I21" s="372"/>
    </row>
    <row r="22" spans="2:9" ht="15">
      <c r="B22" s="384" t="s">
        <v>115</v>
      </c>
      <c r="C22" s="384"/>
      <c r="D22" s="409"/>
      <c r="E22" s="385"/>
      <c r="F22" s="372"/>
      <c r="G22" s="372"/>
      <c r="H22" s="372"/>
      <c r="I22" s="372"/>
    </row>
    <row r="23" spans="2:9" ht="15">
      <c r="B23" s="402"/>
      <c r="C23" s="486"/>
      <c r="D23" s="411"/>
      <c r="E23" s="377"/>
      <c r="F23" s="372"/>
      <c r="G23" s="372"/>
      <c r="H23" s="372"/>
      <c r="I23" s="372"/>
    </row>
    <row r="24" spans="2:10" ht="15">
      <c r="B24" s="402" t="s">
        <v>1074</v>
      </c>
      <c r="C24" s="486">
        <v>141755</v>
      </c>
      <c r="D24" s="411">
        <v>147000</v>
      </c>
      <c r="E24" s="377">
        <v>153000</v>
      </c>
      <c r="F24" s="372"/>
      <c r="G24" s="1036" t="str">
        <f>CONCATENATE("Desired Carryover Into ",E1+1,"")</f>
        <v>Desired Carryover Into 2016</v>
      </c>
      <c r="H24" s="1019"/>
      <c r="I24" s="1019"/>
      <c r="J24" s="1020"/>
    </row>
    <row r="25" spans="2:10" ht="15">
      <c r="B25" s="402"/>
      <c r="C25" s="486"/>
      <c r="D25" s="411"/>
      <c r="E25" s="377"/>
      <c r="F25" s="372"/>
      <c r="G25" s="786"/>
      <c r="H25" s="787"/>
      <c r="I25" s="788"/>
      <c r="J25" s="789"/>
    </row>
    <row r="26" spans="2:10" ht="15">
      <c r="B26" s="402"/>
      <c r="C26" s="486"/>
      <c r="D26" s="411"/>
      <c r="E26" s="377"/>
      <c r="F26" s="372"/>
      <c r="G26" s="790" t="s">
        <v>773</v>
      </c>
      <c r="H26" s="788"/>
      <c r="I26" s="788"/>
      <c r="J26" s="791">
        <v>0</v>
      </c>
    </row>
    <row r="27" spans="2:10" ht="15">
      <c r="B27" s="402"/>
      <c r="C27" s="486"/>
      <c r="D27" s="411"/>
      <c r="E27" s="377"/>
      <c r="F27" s="372"/>
      <c r="G27" s="786" t="s">
        <v>774</v>
      </c>
      <c r="H27" s="787"/>
      <c r="I27" s="787"/>
      <c r="J27" s="792">
        <f>IF(J26=0,"",ROUND((J26+E40-G39)/inputOth!E9*1000,3)-G44)</f>
      </c>
    </row>
    <row r="28" spans="2:10" ht="15">
      <c r="B28" s="402"/>
      <c r="C28" s="486"/>
      <c r="D28" s="411"/>
      <c r="E28" s="377"/>
      <c r="F28" s="372"/>
      <c r="G28" s="793" t="str">
        <f>CONCATENATE("",E1," Tot Exp/Non-Appr Must Be:")</f>
        <v>2015 Tot Exp/Non-Appr Must Be:</v>
      </c>
      <c r="H28" s="794"/>
      <c r="I28" s="795"/>
      <c r="J28" s="796">
        <f>IF(J26&gt;0,IF(E37&lt;E21,IF(J26=G39,E37,((J26-G39)*(1-D39))+E21),E37+(J26-G39)),0)</f>
        <v>0</v>
      </c>
    </row>
    <row r="29" spans="2:10" ht="15">
      <c r="B29" s="402"/>
      <c r="C29" s="486"/>
      <c r="D29" s="411"/>
      <c r="E29" s="377"/>
      <c r="F29" s="372"/>
      <c r="G29" s="797" t="s">
        <v>809</v>
      </c>
      <c r="H29" s="798"/>
      <c r="I29" s="798"/>
      <c r="J29" s="765">
        <f>IF(J26&gt;0,J28-E37,0)</f>
        <v>0</v>
      </c>
    </row>
    <row r="30" spans="2:9" ht="15">
      <c r="B30" s="399" t="s">
        <v>12</v>
      </c>
      <c r="C30" s="486">
        <v>4965</v>
      </c>
      <c r="D30" s="411">
        <v>3931</v>
      </c>
      <c r="E30" s="385">
        <f>nhood!E8</f>
        <v>3689</v>
      </c>
      <c r="F30" s="372"/>
      <c r="G30" s="372"/>
      <c r="H30" s="372"/>
      <c r="I30" s="372"/>
    </row>
    <row r="31" spans="2:10" ht="15">
      <c r="B31" s="399" t="s">
        <v>13</v>
      </c>
      <c r="C31" s="486"/>
      <c r="D31" s="411"/>
      <c r="E31" s="377"/>
      <c r="F31" s="372"/>
      <c r="G31" s="1037" t="str">
        <f>CONCATENATE("Projected Carryover Into ",E1+1,"")</f>
        <v>Projected Carryover Into 2016</v>
      </c>
      <c r="H31" s="1019"/>
      <c r="I31" s="1019"/>
      <c r="J31" s="1020"/>
    </row>
    <row r="32" spans="2:10" ht="15">
      <c r="B32" s="399" t="s">
        <v>786</v>
      </c>
      <c r="C32" s="244">
        <f>IF(C33*0.1&lt;C31,"Exceed 10% Rule","")</f>
      </c>
      <c r="D32" s="244">
        <f>IF(D33*0.1&lt;D31,"Exceed 10% Rule","")</f>
      </c>
      <c r="E32" s="282">
        <f>IF(E33*0.1&lt;E31,"Exceed 10% Rule","")</f>
      </c>
      <c r="F32" s="372"/>
      <c r="G32" s="799"/>
      <c r="H32" s="755"/>
      <c r="I32" s="755"/>
      <c r="J32" s="800"/>
    </row>
    <row r="33" spans="2:10" ht="15">
      <c r="B33" s="394" t="s">
        <v>119</v>
      </c>
      <c r="C33" s="408">
        <f>SUM(C23:C31)</f>
        <v>146720</v>
      </c>
      <c r="D33" s="408">
        <f>SUM(D23:D31)</f>
        <v>150931</v>
      </c>
      <c r="E33" s="398">
        <f>SUM(E23:E31)</f>
        <v>156689</v>
      </c>
      <c r="F33" s="372"/>
      <c r="G33" s="801">
        <f>D34</f>
        <v>6921</v>
      </c>
      <c r="H33" s="802" t="str">
        <f>CONCATENATE("",E1-1," Ending Cash Balance (est.)")</f>
        <v>2014 Ending Cash Balance (est.)</v>
      </c>
      <c r="I33" s="803"/>
      <c r="J33" s="800"/>
    </row>
    <row r="34" spans="2:10" ht="15">
      <c r="B34" s="384" t="s">
        <v>215</v>
      </c>
      <c r="C34" s="413">
        <f>SUM(C21-C33)</f>
        <v>9320</v>
      </c>
      <c r="D34" s="413">
        <f>SUM(D21-D33)</f>
        <v>6921</v>
      </c>
      <c r="E34" s="400" t="s">
        <v>92</v>
      </c>
      <c r="F34" s="372"/>
      <c r="G34" s="801">
        <f>E20</f>
        <v>20564</v>
      </c>
      <c r="H34" s="804" t="str">
        <f>CONCATENATE("",E1," Non-AV Receipts (est.)")</f>
        <v>2015 Non-AV Receipts (est.)</v>
      </c>
      <c r="I34" s="755"/>
      <c r="J34" s="800"/>
    </row>
    <row r="35" spans="2:10" ht="15">
      <c r="B35" s="909" t="str">
        <f>CONCATENATE("",E1-2,"/",E1-1,"/",E1," Budget Authority Amount:")</f>
        <v>2013/2014/2015 Budget Authority Amount:</v>
      </c>
      <c r="C35" s="908">
        <f>inputOth!B65</f>
        <v>146781</v>
      </c>
      <c r="D35" s="907">
        <f>inputPrYr!D19</f>
        <v>150931</v>
      </c>
      <c r="E35" s="385">
        <f>E33</f>
        <v>156689</v>
      </c>
      <c r="F35" s="395"/>
      <c r="G35" s="805">
        <f>IF(E39&gt;0,E38,E40)</f>
        <v>129204</v>
      </c>
      <c r="H35" s="804" t="str">
        <f>CONCATENATE("",E1," Ad Valorem Tax (est.)")</f>
        <v>2015 Ad Valorem Tax (est.)</v>
      </c>
      <c r="I35" s="755"/>
      <c r="J35" s="800"/>
    </row>
    <row r="36" spans="2:10" ht="15">
      <c r="B36" s="389"/>
      <c r="C36" s="1010" t="s">
        <v>631</v>
      </c>
      <c r="D36" s="1011"/>
      <c r="E36" s="48"/>
      <c r="F36" s="430">
        <f>IF(E33/0.95-E33&lt;E36,"Exceeds 5%","")</f>
      </c>
      <c r="G36" s="801">
        <f>SUM(G33:G35)</f>
        <v>156689</v>
      </c>
      <c r="H36" s="804" t="str">
        <f>CONCATENATE("Total ",E1," Resources Available")</f>
        <v>Total 2015 Resources Available</v>
      </c>
      <c r="I36" s="803"/>
      <c r="J36" s="800"/>
    </row>
    <row r="37" spans="2:10" ht="15">
      <c r="B37" s="527" t="str">
        <f>CONCATENATE(C94,"     ",D94)</f>
        <v>     </v>
      </c>
      <c r="C37" s="1012" t="s">
        <v>632</v>
      </c>
      <c r="D37" s="1013"/>
      <c r="E37" s="385">
        <f>SUM(E33+E36)</f>
        <v>156689</v>
      </c>
      <c r="F37" s="372"/>
      <c r="G37" s="806"/>
      <c r="H37" s="804"/>
      <c r="I37" s="755"/>
      <c r="J37" s="800"/>
    </row>
    <row r="38" spans="2:10" ht="15">
      <c r="B38" s="527" t="str">
        <f>CONCATENATE(C95,"     ",D95)</f>
        <v>     </v>
      </c>
      <c r="C38" s="396"/>
      <c r="D38" s="390" t="s">
        <v>120</v>
      </c>
      <c r="E38" s="378">
        <f>IF(E37-E21&gt;0,E37-E21,0)</f>
        <v>129204</v>
      </c>
      <c r="F38" s="372"/>
      <c r="G38" s="821">
        <f>ROUND(C33*0.05+C33,0)</f>
        <v>154056</v>
      </c>
      <c r="H38" s="820" t="str">
        <f>CONCATENATE("Less ",E1-2," Expenditures + 5%")</f>
        <v>Less 2013 Expenditures + 5%</v>
      </c>
      <c r="I38" s="755"/>
      <c r="J38" s="800"/>
    </row>
    <row r="39" spans="2:10" ht="15">
      <c r="B39" s="390"/>
      <c r="C39" s="370" t="s">
        <v>630</v>
      </c>
      <c r="D39" s="733">
        <f>inputOth!$E$50</f>
        <v>0.013</v>
      </c>
      <c r="E39" s="385">
        <f>ROUND(IF(D39&gt;0,(E38*D39),0),0)</f>
        <v>1680</v>
      </c>
      <c r="F39" s="372"/>
      <c r="G39" s="807">
        <f>SUM(G36-G38)</f>
        <v>2633</v>
      </c>
      <c r="H39" s="808" t="str">
        <f>CONCATENATE("Projected ",E1+1," carryover (est.)")</f>
        <v>Projected 2016 carryover (est.)</v>
      </c>
      <c r="I39" s="809"/>
      <c r="J39" s="810"/>
    </row>
    <row r="40" spans="2:6" ht="15.75" thickBot="1">
      <c r="B40" s="373"/>
      <c r="C40" s="1034" t="s">
        <v>635</v>
      </c>
      <c r="D40" s="1035"/>
      <c r="E40" s="735">
        <f>SUM(E38:E39)</f>
        <v>130884</v>
      </c>
      <c r="F40" s="826" t="str">
        <f>IF('Library Grant'!F33="","",IF('Library Grant'!F33="Qualify","Qualifies for State Library Grant","See 'Library Grant' tab"))</f>
        <v>Qualifies for State Library Grant</v>
      </c>
    </row>
    <row r="41" spans="2:10" ht="15.75" thickTop="1">
      <c r="B41" s="373"/>
      <c r="C41" s="563"/>
      <c r="D41" s="373"/>
      <c r="E41" s="373"/>
      <c r="F41" s="372"/>
      <c r="G41" s="1021" t="s">
        <v>810</v>
      </c>
      <c r="H41" s="1022"/>
      <c r="I41" s="1022"/>
      <c r="J41" s="1023"/>
    </row>
    <row r="42" spans="2:10" ht="15">
      <c r="B42" s="375"/>
      <c r="C42" s="375"/>
      <c r="D42" s="392"/>
      <c r="E42" s="392"/>
      <c r="F42" s="372"/>
      <c r="G42" s="776"/>
      <c r="H42" s="777"/>
      <c r="I42" s="778"/>
      <c r="J42" s="779"/>
    </row>
    <row r="43" spans="2:10" ht="15">
      <c r="B43" s="375" t="s">
        <v>103</v>
      </c>
      <c r="C43" s="405" t="s">
        <v>806</v>
      </c>
      <c r="D43" s="404" t="s">
        <v>807</v>
      </c>
      <c r="E43" s="383" t="s">
        <v>808</v>
      </c>
      <c r="F43" s="372"/>
      <c r="G43" s="780">
        <f>summ!H17</f>
        <v>4.512</v>
      </c>
      <c r="H43" s="777" t="str">
        <f>CONCATENATE("",E1," Fund Mill Rate")</f>
        <v>2015 Fund Mill Rate</v>
      </c>
      <c r="I43" s="778"/>
      <c r="J43" s="779"/>
    </row>
    <row r="44" spans="2:10" ht="15">
      <c r="B44" s="415" t="s">
        <v>636</v>
      </c>
      <c r="C44" s="406" t="str">
        <f>CONCATENATE("Actual for ",E1-2,"")</f>
        <v>Actual for 2013</v>
      </c>
      <c r="D44" s="406" t="str">
        <f>CONCATENATE("Estimate for ",E1-1,"")</f>
        <v>Estimate for 2014</v>
      </c>
      <c r="E44" s="391" t="str">
        <f>CONCATENATE("Year for ",E1,"")</f>
        <v>Year for 2015</v>
      </c>
      <c r="F44" s="372"/>
      <c r="G44" s="781">
        <f>summ!E17</f>
        <v>4.41</v>
      </c>
      <c r="H44" s="777" t="str">
        <f>CONCATENATE("",E1-1," Fund Mill Rate")</f>
        <v>2014 Fund Mill Rate</v>
      </c>
      <c r="I44" s="778"/>
      <c r="J44" s="779"/>
    </row>
    <row r="45" spans="2:10" ht="15">
      <c r="B45" s="384" t="s">
        <v>214</v>
      </c>
      <c r="C45" s="407">
        <v>2471</v>
      </c>
      <c r="D45" s="409">
        <f>C74</f>
        <v>7051</v>
      </c>
      <c r="E45" s="385">
        <f>D74</f>
        <v>5145</v>
      </c>
      <c r="F45" s="372"/>
      <c r="G45" s="782">
        <f>summ!H52</f>
        <v>59.433</v>
      </c>
      <c r="H45" s="777" t="str">
        <f>CONCATENATE("Total ",E1," Mill Rate")</f>
        <v>Total 2015 Mill Rate</v>
      </c>
      <c r="I45" s="778"/>
      <c r="J45" s="779"/>
    </row>
    <row r="46" spans="2:10" ht="15">
      <c r="B46" s="393" t="s">
        <v>216</v>
      </c>
      <c r="C46" s="384"/>
      <c r="D46" s="409"/>
      <c r="E46" s="385"/>
      <c r="F46" s="372"/>
      <c r="G46" s="781">
        <f>summ!E52</f>
        <v>60.644</v>
      </c>
      <c r="H46" s="783" t="str">
        <f>CONCATENATE("Total ",E1-1," Mill Rate")</f>
        <v>Total 2014 Mill Rate</v>
      </c>
      <c r="I46" s="784"/>
      <c r="J46" s="785"/>
    </row>
    <row r="47" spans="2:9" ht="15">
      <c r="B47" s="384" t="s">
        <v>104</v>
      </c>
      <c r="C47" s="407">
        <v>100501</v>
      </c>
      <c r="D47" s="409">
        <f>IF(inputPrYr!H16&gt;0,inputPrYr!G33,inputPrYr!E33)</f>
        <v>94193</v>
      </c>
      <c r="E47" s="400" t="s">
        <v>92</v>
      </c>
      <c r="F47" s="372"/>
      <c r="G47" s="372"/>
      <c r="H47" s="372"/>
      <c r="I47" s="372"/>
    </row>
    <row r="48" spans="2:9" ht="15">
      <c r="B48" s="384" t="s">
        <v>105</v>
      </c>
      <c r="C48" s="407">
        <v>3659</v>
      </c>
      <c r="D48" s="411">
        <v>1785</v>
      </c>
      <c r="E48" s="377"/>
      <c r="F48" s="372"/>
      <c r="G48" s="935" t="s">
        <v>990</v>
      </c>
      <c r="H48" s="882"/>
      <c r="I48" s="881" t="str">
        <f>cert!F60</f>
        <v>Yes</v>
      </c>
    </row>
    <row r="49" spans="2:9" ht="15">
      <c r="B49" s="384" t="s">
        <v>106</v>
      </c>
      <c r="C49" s="407">
        <v>18201</v>
      </c>
      <c r="D49" s="411">
        <v>18781</v>
      </c>
      <c r="E49" s="385">
        <f>mvalloc!D20</f>
        <v>15238</v>
      </c>
      <c r="F49" s="372"/>
      <c r="G49" s="372"/>
      <c r="H49" s="372"/>
      <c r="I49" s="372"/>
    </row>
    <row r="50" spans="2:9" ht="15">
      <c r="B50" s="384" t="s">
        <v>107</v>
      </c>
      <c r="C50" s="407">
        <v>268</v>
      </c>
      <c r="D50" s="411">
        <v>270</v>
      </c>
      <c r="E50" s="385">
        <f>mvalloc!E20</f>
        <v>220</v>
      </c>
      <c r="F50" s="372"/>
      <c r="G50" s="372"/>
      <c r="H50" s="372"/>
      <c r="I50" s="372"/>
    </row>
    <row r="51" spans="2:5" ht="15">
      <c r="B51" s="387" t="s">
        <v>203</v>
      </c>
      <c r="C51" s="407"/>
      <c r="D51" s="411">
        <v>339</v>
      </c>
      <c r="E51" s="385">
        <f>mvalloc!F20</f>
        <v>364</v>
      </c>
    </row>
    <row r="52" spans="2:5" ht="15">
      <c r="B52" s="402" t="s">
        <v>109</v>
      </c>
      <c r="C52" s="407">
        <v>268</v>
      </c>
      <c r="D52" s="411">
        <v>250</v>
      </c>
      <c r="E52" s="377"/>
    </row>
    <row r="53" spans="2:5" ht="15">
      <c r="B53" s="402"/>
      <c r="C53" s="407"/>
      <c r="D53" s="411"/>
      <c r="E53" s="377"/>
    </row>
    <row r="54" spans="2:5" ht="15">
      <c r="B54" s="402"/>
      <c r="C54" s="407"/>
      <c r="D54" s="411"/>
      <c r="E54" s="377"/>
    </row>
    <row r="55" spans="2:5" ht="15">
      <c r="B55" s="402"/>
      <c r="C55" s="407"/>
      <c r="D55" s="411"/>
      <c r="E55" s="377"/>
    </row>
    <row r="56" spans="2:5" ht="15">
      <c r="B56" s="402"/>
      <c r="C56" s="407"/>
      <c r="D56" s="411"/>
      <c r="E56" s="377"/>
    </row>
    <row r="57" spans="2:5" ht="15">
      <c r="B57" s="397" t="s">
        <v>111</v>
      </c>
      <c r="C57" s="407"/>
      <c r="D57" s="411"/>
      <c r="E57" s="377"/>
    </row>
    <row r="58" spans="2:5" ht="15">
      <c r="B58" s="384" t="s">
        <v>13</v>
      </c>
      <c r="C58" s="407"/>
      <c r="D58" s="239"/>
      <c r="E58" s="48"/>
    </row>
    <row r="59" spans="2:5" ht="15">
      <c r="B59" s="384" t="s">
        <v>785</v>
      </c>
      <c r="C59" s="244">
        <f>IF(C60*0.1&lt;C58,"Exceed 10% Rule","")</f>
      </c>
      <c r="D59" s="244">
        <f>IF(D60*0.1&lt;D58,"Exceed 10% Rule","")</f>
      </c>
      <c r="E59" s="282">
        <f>IF(E60*0.1+E80&lt;E58,"Exceed 10% Rule","")</f>
      </c>
    </row>
    <row r="60" spans="2:5" ht="15">
      <c r="B60" s="394" t="s">
        <v>112</v>
      </c>
      <c r="C60" s="408">
        <f>SUM(C47:C58)</f>
        <v>122897</v>
      </c>
      <c r="D60" s="408">
        <f>SUM(D47:D58)</f>
        <v>115618</v>
      </c>
      <c r="E60" s="398">
        <f>SUM(E48:E58)</f>
        <v>15822</v>
      </c>
    </row>
    <row r="61" spans="2:5" ht="15">
      <c r="B61" s="394" t="s">
        <v>113</v>
      </c>
      <c r="C61" s="408">
        <f>SUM(C45+C60)</f>
        <v>125368</v>
      </c>
      <c r="D61" s="408">
        <f>SUM(D45+D60)</f>
        <v>122669</v>
      </c>
      <c r="E61" s="398">
        <f>SUM(E45+E60)</f>
        <v>20967</v>
      </c>
    </row>
    <row r="62" spans="2:5" ht="15">
      <c r="B62" s="384" t="s">
        <v>115</v>
      </c>
      <c r="C62" s="384"/>
      <c r="D62" s="409"/>
      <c r="E62" s="385"/>
    </row>
    <row r="63" spans="2:5" ht="15">
      <c r="B63" s="402"/>
      <c r="C63" s="407"/>
      <c r="D63" s="411"/>
      <c r="E63" s="377"/>
    </row>
    <row r="64" spans="2:10" ht="15">
      <c r="B64" s="402" t="s">
        <v>1074</v>
      </c>
      <c r="C64" s="407">
        <v>114300</v>
      </c>
      <c r="D64" s="411">
        <v>114500</v>
      </c>
      <c r="E64" s="377">
        <v>132240</v>
      </c>
      <c r="F64" s="2"/>
      <c r="G64" s="1036" t="str">
        <f>CONCATENATE("Desired Carryover Into ",E1+1,"")</f>
        <v>Desired Carryover Into 2016</v>
      </c>
      <c r="H64" s="1019"/>
      <c r="I64" s="1019"/>
      <c r="J64" s="1020"/>
    </row>
    <row r="65" spans="2:10" ht="15">
      <c r="B65" s="402"/>
      <c r="C65" s="407"/>
      <c r="D65" s="411"/>
      <c r="E65" s="377"/>
      <c r="F65" s="2"/>
      <c r="G65" s="786"/>
      <c r="H65" s="787"/>
      <c r="I65" s="788"/>
      <c r="J65" s="789"/>
    </row>
    <row r="66" spans="2:10" ht="15">
      <c r="B66" s="402"/>
      <c r="C66" s="407"/>
      <c r="D66" s="411"/>
      <c r="E66" s="377"/>
      <c r="F66" s="2"/>
      <c r="G66" s="790" t="s">
        <v>773</v>
      </c>
      <c r="H66" s="788"/>
      <c r="I66" s="788"/>
      <c r="J66" s="791">
        <v>0</v>
      </c>
    </row>
    <row r="67" spans="2:10" ht="15">
      <c r="B67" s="402"/>
      <c r="C67" s="407"/>
      <c r="D67" s="411"/>
      <c r="E67" s="377"/>
      <c r="F67" s="2"/>
      <c r="G67" s="786" t="s">
        <v>774</v>
      </c>
      <c r="H67" s="787"/>
      <c r="I67" s="787"/>
      <c r="J67" s="792">
        <f>IF(J66=0,"",ROUND((J66+E80-G79)/inputOth!E9*1000,3)-G84)</f>
      </c>
    </row>
    <row r="68" spans="2:10" ht="15">
      <c r="B68" s="402"/>
      <c r="C68" s="407"/>
      <c r="D68" s="411"/>
      <c r="E68" s="377"/>
      <c r="F68" s="2"/>
      <c r="G68" s="793" t="str">
        <f>CONCATENATE("",E1," Tot Exp/Non-Appr Must Be:")</f>
        <v>2015 Tot Exp/Non-Appr Must Be:</v>
      </c>
      <c r="H68" s="794"/>
      <c r="I68" s="795"/>
      <c r="J68" s="796">
        <f>IF(J66&gt;0,IF(E77&lt;E61,IF(J66=G79,E77,((J66-G79)*(1-D79))+E61),E77+(J66-G79)),0)</f>
        <v>0</v>
      </c>
    </row>
    <row r="69" spans="2:10" ht="15">
      <c r="B69" s="402"/>
      <c r="C69" s="407"/>
      <c r="D69" s="411"/>
      <c r="E69" s="377"/>
      <c r="F69" s="2"/>
      <c r="G69" s="797" t="s">
        <v>809</v>
      </c>
      <c r="H69" s="798"/>
      <c r="I69" s="798"/>
      <c r="J69" s="765">
        <f>IF(J66&gt;0,J68-E77,0)</f>
        <v>0</v>
      </c>
    </row>
    <row r="70" spans="2:10" ht="15">
      <c r="B70" s="387" t="s">
        <v>12</v>
      </c>
      <c r="C70" s="407">
        <v>4017</v>
      </c>
      <c r="D70" s="411">
        <v>3024</v>
      </c>
      <c r="E70" s="385">
        <f>nhood!E19</f>
        <v>3271</v>
      </c>
      <c r="F70"/>
      <c r="G70" s="2"/>
      <c r="H70" s="2"/>
      <c r="I70" s="2"/>
      <c r="J70" s="2"/>
    </row>
    <row r="71" spans="2:10" ht="15">
      <c r="B71" s="387" t="s">
        <v>13</v>
      </c>
      <c r="C71" s="486"/>
      <c r="D71" s="411"/>
      <c r="E71" s="377"/>
      <c r="F71"/>
      <c r="G71" s="1036" t="str">
        <f>CONCATENATE("Projected Carryover Into ",E1+1,"")</f>
        <v>Projected Carryover Into 2016</v>
      </c>
      <c r="H71" s="1038"/>
      <c r="I71" s="1038"/>
      <c r="J71" s="1039"/>
    </row>
    <row r="72" spans="2:10" ht="15">
      <c r="B72" s="387" t="s">
        <v>786</v>
      </c>
      <c r="C72" s="244">
        <f>IF(C73*0.1&lt;C71,"Exceed 10% Rule","")</f>
      </c>
      <c r="D72" s="244">
        <f>IF(D73*0.1&lt;D71,"Exceed 10% Rule","")</f>
      </c>
      <c r="E72" s="282">
        <f>IF(E73*0.1&lt;E71,"Exceed 10% Rule","")</f>
      </c>
      <c r="F72"/>
      <c r="G72" s="811"/>
      <c r="H72" s="787"/>
      <c r="I72" s="787"/>
      <c r="J72" s="812"/>
    </row>
    <row r="73" spans="2:10" ht="15">
      <c r="B73" s="394" t="s">
        <v>119</v>
      </c>
      <c r="C73" s="408">
        <f>SUM(C63:C71)</f>
        <v>118317</v>
      </c>
      <c r="D73" s="408">
        <f>SUM(D63:D71)</f>
        <v>117524</v>
      </c>
      <c r="E73" s="398">
        <f>SUM(E63:E71)</f>
        <v>135511</v>
      </c>
      <c r="F73"/>
      <c r="G73" s="813">
        <f>D74</f>
        <v>5145</v>
      </c>
      <c r="H73" s="777" t="str">
        <f>CONCATENATE("",E1-1," Ending Cash Balance (est.)")</f>
        <v>2014 Ending Cash Balance (est.)</v>
      </c>
      <c r="I73" s="814"/>
      <c r="J73" s="812"/>
    </row>
    <row r="74" spans="2:10" ht="15">
      <c r="B74" s="384" t="s">
        <v>215</v>
      </c>
      <c r="C74" s="413">
        <f>SUM(C61-C73)</f>
        <v>7051</v>
      </c>
      <c r="D74" s="413">
        <f>SUM(D61-D73)</f>
        <v>5145</v>
      </c>
      <c r="E74" s="400" t="s">
        <v>92</v>
      </c>
      <c r="F74"/>
      <c r="G74" s="813">
        <f>E60</f>
        <v>15822</v>
      </c>
      <c r="H74" s="788" t="str">
        <f>CONCATENATE("",E1," Non-AV Receipts (est.)")</f>
        <v>2015 Non-AV Receipts (est.)</v>
      </c>
      <c r="I74" s="814"/>
      <c r="J74" s="812"/>
    </row>
    <row r="75" spans="2:11" ht="15">
      <c r="B75" s="909" t="str">
        <f>CONCATENATE("",E1-2,"/",E1-1,"/",E1," Budget Authority Amount:")</f>
        <v>2013/2014/2015 Budget Authority Amount:</v>
      </c>
      <c r="C75" s="908">
        <f>inputOth!B76</f>
        <v>118368</v>
      </c>
      <c r="D75" s="908">
        <f>inputPrYr!D33</f>
        <v>117524</v>
      </c>
      <c r="E75" s="385">
        <f>E73</f>
        <v>135511</v>
      </c>
      <c r="F75" s="258"/>
      <c r="G75" s="815">
        <f>IF(E79&gt;0,E78,E80)</f>
        <v>114544</v>
      </c>
      <c r="H75" s="788" t="str">
        <f>CONCATENATE("",E1," Ad Valorem Tax (est.)")</f>
        <v>2015 Ad Valorem Tax (est.)</v>
      </c>
      <c r="I75" s="814"/>
      <c r="J75" s="812"/>
      <c r="K75" s="770" t="str">
        <f>IF(G75=E80,"","Note: Does not include Delinquent Taxes")</f>
        <v>Note: Does not include Delinquent Taxes</v>
      </c>
    </row>
    <row r="76" spans="2:10" ht="15">
      <c r="B76" s="389"/>
      <c r="C76" s="1010" t="s">
        <v>631</v>
      </c>
      <c r="D76" s="1011"/>
      <c r="E76" s="48"/>
      <c r="F76" s="816">
        <f>IF(E73/0.95-E73&lt;E76,"Exceeds 5%","")</f>
      </c>
      <c r="G76" s="817">
        <f>SUM(G73:G75)</f>
        <v>135511</v>
      </c>
      <c r="H76" s="788" t="str">
        <f>CONCATENATE("Total ",E1," Resources Available")</f>
        <v>Total 2015 Resources Available</v>
      </c>
      <c r="I76" s="818"/>
      <c r="J76" s="812"/>
    </row>
    <row r="77" spans="2:10" ht="15">
      <c r="B77" s="527" t="str">
        <f>CONCATENATE(C96,"     ",D96)</f>
        <v>     </v>
      </c>
      <c r="C77" s="1012" t="s">
        <v>632</v>
      </c>
      <c r="D77" s="1013"/>
      <c r="E77" s="385">
        <f>SUM(E73+E76)</f>
        <v>135511</v>
      </c>
      <c r="F77"/>
      <c r="G77" s="819"/>
      <c r="H77" s="820"/>
      <c r="I77" s="787"/>
      <c r="J77" s="812"/>
    </row>
    <row r="78" spans="2:10" ht="15">
      <c r="B78" s="527" t="str">
        <f>CONCATENATE(C97,"     ",D97)</f>
        <v>     </v>
      </c>
      <c r="C78" s="396"/>
      <c r="D78" s="390" t="s">
        <v>120</v>
      </c>
      <c r="E78" s="378">
        <f>IF(E77-E61&gt;0,E77-E61,0)</f>
        <v>114544</v>
      </c>
      <c r="F78"/>
      <c r="G78" s="821">
        <f>ROUND(C73*0.05+C73,0)</f>
        <v>124233</v>
      </c>
      <c r="H78" s="820" t="str">
        <f>CONCATENATE("Less ",E1-2," Expenditures + 5%")</f>
        <v>Less 2013 Expenditures + 5%</v>
      </c>
      <c r="I78" s="818"/>
      <c r="J78" s="812"/>
    </row>
    <row r="79" spans="2:10" ht="15">
      <c r="B79" s="390"/>
      <c r="C79" s="370" t="s">
        <v>630</v>
      </c>
      <c r="D79" s="733">
        <f>inputOth!$E$50</f>
        <v>0.013</v>
      </c>
      <c r="E79" s="385">
        <f>ROUND(IF(D79&gt;0,(E78*D79),0),0)</f>
        <v>1489</v>
      </c>
      <c r="F79" s="871">
        <f>IF(F80&lt;0,"Reduce","")</f>
      </c>
      <c r="G79" s="822">
        <f>G76-G78</f>
        <v>11278</v>
      </c>
      <c r="H79" s="823" t="str">
        <f>CONCATENATE("Projected ",E1+1," carryover (est.)")</f>
        <v>Projected 2016 carryover (est.)</v>
      </c>
      <c r="I79" s="824"/>
      <c r="J79" s="825"/>
    </row>
    <row r="80" spans="2:10" ht="15.75" thickBot="1">
      <c r="B80" s="373"/>
      <c r="C80" s="1034" t="str">
        <f>CONCATENATE("Amount of  ",E1-1," Ad Valorem Tax")</f>
        <v>Amount of  2014 Ad Valorem Tax</v>
      </c>
      <c r="D80" s="1035"/>
      <c r="E80" s="735">
        <f>SUM(E78:E79)</f>
        <v>116033</v>
      </c>
      <c r="F80" s="872">
        <f>IF(G83&gt;inputOth!E6,ROUND(inputOth!E6*inputOth!E9/1000,0)-'Library-Rec'!E80,"")</f>
      </c>
      <c r="G80" s="2"/>
      <c r="H80" s="2"/>
      <c r="I80" s="2"/>
      <c r="J80" s="2"/>
    </row>
    <row r="81" spans="2:10" ht="15.75" thickTop="1">
      <c r="B81" s="373"/>
      <c r="C81" s="563"/>
      <c r="D81" s="373"/>
      <c r="E81" s="373"/>
      <c r="F81"/>
      <c r="G81" s="1021" t="s">
        <v>810</v>
      </c>
      <c r="H81" s="1022"/>
      <c r="I81" s="1022"/>
      <c r="J81" s="1023"/>
    </row>
    <row r="82" spans="2:10" ht="15">
      <c r="B82" s="390" t="s">
        <v>122</v>
      </c>
      <c r="C82" s="401">
        <v>10</v>
      </c>
      <c r="D82" s="379"/>
      <c r="E82" s="373"/>
      <c r="F82" s="2"/>
      <c r="G82" s="776"/>
      <c r="H82" s="777"/>
      <c r="I82" s="778"/>
      <c r="J82" s="779"/>
    </row>
    <row r="83" spans="6:10" ht="15">
      <c r="F83"/>
      <c r="G83" s="780">
        <f>summ!H53</f>
        <v>4</v>
      </c>
      <c r="H83" s="777" t="str">
        <f>CONCATENATE("",E1," Fund Mill Rate")</f>
        <v>2015 Fund Mill Rate</v>
      </c>
      <c r="I83" s="778"/>
      <c r="J83" s="870">
        <f>IF(G83&gt;inputOth!E6,"Exceed Mill Rate","")</f>
      </c>
    </row>
    <row r="84" spans="2:10" ht="15">
      <c r="B84" s="380"/>
      <c r="C84" s="380"/>
      <c r="D84" s="372"/>
      <c r="E84" s="372"/>
      <c r="F84" s="2"/>
      <c r="G84" s="781">
        <f>summ!E53</f>
        <v>3.393</v>
      </c>
      <c r="H84" s="783" t="str">
        <f>CONCATENATE("",E1-1," Fund Mill Rate")</f>
        <v>2014 Fund Mill Rate</v>
      </c>
      <c r="I84" s="784"/>
      <c r="J84" s="785"/>
    </row>
    <row r="85" spans="6:11" ht="15">
      <c r="F85" s="827"/>
      <c r="G85" s="828"/>
      <c r="H85" s="829"/>
      <c r="I85" s="830"/>
      <c r="J85" s="831"/>
      <c r="K85" s="737"/>
    </row>
    <row r="86" spans="6:11" ht="15">
      <c r="F86" s="827"/>
      <c r="G86" s="936" t="s">
        <v>990</v>
      </c>
      <c r="H86" s="884"/>
      <c r="I86" s="883" t="str">
        <f>cert!F60</f>
        <v>Yes</v>
      </c>
      <c r="J86" s="831"/>
      <c r="K86" s="737"/>
    </row>
    <row r="87" spans="7:10" ht="15">
      <c r="G87" s="737"/>
      <c r="H87" s="737"/>
      <c r="I87" s="737"/>
      <c r="J87" s="737"/>
    </row>
    <row r="89" spans="3:4" ht="15">
      <c r="C89" s="374" t="s">
        <v>634</v>
      </c>
      <c r="D89" s="374" t="s">
        <v>634</v>
      </c>
    </row>
    <row r="90" spans="3:4" ht="15">
      <c r="C90" s="374" t="s">
        <v>634</v>
      </c>
      <c r="D90" s="374" t="s">
        <v>634</v>
      </c>
    </row>
    <row r="92" spans="3:4" ht="15">
      <c r="C92" s="374" t="s">
        <v>634</v>
      </c>
      <c r="D92" s="374" t="s">
        <v>634</v>
      </c>
    </row>
    <row r="93" spans="3:4" ht="9" customHeight="1">
      <c r="C93" s="374" t="s">
        <v>634</v>
      </c>
      <c r="D93" s="374" t="s">
        <v>634</v>
      </c>
    </row>
    <row r="94" spans="3:4" ht="13.5" customHeight="1" hidden="1">
      <c r="C94" s="526">
        <f>IF(C33&gt;C35,"See Tab A","")</f>
      </c>
      <c r="D94" s="526">
        <f>IF(D33&gt;D35,"See Tab C","")</f>
      </c>
    </row>
    <row r="95" spans="3:4" ht="15.75" customHeight="1" hidden="1">
      <c r="C95" s="526">
        <f>IF(C34&lt;0,"See Tab B","")</f>
      </c>
      <c r="D95" s="526">
        <f>IF(D34&lt;0,"See Tab D","")</f>
      </c>
    </row>
    <row r="96" spans="3:4" ht="15.75" customHeight="1" hidden="1">
      <c r="C96" s="526">
        <f>IF(C73&gt;C75,"See Tab A","")</f>
      </c>
      <c r="D96" s="526">
        <f>IF(D73&gt;D75,"See Tab C","")</f>
      </c>
    </row>
    <row r="97" spans="3:4" ht="13.5" customHeight="1">
      <c r="C97" s="526">
        <f>IF(C74&lt;0,"See Tab B","")</f>
      </c>
      <c r="D97" s="526">
        <f>IF(D74&lt;0,"See Tab D","")</f>
      </c>
    </row>
  </sheetData>
  <sheetProtection sheet="1"/>
  <mergeCells count="12">
    <mergeCell ref="G24:J24"/>
    <mergeCell ref="G31:J31"/>
    <mergeCell ref="G41:J41"/>
    <mergeCell ref="G64:J64"/>
    <mergeCell ref="G71:J71"/>
    <mergeCell ref="G81:J81"/>
    <mergeCell ref="C80:D80"/>
    <mergeCell ref="C76:D76"/>
    <mergeCell ref="C77:D77"/>
    <mergeCell ref="C36:D36"/>
    <mergeCell ref="C37:D37"/>
    <mergeCell ref="C40:D40"/>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cfRule type="cellIs" priority="20" dxfId="328"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18">
    <cfRule type="cellIs" priority="11" dxfId="328" operator="greaterThan" stopIfTrue="1">
      <formula>$E$20*0.1+E40</formula>
    </cfRule>
  </conditionalFormatting>
  <conditionalFormatting sqref="E36">
    <cfRule type="cellIs" priority="10" dxfId="328" operator="greaterThan" stopIfTrue="1">
      <formula>$E$33/0.95-$E$33</formula>
    </cfRule>
  </conditionalFormatting>
  <conditionalFormatting sqref="E76">
    <cfRule type="cellIs" priority="9" dxfId="328" operator="greaterThan" stopIfTrue="1">
      <formula>$E$73/0.95-$E$73</formula>
    </cfRule>
  </conditionalFormatting>
  <conditionalFormatting sqref="C33">
    <cfRule type="cellIs" priority="8" dxfId="0" operator="greaterThan" stopIfTrue="1">
      <formula>$C$35</formula>
    </cfRule>
  </conditionalFormatting>
  <conditionalFormatting sqref="C34:D34 C74: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50"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64">
      <selection activeCell="C82" sqref="C82"/>
    </sheetView>
  </sheetViews>
  <sheetFormatPr defaultColWidth="8.8984375" defaultRowHeight="15"/>
  <cols>
    <col min="1" max="1" width="2.3984375" style="30" customWidth="1"/>
    <col min="2" max="2" width="31.09765625" style="30" customWidth="1"/>
    <col min="3" max="4" width="15.69921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171</v>
      </c>
      <c r="C3" s="182"/>
      <c r="D3" s="182"/>
      <c r="E3" s="270"/>
    </row>
    <row r="4" spans="2:5" ht="15">
      <c r="B4" s="33" t="s">
        <v>103</v>
      </c>
      <c r="C4" s="405" t="s">
        <v>806</v>
      </c>
      <c r="D4" s="404" t="s">
        <v>807</v>
      </c>
      <c r="E4" s="383" t="s">
        <v>808</v>
      </c>
    </row>
    <row r="5" spans="2:5" ht="15">
      <c r="B5" s="531" t="str">
        <f>inputPrYr!B21</f>
        <v>Airport</v>
      </c>
      <c r="C5" s="406" t="str">
        <f>CONCATENATE("Actual for ",E1-2,"")</f>
        <v>Actual for 2013</v>
      </c>
      <c r="D5" s="406" t="str">
        <f>CONCATENATE("Estimate for ",E1-1,"")</f>
        <v>Estimate for 2014</v>
      </c>
      <c r="E5" s="391" t="str">
        <f>CONCATENATE("Year for ",E1,"")</f>
        <v>Year for 2015</v>
      </c>
    </row>
    <row r="6" spans="2:5" ht="15">
      <c r="B6" s="234" t="s">
        <v>214</v>
      </c>
      <c r="C6" s="239">
        <v>18319</v>
      </c>
      <c r="D6" s="237">
        <f>C34</f>
        <v>43912</v>
      </c>
      <c r="E6" s="208">
        <f>D34</f>
        <v>6179</v>
      </c>
    </row>
    <row r="7" spans="2:5" ht="15">
      <c r="B7" s="238" t="s">
        <v>216</v>
      </c>
      <c r="C7" s="142"/>
      <c r="D7" s="142"/>
      <c r="E7" s="68"/>
    </row>
    <row r="8" spans="2:5" ht="15">
      <c r="B8" s="133" t="s">
        <v>104</v>
      </c>
      <c r="C8" s="239">
        <v>24826</v>
      </c>
      <c r="D8" s="237">
        <f>IF(inputPrYr!H16&gt;0,inputPrYr!G21,inputPrYr!E21)</f>
        <v>510</v>
      </c>
      <c r="E8" s="268" t="s">
        <v>92</v>
      </c>
    </row>
    <row r="9" spans="2:5" ht="15">
      <c r="B9" s="133" t="s">
        <v>105</v>
      </c>
      <c r="C9" s="239">
        <v>916</v>
      </c>
      <c r="D9" s="239">
        <v>450</v>
      </c>
      <c r="E9" s="48"/>
    </row>
    <row r="10" spans="2:5" ht="15">
      <c r="B10" s="133" t="s">
        <v>106</v>
      </c>
      <c r="C10" s="239">
        <v>4541</v>
      </c>
      <c r="D10" s="239">
        <v>4637</v>
      </c>
      <c r="E10" s="208">
        <f>mvalloc!D10</f>
        <v>83</v>
      </c>
    </row>
    <row r="11" spans="2:5" ht="15">
      <c r="B11" s="133" t="s">
        <v>107</v>
      </c>
      <c r="C11" s="239">
        <v>67</v>
      </c>
      <c r="D11" s="239">
        <v>67</v>
      </c>
      <c r="E11" s="208">
        <f>mvalloc!E10</f>
        <v>1</v>
      </c>
    </row>
    <row r="12" spans="2:5" ht="15">
      <c r="B12" s="142" t="s">
        <v>203</v>
      </c>
      <c r="C12" s="239"/>
      <c r="D12" s="239">
        <v>84</v>
      </c>
      <c r="E12" s="208">
        <f>mvalloc!F10</f>
        <v>2</v>
      </c>
    </row>
    <row r="13" spans="2:5" ht="15">
      <c r="B13" s="255" t="s">
        <v>109</v>
      </c>
      <c r="C13" s="239">
        <v>66</v>
      </c>
      <c r="D13" s="239"/>
      <c r="E13" s="48"/>
    </row>
    <row r="14" spans="2:5" ht="15">
      <c r="B14" s="255" t="s">
        <v>1075</v>
      </c>
      <c r="C14" s="239">
        <v>4584</v>
      </c>
      <c r="D14" s="239">
        <v>8900</v>
      </c>
      <c r="E14" s="48">
        <v>8900</v>
      </c>
    </row>
    <row r="15" spans="2:5" ht="15">
      <c r="B15" s="255" t="s">
        <v>1076</v>
      </c>
      <c r="C15" s="239">
        <v>16134</v>
      </c>
      <c r="D15" s="239">
        <v>10000</v>
      </c>
      <c r="E15" s="48">
        <v>16000</v>
      </c>
    </row>
    <row r="16" spans="2:5" ht="15">
      <c r="B16" s="255"/>
      <c r="C16" s="239"/>
      <c r="D16" s="239"/>
      <c r="E16" s="48"/>
    </row>
    <row r="17" spans="2:5" ht="15">
      <c r="B17" s="243" t="s">
        <v>111</v>
      </c>
      <c r="C17" s="239">
        <v>51</v>
      </c>
      <c r="D17" s="239">
        <v>35</v>
      </c>
      <c r="E17" s="48">
        <v>30</v>
      </c>
    </row>
    <row r="18" spans="2:5" ht="15">
      <c r="B18" s="142" t="s">
        <v>13</v>
      </c>
      <c r="C18" s="239"/>
      <c r="D18" s="239"/>
      <c r="E18" s="48"/>
    </row>
    <row r="19" spans="2:5" ht="15">
      <c r="B19" s="234" t="s">
        <v>785</v>
      </c>
      <c r="C19" s="244">
        <f>IF(C20*0.1&lt;C18,"Exceed 10% Rule","")</f>
      </c>
      <c r="D19" s="244">
        <f>IF(D20*0.1&lt;D18,"Exceed 10% Rule","")</f>
      </c>
      <c r="E19" s="282">
        <f>IF(E20*0.1+E40&lt;E18,"Exceed 10% Rule","")</f>
      </c>
    </row>
    <row r="20" spans="2:5" ht="15">
      <c r="B20" s="246" t="s">
        <v>112</v>
      </c>
      <c r="C20" s="248">
        <f>SUM(C8:C18)</f>
        <v>51185</v>
      </c>
      <c r="D20" s="248">
        <f>SUM(D8:D18)</f>
        <v>24683</v>
      </c>
      <c r="E20" s="249">
        <f>SUM(E8:E18)</f>
        <v>25016</v>
      </c>
    </row>
    <row r="21" spans="2:5" ht="15">
      <c r="B21" s="246" t="s">
        <v>113</v>
      </c>
      <c r="C21" s="252">
        <f>C6+C20</f>
        <v>69504</v>
      </c>
      <c r="D21" s="252">
        <f>D6+D20</f>
        <v>68595</v>
      </c>
      <c r="E21" s="63">
        <f>E6+E20</f>
        <v>31195</v>
      </c>
    </row>
    <row r="22" spans="2:5" ht="15">
      <c r="B22" s="133" t="s">
        <v>115</v>
      </c>
      <c r="C22" s="256"/>
      <c r="D22" s="256"/>
      <c r="E22" s="46"/>
    </row>
    <row r="23" spans="2:5" ht="15">
      <c r="B23" s="255"/>
      <c r="C23" s="239"/>
      <c r="D23" s="239"/>
      <c r="E23" s="48"/>
    </row>
    <row r="24" spans="2:10" ht="15">
      <c r="B24" s="255" t="s">
        <v>1077</v>
      </c>
      <c r="C24" s="239">
        <v>7898</v>
      </c>
      <c r="D24" s="239">
        <v>35000</v>
      </c>
      <c r="E24" s="48">
        <v>23000</v>
      </c>
      <c r="G24" s="1036" t="str">
        <f>CONCATENATE("Desired Carryover Into ",E1+1,"")</f>
        <v>Desired Carryover Into 2016</v>
      </c>
      <c r="H24" s="1019"/>
      <c r="I24" s="1019"/>
      <c r="J24" s="1020"/>
    </row>
    <row r="25" spans="2:10" ht="15">
      <c r="B25" s="255" t="s">
        <v>1078</v>
      </c>
      <c r="C25" s="239">
        <v>16702</v>
      </c>
      <c r="D25" s="239">
        <v>21400</v>
      </c>
      <c r="E25" s="48">
        <v>25100</v>
      </c>
      <c r="G25" s="786"/>
      <c r="H25" s="787"/>
      <c r="I25" s="788"/>
      <c r="J25" s="789"/>
    </row>
    <row r="26" spans="2:10" ht="15">
      <c r="B26" s="255" t="s">
        <v>1079</v>
      </c>
      <c r="C26" s="239"/>
      <c r="D26" s="239">
        <v>6000</v>
      </c>
      <c r="E26" s="48"/>
      <c r="G26" s="790" t="s">
        <v>773</v>
      </c>
      <c r="H26" s="788"/>
      <c r="I26" s="788"/>
      <c r="J26" s="791">
        <v>0</v>
      </c>
    </row>
    <row r="27" spans="2:10" ht="15">
      <c r="B27" s="255"/>
      <c r="C27" s="239"/>
      <c r="D27" s="239"/>
      <c r="E27" s="48"/>
      <c r="G27" s="786" t="s">
        <v>774</v>
      </c>
      <c r="H27" s="787"/>
      <c r="I27" s="787"/>
      <c r="J27" s="792">
        <f>IF(J26=0,"",ROUND((J26+E40-G39)/inputOth!E9*1000,3)-G44)</f>
      </c>
    </row>
    <row r="28" spans="2:10" ht="15">
      <c r="B28" s="255"/>
      <c r="C28" s="239"/>
      <c r="D28" s="239"/>
      <c r="E28" s="48"/>
      <c r="G28" s="793" t="str">
        <f>CONCATENATE("",E1," Tot Exp/Non-Appr Must Be:")</f>
        <v>2015 Tot Exp/Non-Appr Must Be:</v>
      </c>
      <c r="H28" s="794"/>
      <c r="I28" s="795"/>
      <c r="J28" s="796">
        <f>IF(J26&gt;0,IF(E37&lt;E21,IF(J26=G39,E37,((J26-G39)*(1-D39))+E21),E37+(J26-G39)),0)</f>
        <v>0</v>
      </c>
    </row>
    <row r="29" spans="2:10" ht="15">
      <c r="B29" s="255"/>
      <c r="C29" s="239"/>
      <c r="D29" s="239"/>
      <c r="E29" s="48"/>
      <c r="G29" s="797" t="s">
        <v>809</v>
      </c>
      <c r="H29" s="798"/>
      <c r="I29" s="798"/>
      <c r="J29" s="765">
        <f>IF(J26&gt;0,J28-E37,0)</f>
        <v>0</v>
      </c>
    </row>
    <row r="30" spans="2:10" ht="15">
      <c r="B30" s="256" t="s">
        <v>12</v>
      </c>
      <c r="C30" s="239">
        <v>992</v>
      </c>
      <c r="D30" s="239">
        <v>16</v>
      </c>
      <c r="E30" s="63">
        <f>nhood!E9</f>
        <v>497</v>
      </c>
      <c r="J30" s="2"/>
    </row>
    <row r="31" spans="2:10" ht="15">
      <c r="B31" s="256" t="s">
        <v>13</v>
      </c>
      <c r="C31" s="239"/>
      <c r="D31" s="239"/>
      <c r="E31" s="48"/>
      <c r="G31" s="1036" t="str">
        <f>CONCATENATE("Projected Carryover Into ",E1+1,"")</f>
        <v>Projected Carryover Into 2016</v>
      </c>
      <c r="H31" s="1041"/>
      <c r="I31" s="1041"/>
      <c r="J31" s="1039"/>
    </row>
    <row r="32" spans="2:10" ht="15">
      <c r="B32" s="256" t="s">
        <v>786</v>
      </c>
      <c r="C32" s="244">
        <f>IF(C33*0.1&lt;C31,"Exceed 10% Rule","")</f>
      </c>
      <c r="D32" s="244">
        <f>IF(D33*0.1&lt;D31,"Exceed 10% Rule","")</f>
      </c>
      <c r="E32" s="282">
        <f>IF(E33*0.1&lt;E31,"Exceed 10% Rule","")</f>
      </c>
      <c r="G32" s="786"/>
      <c r="H32" s="788"/>
      <c r="I32" s="788"/>
      <c r="J32" s="812"/>
    </row>
    <row r="33" spans="2:10" ht="15">
      <c r="B33" s="246" t="s">
        <v>119</v>
      </c>
      <c r="C33" s="248">
        <f>SUM(C23:C31)</f>
        <v>25592</v>
      </c>
      <c r="D33" s="248">
        <f>SUM(D23:D31)</f>
        <v>62416</v>
      </c>
      <c r="E33" s="249">
        <f>SUM(E23:E31)</f>
        <v>48597</v>
      </c>
      <c r="G33" s="813">
        <f>D34</f>
        <v>6179</v>
      </c>
      <c r="H33" s="777" t="str">
        <f>CONCATENATE("",E1-1," Ending Cash Balance (est.)")</f>
        <v>2014 Ending Cash Balance (est.)</v>
      </c>
      <c r="I33" s="814"/>
      <c r="J33" s="812"/>
    </row>
    <row r="34" spans="2:10" ht="15">
      <c r="B34" s="133" t="s">
        <v>215</v>
      </c>
      <c r="C34" s="252">
        <f>C21-C33</f>
        <v>43912</v>
      </c>
      <c r="D34" s="252">
        <f>D21-D33</f>
        <v>6179</v>
      </c>
      <c r="E34" s="268" t="s">
        <v>92</v>
      </c>
      <c r="G34" s="813">
        <f>E20</f>
        <v>25016</v>
      </c>
      <c r="H34" s="788" t="str">
        <f>CONCATENATE("",E1," Non-AV Receipts (est.)")</f>
        <v>2015 Non-AV Receipts (est.)</v>
      </c>
      <c r="I34" s="814"/>
      <c r="J34" s="812"/>
    </row>
    <row r="35" spans="2:11" ht="15">
      <c r="B35" s="153" t="str">
        <f>CONCATENATE("",E1-2,"/",E1-1,"/",E1," Budget Authority Amount:")</f>
        <v>2013/2014/2015 Budget Authority Amount:</v>
      </c>
      <c r="C35" s="837">
        <f>inputOth!B66</f>
        <v>66955</v>
      </c>
      <c r="D35" s="837">
        <f>inputPrYr!D21</f>
        <v>59616</v>
      </c>
      <c r="E35" s="208">
        <f>E33</f>
        <v>48597</v>
      </c>
      <c r="F35" s="258"/>
      <c r="G35" s="815">
        <f>IF(E39&gt;0,E38,E40)</f>
        <v>17402</v>
      </c>
      <c r="H35" s="788" t="str">
        <f>CONCATENATE("",E1," Ad Valorem Tax (est.)")</f>
        <v>2015 Ad Valorem Tax (est.)</v>
      </c>
      <c r="I35" s="814"/>
      <c r="J35" s="800"/>
      <c r="K35" s="770" t="str">
        <f>IF(G35=E40,"","Note: Does not include Delinquent Taxes")</f>
        <v>Note: Does not include Delinquent Taxes</v>
      </c>
    </row>
    <row r="36" spans="2:10" ht="15">
      <c r="B36" s="119"/>
      <c r="C36" s="1010" t="s">
        <v>631</v>
      </c>
      <c r="D36" s="1011"/>
      <c r="E36" s="48"/>
      <c r="F36" s="873">
        <f>IF(E33/0.95-E33&lt;E36,"Exceeds 5%","")</f>
      </c>
      <c r="G36" s="813">
        <f>SUM(G33:G35)</f>
        <v>48597</v>
      </c>
      <c r="H36" s="788" t="str">
        <f>CONCATENATE("Total ",E1," Resources Available")</f>
        <v>Total 2015 Resources Available</v>
      </c>
      <c r="I36" s="814"/>
      <c r="J36" s="812"/>
    </row>
    <row r="37" spans="2:10" ht="15">
      <c r="B37" s="527" t="str">
        <f>CONCATENATE(C95,"     ",D95)</f>
        <v>     </v>
      </c>
      <c r="C37" s="1012" t="s">
        <v>632</v>
      </c>
      <c r="D37" s="1013"/>
      <c r="E37" s="208">
        <f>E33+E36</f>
        <v>48597</v>
      </c>
      <c r="G37" s="832"/>
      <c r="H37" s="788"/>
      <c r="I37" s="788"/>
      <c r="J37" s="812"/>
    </row>
    <row r="38" spans="2:10" ht="15">
      <c r="B38" s="527" t="str">
        <f>CONCATENATE(C96,"     ",D96)</f>
        <v>     </v>
      </c>
      <c r="C38" s="259"/>
      <c r="D38" s="151" t="s">
        <v>120</v>
      </c>
      <c r="E38" s="63">
        <f>IF(E37-E21&gt;0,E37-E21,0)</f>
        <v>17402</v>
      </c>
      <c r="G38" s="815">
        <f>ROUND(C33*0.05+C33,0)</f>
        <v>26872</v>
      </c>
      <c r="H38" s="788" t="str">
        <f>CONCATENATE("Less ",E1-2," Expenditures + 5%")</f>
        <v>Less 2013 Expenditures + 5%</v>
      </c>
      <c r="I38" s="814"/>
      <c r="J38" s="812"/>
    </row>
    <row r="39" spans="2:10" ht="15">
      <c r="B39" s="151"/>
      <c r="C39" s="370" t="s">
        <v>630</v>
      </c>
      <c r="D39" s="733">
        <f>inputOth!$E$50</f>
        <v>0.013</v>
      </c>
      <c r="E39" s="208">
        <f>ROUND(IF(D39&gt;0,(E38*D39),0),0)</f>
        <v>226</v>
      </c>
      <c r="G39" s="833">
        <f>G36-G38</f>
        <v>21725</v>
      </c>
      <c r="H39" s="834" t="str">
        <f>CONCATENATE("Projected ",E1+1," carryover (est.)")</f>
        <v>Projected 2016 carryover (est.)</v>
      </c>
      <c r="I39" s="835"/>
      <c r="J39" s="825"/>
    </row>
    <row r="40" spans="2:10" ht="15.75" thickBot="1">
      <c r="B40" s="151"/>
      <c r="C40" s="1014" t="str">
        <f>CONCATENATE("Amount of  ",$E$1-1," Ad Valorem Tax")</f>
        <v>Amount of  2014 Ad Valorem Tax</v>
      </c>
      <c r="D40" s="1015"/>
      <c r="E40" s="736">
        <f>E38+E39</f>
        <v>17628</v>
      </c>
      <c r="G40" s="2"/>
      <c r="H40" s="2"/>
      <c r="I40" s="2"/>
      <c r="J40" s="2"/>
    </row>
    <row r="41" spans="2:10" ht="15.75" thickTop="1">
      <c r="B41" s="32"/>
      <c r="C41" s="1014"/>
      <c r="D41" s="1040"/>
      <c r="E41" s="57"/>
      <c r="G41" s="1021" t="s">
        <v>810</v>
      </c>
      <c r="H41" s="1022"/>
      <c r="I41" s="1022"/>
      <c r="J41" s="1023"/>
    </row>
    <row r="42" spans="2:10" ht="15">
      <c r="B42" s="33"/>
      <c r="C42" s="271"/>
      <c r="D42" s="271"/>
      <c r="E42" s="271"/>
      <c r="G42" s="776"/>
      <c r="H42" s="777"/>
      <c r="I42" s="778"/>
      <c r="J42" s="779"/>
    </row>
    <row r="43" spans="2:10" ht="15">
      <c r="B43" s="33" t="s">
        <v>103</v>
      </c>
      <c r="C43" s="405" t="s">
        <v>806</v>
      </c>
      <c r="D43" s="404" t="s">
        <v>807</v>
      </c>
      <c r="E43" s="383" t="s">
        <v>808</v>
      </c>
      <c r="G43" s="780">
        <f>summ!H18</f>
        <v>0.608</v>
      </c>
      <c r="H43" s="777" t="str">
        <f>CONCATENATE("",E1," Fund Mill Rate")</f>
        <v>2015 Fund Mill Rate</v>
      </c>
      <c r="I43" s="778"/>
      <c r="J43" s="779"/>
    </row>
    <row r="44" spans="2:10" ht="15">
      <c r="B44" s="531" t="str">
        <f>(inputPrYr!B22)</f>
        <v>Industrial</v>
      </c>
      <c r="C44" s="406" t="str">
        <f>CONCATENATE("Actual for ",E1-2,"")</f>
        <v>Actual for 2013</v>
      </c>
      <c r="D44" s="406" t="str">
        <f>CONCATENATE("Estimate for ",E1-1,"")</f>
        <v>Estimate for 2014</v>
      </c>
      <c r="E44" s="391" t="str">
        <f>CONCATENATE("Year for ",E1,"")</f>
        <v>Year for 2015</v>
      </c>
      <c r="G44" s="781">
        <f>summ!E18</f>
        <v>0.018</v>
      </c>
      <c r="H44" s="777" t="str">
        <f>CONCATENATE("",E1-1," Fund Mill Rate")</f>
        <v>2014 Fund Mill Rate</v>
      </c>
      <c r="I44" s="778"/>
      <c r="J44" s="779"/>
    </row>
    <row r="45" spans="2:10" ht="15">
      <c r="B45" s="234" t="s">
        <v>214</v>
      </c>
      <c r="C45" s="239">
        <v>92527</v>
      </c>
      <c r="D45" s="237">
        <f>C74</f>
        <v>93441</v>
      </c>
      <c r="E45" s="208">
        <f>D74</f>
        <v>42136</v>
      </c>
      <c r="G45" s="782">
        <f>summ!H52</f>
        <v>59.433</v>
      </c>
      <c r="H45" s="777" t="str">
        <f>CONCATENATE("Total ",E1," Mill Rate")</f>
        <v>Total 2015 Mill Rate</v>
      </c>
      <c r="I45" s="778"/>
      <c r="J45" s="779"/>
    </row>
    <row r="46" spans="2:10" ht="15">
      <c r="B46" s="238" t="s">
        <v>216</v>
      </c>
      <c r="C46" s="142"/>
      <c r="D46" s="142"/>
      <c r="E46" s="68"/>
      <c r="G46" s="781">
        <f>summ!E52</f>
        <v>60.644</v>
      </c>
      <c r="H46" s="783" t="str">
        <f>CONCATENATE("Total ",E1-1," Mill Rate")</f>
        <v>Total 2014 Mill Rate</v>
      </c>
      <c r="I46" s="784"/>
      <c r="J46" s="785"/>
    </row>
    <row r="47" spans="2:5" ht="15">
      <c r="B47" s="133" t="s">
        <v>104</v>
      </c>
      <c r="C47" s="239">
        <v>25617</v>
      </c>
      <c r="D47" s="237">
        <f>IF(inputPrYr!H16&gt;0,inputPrYr!G22,inputPrYr!E22)</f>
        <v>22593</v>
      </c>
      <c r="E47" s="268" t="s">
        <v>92</v>
      </c>
    </row>
    <row r="48" spans="2:9" ht="15">
      <c r="B48" s="133" t="s">
        <v>105</v>
      </c>
      <c r="C48" s="239">
        <v>1216</v>
      </c>
      <c r="D48" s="239">
        <v>525</v>
      </c>
      <c r="E48" s="48"/>
      <c r="G48" s="937" t="s">
        <v>990</v>
      </c>
      <c r="H48" s="886"/>
      <c r="I48" s="885" t="str">
        <f>cert!F60</f>
        <v>Yes</v>
      </c>
    </row>
    <row r="49" spans="2:5" ht="15">
      <c r="B49" s="133" t="s">
        <v>106</v>
      </c>
      <c r="C49" s="239">
        <v>6860</v>
      </c>
      <c r="D49" s="239">
        <v>4788</v>
      </c>
      <c r="E49" s="208">
        <f>mvalloc!D11</f>
        <v>3655</v>
      </c>
    </row>
    <row r="50" spans="2:5" ht="15">
      <c r="B50" s="133" t="s">
        <v>107</v>
      </c>
      <c r="C50" s="239">
        <v>102</v>
      </c>
      <c r="D50" s="239">
        <v>69</v>
      </c>
      <c r="E50" s="208">
        <f>mvalloc!E11</f>
        <v>53</v>
      </c>
    </row>
    <row r="51" spans="2:5" ht="15">
      <c r="B51" s="142" t="s">
        <v>203</v>
      </c>
      <c r="C51" s="239"/>
      <c r="D51" s="239">
        <v>130</v>
      </c>
      <c r="E51" s="208">
        <f>mvalloc!F11</f>
        <v>87</v>
      </c>
    </row>
    <row r="52" spans="2:5" ht="15">
      <c r="B52" s="255" t="s">
        <v>1143</v>
      </c>
      <c r="C52" s="239">
        <v>68</v>
      </c>
      <c r="D52" s="239"/>
      <c r="E52" s="48"/>
    </row>
    <row r="53" spans="2:5" ht="15">
      <c r="B53" s="255" t="s">
        <v>1154</v>
      </c>
      <c r="C53" s="239">
        <v>36899</v>
      </c>
      <c r="D53" s="239">
        <v>33000</v>
      </c>
      <c r="E53" s="48">
        <v>31000</v>
      </c>
    </row>
    <row r="54" spans="2:5" ht="15">
      <c r="B54" s="255"/>
      <c r="C54" s="239"/>
      <c r="D54" s="239"/>
      <c r="E54" s="48"/>
    </row>
    <row r="55" spans="2:5" ht="15">
      <c r="B55" s="255"/>
      <c r="C55" s="239"/>
      <c r="D55" s="239"/>
      <c r="E55" s="48"/>
    </row>
    <row r="56" spans="2:5" ht="15">
      <c r="B56" s="255"/>
      <c r="C56" s="239"/>
      <c r="D56" s="239"/>
      <c r="E56" s="48"/>
    </row>
    <row r="57" spans="2:5" ht="15">
      <c r="B57" s="243" t="s">
        <v>111</v>
      </c>
      <c r="C57" s="239">
        <v>129</v>
      </c>
      <c r="D57" s="239">
        <v>65</v>
      </c>
      <c r="E57" s="48">
        <v>100</v>
      </c>
    </row>
    <row r="58" spans="2:5" ht="15">
      <c r="B58" s="142" t="s">
        <v>13</v>
      </c>
      <c r="C58" s="239">
        <v>5250</v>
      </c>
      <c r="D58" s="239">
        <v>350</v>
      </c>
      <c r="E58" s="48"/>
    </row>
    <row r="59" spans="2:5" ht="15">
      <c r="B59" s="234" t="s">
        <v>785</v>
      </c>
      <c r="C59" s="244">
        <f>IF(C60*0.1&lt;C58,"Exceed 10% Rule","")</f>
      </c>
      <c r="D59" s="244">
        <f>IF(D60*0.1&lt;D58,"Exceed 10% Rule","")</f>
      </c>
      <c r="E59" s="282">
        <f>IF(E60*0.1+E80&lt;E58,"Exceed 10% Rule","")</f>
      </c>
    </row>
    <row r="60" spans="2:5" ht="15">
      <c r="B60" s="246" t="s">
        <v>112</v>
      </c>
      <c r="C60" s="248">
        <f>SUM(C47:C58)</f>
        <v>76141</v>
      </c>
      <c r="D60" s="248">
        <f>SUM(D47:D58)</f>
        <v>61520</v>
      </c>
      <c r="E60" s="249">
        <f>SUM(E47:E58)</f>
        <v>34895</v>
      </c>
    </row>
    <row r="61" spans="2:5" ht="15">
      <c r="B61" s="246" t="s">
        <v>113</v>
      </c>
      <c r="C61" s="248">
        <f>C45+C60</f>
        <v>168668</v>
      </c>
      <c r="D61" s="248">
        <f>D45+D60</f>
        <v>154961</v>
      </c>
      <c r="E61" s="249">
        <f>E45+E60</f>
        <v>77031</v>
      </c>
    </row>
    <row r="62" spans="2:5" ht="15">
      <c r="B62" s="133" t="s">
        <v>115</v>
      </c>
      <c r="C62" s="256"/>
      <c r="D62" s="256"/>
      <c r="E62" s="46"/>
    </row>
    <row r="63" spans="2:5" ht="15">
      <c r="B63" s="255"/>
      <c r="C63" s="239"/>
      <c r="D63" s="239"/>
      <c r="E63" s="48"/>
    </row>
    <row r="64" spans="2:10" ht="15">
      <c r="B64" s="255" t="s">
        <v>1077</v>
      </c>
      <c r="C64" s="239">
        <v>74203</v>
      </c>
      <c r="D64" s="239">
        <v>67100</v>
      </c>
      <c r="E64" s="48">
        <v>67100</v>
      </c>
      <c r="G64" s="1036" t="str">
        <f>CONCATENATE("Desired Carryover Into ",E1+1,"")</f>
        <v>Desired Carryover Into 2016</v>
      </c>
      <c r="H64" s="1019"/>
      <c r="I64" s="1019"/>
      <c r="J64" s="1020"/>
    </row>
    <row r="65" spans="2:10" ht="15">
      <c r="B65" s="255" t="s">
        <v>1078</v>
      </c>
      <c r="C65" s="239"/>
      <c r="D65" s="239"/>
      <c r="E65" s="48"/>
      <c r="G65" s="786"/>
      <c r="H65" s="787"/>
      <c r="I65" s="788"/>
      <c r="J65" s="789"/>
    </row>
    <row r="66" spans="2:10" ht="15">
      <c r="B66" s="255" t="s">
        <v>1079</v>
      </c>
      <c r="C66" s="239"/>
      <c r="D66" s="239">
        <v>45000</v>
      </c>
      <c r="E66" s="48">
        <v>45000</v>
      </c>
      <c r="G66" s="790" t="s">
        <v>773</v>
      </c>
      <c r="H66" s="788"/>
      <c r="I66" s="788"/>
      <c r="J66" s="791">
        <v>0</v>
      </c>
    </row>
    <row r="67" spans="2:10" ht="15">
      <c r="B67" s="255"/>
      <c r="C67" s="239"/>
      <c r="D67" s="239"/>
      <c r="E67" s="48"/>
      <c r="G67" s="786" t="s">
        <v>774</v>
      </c>
      <c r="H67" s="787"/>
      <c r="I67" s="787"/>
      <c r="J67" s="792">
        <f>IF(J66=0,"",ROUND((J66+E80-G79)/inputOth!E9*1000,3)-G84)</f>
      </c>
    </row>
    <row r="68" spans="2:10" ht="15">
      <c r="B68" s="255"/>
      <c r="C68" s="239"/>
      <c r="D68" s="239"/>
      <c r="E68" s="48"/>
      <c r="G68" s="793" t="str">
        <f>CONCATENATE("",E1," Tot Exp/Non-Appr Must Be:")</f>
        <v>2015 Tot Exp/Non-Appr Must Be:</v>
      </c>
      <c r="H68" s="794"/>
      <c r="I68" s="795"/>
      <c r="J68" s="796">
        <f>IF(J66&gt;0,IF(E77&lt;E61,IF(J66=G79,E77,((J66-G79)*(1-D79))+E61),E77+(J66-G79)),0)</f>
        <v>0</v>
      </c>
    </row>
    <row r="69" spans="2:10" ht="15">
      <c r="B69" s="255"/>
      <c r="C69" s="239"/>
      <c r="D69" s="239"/>
      <c r="E69" s="48"/>
      <c r="G69" s="797" t="s">
        <v>809</v>
      </c>
      <c r="H69" s="798"/>
      <c r="I69" s="798"/>
      <c r="J69" s="765">
        <f>IF(J66&gt;0,J68-E77,0)</f>
        <v>0</v>
      </c>
    </row>
    <row r="70" spans="2:10" ht="15">
      <c r="B70" s="256" t="s">
        <v>12</v>
      </c>
      <c r="C70" s="239">
        <v>1024</v>
      </c>
      <c r="D70" s="239">
        <v>725</v>
      </c>
      <c r="E70" s="63">
        <f>nhood!E10</f>
        <v>1031</v>
      </c>
      <c r="J70" s="2"/>
    </row>
    <row r="71" spans="2:10" ht="15">
      <c r="B71" s="256" t="s">
        <v>13</v>
      </c>
      <c r="C71" s="239"/>
      <c r="D71" s="239"/>
      <c r="E71" s="48"/>
      <c r="G71" s="1036" t="str">
        <f>CONCATENATE("Projected Carryover Into ",E1+1,"")</f>
        <v>Projected Carryover Into 2016</v>
      </c>
      <c r="H71" s="1038"/>
      <c r="I71" s="1038"/>
      <c r="J71" s="1039"/>
    </row>
    <row r="72" spans="2:10" ht="15">
      <c r="B72" s="256" t="s">
        <v>786</v>
      </c>
      <c r="C72" s="244">
        <f>IF(C73*0.1&lt;C71,"Exceed 10% Rule","")</f>
      </c>
      <c r="D72" s="244">
        <f>IF(D73*0.1&lt;D71,"Exceed 10% Rule","")</f>
      </c>
      <c r="E72" s="282">
        <f>IF(E73*0.1&lt;E71,"Exceed 10% Rule","")</f>
      </c>
      <c r="G72" s="811"/>
      <c r="H72" s="787"/>
      <c r="I72" s="787"/>
      <c r="J72" s="818"/>
    </row>
    <row r="73" spans="2:10" ht="15">
      <c r="B73" s="246" t="s">
        <v>119</v>
      </c>
      <c r="C73" s="248">
        <f>SUM(C63:C71)</f>
        <v>75227</v>
      </c>
      <c r="D73" s="248">
        <f>SUM(D63:D71)</f>
        <v>112825</v>
      </c>
      <c r="E73" s="249">
        <f>SUM(E63:E71)</f>
        <v>113131</v>
      </c>
      <c r="G73" s="813">
        <f>D74</f>
        <v>42136</v>
      </c>
      <c r="H73" s="777" t="str">
        <f>CONCATENATE("",E1-1," Ending Cash Balance (est.)")</f>
        <v>2014 Ending Cash Balance (est.)</v>
      </c>
      <c r="I73" s="814"/>
      <c r="J73" s="818"/>
    </row>
    <row r="74" spans="2:10" ht="15">
      <c r="B74" s="133" t="s">
        <v>215</v>
      </c>
      <c r="C74" s="252">
        <f>C61-C73</f>
        <v>93441</v>
      </c>
      <c r="D74" s="252">
        <f>D61-D73</f>
        <v>42136</v>
      </c>
      <c r="E74" s="268" t="s">
        <v>92</v>
      </c>
      <c r="G74" s="813">
        <f>E60</f>
        <v>34895</v>
      </c>
      <c r="H74" s="788" t="str">
        <f>CONCATENATE("",E1," Non-AV Receipts (est.)")</f>
        <v>2015 Non-AV Receipts (est.)</v>
      </c>
      <c r="I74" s="814"/>
      <c r="J74" s="818"/>
    </row>
    <row r="75" spans="2:11" ht="15">
      <c r="B75" s="153" t="str">
        <f>CONCATENATE("",E1-2,"/",E1-1,"/",E1," Budget Authority Amount:")</f>
        <v>2013/2014/2015 Budget Authority Amount:</v>
      </c>
      <c r="C75" s="837">
        <f>inputOth!B67</f>
        <v>114478</v>
      </c>
      <c r="D75" s="837">
        <f>inputPrYr!D22</f>
        <v>112825</v>
      </c>
      <c r="E75" s="208">
        <f>E73</f>
        <v>113131</v>
      </c>
      <c r="F75" s="258"/>
      <c r="G75" s="815">
        <f>IF(D79&gt;0,E78,E80)</f>
        <v>36100</v>
      </c>
      <c r="H75" s="788" t="str">
        <f>CONCATENATE("",E1," Ad Valorem Tax (est.)")</f>
        <v>2015 Ad Valorem Tax (est.)</v>
      </c>
      <c r="I75" s="814"/>
      <c r="J75" s="818"/>
      <c r="K75" s="770" t="str">
        <f>IF(G75=E80,"","Note: Does not include Delinquent Taxes")</f>
        <v>Note: Does not include Delinquent Taxes</v>
      </c>
    </row>
    <row r="76" spans="2:10" ht="15">
      <c r="B76" s="119"/>
      <c r="C76" s="1010" t="s">
        <v>631</v>
      </c>
      <c r="D76" s="1011"/>
      <c r="E76" s="48"/>
      <c r="F76" s="873">
        <f>IF(E73/0.95-E73&lt;E76,"Exceeds 5%","")</f>
      </c>
      <c r="G76" s="817">
        <f>SUM(G73:G75)</f>
        <v>113131</v>
      </c>
      <c r="H76" s="788" t="str">
        <f>CONCATENATE("Total ",E1," Resources Available")</f>
        <v>Total 2015 Resources Available</v>
      </c>
      <c r="I76" s="818"/>
      <c r="J76" s="818"/>
    </row>
    <row r="77" spans="2:10" ht="15">
      <c r="B77" s="527" t="str">
        <f>CONCATENATE(C97,"     ",D97)</f>
        <v>     </v>
      </c>
      <c r="C77" s="1012" t="s">
        <v>632</v>
      </c>
      <c r="D77" s="1013"/>
      <c r="E77" s="208">
        <f>E73+E76</f>
        <v>113131</v>
      </c>
      <c r="G77" s="819"/>
      <c r="H77" s="820"/>
      <c r="I77" s="787"/>
      <c r="J77" s="818"/>
    </row>
    <row r="78" spans="2:10" ht="15">
      <c r="B78" s="527" t="str">
        <f>CONCATENATE(C98,"     ",D98)</f>
        <v>     </v>
      </c>
      <c r="C78" s="259"/>
      <c r="D78" s="151" t="s">
        <v>120</v>
      </c>
      <c r="E78" s="63">
        <f>IF(E77-E61&gt;0,E77-E61,0)</f>
        <v>36100</v>
      </c>
      <c r="G78" s="821">
        <f>ROUND(C73*0.05+C73,0)</f>
        <v>78988</v>
      </c>
      <c r="H78" s="820" t="str">
        <f>CONCATENATE("Less ",E1-2," Expenditures + 5%")</f>
        <v>Less 2013 Expenditures + 5%</v>
      </c>
      <c r="I78" s="818"/>
      <c r="J78" s="818"/>
    </row>
    <row r="79" spans="2:10" ht="15">
      <c r="B79" s="151"/>
      <c r="C79" s="370" t="s">
        <v>630</v>
      </c>
      <c r="D79" s="733">
        <f>inputOth!$E$50</f>
        <v>0.013</v>
      </c>
      <c r="E79" s="208">
        <f>ROUND(IF(D79&gt;0,(E78*D79),0),0)</f>
        <v>469</v>
      </c>
      <c r="G79" s="822">
        <f>G76-G78</f>
        <v>34143</v>
      </c>
      <c r="H79" s="823" t="str">
        <f>CONCATENATE("Projected ",E1+1," carryover (est.)")</f>
        <v>Projected 2016 carryover (est.)</v>
      </c>
      <c r="I79" s="824"/>
      <c r="J79" s="825"/>
    </row>
    <row r="80" spans="2:9" ht="15.75" thickBot="1">
      <c r="B80" s="32"/>
      <c r="C80" s="1014" t="str">
        <f>CONCATENATE("Amount of  ",$E$1-1," Ad Valorem Tax")</f>
        <v>Amount of  2014 Ad Valorem Tax</v>
      </c>
      <c r="D80" s="1015"/>
      <c r="E80" s="736">
        <f>E78+E79</f>
        <v>36569</v>
      </c>
      <c r="G80" s="2"/>
      <c r="H80" s="2"/>
      <c r="I80" s="2"/>
    </row>
    <row r="81" spans="2:10" ht="15.75" thickTop="1">
      <c r="B81" s="32"/>
      <c r="C81" s="574"/>
      <c r="D81" s="32"/>
      <c r="E81" s="32"/>
      <c r="G81" s="1021" t="s">
        <v>810</v>
      </c>
      <c r="H81" s="1022"/>
      <c r="I81" s="1022"/>
      <c r="J81" s="1023"/>
    </row>
    <row r="82" spans="2:10" ht="15">
      <c r="B82" s="151" t="s">
        <v>122</v>
      </c>
      <c r="C82" s="264">
        <v>11</v>
      </c>
      <c r="D82" s="32"/>
      <c r="E82" s="32"/>
      <c r="G82" s="776"/>
      <c r="H82" s="777"/>
      <c r="I82" s="778"/>
      <c r="J82" s="779"/>
    </row>
    <row r="83" spans="2:10" ht="15">
      <c r="B83" s="18"/>
      <c r="G83" s="780">
        <f>summ!H19</f>
        <v>1.261</v>
      </c>
      <c r="H83" s="777" t="str">
        <f>CONCATENATE("",E1," Fund Mill Rate")</f>
        <v>2015 Fund Mill Rate</v>
      </c>
      <c r="I83" s="778"/>
      <c r="J83" s="779"/>
    </row>
    <row r="84" spans="7:10" ht="15">
      <c r="G84" s="781">
        <f>summ!E19</f>
        <v>0.814</v>
      </c>
      <c r="H84" s="777" t="str">
        <f>CONCATENATE("",E1-1," Fund Mill Rate")</f>
        <v>2014 Fund Mill Rate</v>
      </c>
      <c r="I84" s="778"/>
      <c r="J84" s="779"/>
    </row>
    <row r="85" spans="7:10" ht="15">
      <c r="G85" s="782">
        <f>summ!H52</f>
        <v>59.433</v>
      </c>
      <c r="H85" s="777" t="str">
        <f>CONCATENATE("Total ",E1," Mill Rate")</f>
        <v>Total 2015 Mill Rate</v>
      </c>
      <c r="I85" s="778"/>
      <c r="J85" s="779"/>
    </row>
    <row r="86" spans="7:10" ht="15">
      <c r="G86" s="781">
        <f>summ!E52</f>
        <v>60.644</v>
      </c>
      <c r="H86" s="783" t="str">
        <f>CONCATENATE("Total ",E1-1," Mill Rate")</f>
        <v>Total 2014 Mill Rate</v>
      </c>
      <c r="I86" s="784"/>
      <c r="J86" s="785"/>
    </row>
    <row r="88" spans="7:9" ht="15">
      <c r="G88" s="938" t="s">
        <v>990</v>
      </c>
      <c r="H88" s="888"/>
      <c r="I88" s="887" t="str">
        <f>cert!F60</f>
        <v>Yes</v>
      </c>
    </row>
    <row r="95" spans="3:4" ht="15" hidden="1">
      <c r="C95" s="526">
        <f>IF(C33&gt;C35,"See Tab A","")</f>
      </c>
      <c r="D95" s="526">
        <f>IF(D31&gt;D35,"See Tab C","")</f>
      </c>
    </row>
    <row r="96" spans="3:4" ht="15" hidden="1">
      <c r="C96" s="526">
        <f>IF(C34&lt;0,"See Tab B","")</f>
      </c>
      <c r="D96" s="526">
        <f>IF(D34&lt;0,"See Tab D","")</f>
      </c>
    </row>
    <row r="97" spans="3:4" ht="15" hidden="1">
      <c r="C97" s="526">
        <f>IF(C71&gt;C75,"See Tab A","")</f>
      </c>
      <c r="D97" s="526">
        <f>IF(D71&gt;D75,"See Tab C","")</f>
      </c>
    </row>
    <row r="98" spans="3:4" ht="15" hidden="1">
      <c r="C98" s="526">
        <f>IF(C74&lt;0,"See Tab B","")</f>
      </c>
      <c r="D98" s="526">
        <f>IF(D74&lt;0,"See Tab D","")</f>
      </c>
    </row>
  </sheetData>
  <sheetProtection sheet="1"/>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328" operator="greaterThan" stopIfTrue="1">
      <formula>$E$73*0.1</formula>
    </cfRule>
  </conditionalFormatting>
  <conditionalFormatting sqref="E76">
    <cfRule type="cellIs" priority="4" dxfId="328" operator="greaterThan" stopIfTrue="1">
      <formula>$E$73/0.95-$E$73</formula>
    </cfRule>
  </conditionalFormatting>
  <conditionalFormatting sqref="E31">
    <cfRule type="cellIs" priority="5" dxfId="328" operator="greaterThan" stopIfTrue="1">
      <formula>$E$33*0.1</formula>
    </cfRule>
  </conditionalFormatting>
  <conditionalFormatting sqref="E36">
    <cfRule type="cellIs" priority="6" dxfId="32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$C$75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328" operator="greaterThan" stopIfTrue="1">
      <formula>$E$20*0.1+E40</formula>
    </cfRule>
  </conditionalFormatting>
  <conditionalFormatting sqref="E58">
    <cfRule type="cellIs" priority="21" dxfId="328"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8">
      <selection activeCell="C82" sqref="C82"/>
    </sheetView>
  </sheetViews>
  <sheetFormatPr defaultColWidth="8.8984375" defaultRowHeight="15"/>
  <cols>
    <col min="1" max="1" width="2.3984375" style="30" customWidth="1"/>
    <col min="2" max="2" width="31.09765625" style="30" customWidth="1"/>
    <col min="3" max="4" width="15.69921875" style="30" customWidth="1"/>
    <col min="5" max="5" width="16.296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171</v>
      </c>
      <c r="C3" s="182"/>
      <c r="D3" s="182"/>
      <c r="E3" s="270"/>
    </row>
    <row r="4" spans="2:5" ht="15">
      <c r="B4" s="33" t="s">
        <v>103</v>
      </c>
      <c r="C4" s="405" t="s">
        <v>806</v>
      </c>
      <c r="D4" s="404" t="s">
        <v>807</v>
      </c>
      <c r="E4" s="383" t="s">
        <v>808</v>
      </c>
    </row>
    <row r="5" spans="2:5" ht="15">
      <c r="B5" s="531" t="str">
        <f>inputPrYr!B23</f>
        <v>Fire Equipment</v>
      </c>
      <c r="C5" s="406" t="str">
        <f>CONCATENATE("Actual for ",E1-2,"")</f>
        <v>Actual for 2013</v>
      </c>
      <c r="D5" s="406" t="str">
        <f>CONCATENATE("Estimate for ",E1-1,"")</f>
        <v>Estimate for 2014</v>
      </c>
      <c r="E5" s="391" t="str">
        <f>CONCATENATE("Year for ",E1,"")</f>
        <v>Year for 2015</v>
      </c>
    </row>
    <row r="6" spans="2:5" ht="15">
      <c r="B6" s="234" t="s">
        <v>214</v>
      </c>
      <c r="C6" s="239">
        <v>219860</v>
      </c>
      <c r="D6" s="237">
        <f>C34</f>
        <v>46573</v>
      </c>
      <c r="E6" s="208">
        <f>D34</f>
        <v>27653</v>
      </c>
    </row>
    <row r="7" spans="2:5" ht="15">
      <c r="B7" s="238" t="s">
        <v>216</v>
      </c>
      <c r="C7" s="237"/>
      <c r="D7" s="237"/>
      <c r="E7" s="208"/>
    </row>
    <row r="8" spans="2:5" ht="15">
      <c r="B8" s="133" t="s">
        <v>104</v>
      </c>
      <c r="C8" s="239">
        <v>24978</v>
      </c>
      <c r="D8" s="237">
        <f>IF(inputPrYr!H16&gt;0,inputPrYr!G23,inputPrYr!E23)</f>
        <v>3860</v>
      </c>
      <c r="E8" s="268" t="s">
        <v>92</v>
      </c>
    </row>
    <row r="9" spans="2:5" ht="15">
      <c r="B9" s="133" t="s">
        <v>105</v>
      </c>
      <c r="C9" s="239">
        <v>923</v>
      </c>
      <c r="D9" s="239">
        <v>445</v>
      </c>
      <c r="E9" s="48"/>
    </row>
    <row r="10" spans="2:5" ht="15">
      <c r="B10" s="133" t="s">
        <v>106</v>
      </c>
      <c r="C10" s="239">
        <v>4561</v>
      </c>
      <c r="D10" s="239">
        <v>1448</v>
      </c>
      <c r="E10" s="208">
        <f>mvalloc!D12</f>
        <v>624</v>
      </c>
    </row>
    <row r="11" spans="2:5" ht="15">
      <c r="B11" s="133" t="s">
        <v>107</v>
      </c>
      <c r="C11" s="239">
        <v>67</v>
      </c>
      <c r="D11" s="239">
        <v>67</v>
      </c>
      <c r="E11" s="208">
        <f>mvalloc!E12</f>
        <v>9</v>
      </c>
    </row>
    <row r="12" spans="2:5" ht="15">
      <c r="B12" s="142" t="s">
        <v>203</v>
      </c>
      <c r="C12" s="239"/>
      <c r="D12" s="239">
        <v>84</v>
      </c>
      <c r="E12" s="208">
        <f>mvalloc!F12</f>
        <v>15</v>
      </c>
    </row>
    <row r="13" spans="2:5" ht="15">
      <c r="B13" s="255" t="s">
        <v>109</v>
      </c>
      <c r="C13" s="239">
        <v>67</v>
      </c>
      <c r="D13" s="239"/>
      <c r="E13" s="48"/>
    </row>
    <row r="14" spans="2:5" ht="15">
      <c r="B14" s="255"/>
      <c r="C14" s="239"/>
      <c r="D14" s="239"/>
      <c r="E14" s="48"/>
    </row>
    <row r="15" spans="2:5" ht="15">
      <c r="B15" s="255"/>
      <c r="C15" s="239"/>
      <c r="D15" s="239"/>
      <c r="E15" s="48"/>
    </row>
    <row r="16" spans="2:5" ht="15">
      <c r="B16" s="255"/>
      <c r="C16" s="239"/>
      <c r="D16" s="239"/>
      <c r="E16" s="48"/>
    </row>
    <row r="17" spans="2:5" ht="15">
      <c r="B17" s="243" t="s">
        <v>111</v>
      </c>
      <c r="C17" s="239">
        <v>315</v>
      </c>
      <c r="D17" s="239">
        <v>300</v>
      </c>
      <c r="E17" s="48">
        <v>300</v>
      </c>
    </row>
    <row r="18" spans="2:5" ht="15">
      <c r="B18" s="142" t="s">
        <v>13</v>
      </c>
      <c r="C18" s="239"/>
      <c r="D18" s="239"/>
      <c r="E18" s="48"/>
    </row>
    <row r="19" spans="2:5" ht="15">
      <c r="B19" s="234" t="s">
        <v>785</v>
      </c>
      <c r="C19" s="244">
        <f>IF(C20*0.1&lt;C18,"Exceed 10% Rule","")</f>
      </c>
      <c r="D19" s="244">
        <f>IF(D20*0.1&lt;D18,"Exceed 10% Rule","")</f>
      </c>
      <c r="E19" s="282">
        <f>IF(E20*0.1+E40&lt;E18,"Exceed 10% Rule","")</f>
      </c>
    </row>
    <row r="20" spans="2:5" ht="15">
      <c r="B20" s="246" t="s">
        <v>112</v>
      </c>
      <c r="C20" s="248">
        <f>SUM(C8:C18)</f>
        <v>30911</v>
      </c>
      <c r="D20" s="248">
        <f>SUM(D8:D18)</f>
        <v>6204</v>
      </c>
      <c r="E20" s="249">
        <f>SUM(E8:E18)</f>
        <v>948</v>
      </c>
    </row>
    <row r="21" spans="2:5" ht="15">
      <c r="B21" s="246" t="s">
        <v>113</v>
      </c>
      <c r="C21" s="248">
        <f>C6+C20</f>
        <v>250771</v>
      </c>
      <c r="D21" s="248">
        <f>D6+D20</f>
        <v>52777</v>
      </c>
      <c r="E21" s="249">
        <f>E6+E20</f>
        <v>28601</v>
      </c>
    </row>
    <row r="22" spans="2:6" ht="15">
      <c r="B22" s="133" t="s">
        <v>115</v>
      </c>
      <c r="C22" s="256"/>
      <c r="D22" s="256"/>
      <c r="E22" s="46"/>
      <c r="F22" s="273"/>
    </row>
    <row r="23" spans="2:5" ht="15">
      <c r="B23" s="274" t="s">
        <v>1077</v>
      </c>
      <c r="C23" s="239"/>
      <c r="D23" s="239"/>
      <c r="E23" s="84"/>
    </row>
    <row r="24" spans="2:10" ht="15">
      <c r="B24" s="274" t="s">
        <v>1080</v>
      </c>
      <c r="C24" s="239">
        <v>203200</v>
      </c>
      <c r="D24" s="239">
        <v>25000</v>
      </c>
      <c r="E24" s="84">
        <v>167690</v>
      </c>
      <c r="G24" s="1036" t="str">
        <f>CONCATENATE("Desired Carryover Into ",E1+1,"")</f>
        <v>Desired Carryover Into 2016</v>
      </c>
      <c r="H24" s="1019"/>
      <c r="I24" s="1019"/>
      <c r="J24" s="1020"/>
    </row>
    <row r="25" spans="2:10" ht="15">
      <c r="B25" s="274"/>
      <c r="C25" s="239"/>
      <c r="D25" s="239"/>
      <c r="E25" s="84"/>
      <c r="G25" s="786"/>
      <c r="H25" s="787"/>
      <c r="I25" s="788"/>
      <c r="J25" s="789"/>
    </row>
    <row r="26" spans="2:10" ht="15">
      <c r="B26" s="255"/>
      <c r="C26" s="239"/>
      <c r="D26" s="239"/>
      <c r="E26" s="48"/>
      <c r="G26" s="790" t="s">
        <v>773</v>
      </c>
      <c r="H26" s="788"/>
      <c r="I26" s="788"/>
      <c r="J26" s="791">
        <v>0</v>
      </c>
    </row>
    <row r="27" spans="2:10" ht="15">
      <c r="B27" s="255"/>
      <c r="C27" s="239"/>
      <c r="D27" s="239"/>
      <c r="E27" s="48"/>
      <c r="G27" s="786" t="s">
        <v>774</v>
      </c>
      <c r="H27" s="787"/>
      <c r="I27" s="787"/>
      <c r="J27" s="792">
        <f>IF(J26=0,"",ROUND((J26+E40-G39)/inputOth!E9*1000,3)-G44)</f>
      </c>
    </row>
    <row r="28" spans="2:10" ht="15">
      <c r="B28" s="255"/>
      <c r="C28" s="239"/>
      <c r="D28" s="239"/>
      <c r="E28" s="48"/>
      <c r="G28" s="793" t="str">
        <f>CONCATENATE("",E1," Tot Exp/Non-Appr Must Be:")</f>
        <v>2015 Tot Exp/Non-Appr Must Be:</v>
      </c>
      <c r="H28" s="794"/>
      <c r="I28" s="795"/>
      <c r="J28" s="796">
        <f>IF(J26&gt;0,IF(E37&lt;E21,IF(J26=G39,E37,((J26-G39)*(1-D39))+E21),E37+(J26-G39)),0)</f>
        <v>0</v>
      </c>
    </row>
    <row r="29" spans="2:10" ht="15">
      <c r="B29" s="255"/>
      <c r="C29" s="239"/>
      <c r="D29" s="239"/>
      <c r="E29" s="48"/>
      <c r="G29" s="797" t="s">
        <v>809</v>
      </c>
      <c r="H29" s="798"/>
      <c r="I29" s="798"/>
      <c r="J29" s="765">
        <f>IF(J26&gt;0,J28-E37,0)</f>
        <v>0</v>
      </c>
    </row>
    <row r="30" spans="2:10" ht="15">
      <c r="B30" s="256" t="s">
        <v>12</v>
      </c>
      <c r="C30" s="239">
        <v>998</v>
      </c>
      <c r="D30" s="239">
        <v>124</v>
      </c>
      <c r="E30" s="63">
        <f>nhood!E11</f>
        <v>4088</v>
      </c>
      <c r="J30" s="2"/>
    </row>
    <row r="31" spans="2:10" ht="15">
      <c r="B31" s="256" t="s">
        <v>13</v>
      </c>
      <c r="C31" s="239"/>
      <c r="D31" s="239"/>
      <c r="E31" s="48"/>
      <c r="G31" s="1036" t="str">
        <f>CONCATENATE("Projected Carryover Into ",E1+1,"")</f>
        <v>Projected Carryover Into 2016</v>
      </c>
      <c r="H31" s="1041"/>
      <c r="I31" s="1041"/>
      <c r="J31" s="1039"/>
    </row>
    <row r="32" spans="2:10" ht="15">
      <c r="B32" s="256" t="s">
        <v>786</v>
      </c>
      <c r="C32" s="244">
        <f>IF(C33*0.1&lt;C31,"Exceed 10% Rule","")</f>
      </c>
      <c r="D32" s="244">
        <f>IF(D33*0.1&lt;D31,"Exceed 10% Rule","")</f>
      </c>
      <c r="E32" s="282">
        <f>IF(E33*0.1&lt;E31,"Exceed 10% Rule","")</f>
      </c>
      <c r="G32" s="786"/>
      <c r="H32" s="788"/>
      <c r="I32" s="788"/>
      <c r="J32" s="812"/>
    </row>
    <row r="33" spans="2:10" ht="15">
      <c r="B33" s="246" t="s">
        <v>119</v>
      </c>
      <c r="C33" s="248">
        <f>SUM(C23:C31)</f>
        <v>204198</v>
      </c>
      <c r="D33" s="248">
        <f>SUM(D23:D31)</f>
        <v>25124</v>
      </c>
      <c r="E33" s="249">
        <f>SUM(E23:E31)</f>
        <v>171778</v>
      </c>
      <c r="G33" s="813">
        <f>D34</f>
        <v>27653</v>
      </c>
      <c r="H33" s="777" t="str">
        <f>CONCATENATE("",E1-1," Ending Cash Balance (est.)")</f>
        <v>2014 Ending Cash Balance (est.)</v>
      </c>
      <c r="I33" s="814"/>
      <c r="J33" s="812"/>
    </row>
    <row r="34" spans="2:10" ht="15">
      <c r="B34" s="133" t="s">
        <v>215</v>
      </c>
      <c r="C34" s="252">
        <f>C21-C33</f>
        <v>46573</v>
      </c>
      <c r="D34" s="252">
        <f>D21-D33</f>
        <v>27653</v>
      </c>
      <c r="E34" s="268" t="s">
        <v>92</v>
      </c>
      <c r="G34" s="813">
        <f>E20</f>
        <v>948</v>
      </c>
      <c r="H34" s="788" t="str">
        <f>CONCATENATE("",E1," Non-AV Receipts (est.)")</f>
        <v>2015 Non-AV Receipts (est.)</v>
      </c>
      <c r="I34" s="814"/>
      <c r="J34" s="812"/>
    </row>
    <row r="35" spans="2:11" ht="15">
      <c r="B35" s="153" t="str">
        <f>CONCATENATE("",E1-2,"/",E1-1,"/",E1," Budget Authority Amount:")</f>
        <v>2013/2014/2015 Budget Authority Amount:</v>
      </c>
      <c r="C35" s="837">
        <f>inputOth!B68</f>
        <v>245962</v>
      </c>
      <c r="D35" s="837">
        <f>inputPrYr!D23</f>
        <v>258124</v>
      </c>
      <c r="E35" s="208">
        <f>E33</f>
        <v>171778</v>
      </c>
      <c r="F35" s="258"/>
      <c r="G35" s="815">
        <f>IF(E39&gt;0,E38,E40)</f>
        <v>143177</v>
      </c>
      <c r="H35" s="788" t="str">
        <f>CONCATENATE("",E1," Ad Valorem Tax (est.)")</f>
        <v>2015 Ad Valorem Tax (est.)</v>
      </c>
      <c r="I35" s="814"/>
      <c r="J35" s="800"/>
      <c r="K35" s="770" t="str">
        <f>IF(G35=E40,"","Note: Does not include Delinquent Taxes")</f>
        <v>Note: Does not include Delinquent Taxes</v>
      </c>
    </row>
    <row r="36" spans="2:10" ht="15">
      <c r="B36" s="119"/>
      <c r="C36" s="1010" t="s">
        <v>631</v>
      </c>
      <c r="D36" s="1011"/>
      <c r="E36" s="48"/>
      <c r="F36" s="873">
        <f>IF(E33/0.95-E33&lt;E36,"Exceeds 5%","")</f>
      </c>
      <c r="G36" s="813">
        <f>SUM(G33:G35)</f>
        <v>171778</v>
      </c>
      <c r="H36" s="788" t="str">
        <f>CONCATENATE("Total ",E1," Resources Available")</f>
        <v>Total 2015 Resources Available</v>
      </c>
      <c r="I36" s="814"/>
      <c r="J36" s="812"/>
    </row>
    <row r="37" spans="2:10" ht="15">
      <c r="B37" s="527" t="str">
        <f>CONCATENATE(C94,"     ",D94)</f>
        <v>     </v>
      </c>
      <c r="C37" s="1012" t="s">
        <v>632</v>
      </c>
      <c r="D37" s="1013"/>
      <c r="E37" s="208">
        <f>E33+E36</f>
        <v>171778</v>
      </c>
      <c r="G37" s="832"/>
      <c r="H37" s="788"/>
      <c r="I37" s="788"/>
      <c r="J37" s="812"/>
    </row>
    <row r="38" spans="2:10" ht="15">
      <c r="B38" s="527" t="str">
        <f>CONCATENATE(C95,"     ",D95)</f>
        <v>     </v>
      </c>
      <c r="C38" s="259"/>
      <c r="D38" s="151" t="s">
        <v>120</v>
      </c>
      <c r="E38" s="63">
        <f>IF(E37-E21&gt;0,E37-E21,0)</f>
        <v>143177</v>
      </c>
      <c r="G38" s="815">
        <f>ROUND(C33*0.05+C33,0)</f>
        <v>214408</v>
      </c>
      <c r="H38" s="788" t="str">
        <f>CONCATENATE("Less ",E1-2," Expenditures + 5%")</f>
        <v>Less 2013 Expenditures + 5%</v>
      </c>
      <c r="I38" s="814"/>
      <c r="J38" s="812"/>
    </row>
    <row r="39" spans="2:10" ht="15">
      <c r="B39" s="151"/>
      <c r="C39" s="370" t="s">
        <v>630</v>
      </c>
      <c r="D39" s="733">
        <f>inputOth!$E$50</f>
        <v>0.013</v>
      </c>
      <c r="E39" s="208">
        <f>ROUND(IF(D39&gt;0,(E38*D39),0),0)</f>
        <v>1861</v>
      </c>
      <c r="G39" s="833">
        <f>G36-G38</f>
        <v>-42630</v>
      </c>
      <c r="H39" s="834" t="str">
        <f>CONCATENATE("Projected ",E1+1," carryover (est.)")</f>
        <v>Projected 2016 carryover (est.)</v>
      </c>
      <c r="I39" s="835"/>
      <c r="J39" s="825"/>
    </row>
    <row r="40" spans="2:10" ht="15.75" thickBot="1">
      <c r="B40" s="151"/>
      <c r="C40" s="1014" t="str">
        <f>CONCATENATE("Amount of  ",$E$1-1," Ad Valorem Tax")</f>
        <v>Amount of  2014 Ad Valorem Tax</v>
      </c>
      <c r="D40" s="1015"/>
      <c r="E40" s="736">
        <f>E38+E39</f>
        <v>145038</v>
      </c>
      <c r="G40" s="2"/>
      <c r="H40" s="2"/>
      <c r="I40" s="2"/>
      <c r="J40" s="2"/>
    </row>
    <row r="41" spans="2:10" ht="15.75" thickTop="1">
      <c r="B41" s="32"/>
      <c r="C41" s="1014"/>
      <c r="D41" s="1040"/>
      <c r="E41" s="57"/>
      <c r="G41" s="1021" t="s">
        <v>810</v>
      </c>
      <c r="H41" s="1022"/>
      <c r="I41" s="1022"/>
      <c r="J41" s="1023"/>
    </row>
    <row r="42" spans="2:10" ht="15">
      <c r="B42" s="33"/>
      <c r="C42" s="271"/>
      <c r="D42" s="271"/>
      <c r="E42" s="271"/>
      <c r="G42" s="776"/>
      <c r="H42" s="777"/>
      <c r="I42" s="778"/>
      <c r="J42" s="779"/>
    </row>
    <row r="43" spans="2:10" ht="15">
      <c r="B43" s="33" t="s">
        <v>103</v>
      </c>
      <c r="C43" s="405" t="s">
        <v>806</v>
      </c>
      <c r="D43" s="404" t="s">
        <v>807</v>
      </c>
      <c r="E43" s="383" t="s">
        <v>808</v>
      </c>
      <c r="G43" s="780">
        <f>summ!H20</f>
        <v>5</v>
      </c>
      <c r="H43" s="777" t="str">
        <f>CONCATENATE("",E1," Fund Mill Rate")</f>
        <v>2015 Fund Mill Rate</v>
      </c>
      <c r="I43" s="778"/>
      <c r="J43" s="779"/>
    </row>
    <row r="44" spans="2:10" ht="15">
      <c r="B44" s="531" t="str">
        <f>inputPrYr!B24</f>
        <v>Personnel Benefits</v>
      </c>
      <c r="C44" s="406" t="str">
        <f>CONCATENATE("Actual for ",E1-2,"")</f>
        <v>Actual for 2013</v>
      </c>
      <c r="D44" s="406" t="str">
        <f>CONCATENATE("Estimate for ",E1-1,"")</f>
        <v>Estimate for 2014</v>
      </c>
      <c r="E44" s="391" t="str">
        <f>CONCATENATE("Year for ",E1,"")</f>
        <v>Year for 2015</v>
      </c>
      <c r="G44" s="781">
        <f>summ!E20</f>
        <v>0.139</v>
      </c>
      <c r="H44" s="777" t="str">
        <f>CONCATENATE("",E1-1," Fund Mill Rate")</f>
        <v>2014 Fund Mill Rate</v>
      </c>
      <c r="I44" s="778"/>
      <c r="J44" s="779"/>
    </row>
    <row r="45" spans="2:10" ht="15">
      <c r="B45" s="234" t="s">
        <v>214</v>
      </c>
      <c r="C45" s="239">
        <v>189610</v>
      </c>
      <c r="D45" s="237">
        <f>C74</f>
        <v>42178</v>
      </c>
      <c r="E45" s="208">
        <f>D74</f>
        <v>367570</v>
      </c>
      <c r="G45" s="782">
        <f>summ!H52</f>
        <v>59.433</v>
      </c>
      <c r="H45" s="777" t="str">
        <f>CONCATENATE("Total ",E1," Mill Rate")</f>
        <v>Total 2015 Mill Rate</v>
      </c>
      <c r="I45" s="778"/>
      <c r="J45" s="779"/>
    </row>
    <row r="46" spans="2:10" ht="15">
      <c r="B46" s="238" t="s">
        <v>216</v>
      </c>
      <c r="C46" s="142"/>
      <c r="D46" s="142"/>
      <c r="E46" s="68"/>
      <c r="G46" s="781">
        <f>summ!E52</f>
        <v>60.644</v>
      </c>
      <c r="H46" s="783" t="str">
        <f>CONCATENATE("Total ",E1-1," Mill Rate")</f>
        <v>Total 2014 Mill Rate</v>
      </c>
      <c r="I46" s="784"/>
      <c r="J46" s="785"/>
    </row>
    <row r="47" spans="2:5" ht="15">
      <c r="B47" s="133" t="s">
        <v>104</v>
      </c>
      <c r="C47" s="239">
        <v>423337</v>
      </c>
      <c r="D47" s="237">
        <f>IF(inputPrYr!H16&gt;0,inputPrYr!G24,inputPrYr!E24)</f>
        <v>823130</v>
      </c>
      <c r="E47" s="268" t="s">
        <v>92</v>
      </c>
    </row>
    <row r="48" spans="2:9" ht="15">
      <c r="B48" s="133" t="s">
        <v>105</v>
      </c>
      <c r="C48" s="239">
        <v>12739</v>
      </c>
      <c r="D48" s="239">
        <v>6964</v>
      </c>
      <c r="E48" s="48"/>
      <c r="G48" s="939" t="s">
        <v>990</v>
      </c>
      <c r="H48" s="890"/>
      <c r="I48" s="889" t="str">
        <f>cert!F60</f>
        <v>Yes</v>
      </c>
    </row>
    <row r="49" spans="2:5" ht="15">
      <c r="B49" s="133" t="s">
        <v>106</v>
      </c>
      <c r="C49" s="239">
        <v>60365</v>
      </c>
      <c r="D49" s="239">
        <v>79062</v>
      </c>
      <c r="E49" s="208">
        <f>mvalloc!D13</f>
        <v>133165</v>
      </c>
    </row>
    <row r="50" spans="2:5" ht="15">
      <c r="B50" s="133" t="s">
        <v>107</v>
      </c>
      <c r="C50" s="239">
        <v>890</v>
      </c>
      <c r="D50" s="239">
        <v>1138</v>
      </c>
      <c r="E50" s="208">
        <f>mvalloc!E13</f>
        <v>1922</v>
      </c>
    </row>
    <row r="51" spans="2:5" ht="15">
      <c r="B51" s="142" t="s">
        <v>203</v>
      </c>
      <c r="C51" s="239"/>
      <c r="D51" s="239">
        <v>1428</v>
      </c>
      <c r="E51" s="208">
        <f>mvalloc!F13</f>
        <v>3183</v>
      </c>
    </row>
    <row r="52" spans="2:5" ht="15">
      <c r="B52" s="255" t="s">
        <v>1050</v>
      </c>
      <c r="C52" s="239">
        <v>212257</v>
      </c>
      <c r="D52" s="239">
        <v>215000</v>
      </c>
      <c r="E52" s="48">
        <v>215000</v>
      </c>
    </row>
    <row r="53" spans="2:5" ht="15">
      <c r="B53" s="255" t="s">
        <v>1082</v>
      </c>
      <c r="C53" s="239">
        <v>375000</v>
      </c>
      <c r="D53" s="239">
        <v>375000</v>
      </c>
      <c r="E53" s="48">
        <v>375000</v>
      </c>
    </row>
    <row r="54" spans="2:5" ht="15">
      <c r="B54" s="255" t="s">
        <v>1081</v>
      </c>
      <c r="C54" s="239">
        <v>245000</v>
      </c>
      <c r="D54" s="239">
        <v>250000</v>
      </c>
      <c r="E54" s="48">
        <v>250000</v>
      </c>
    </row>
    <row r="55" spans="2:5" ht="15">
      <c r="B55" s="255" t="s">
        <v>1083</v>
      </c>
      <c r="C55" s="239">
        <v>110000</v>
      </c>
      <c r="D55" s="239">
        <v>115000</v>
      </c>
      <c r="E55" s="48">
        <v>115000</v>
      </c>
    </row>
    <row r="56" spans="2:5" ht="15">
      <c r="B56" s="255" t="s">
        <v>1084</v>
      </c>
      <c r="C56" s="239">
        <v>70000</v>
      </c>
      <c r="D56" s="239">
        <v>75000</v>
      </c>
      <c r="E56" s="48">
        <v>80000</v>
      </c>
    </row>
    <row r="57" spans="2:5" ht="15">
      <c r="B57" s="243" t="s">
        <v>111</v>
      </c>
      <c r="C57" s="239">
        <v>341</v>
      </c>
      <c r="D57" s="239">
        <v>500</v>
      </c>
      <c r="E57" s="48">
        <v>300</v>
      </c>
    </row>
    <row r="58" spans="2:5" ht="15">
      <c r="B58" s="142" t="s">
        <v>13</v>
      </c>
      <c r="C58" s="239">
        <v>1127</v>
      </c>
      <c r="D58" s="239">
        <v>12198</v>
      </c>
      <c r="E58" s="48"/>
    </row>
    <row r="59" spans="2:5" ht="15">
      <c r="B59" s="234" t="s">
        <v>785</v>
      </c>
      <c r="C59" s="244">
        <f>IF(C60*0.1&lt;C58,"Exceed 10% Rule","")</f>
      </c>
      <c r="D59" s="244">
        <f>IF(D60*0.1&lt;D58,"Exceed 10% Rule","")</f>
      </c>
      <c r="E59" s="282">
        <f>IF(E60*0.1+E80&lt;E58,"Exceed 10% Rule","")</f>
      </c>
    </row>
    <row r="60" spans="2:5" ht="15">
      <c r="B60" s="246" t="s">
        <v>112</v>
      </c>
      <c r="C60" s="248">
        <f>SUM(C47:C58)</f>
        <v>1511056</v>
      </c>
      <c r="D60" s="248">
        <f>SUM(D47:D58)</f>
        <v>1954420</v>
      </c>
      <c r="E60" s="249">
        <f>SUM(E48:E58)</f>
        <v>1173570</v>
      </c>
    </row>
    <row r="61" spans="2:5" ht="15">
      <c r="B61" s="246" t="s">
        <v>113</v>
      </c>
      <c r="C61" s="248">
        <f>C45+C60</f>
        <v>1700666</v>
      </c>
      <c r="D61" s="248">
        <f>D45+D60</f>
        <v>1996598</v>
      </c>
      <c r="E61" s="249">
        <f>E45+E60</f>
        <v>1541140</v>
      </c>
    </row>
    <row r="62" spans="2:5" ht="15">
      <c r="B62" s="133" t="s">
        <v>115</v>
      </c>
      <c r="C62" s="256"/>
      <c r="D62" s="256"/>
      <c r="E62" s="46"/>
    </row>
    <row r="63" spans="2:5" ht="15">
      <c r="B63" s="255" t="s">
        <v>1085</v>
      </c>
      <c r="C63" s="239">
        <v>965978</v>
      </c>
      <c r="D63" s="239">
        <v>970000</v>
      </c>
      <c r="E63" s="48">
        <v>1100000</v>
      </c>
    </row>
    <row r="64" spans="2:10" ht="15">
      <c r="B64" s="255" t="s">
        <v>1086</v>
      </c>
      <c r="C64" s="239">
        <v>232452</v>
      </c>
      <c r="D64" s="239">
        <v>254400</v>
      </c>
      <c r="E64" s="48">
        <v>265000</v>
      </c>
      <c r="G64" s="1036" t="str">
        <f>CONCATENATE("Desired Carryover Into ",E1+1,"")</f>
        <v>Desired Carryover Into 2016</v>
      </c>
      <c r="H64" s="1019"/>
      <c r="I64" s="1019"/>
      <c r="J64" s="1020"/>
    </row>
    <row r="65" spans="2:10" ht="15">
      <c r="B65" s="255" t="s">
        <v>1087</v>
      </c>
      <c r="C65" s="239">
        <v>252099</v>
      </c>
      <c r="D65" s="239">
        <v>278000</v>
      </c>
      <c r="E65" s="48">
        <v>287000</v>
      </c>
      <c r="G65" s="786"/>
      <c r="H65" s="787"/>
      <c r="I65" s="788"/>
      <c r="J65" s="789"/>
    </row>
    <row r="66" spans="2:10" ht="15">
      <c r="B66" s="255" t="s">
        <v>1088</v>
      </c>
      <c r="C66" s="239">
        <v>172853</v>
      </c>
      <c r="D66" s="239">
        <v>96200</v>
      </c>
      <c r="E66" s="48">
        <f>160000+36500</f>
        <v>196500</v>
      </c>
      <c r="G66" s="790" t="s">
        <v>773</v>
      </c>
      <c r="H66" s="788"/>
      <c r="I66" s="788"/>
      <c r="J66" s="791">
        <v>0</v>
      </c>
    </row>
    <row r="67" spans="2:10" ht="15">
      <c r="B67" s="255" t="s">
        <v>1089</v>
      </c>
      <c r="C67" s="239">
        <v>18054</v>
      </c>
      <c r="D67" s="239">
        <v>4000</v>
      </c>
      <c r="E67" s="48">
        <v>4000</v>
      </c>
      <c r="G67" s="786" t="s">
        <v>774</v>
      </c>
      <c r="H67" s="787"/>
      <c r="I67" s="787"/>
      <c r="J67" s="792">
        <f>IF(J66=0,"",ROUND((J66+E80-G79)/inputOth!E9*1000,3)-G84)</f>
      </c>
    </row>
    <row r="68" spans="2:10" ht="15">
      <c r="B68" s="255"/>
      <c r="C68" s="239"/>
      <c r="D68" s="239"/>
      <c r="E68" s="48"/>
      <c r="G68" s="793" t="str">
        <f>CONCATENATE("",E1," Tot Exp/Non-Appr Must Be:")</f>
        <v>2015 Tot Exp/Non-Appr Must Be:</v>
      </c>
      <c r="H68" s="794"/>
      <c r="I68" s="795"/>
      <c r="J68" s="796">
        <f>IF(J66&gt;0,IF(E77&lt;E61,IF(J66=G79,E77,((J66-G79)*(1-D79))+E61),E77+(J66-G79)),0)</f>
        <v>0</v>
      </c>
    </row>
    <row r="69" spans="2:10" ht="15">
      <c r="B69" s="255"/>
      <c r="C69" s="239"/>
      <c r="D69" s="239"/>
      <c r="E69" s="48"/>
      <c r="G69" s="797" t="s">
        <v>809</v>
      </c>
      <c r="H69" s="798"/>
      <c r="I69" s="798"/>
      <c r="J69" s="765">
        <f>IF(J66&gt;0,J68-E77,0)</f>
        <v>0</v>
      </c>
    </row>
    <row r="70" spans="2:10" ht="15">
      <c r="B70" s="256" t="s">
        <v>12</v>
      </c>
      <c r="C70" s="239">
        <v>16910</v>
      </c>
      <c r="D70" s="239">
        <v>26428</v>
      </c>
      <c r="E70" s="63">
        <f>nhood!E12</f>
        <v>9156</v>
      </c>
      <c r="J70" s="2"/>
    </row>
    <row r="71" spans="2:10" ht="15">
      <c r="B71" s="256" t="s">
        <v>13</v>
      </c>
      <c r="C71" s="239">
        <v>142</v>
      </c>
      <c r="D71" s="239"/>
      <c r="E71" s="48">
        <v>142</v>
      </c>
      <c r="G71" s="1036" t="str">
        <f>CONCATENATE("Projected Carryover Into ",E1+1,"")</f>
        <v>Projected Carryover Into 2016</v>
      </c>
      <c r="H71" s="1038"/>
      <c r="I71" s="1038"/>
      <c r="J71" s="1039"/>
    </row>
    <row r="72" spans="2:10" ht="15">
      <c r="B72" s="256" t="s">
        <v>786</v>
      </c>
      <c r="C72" s="244">
        <f>IF(C73*0.1&lt;C71,"Exceed 10% Rule","")</f>
      </c>
      <c r="D72" s="244">
        <f>IF(D73*0.1&lt;D71,"Exceed 10% Rule","")</f>
      </c>
      <c r="E72" s="282">
        <f>IF(E73*0.1&lt;E71,"Exceed 10% Rule","")</f>
      </c>
      <c r="G72" s="811"/>
      <c r="H72" s="787"/>
      <c r="I72" s="787"/>
      <c r="J72" s="818"/>
    </row>
    <row r="73" spans="2:10" ht="15">
      <c r="B73" s="246" t="s">
        <v>119</v>
      </c>
      <c r="C73" s="248">
        <f>SUM(C63:C71)</f>
        <v>1658488</v>
      </c>
      <c r="D73" s="248">
        <f>SUM(D63:D71)</f>
        <v>1629028</v>
      </c>
      <c r="E73" s="249">
        <f>SUM(E63:E71)</f>
        <v>1861798</v>
      </c>
      <c r="G73" s="813">
        <f>D74</f>
        <v>367570</v>
      </c>
      <c r="H73" s="777" t="str">
        <f>CONCATENATE("",E1-1," Ending Cash Balance (est.)")</f>
        <v>2014 Ending Cash Balance (est.)</v>
      </c>
      <c r="I73" s="814"/>
      <c r="J73" s="818"/>
    </row>
    <row r="74" spans="2:10" ht="15">
      <c r="B74" s="133" t="s">
        <v>215</v>
      </c>
      <c r="C74" s="252">
        <f>C61-C73</f>
        <v>42178</v>
      </c>
      <c r="D74" s="252">
        <f>D61-D73</f>
        <v>367570</v>
      </c>
      <c r="E74" s="268" t="s">
        <v>92</v>
      </c>
      <c r="G74" s="813">
        <f>E60</f>
        <v>1173570</v>
      </c>
      <c r="H74" s="788" t="str">
        <f>CONCATENATE("",E1," Non-AV Receipts (est.)")</f>
        <v>2015 Non-AV Receipts (est.)</v>
      </c>
      <c r="I74" s="814"/>
      <c r="J74" s="818"/>
    </row>
    <row r="75" spans="2:11" ht="15">
      <c r="B75" s="153" t="str">
        <f>CONCATENATE("",E1-2,"/",E1-1,"/",E1," Budget Authority Amount:")</f>
        <v>2013/2014/2015 Budget Authority Amount:</v>
      </c>
      <c r="C75" s="837">
        <f>inputOth!B69</f>
        <v>1741282</v>
      </c>
      <c r="D75" s="837">
        <f>inputPrYr!D24</f>
        <v>1931728</v>
      </c>
      <c r="E75" s="208">
        <f>E73</f>
        <v>1861798</v>
      </c>
      <c r="F75" s="258"/>
      <c r="G75" s="815">
        <f>IF(D79&gt;0,E78,E80)</f>
        <v>320658</v>
      </c>
      <c r="H75" s="788" t="str">
        <f>CONCATENATE("",E1," Ad Valorem Tax (est.)")</f>
        <v>2015 Ad Valorem Tax (est.)</v>
      </c>
      <c r="I75" s="814"/>
      <c r="J75" s="818"/>
      <c r="K75" s="770" t="str">
        <f>IF(G75=E80,"","Note: Does not include Delinquent Taxes")</f>
        <v>Note: Does not include Delinquent Taxes</v>
      </c>
    </row>
    <row r="76" spans="2:10" ht="15">
      <c r="B76" s="119"/>
      <c r="C76" s="1010" t="s">
        <v>631</v>
      </c>
      <c r="D76" s="1011"/>
      <c r="E76" s="48"/>
      <c r="F76" s="873">
        <f>IF(E73/0.95-E73&lt;E76,"Exceeds 5%","")</f>
      </c>
      <c r="G76" s="817">
        <f>SUM(G73:G75)</f>
        <v>1861798</v>
      </c>
      <c r="H76" s="788" t="str">
        <f>CONCATENATE("Total ",E1," Resources Available")</f>
        <v>Total 2015 Resources Available</v>
      </c>
      <c r="I76" s="818"/>
      <c r="J76" s="818"/>
    </row>
    <row r="77" spans="2:10" ht="15">
      <c r="B77" s="527" t="str">
        <f>CONCATENATE(C96,"     ",D96)</f>
        <v>     </v>
      </c>
      <c r="C77" s="1012" t="s">
        <v>632</v>
      </c>
      <c r="D77" s="1013"/>
      <c r="E77" s="208">
        <f>E73+E76</f>
        <v>1861798</v>
      </c>
      <c r="G77" s="819"/>
      <c r="H77" s="820"/>
      <c r="I77" s="787"/>
      <c r="J77" s="818"/>
    </row>
    <row r="78" spans="2:10" ht="15">
      <c r="B78" s="527" t="str">
        <f>CONCATENATE(C97,"     ",D97)</f>
        <v>     </v>
      </c>
      <c r="C78" s="259"/>
      <c r="D78" s="151" t="s">
        <v>120</v>
      </c>
      <c r="E78" s="63">
        <f>IF(E77-E61&gt;0,E77-E61,0)</f>
        <v>320658</v>
      </c>
      <c r="G78" s="821">
        <f>ROUND(C73*0.05+C73,0)</f>
        <v>1741412</v>
      </c>
      <c r="H78" s="820" t="str">
        <f>CONCATENATE("Less ",E1-2," Expenditures + 5%")</f>
        <v>Less 2013 Expenditures + 5%</v>
      </c>
      <c r="I78" s="818"/>
      <c r="J78" s="818"/>
    </row>
    <row r="79" spans="2:10" ht="15">
      <c r="B79" s="151"/>
      <c r="C79" s="370" t="s">
        <v>630</v>
      </c>
      <c r="D79" s="733">
        <f>inputOth!$E$50</f>
        <v>0.013</v>
      </c>
      <c r="E79" s="208">
        <f>ROUND(IF(D79&gt;0,(E78*D79),0),0)</f>
        <v>4169</v>
      </c>
      <c r="G79" s="822">
        <f>G76-G78</f>
        <v>120386</v>
      </c>
      <c r="H79" s="823" t="str">
        <f>CONCATENATE("Projected ",E1+1," carryover (est.)")</f>
        <v>Projected 2016 carryover (est.)</v>
      </c>
      <c r="I79" s="824"/>
      <c r="J79" s="825"/>
    </row>
    <row r="80" spans="2:9" ht="15.75" thickBot="1">
      <c r="B80" s="32"/>
      <c r="C80" s="1014" t="str">
        <f>CONCATENATE("Amount of  ",$E$1-1," Ad Valorem Tax")</f>
        <v>Amount of  2014 Ad Valorem Tax</v>
      </c>
      <c r="D80" s="1015"/>
      <c r="E80" s="736">
        <f>E78+E79</f>
        <v>324827</v>
      </c>
      <c r="G80" s="2"/>
      <c r="H80" s="2"/>
      <c r="I80" s="2"/>
    </row>
    <row r="81" spans="2:10" ht="15.75" thickTop="1">
      <c r="B81" s="32"/>
      <c r="C81" s="32"/>
      <c r="D81" s="32"/>
      <c r="E81" s="32"/>
      <c r="G81" s="1021" t="s">
        <v>810</v>
      </c>
      <c r="H81" s="1022"/>
      <c r="I81" s="1022"/>
      <c r="J81" s="1023"/>
    </row>
    <row r="82" spans="2:10" ht="15">
      <c r="B82" s="151" t="s">
        <v>122</v>
      </c>
      <c r="C82" s="264">
        <v>12</v>
      </c>
      <c r="D82" s="32"/>
      <c r="E82" s="32"/>
      <c r="G82" s="776"/>
      <c r="H82" s="777"/>
      <c r="I82" s="778"/>
      <c r="J82" s="779"/>
    </row>
    <row r="83" spans="7:10" ht="15">
      <c r="G83" s="780">
        <f>summ!H21</f>
        <v>11.198</v>
      </c>
      <c r="H83" s="777" t="str">
        <f>CONCATENATE("",E1," Fund Mill Rate")</f>
        <v>2015 Fund Mill Rate</v>
      </c>
      <c r="I83" s="778"/>
      <c r="J83" s="779"/>
    </row>
    <row r="84" spans="7:10" ht="15">
      <c r="G84" s="781">
        <f>summ!E21</f>
        <v>29.651</v>
      </c>
      <c r="H84" s="777" t="str">
        <f>CONCATENATE("",E1-1," Fund Mill Rate")</f>
        <v>2014 Fund Mill Rate</v>
      </c>
      <c r="I84" s="778"/>
      <c r="J84" s="779"/>
    </row>
    <row r="85" spans="7:10" ht="15">
      <c r="G85" s="782">
        <f>summ!H52</f>
        <v>59.433</v>
      </c>
      <c r="H85" s="777" t="str">
        <f>CONCATENATE("Total ",E1," Mill Rate")</f>
        <v>Total 2015 Mill Rate</v>
      </c>
      <c r="I85" s="778"/>
      <c r="J85" s="779"/>
    </row>
    <row r="86" spans="7:10" ht="15">
      <c r="G86" s="781">
        <f>summ!E52</f>
        <v>60.644</v>
      </c>
      <c r="H86" s="783" t="str">
        <f>CONCATENATE("Total ",E1-1," Mill Rate")</f>
        <v>Total 2014 Mill Rate</v>
      </c>
      <c r="I86" s="784"/>
      <c r="J86" s="785"/>
    </row>
    <row r="88" spans="7:9" ht="15">
      <c r="G88" s="940" t="s">
        <v>990</v>
      </c>
      <c r="H88" s="892"/>
      <c r="I88" s="891" t="str">
        <f>cert!F60</f>
        <v>Yes</v>
      </c>
    </row>
    <row r="94" spans="3:4" ht="15" hidden="1">
      <c r="C94" s="526">
        <f>IF(C33&gt;C35,"See Tab A","")</f>
      </c>
      <c r="D94" s="526">
        <f>IF(D31&gt;D35,"See Tab C","")</f>
      </c>
    </row>
    <row r="95" spans="3:4" ht="15" hidden="1">
      <c r="C95" s="526">
        <f>IF(C34&lt;0,"See Tab B","")</f>
      </c>
      <c r="D95" s="526">
        <f>IF(D34&lt;0,"See Tab D","")</f>
      </c>
    </row>
    <row r="96" spans="3:4" ht="15" hidden="1">
      <c r="C96" s="526">
        <f>IF(C71&gt;C75,"See Tab A","")</f>
      </c>
      <c r="D96" s="526">
        <f>IF(D71&gt;D75,"See Tab C","")</f>
      </c>
    </row>
    <row r="97" spans="3:4" ht="15" hidden="1">
      <c r="C97" s="526">
        <f>IF(C74&lt;0,"See Tab B","")</f>
      </c>
      <c r="D97" s="526">
        <f>IF(D74&lt;0,"See Tab D","")</f>
      </c>
    </row>
  </sheetData>
  <sheetProtection sheet="1"/>
  <mergeCells count="13">
    <mergeCell ref="G24:J24"/>
    <mergeCell ref="G31:J31"/>
    <mergeCell ref="G41:J41"/>
    <mergeCell ref="G64:J64"/>
    <mergeCell ref="G71:J71"/>
    <mergeCell ref="G81:J81"/>
    <mergeCell ref="C80:D80"/>
    <mergeCell ref="C76:D76"/>
    <mergeCell ref="C77:D77"/>
    <mergeCell ref="C36:D36"/>
    <mergeCell ref="C37:D37"/>
    <mergeCell ref="C41:D41"/>
    <mergeCell ref="C40:D40"/>
  </mergeCells>
  <conditionalFormatting sqref="E71">
    <cfRule type="cellIs" priority="3" dxfId="328" operator="greaterThan" stopIfTrue="1">
      <formula>$E$73*0.1</formula>
    </cfRule>
  </conditionalFormatting>
  <conditionalFormatting sqref="E76">
    <cfRule type="cellIs" priority="4" dxfId="328" operator="greaterThan" stopIfTrue="1">
      <formula>$E$73/0.95-$E$73</formula>
    </cfRule>
  </conditionalFormatting>
  <conditionalFormatting sqref="E31">
    <cfRule type="cellIs" priority="5" dxfId="328" operator="greaterThan" stopIfTrue="1">
      <formula>$E$33*0.1</formula>
    </cfRule>
  </conditionalFormatting>
  <conditionalFormatting sqref="E36">
    <cfRule type="cellIs" priority="6" dxfId="32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$C$75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8" operator="greaterThan" stopIfTrue="1">
      <formula>$E$60*0.1+E80</formula>
    </cfRule>
  </conditionalFormatting>
  <conditionalFormatting sqref="E18">
    <cfRule type="cellIs" priority="21" dxfId="32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8">
      <selection activeCell="C83" sqref="C83"/>
    </sheetView>
  </sheetViews>
  <sheetFormatPr defaultColWidth="8.8984375" defaultRowHeight="15"/>
  <cols>
    <col min="1" max="1" width="2.3984375" style="30" customWidth="1"/>
    <col min="2" max="2" width="31.09765625" style="30" customWidth="1"/>
    <col min="3" max="4" width="15.69921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171</v>
      </c>
      <c r="C3" s="182"/>
      <c r="D3" s="182"/>
      <c r="E3" s="270"/>
    </row>
    <row r="4" spans="2:5" ht="15">
      <c r="B4" s="33" t="s">
        <v>103</v>
      </c>
      <c r="C4" s="405" t="s">
        <v>806</v>
      </c>
      <c r="D4" s="404" t="s">
        <v>807</v>
      </c>
      <c r="E4" s="383" t="s">
        <v>808</v>
      </c>
    </row>
    <row r="5" spans="2:5" ht="15">
      <c r="B5" s="531">
        <f>inputPrYr!B25</f>
        <v>0</v>
      </c>
      <c r="C5" s="406" t="str">
        <f>CONCATENATE("Actual for ",E1-2,"")</f>
        <v>Actual for 2013</v>
      </c>
      <c r="D5" s="406" t="str">
        <f>CONCATENATE("Estimate for ",E1-1,"")</f>
        <v>Estimate for 2014</v>
      </c>
      <c r="E5" s="391" t="str">
        <f>CONCATENATE("Year for ",E1,"")</f>
        <v>Year for 2015</v>
      </c>
    </row>
    <row r="6" spans="2:5" ht="15">
      <c r="B6" s="234" t="s">
        <v>214</v>
      </c>
      <c r="C6" s="239"/>
      <c r="D6" s="237">
        <f>C34</f>
        <v>0</v>
      </c>
      <c r="E6" s="208">
        <f>D34</f>
        <v>0</v>
      </c>
    </row>
    <row r="7" spans="2:5" ht="15">
      <c r="B7" s="238" t="s">
        <v>216</v>
      </c>
      <c r="C7" s="142"/>
      <c r="D7" s="142"/>
      <c r="E7" s="68"/>
    </row>
    <row r="8" spans="2:5" ht="15">
      <c r="B8" s="133" t="s">
        <v>104</v>
      </c>
      <c r="C8" s="239"/>
      <c r="D8" s="237">
        <f>IF(inputPrYr!H16&gt;0,inputPrYr!G25,inputPrYr!E25)</f>
        <v>0</v>
      </c>
      <c r="E8" s="268" t="s">
        <v>92</v>
      </c>
    </row>
    <row r="9" spans="2:5" ht="15">
      <c r="B9" s="133" t="s">
        <v>105</v>
      </c>
      <c r="C9" s="239"/>
      <c r="D9" s="239"/>
      <c r="E9" s="48"/>
    </row>
    <row r="10" spans="2:5" ht="15">
      <c r="B10" s="133" t="s">
        <v>106</v>
      </c>
      <c r="C10" s="239"/>
      <c r="D10" s="239"/>
      <c r="E10" s="208" t="str">
        <f>mvalloc!D14</f>
        <v>  </v>
      </c>
    </row>
    <row r="11" spans="2:5" ht="15">
      <c r="B11" s="133" t="s">
        <v>107</v>
      </c>
      <c r="C11" s="239"/>
      <c r="D11" s="239"/>
      <c r="E11" s="208" t="str">
        <f>mvalloc!E14</f>
        <v> </v>
      </c>
    </row>
    <row r="12" spans="2:5" ht="15">
      <c r="B12" s="142" t="s">
        <v>203</v>
      </c>
      <c r="C12" s="239"/>
      <c r="D12" s="239"/>
      <c r="E12" s="208" t="str">
        <f>mvalloc!F14</f>
        <v> </v>
      </c>
    </row>
    <row r="13" spans="2:5" ht="15">
      <c r="B13" s="255"/>
      <c r="C13" s="239"/>
      <c r="D13" s="239"/>
      <c r="E13" s="48"/>
    </row>
    <row r="14" spans="2:5" ht="15">
      <c r="B14" s="255"/>
      <c r="C14" s="239"/>
      <c r="D14" s="239"/>
      <c r="E14" s="48"/>
    </row>
    <row r="15" spans="2:5" ht="15">
      <c r="B15" s="255"/>
      <c r="C15" s="239"/>
      <c r="D15" s="239"/>
      <c r="E15" s="48"/>
    </row>
    <row r="16" spans="2:5" ht="15">
      <c r="B16" s="255"/>
      <c r="C16" s="239"/>
      <c r="D16" s="239"/>
      <c r="E16" s="48"/>
    </row>
    <row r="17" spans="2:5" ht="15">
      <c r="B17" s="243" t="s">
        <v>111</v>
      </c>
      <c r="C17" s="239"/>
      <c r="D17" s="239"/>
      <c r="E17" s="48"/>
    </row>
    <row r="18" spans="2:5" ht="15">
      <c r="B18" s="142" t="s">
        <v>13</v>
      </c>
      <c r="C18" s="239"/>
      <c r="D18" s="239"/>
      <c r="E18" s="48"/>
    </row>
    <row r="19" spans="2:5" ht="15">
      <c r="B19" s="234" t="s">
        <v>785</v>
      </c>
      <c r="C19" s="244">
        <f>IF(C20*0.1&lt;C18,"Exceed 10% Rule","")</f>
      </c>
      <c r="D19" s="244">
        <f>IF(D20*0.1&lt;D18,"Exceed 10% Rule","")</f>
      </c>
      <c r="E19" s="282">
        <f>IF(E20*0.1+E40&lt;E18,"Exceed 10% Rule","")</f>
      </c>
    </row>
    <row r="20" spans="2:5" ht="15">
      <c r="B20" s="246" t="s">
        <v>112</v>
      </c>
      <c r="C20" s="248">
        <f>SUM(C8:C18)</f>
        <v>0</v>
      </c>
      <c r="D20" s="248">
        <f>SUM(D8:D18)</f>
        <v>0</v>
      </c>
      <c r="E20" s="249">
        <f>SUM(E8:E18)</f>
        <v>0</v>
      </c>
    </row>
    <row r="21" spans="2:5" ht="15">
      <c r="B21" s="246" t="s">
        <v>113</v>
      </c>
      <c r="C21" s="248">
        <f>C6+C20</f>
        <v>0</v>
      </c>
      <c r="D21" s="248">
        <f>D6+D20</f>
        <v>0</v>
      </c>
      <c r="E21" s="249">
        <f>E6+E20</f>
        <v>0</v>
      </c>
    </row>
    <row r="22" spans="2:5" ht="15">
      <c r="B22" s="133" t="s">
        <v>115</v>
      </c>
      <c r="C22" s="256"/>
      <c r="D22" s="256"/>
      <c r="E22" s="46"/>
    </row>
    <row r="23" spans="2:5" ht="15">
      <c r="B23" s="255"/>
      <c r="C23" s="239"/>
      <c r="D23" s="239"/>
      <c r="E23" s="48"/>
    </row>
    <row r="24" spans="2:10" ht="15">
      <c r="B24" s="255"/>
      <c r="C24" s="239"/>
      <c r="D24" s="239"/>
      <c r="E24" s="48"/>
      <c r="G24" s="1036" t="str">
        <f>CONCATENATE("Desired Carryover Into ",E1+1,"")</f>
        <v>Desired Carryover Into 2016</v>
      </c>
      <c r="H24" s="1019"/>
      <c r="I24" s="1019"/>
      <c r="J24" s="1020"/>
    </row>
    <row r="25" spans="2:10" ht="15">
      <c r="B25" s="255"/>
      <c r="C25" s="239"/>
      <c r="D25" s="239"/>
      <c r="E25" s="48"/>
      <c r="G25" s="786"/>
      <c r="H25" s="787"/>
      <c r="I25" s="788"/>
      <c r="J25" s="789"/>
    </row>
    <row r="26" spans="2:10" ht="15">
      <c r="B26" s="255"/>
      <c r="C26" s="239"/>
      <c r="D26" s="239"/>
      <c r="E26" s="48"/>
      <c r="G26" s="790" t="s">
        <v>773</v>
      </c>
      <c r="H26" s="788"/>
      <c r="I26" s="788"/>
      <c r="J26" s="791">
        <v>0</v>
      </c>
    </row>
    <row r="27" spans="2:10" ht="15">
      <c r="B27" s="255"/>
      <c r="C27" s="239"/>
      <c r="D27" s="239"/>
      <c r="E27" s="48"/>
      <c r="G27" s="786" t="s">
        <v>774</v>
      </c>
      <c r="H27" s="787"/>
      <c r="I27" s="787"/>
      <c r="J27" s="792">
        <f>IF(J26=0,"",ROUND((J26+E40-G39)/inputOth!E9*1000,3)-G44)</f>
      </c>
    </row>
    <row r="28" spans="2:10" ht="15">
      <c r="B28" s="255"/>
      <c r="C28" s="239"/>
      <c r="D28" s="239"/>
      <c r="E28" s="48"/>
      <c r="G28" s="793" t="str">
        <f>CONCATENATE("",E1," Tot Exp/Non-Appr Must Be:")</f>
        <v>2015 Tot Exp/Non-Appr Must Be:</v>
      </c>
      <c r="H28" s="794"/>
      <c r="I28" s="795"/>
      <c r="J28" s="796">
        <f>IF(J26&gt;0,IF(E37&lt;E21,IF(J26=G39,E37,((J26-G39)*(1-D39))+E21),E37+(J26-G39)),0)</f>
        <v>0</v>
      </c>
    </row>
    <row r="29" spans="2:10" ht="15">
      <c r="B29" s="255"/>
      <c r="C29" s="239"/>
      <c r="D29" s="239"/>
      <c r="E29" s="48"/>
      <c r="G29" s="797" t="s">
        <v>809</v>
      </c>
      <c r="H29" s="798"/>
      <c r="I29" s="798"/>
      <c r="J29" s="765">
        <f>IF(J26&gt;0,J28-E37,0)</f>
        <v>0</v>
      </c>
    </row>
    <row r="30" spans="2:10" ht="15">
      <c r="B30" s="256" t="s">
        <v>12</v>
      </c>
      <c r="C30" s="239"/>
      <c r="D30" s="239"/>
      <c r="E30" s="63">
        <f>nhood!E13</f>
      </c>
      <c r="J30" s="2"/>
    </row>
    <row r="31" spans="2:10" ht="15">
      <c r="B31" s="256" t="s">
        <v>13</v>
      </c>
      <c r="C31" s="239"/>
      <c r="D31" s="239"/>
      <c r="E31" s="48"/>
      <c r="G31" s="1036" t="str">
        <f>CONCATENATE("Projected Carryover Into ",E1+1,"")</f>
        <v>Projected Carryover Into 2016</v>
      </c>
      <c r="H31" s="1041"/>
      <c r="I31" s="1041"/>
      <c r="J31" s="1039"/>
    </row>
    <row r="32" spans="2:10" ht="15">
      <c r="B32" s="256" t="s">
        <v>786</v>
      </c>
      <c r="C32" s="244">
        <f>IF(C33*0.1&lt;C31,"Exceed 10% Rule","")</f>
      </c>
      <c r="D32" s="244">
        <f>IF(D33*0.1&lt;D31,"Exceed 10% Rule","")</f>
      </c>
      <c r="E32" s="282">
        <f>IF(E33*0.1&lt;E31,"Exceed 10% Rule","")</f>
      </c>
      <c r="G32" s="786"/>
      <c r="H32" s="788"/>
      <c r="I32" s="788"/>
      <c r="J32" s="812"/>
    </row>
    <row r="33" spans="2:10" ht="15">
      <c r="B33" s="246" t="s">
        <v>119</v>
      </c>
      <c r="C33" s="248">
        <f>SUM(C23:C31)</f>
        <v>0</v>
      </c>
      <c r="D33" s="248">
        <f>SUM(D23:D31)</f>
        <v>0</v>
      </c>
      <c r="E33" s="249">
        <f>SUM(E23:E31)</f>
        <v>0</v>
      </c>
      <c r="G33" s="813">
        <f>D34</f>
        <v>0</v>
      </c>
      <c r="H33" s="777" t="str">
        <f>CONCATENATE("",E1-1," Ending Cash Balance (est.)")</f>
        <v>2014 Ending Cash Balance (est.)</v>
      </c>
      <c r="I33" s="814"/>
      <c r="J33" s="812"/>
    </row>
    <row r="34" spans="2:10" ht="15">
      <c r="B34" s="133" t="s">
        <v>215</v>
      </c>
      <c r="C34" s="252">
        <f>C21-C33</f>
        <v>0</v>
      </c>
      <c r="D34" s="252">
        <f>D21-D33</f>
        <v>0</v>
      </c>
      <c r="E34" s="268" t="s">
        <v>92</v>
      </c>
      <c r="G34" s="813">
        <f>E20</f>
        <v>0</v>
      </c>
      <c r="H34" s="788" t="str">
        <f>CONCATENATE("",E1," Non-AV Receipts (est.)")</f>
        <v>2015 Non-AV Receipts (est.)</v>
      </c>
      <c r="I34" s="814"/>
      <c r="J34" s="812"/>
    </row>
    <row r="35" spans="2:11" ht="15">
      <c r="B35" s="153" t="str">
        <f>CONCATENATE("",E1-2,"/",E1-1,"/",E1," Budget Authority Amount:")</f>
        <v>2013/2014/2015 Budget Authority Amount:</v>
      </c>
      <c r="C35" s="837">
        <f>inputOth!B70</f>
        <v>0</v>
      </c>
      <c r="D35" s="837">
        <f>inputPrYr!D25</f>
        <v>0</v>
      </c>
      <c r="E35" s="208">
        <f>E33</f>
        <v>0</v>
      </c>
      <c r="F35" s="258"/>
      <c r="G35" s="815">
        <f>IF(E39&gt;0,E38,E40)</f>
        <v>0</v>
      </c>
      <c r="H35" s="788" t="str">
        <f>CONCATENATE("",E1," Ad Valorem Tax (est.)")</f>
        <v>2015 Ad Valorem Tax (est.)</v>
      </c>
      <c r="I35" s="814"/>
      <c r="J35" s="800"/>
      <c r="K35" s="770">
        <f>IF(G35=E40,"","Note: Does not include Delinquent Taxes")</f>
      </c>
    </row>
    <row r="36" spans="2:10" ht="15">
      <c r="B36" s="119"/>
      <c r="C36" s="1010" t="s">
        <v>631</v>
      </c>
      <c r="D36" s="1011"/>
      <c r="E36" s="48"/>
      <c r="F36" s="873">
        <f>IF(E33/0.95-E33&lt;E36,"Exceeds 5%","")</f>
      </c>
      <c r="G36" s="813">
        <f>SUM(G33:G35)</f>
        <v>0</v>
      </c>
      <c r="H36" s="788" t="str">
        <f>CONCATENATE("Total ",E1," Resources Available")</f>
        <v>Total 2015 Resources Available</v>
      </c>
      <c r="I36" s="814"/>
      <c r="J36" s="812"/>
    </row>
    <row r="37" spans="2:10" ht="15">
      <c r="B37" s="527" t="str">
        <f>CONCATENATE(C94,"     ",D94)</f>
        <v>     </v>
      </c>
      <c r="C37" s="1012" t="s">
        <v>632</v>
      </c>
      <c r="D37" s="1013"/>
      <c r="E37" s="208">
        <f>E33+E36</f>
        <v>0</v>
      </c>
      <c r="G37" s="832"/>
      <c r="H37" s="788"/>
      <c r="I37" s="788"/>
      <c r="J37" s="812"/>
    </row>
    <row r="38" spans="2:10" ht="15">
      <c r="B38" s="527" t="str">
        <f>CONCATENATE(C95,"     ",D95)</f>
        <v>     </v>
      </c>
      <c r="C38" s="259"/>
      <c r="D38" s="151" t="s">
        <v>120</v>
      </c>
      <c r="E38" s="63">
        <f>IF(E37-E21&gt;0,E37-E21,0)</f>
        <v>0</v>
      </c>
      <c r="G38" s="815">
        <f>ROUND(C33*0.05+C33,0)</f>
        <v>0</v>
      </c>
      <c r="H38" s="788" t="str">
        <f>CONCATENATE("Less ",E1-2," Expenditures + 5%")</f>
        <v>Less 2013 Expenditures + 5%</v>
      </c>
      <c r="I38" s="814"/>
      <c r="J38" s="812"/>
    </row>
    <row r="39" spans="2:10" ht="15">
      <c r="B39" s="151"/>
      <c r="C39" s="370" t="s">
        <v>630</v>
      </c>
      <c r="D39" s="371">
        <f>inputOth!$E$50</f>
        <v>0.013</v>
      </c>
      <c r="E39" s="208">
        <f>ROUND(IF(D39&gt;0,(E38*D39),0),0)</f>
        <v>0</v>
      </c>
      <c r="G39" s="833">
        <f>G36-G38</f>
        <v>0</v>
      </c>
      <c r="H39" s="834" t="str">
        <f>CONCATENATE("Projected ",E1+1," carryover (est.)")</f>
        <v>Projected 2016 carryover (est.)</v>
      </c>
      <c r="I39" s="835"/>
      <c r="J39" s="825"/>
    </row>
    <row r="40" spans="2:10" ht="15">
      <c r="B40" s="79"/>
      <c r="C40" s="1014" t="str">
        <f>CONCATENATE("Amount of  ",$E$1-1," Ad Valorem Tax")</f>
        <v>Amount of  2014 Ad Valorem Tax</v>
      </c>
      <c r="D40" s="1015"/>
      <c r="E40" s="272">
        <f>E38+E39</f>
        <v>0</v>
      </c>
      <c r="G40" s="2"/>
      <c r="H40" s="2"/>
      <c r="I40" s="2"/>
      <c r="J40" s="2"/>
    </row>
    <row r="41" spans="2:10" ht="15">
      <c r="B41" s="32"/>
      <c r="C41" s="79"/>
      <c r="D41" s="79"/>
      <c r="E41" s="32"/>
      <c r="G41" s="1021" t="s">
        <v>810</v>
      </c>
      <c r="H41" s="1022"/>
      <c r="I41" s="1022"/>
      <c r="J41" s="1023"/>
    </row>
    <row r="42" spans="2:10" ht="15">
      <c r="B42" s="33"/>
      <c r="C42" s="271"/>
      <c r="D42" s="271"/>
      <c r="E42" s="271"/>
      <c r="G42" s="776"/>
      <c r="H42" s="777"/>
      <c r="I42" s="778"/>
      <c r="J42" s="779"/>
    </row>
    <row r="43" spans="2:10" ht="15">
      <c r="B43" s="33" t="s">
        <v>103</v>
      </c>
      <c r="C43" s="405" t="s">
        <v>806</v>
      </c>
      <c r="D43" s="404" t="s">
        <v>807</v>
      </c>
      <c r="E43" s="383" t="s">
        <v>808</v>
      </c>
      <c r="G43" s="780" t="str">
        <f>summ!H22</f>
        <v>  </v>
      </c>
      <c r="H43" s="777" t="str">
        <f>CONCATENATE("",E1," Fund Mill Rate")</f>
        <v>2015 Fund Mill Rate</v>
      </c>
      <c r="I43" s="778"/>
      <c r="J43" s="779"/>
    </row>
    <row r="44" spans="2:10" ht="15">
      <c r="B44" s="531">
        <f>inputPrYr!B26</f>
        <v>0</v>
      </c>
      <c r="C44" s="406" t="str">
        <f>CONCATENATE("Actual for ",E1-2,"")</f>
        <v>Actual for 2013</v>
      </c>
      <c r="D44" s="406" t="str">
        <f>CONCATENATE("Estimate for ",E1-1,"")</f>
        <v>Estimate for 2014</v>
      </c>
      <c r="E44" s="391" t="str">
        <f>CONCATENATE("Year for ",E1,"")</f>
        <v>Year for 2015</v>
      </c>
      <c r="G44" s="781" t="str">
        <f>summ!E22</f>
        <v>  </v>
      </c>
      <c r="H44" s="777" t="str">
        <f>CONCATENATE("",E1-1," Fund Mill Rate")</f>
        <v>2014 Fund Mill Rate</v>
      </c>
      <c r="I44" s="778"/>
      <c r="J44" s="779"/>
    </row>
    <row r="45" spans="2:10" ht="15">
      <c r="B45" s="234" t="s">
        <v>214</v>
      </c>
      <c r="C45" s="239"/>
      <c r="D45" s="237">
        <f>C74</f>
        <v>0</v>
      </c>
      <c r="E45" s="208">
        <f>D74</f>
        <v>0</v>
      </c>
      <c r="G45" s="782">
        <f>summ!H52</f>
        <v>59.433</v>
      </c>
      <c r="H45" s="777" t="str">
        <f>CONCATENATE("Total ",E1," Mill Rate")</f>
        <v>Total 2015 Mill Rate</v>
      </c>
      <c r="I45" s="778"/>
      <c r="J45" s="779"/>
    </row>
    <row r="46" spans="2:10" ht="15">
      <c r="B46" s="238" t="s">
        <v>216</v>
      </c>
      <c r="C46" s="142"/>
      <c r="D46" s="142"/>
      <c r="E46" s="68"/>
      <c r="G46" s="781">
        <f>summ!E52</f>
        <v>60.644</v>
      </c>
      <c r="H46" s="783" t="str">
        <f>CONCATENATE("Total ",E1-1," Mill Rate")</f>
        <v>Total 2014 Mill Rate</v>
      </c>
      <c r="I46" s="784"/>
      <c r="J46" s="785"/>
    </row>
    <row r="47" spans="2:5" ht="15">
      <c r="B47" s="133" t="s">
        <v>104</v>
      </c>
      <c r="C47" s="239"/>
      <c r="D47" s="237">
        <f>IF(inputPrYr!H16&gt;0,inputPrYr!G26,inputPrYr!E26)</f>
        <v>0</v>
      </c>
      <c r="E47" s="268" t="s">
        <v>92</v>
      </c>
    </row>
    <row r="48" spans="2:9" ht="15">
      <c r="B48" s="133" t="s">
        <v>105</v>
      </c>
      <c r="C48" s="239"/>
      <c r="D48" s="239"/>
      <c r="E48" s="48"/>
      <c r="G48" s="941" t="s">
        <v>990</v>
      </c>
      <c r="H48" s="894"/>
      <c r="I48" s="893" t="str">
        <f>cert!F60</f>
        <v>Yes</v>
      </c>
    </row>
    <row r="49" spans="2:5" ht="15">
      <c r="B49" s="133" t="s">
        <v>106</v>
      </c>
      <c r="C49" s="239"/>
      <c r="D49" s="239"/>
      <c r="E49" s="208" t="str">
        <f>mvalloc!D15</f>
        <v>  </v>
      </c>
    </row>
    <row r="50" spans="2:5" ht="15">
      <c r="B50" s="133" t="s">
        <v>107</v>
      </c>
      <c r="C50" s="239"/>
      <c r="D50" s="239"/>
      <c r="E50" s="208" t="str">
        <f>mvalloc!E15</f>
        <v> </v>
      </c>
    </row>
    <row r="51" spans="2:5" ht="15">
      <c r="B51" s="142" t="s">
        <v>203</v>
      </c>
      <c r="C51" s="239"/>
      <c r="D51" s="239"/>
      <c r="E51" s="208" t="str">
        <f>mvalloc!F15</f>
        <v> </v>
      </c>
    </row>
    <row r="52" spans="2:5" ht="15">
      <c r="B52" s="255"/>
      <c r="C52" s="239"/>
      <c r="D52" s="239"/>
      <c r="E52" s="48"/>
    </row>
    <row r="53" spans="2:5" ht="15">
      <c r="B53" s="255"/>
      <c r="C53" s="239"/>
      <c r="D53" s="239"/>
      <c r="E53" s="48"/>
    </row>
    <row r="54" spans="2:5" ht="15">
      <c r="B54" s="255"/>
      <c r="C54" s="239"/>
      <c r="D54" s="239"/>
      <c r="E54" s="48"/>
    </row>
    <row r="55" spans="2:5" ht="15">
      <c r="B55" s="255"/>
      <c r="C55" s="239"/>
      <c r="D55" s="239"/>
      <c r="E55" s="48"/>
    </row>
    <row r="56" spans="2:5" ht="15">
      <c r="B56" s="255"/>
      <c r="C56" s="239"/>
      <c r="D56" s="239"/>
      <c r="E56" s="48"/>
    </row>
    <row r="57" spans="2:5" ht="15">
      <c r="B57" s="243" t="s">
        <v>111</v>
      </c>
      <c r="C57" s="239"/>
      <c r="D57" s="239"/>
      <c r="E57" s="48"/>
    </row>
    <row r="58" spans="2:5" ht="15">
      <c r="B58" s="142" t="s">
        <v>13</v>
      </c>
      <c r="C58" s="239"/>
      <c r="D58" s="239"/>
      <c r="E58" s="48"/>
    </row>
    <row r="59" spans="2:5" ht="15">
      <c r="B59" s="234" t="s">
        <v>785</v>
      </c>
      <c r="C59" s="244">
        <f>IF(C60*0.1&lt;C58,"Exceed 10% Rule","")</f>
      </c>
      <c r="D59" s="244">
        <f>IF(D60*0.1&lt;D58,"Exceed 10% Rule","")</f>
      </c>
      <c r="E59" s="282">
        <f>IF(E60*0.1+E80&lt;E58,"Exceed 10% Rule","")</f>
      </c>
    </row>
    <row r="60" spans="2:5" ht="15">
      <c r="B60" s="246" t="s">
        <v>112</v>
      </c>
      <c r="C60" s="248">
        <f>SUM(C47:C58)</f>
        <v>0</v>
      </c>
      <c r="D60" s="248">
        <f>SUM(D47:D58)</f>
        <v>0</v>
      </c>
      <c r="E60" s="249">
        <f>SUM(E47:E58)</f>
        <v>0</v>
      </c>
    </row>
    <row r="61" spans="2:5" ht="15">
      <c r="B61" s="246" t="s">
        <v>113</v>
      </c>
      <c r="C61" s="248">
        <f>C45+C60</f>
        <v>0</v>
      </c>
      <c r="D61" s="248">
        <f>D45+D60</f>
        <v>0</v>
      </c>
      <c r="E61" s="249">
        <f>E45+E60</f>
        <v>0</v>
      </c>
    </row>
    <row r="62" spans="2:5" ht="15">
      <c r="B62" s="133" t="s">
        <v>115</v>
      </c>
      <c r="C62" s="256"/>
      <c r="D62" s="256"/>
      <c r="E62" s="46"/>
    </row>
    <row r="63" spans="2:5" ht="15">
      <c r="B63" s="255"/>
      <c r="C63" s="239"/>
      <c r="D63" s="239"/>
      <c r="E63" s="48"/>
    </row>
    <row r="64" spans="2:10" ht="15">
      <c r="B64" s="255"/>
      <c r="C64" s="239"/>
      <c r="D64" s="239"/>
      <c r="E64" s="48"/>
      <c r="G64" s="1036" t="str">
        <f>CONCATENATE("Desired Carryover Into ",E1+1,"")</f>
        <v>Desired Carryover Into 2016</v>
      </c>
      <c r="H64" s="1019"/>
      <c r="I64" s="1019"/>
      <c r="J64" s="1020"/>
    </row>
    <row r="65" spans="2:10" ht="15">
      <c r="B65" s="255"/>
      <c r="C65" s="239"/>
      <c r="D65" s="239"/>
      <c r="E65" s="48"/>
      <c r="G65" s="786"/>
      <c r="H65" s="787"/>
      <c r="I65" s="788"/>
      <c r="J65" s="789"/>
    </row>
    <row r="66" spans="2:10" ht="15">
      <c r="B66" s="255"/>
      <c r="C66" s="239"/>
      <c r="D66" s="239"/>
      <c r="E66" s="48"/>
      <c r="G66" s="790" t="s">
        <v>773</v>
      </c>
      <c r="H66" s="788"/>
      <c r="I66" s="788"/>
      <c r="J66" s="791">
        <v>0</v>
      </c>
    </row>
    <row r="67" spans="2:10" ht="15">
      <c r="B67" s="255"/>
      <c r="C67" s="239"/>
      <c r="D67" s="239"/>
      <c r="E67" s="48"/>
      <c r="G67" s="786" t="s">
        <v>774</v>
      </c>
      <c r="H67" s="787"/>
      <c r="I67" s="787"/>
      <c r="J67" s="792">
        <f>IF(J66=0,"",ROUND((J66+E80-G79)/inputOth!E9*1000,3)-G84)</f>
      </c>
    </row>
    <row r="68" spans="2:10" ht="15">
      <c r="B68" s="255"/>
      <c r="C68" s="239"/>
      <c r="D68" s="239"/>
      <c r="E68" s="48"/>
      <c r="G68" s="793" t="str">
        <f>CONCATENATE("",E1," Tot Exp/Non-Appr Must Be:")</f>
        <v>2015 Tot Exp/Non-Appr Must Be:</v>
      </c>
      <c r="H68" s="794"/>
      <c r="I68" s="795"/>
      <c r="J68" s="796">
        <f>IF(J66&gt;0,IF(E77&lt;E61,IF(J66=G79,E77,((J66-G79)*(1-D79))+E61),E77+(J66-G79)),0)</f>
        <v>0</v>
      </c>
    </row>
    <row r="69" spans="2:10" ht="15">
      <c r="B69" s="255"/>
      <c r="C69" s="239"/>
      <c r="D69" s="239"/>
      <c r="E69" s="368"/>
      <c r="G69" s="797" t="s">
        <v>809</v>
      </c>
      <c r="H69" s="798"/>
      <c r="I69" s="798"/>
      <c r="J69" s="765">
        <f>IF(J66&gt;0,J68-E77,0)</f>
        <v>0</v>
      </c>
    </row>
    <row r="70" spans="2:10" ht="15">
      <c r="B70" s="256" t="s">
        <v>12</v>
      </c>
      <c r="C70" s="239"/>
      <c r="D70" s="239"/>
      <c r="E70" s="63">
        <f>nhood!E14</f>
      </c>
      <c r="J70" s="2"/>
    </row>
    <row r="71" spans="2:10" ht="15">
      <c r="B71" s="256" t="s">
        <v>13</v>
      </c>
      <c r="C71" s="239"/>
      <c r="D71" s="239"/>
      <c r="E71" s="48"/>
      <c r="G71" s="1036" t="str">
        <f>CONCATENATE("Projected Carryover Into ",E1+1,"")</f>
        <v>Projected Carryover Into 2016</v>
      </c>
      <c r="H71" s="1038"/>
      <c r="I71" s="1038"/>
      <c r="J71" s="1039"/>
    </row>
    <row r="72" spans="2:10" ht="15">
      <c r="B72" s="256" t="s">
        <v>786</v>
      </c>
      <c r="C72" s="244">
        <f>IF(C73*0.1&lt;C71,"Exceed 10% Rule","")</f>
      </c>
      <c r="D72" s="244">
        <f>IF(D73*0.1&lt;D71,"Exceed 10% Rule","")</f>
      </c>
      <c r="E72" s="282">
        <f>IF(E73*0.1&lt;E71,"Exceed 10% Rule","")</f>
      </c>
      <c r="G72" s="811"/>
      <c r="H72" s="787"/>
      <c r="I72" s="787"/>
      <c r="J72" s="818"/>
    </row>
    <row r="73" spans="2:10" ht="15">
      <c r="B73" s="246" t="s">
        <v>119</v>
      </c>
      <c r="C73" s="248">
        <f>SUM(C63:C71)</f>
        <v>0</v>
      </c>
      <c r="D73" s="248">
        <f>SUM(D63:D71)</f>
        <v>0</v>
      </c>
      <c r="E73" s="249">
        <f>SUM(E63:E71)</f>
        <v>0</v>
      </c>
      <c r="G73" s="813">
        <f>D74</f>
        <v>0</v>
      </c>
      <c r="H73" s="777" t="str">
        <f>CONCATENATE("",E1-1," Ending Cash Balance (est.)")</f>
        <v>2014 Ending Cash Balance (est.)</v>
      </c>
      <c r="I73" s="814"/>
      <c r="J73" s="818"/>
    </row>
    <row r="74" spans="2:10" ht="15">
      <c r="B74" s="133" t="s">
        <v>215</v>
      </c>
      <c r="C74" s="252">
        <f>C61-C73</f>
        <v>0</v>
      </c>
      <c r="D74" s="252">
        <f>D61-D73</f>
        <v>0</v>
      </c>
      <c r="E74" s="268" t="s">
        <v>92</v>
      </c>
      <c r="G74" s="813">
        <f>E60</f>
        <v>0</v>
      </c>
      <c r="H74" s="788" t="str">
        <f>CONCATENATE("",E1," Non-AV Receipts (est.)")</f>
        <v>2015 Non-AV Receipts (est.)</v>
      </c>
      <c r="I74" s="814"/>
      <c r="J74" s="818"/>
    </row>
    <row r="75" spans="2:11" ht="15">
      <c r="B75" s="153" t="str">
        <f>CONCATENATE("",E1-2,"/",E1-1,"/",E1," Budget Authority Amount:")</f>
        <v>2013/2014/2015 Budget Authority Amount:</v>
      </c>
      <c r="C75" s="910">
        <f>inputOth!B71</f>
        <v>0</v>
      </c>
      <c r="D75" s="837">
        <f>inputPrYr!D26</f>
        <v>0</v>
      </c>
      <c r="E75" s="208">
        <f>E73</f>
        <v>0</v>
      </c>
      <c r="F75" s="258"/>
      <c r="G75" s="815">
        <f>IF(D79&gt;0,E78,E80)</f>
        <v>0</v>
      </c>
      <c r="H75" s="788" t="str">
        <f>CONCATENATE("",E1," Ad Valorem Tax (est.)")</f>
        <v>2015 Ad Valorem Tax (est.)</v>
      </c>
      <c r="I75" s="814"/>
      <c r="J75" s="818"/>
      <c r="K75" s="770">
        <f>IF(G75=E80,"","Note: Does not include Delinquent Taxes")</f>
      </c>
    </row>
    <row r="76" spans="2:10" ht="15">
      <c r="B76" s="119"/>
      <c r="C76" s="1010" t="s">
        <v>631</v>
      </c>
      <c r="D76" s="1011"/>
      <c r="E76" s="48"/>
      <c r="F76" s="873">
        <f>IF(E73/0.95-E73&lt;E76,"Exceeds 5%","")</f>
      </c>
      <c r="G76" s="817">
        <f>SUM(G73:G75)</f>
        <v>0</v>
      </c>
      <c r="H76" s="788" t="str">
        <f>CONCATENATE("Total ",E1," Resources Available")</f>
        <v>Total 2015 Resources Available</v>
      </c>
      <c r="I76" s="818"/>
      <c r="J76" s="818"/>
    </row>
    <row r="77" spans="2:10" ht="15">
      <c r="B77" s="527" t="str">
        <f>CONCATENATE(C96,"     ",D96)</f>
        <v>     </v>
      </c>
      <c r="C77" s="1012" t="s">
        <v>632</v>
      </c>
      <c r="D77" s="1013"/>
      <c r="E77" s="208">
        <f>E73+E76</f>
        <v>0</v>
      </c>
      <c r="G77" s="819"/>
      <c r="H77" s="820"/>
      <c r="I77" s="787"/>
      <c r="J77" s="818"/>
    </row>
    <row r="78" spans="2:10" ht="15">
      <c r="B78" s="527" t="str">
        <f>CONCATENATE(C97,"     ",D97)</f>
        <v>     </v>
      </c>
      <c r="C78" s="259"/>
      <c r="D78" s="151" t="s">
        <v>120</v>
      </c>
      <c r="E78" s="63">
        <f>IF(E77-E61&gt;0,E77-E61,0)</f>
        <v>0</v>
      </c>
      <c r="G78" s="821">
        <f>ROUND(C73*0.05+C73,0)</f>
        <v>0</v>
      </c>
      <c r="H78" s="820" t="str">
        <f>CONCATENATE("Less ",E1-2," Expenditures + 5%")</f>
        <v>Less 2013 Expenditures + 5%</v>
      </c>
      <c r="I78" s="818"/>
      <c r="J78" s="818"/>
    </row>
    <row r="79" spans="2:10" ht="15">
      <c r="B79" s="119"/>
      <c r="C79" s="370" t="s">
        <v>630</v>
      </c>
      <c r="D79" s="733">
        <f>inputOth!$E$50</f>
        <v>0.013</v>
      </c>
      <c r="E79" s="208">
        <f>ROUND(IF(D79&gt;0,(E78*D79),0),0)</f>
        <v>0</v>
      </c>
      <c r="G79" s="822">
        <f>G76-G78</f>
        <v>0</v>
      </c>
      <c r="H79" s="823" t="str">
        <f>CONCATENATE("Projected ",E1+1," carryover (est.)")</f>
        <v>Projected 2016 carryover (est.)</v>
      </c>
      <c r="I79" s="824"/>
      <c r="J79" s="825"/>
    </row>
    <row r="80" spans="2:9" ht="15.75" thickBot="1">
      <c r="B80" s="151"/>
      <c r="C80" s="1014" t="str">
        <f>CONCATENATE("Amount of  ",$E$1-1," Ad Valorem Tax")</f>
        <v>Amount of  2014 Ad Valorem Tax</v>
      </c>
      <c r="D80" s="1015"/>
      <c r="E80" s="736">
        <f>E78+E79</f>
        <v>0</v>
      </c>
      <c r="G80" s="2"/>
      <c r="H80" s="2"/>
      <c r="I80" s="2"/>
    </row>
    <row r="81" spans="2:10" ht="15.75" thickTop="1">
      <c r="B81" s="32"/>
      <c r="C81" s="32"/>
      <c r="D81" s="32"/>
      <c r="E81" s="32"/>
      <c r="G81" s="1021" t="s">
        <v>810</v>
      </c>
      <c r="H81" s="1022"/>
      <c r="I81" s="1022"/>
      <c r="J81" s="1023"/>
    </row>
    <row r="82" spans="2:10" ht="15">
      <c r="B82" s="119" t="s">
        <v>122</v>
      </c>
      <c r="C82" s="264"/>
      <c r="D82" s="32"/>
      <c r="E82" s="32"/>
      <c r="G82" s="776"/>
      <c r="H82" s="777"/>
      <c r="I82" s="778"/>
      <c r="J82" s="779"/>
    </row>
    <row r="83" spans="2:10" ht="15">
      <c r="B83" s="151"/>
      <c r="G83" s="780" t="str">
        <f>summ!H23</f>
        <v>  </v>
      </c>
      <c r="H83" s="777" t="str">
        <f>CONCATENATE("",E1," Fund Mill Rate")</f>
        <v>2015 Fund Mill Rate</v>
      </c>
      <c r="I83" s="778"/>
      <c r="J83" s="779"/>
    </row>
    <row r="84" spans="7:10" ht="15">
      <c r="G84" s="781" t="str">
        <f>summ!E23</f>
        <v>  </v>
      </c>
      <c r="H84" s="777" t="str">
        <f>CONCATENATE("",E1-1," Fund Mill Rate")</f>
        <v>2014 Fund Mill Rate</v>
      </c>
      <c r="I84" s="778"/>
      <c r="J84" s="779"/>
    </row>
    <row r="85" spans="7:10" ht="15">
      <c r="G85" s="782">
        <f>summ!H52</f>
        <v>59.433</v>
      </c>
      <c r="H85" s="777" t="str">
        <f>CONCATENATE("Total ",E1," Mill Rate")</f>
        <v>Total 2015 Mill Rate</v>
      </c>
      <c r="I85" s="778"/>
      <c r="J85" s="779"/>
    </row>
    <row r="86" spans="7:10" ht="15">
      <c r="G86" s="781">
        <f>summ!E52</f>
        <v>60.644</v>
      </c>
      <c r="H86" s="783" t="str">
        <f>CONCATENATE("Total ",E1-1," Mill Rate")</f>
        <v>Total 2014 Mill Rate</v>
      </c>
      <c r="I86" s="784"/>
      <c r="J86" s="785"/>
    </row>
    <row r="88" spans="7:9" ht="15">
      <c r="G88" s="942" t="s">
        <v>990</v>
      </c>
      <c r="H88" s="896"/>
      <c r="I88" s="895" t="str">
        <f>cert!F60</f>
        <v>Yes</v>
      </c>
    </row>
    <row r="94" spans="3:4" ht="15" hidden="1">
      <c r="C94" s="526">
        <f>IF(C33&gt;C35,"See Tab A","")</f>
      </c>
      <c r="D94" s="526">
        <f>IF(D31&gt;D35,"See Tab C","")</f>
      </c>
    </row>
    <row r="95" spans="3:4" ht="15" hidden="1">
      <c r="C95" s="526">
        <f>IF(C34&lt;0,"See Tab B","")</f>
      </c>
      <c r="D95" s="526">
        <f>IF(D34&lt;0,"See Tab D","")</f>
      </c>
    </row>
    <row r="96" spans="3:4" ht="15" hidden="1">
      <c r="C96" s="526">
        <f>IF(C71&gt;C75,"See Tab A","")</f>
      </c>
      <c r="D96" s="526">
        <f>IF(D71&gt;D75,"See Tab C","")</f>
      </c>
    </row>
    <row r="97" spans="3:4" ht="15" hidden="1">
      <c r="C97" s="526">
        <f>IF(C74&lt;0,"See Tab B","")</f>
      </c>
      <c r="D97" s="526">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31">
    <cfRule type="cellIs" priority="4" dxfId="328" operator="greaterThan" stopIfTrue="1">
      <formula>$E$33*0.1</formula>
    </cfRule>
  </conditionalFormatting>
  <conditionalFormatting sqref="E36">
    <cfRule type="cellIs" priority="5" dxfId="328" operator="greaterThan" stopIfTrue="1">
      <formula>$E$33/0.95-$E$33</formula>
    </cfRule>
  </conditionalFormatting>
  <conditionalFormatting sqref="E71">
    <cfRule type="cellIs" priority="6" dxfId="328" operator="greaterThan" stopIfTrue="1">
      <formula>$E$73*0.1</formula>
    </cfRule>
  </conditionalFormatting>
  <conditionalFormatting sqref="E76">
    <cfRule type="cellIs" priority="7" dxfId="328"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$C$35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$C$75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28"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8"/>
  <sheetViews>
    <sheetView zoomScalePageLayoutView="0" workbookViewId="0" topLeftCell="A1">
      <selection activeCell="C23" sqref="C23"/>
    </sheetView>
  </sheetViews>
  <sheetFormatPr defaultColWidth="8.8984375" defaultRowHeight="15"/>
  <cols>
    <col min="1" max="1" width="15.69921875" style="30" customWidth="1"/>
    <col min="2" max="2" width="20.69921875" style="30" customWidth="1"/>
    <col min="3" max="3" width="9.69921875" style="30" customWidth="1"/>
    <col min="4" max="4" width="15.09765625" style="30" customWidth="1"/>
    <col min="5" max="5" width="15.69921875" style="30" customWidth="1"/>
    <col min="6" max="6" width="1.8984375" style="30" customWidth="1"/>
    <col min="7" max="7" width="18.69921875" style="30" customWidth="1"/>
    <col min="8" max="16384" width="8.8984375" style="30" customWidth="1"/>
  </cols>
  <sheetData>
    <row r="1" spans="1:5" ht="15">
      <c r="A1" s="967" t="s">
        <v>70</v>
      </c>
      <c r="B1" s="968"/>
      <c r="C1" s="968"/>
      <c r="D1" s="968"/>
      <c r="E1" s="968"/>
    </row>
    <row r="2" spans="1:5" ht="15">
      <c r="A2" s="31" t="s">
        <v>18</v>
      </c>
      <c r="B2" s="32"/>
      <c r="C2" s="32"/>
      <c r="D2" s="914" t="s">
        <v>1039</v>
      </c>
      <c r="E2" s="915"/>
    </row>
    <row r="3" spans="1:5" ht="15">
      <c r="A3" s="31" t="s">
        <v>19</v>
      </c>
      <c r="B3" s="32"/>
      <c r="C3" s="32"/>
      <c r="D3" s="914" t="s">
        <v>1040</v>
      </c>
      <c r="E3" s="915"/>
    </row>
    <row r="4" spans="1:5" ht="15">
      <c r="A4" s="33"/>
      <c r="B4" s="32"/>
      <c r="C4" s="32"/>
      <c r="D4" s="34"/>
      <c r="E4" s="32"/>
    </row>
    <row r="5" spans="1:5" ht="15">
      <c r="A5" s="31" t="s">
        <v>247</v>
      </c>
      <c r="B5" s="32"/>
      <c r="C5" s="35">
        <v>2015</v>
      </c>
      <c r="D5" s="34"/>
      <c r="E5" s="32"/>
    </row>
    <row r="6" spans="1:5" ht="15">
      <c r="A6" s="32"/>
      <c r="B6" s="32"/>
      <c r="C6" s="32"/>
      <c r="D6" s="32"/>
      <c r="E6" s="32"/>
    </row>
    <row r="7" spans="1:5" ht="15">
      <c r="A7" s="36" t="s">
        <v>368</v>
      </c>
      <c r="B7" s="37"/>
      <c r="C7" s="37"/>
      <c r="D7" s="37"/>
      <c r="E7" s="37"/>
    </row>
    <row r="8" spans="1:8" ht="15">
      <c r="A8" s="36" t="s">
        <v>367</v>
      </c>
      <c r="B8" s="37"/>
      <c r="C8" s="37"/>
      <c r="D8" s="37"/>
      <c r="E8" s="37"/>
      <c r="F8" s="32"/>
      <c r="G8" s="969" t="s">
        <v>881</v>
      </c>
      <c r="H8" s="970"/>
    </row>
    <row r="9" spans="1:8" ht="15">
      <c r="A9" s="36"/>
      <c r="B9" s="37"/>
      <c r="C9" s="37"/>
      <c r="D9" s="37"/>
      <c r="E9" s="37"/>
      <c r="F9" s="32"/>
      <c r="G9" s="971"/>
      <c r="H9" s="970"/>
    </row>
    <row r="10" spans="1:8" ht="15">
      <c r="A10" s="965" t="s">
        <v>303</v>
      </c>
      <c r="B10" s="966"/>
      <c r="C10" s="966"/>
      <c r="D10" s="966"/>
      <c r="E10" s="966"/>
      <c r="F10" s="32"/>
      <c r="G10" s="971"/>
      <c r="H10" s="970"/>
    </row>
    <row r="11" spans="1:8" ht="15">
      <c r="A11" s="32"/>
      <c r="B11" s="32"/>
      <c r="C11" s="32"/>
      <c r="D11" s="32"/>
      <c r="E11" s="32"/>
      <c r="F11" s="32"/>
      <c r="G11" s="971"/>
      <c r="H11" s="970"/>
    </row>
    <row r="12" spans="1:8" ht="15">
      <c r="A12" s="38" t="s">
        <v>304</v>
      </c>
      <c r="B12" s="39"/>
      <c r="C12" s="32"/>
      <c r="D12" s="32"/>
      <c r="E12" s="32"/>
      <c r="F12" s="32"/>
      <c r="G12" s="971"/>
      <c r="H12" s="970"/>
    </row>
    <row r="13" spans="1:8" ht="15">
      <c r="A13" s="40" t="str">
        <f>CONCATENATE("the ",C5-1," Budget, Certificate Page:")</f>
        <v>the 2014 Budget, Certificate Page:</v>
      </c>
      <c r="B13" s="41"/>
      <c r="C13" s="32"/>
      <c r="D13" s="32"/>
      <c r="E13" s="32"/>
      <c r="F13" s="32"/>
      <c r="G13" s="971"/>
      <c r="H13" s="970"/>
    </row>
    <row r="14" spans="1:8" ht="15">
      <c r="A14" s="40" t="s">
        <v>370</v>
      </c>
      <c r="B14" s="41"/>
      <c r="C14" s="32"/>
      <c r="D14" s="32"/>
      <c r="E14" s="32"/>
      <c r="F14" s="32"/>
      <c r="G14" s="57"/>
      <c r="H14" s="858"/>
    </row>
    <row r="15" spans="1:8" ht="15">
      <c r="A15" s="32"/>
      <c r="B15" s="32"/>
      <c r="C15" s="32"/>
      <c r="D15" s="42">
        <f>C5-1</f>
        <v>2014</v>
      </c>
      <c r="E15" s="42">
        <f>C5-2</f>
        <v>2013</v>
      </c>
      <c r="G15" s="178" t="s">
        <v>882</v>
      </c>
      <c r="H15" s="139" t="s">
        <v>121</v>
      </c>
    </row>
    <row r="16" spans="1:8" ht="15">
      <c r="A16" s="33" t="s">
        <v>71</v>
      </c>
      <c r="B16" s="32"/>
      <c r="C16" s="43" t="s">
        <v>72</v>
      </c>
      <c r="D16" s="44" t="s">
        <v>369</v>
      </c>
      <c r="E16" s="44" t="s">
        <v>62</v>
      </c>
      <c r="G16" s="180" t="str">
        <f>CONCATENATE("",E15," Ad Valorem Tax")</f>
        <v>2013 Ad Valorem Tax</v>
      </c>
      <c r="H16" s="859">
        <v>0</v>
      </c>
    </row>
    <row r="17" spans="1:7" ht="15">
      <c r="A17" s="32"/>
      <c r="B17" s="45" t="s">
        <v>73</v>
      </c>
      <c r="C17" s="139" t="s">
        <v>218</v>
      </c>
      <c r="D17" s="47">
        <v>3979211</v>
      </c>
      <c r="E17" s="47">
        <v>696428</v>
      </c>
      <c r="G17" s="208">
        <f>IF(H16&gt;0,ROUND(E17-(E17*H16),0),0)</f>
        <v>0</v>
      </c>
    </row>
    <row r="18" spans="1:7" ht="15">
      <c r="A18" s="32"/>
      <c r="B18" s="45" t="s">
        <v>44</v>
      </c>
      <c r="C18" s="139" t="s">
        <v>248</v>
      </c>
      <c r="D18" s="48">
        <v>615390</v>
      </c>
      <c r="E18" s="48">
        <v>14562</v>
      </c>
      <c r="G18" s="208">
        <f>IF(H16&gt;0,ROUND(E18-(E18*H16),0),0)</f>
        <v>0</v>
      </c>
    </row>
    <row r="19" spans="1:7" ht="15">
      <c r="A19" s="32"/>
      <c r="B19" s="45" t="s">
        <v>790</v>
      </c>
      <c r="C19" s="139" t="s">
        <v>791</v>
      </c>
      <c r="D19" s="48">
        <v>150931</v>
      </c>
      <c r="E19" s="48">
        <v>122423</v>
      </c>
      <c r="G19" s="208">
        <f>IF(H16&gt;0,ROUND(E19-(E19*H16),0),0)</f>
        <v>0</v>
      </c>
    </row>
    <row r="20" spans="1:5" ht="15">
      <c r="A20" s="33" t="s">
        <v>74</v>
      </c>
      <c r="B20" s="32"/>
      <c r="C20" s="32"/>
      <c r="D20" s="32"/>
      <c r="E20" s="49"/>
    </row>
    <row r="21" spans="1:7" ht="15">
      <c r="A21" s="32"/>
      <c r="B21" s="50" t="s">
        <v>1014</v>
      </c>
      <c r="C21" s="369"/>
      <c r="D21" s="48">
        <v>59616</v>
      </c>
      <c r="E21" s="48">
        <v>510</v>
      </c>
      <c r="G21" s="208">
        <f>IF(H16&gt;0,ROUND(E21-(E21*H16),0),0)</f>
        <v>0</v>
      </c>
    </row>
    <row r="22" spans="1:7" ht="15">
      <c r="A22" s="32"/>
      <c r="B22" s="50" t="s">
        <v>1015</v>
      </c>
      <c r="C22" s="369"/>
      <c r="D22" s="48">
        <v>112825</v>
      </c>
      <c r="E22" s="48">
        <v>22593</v>
      </c>
      <c r="G22" s="208">
        <f>IF(H16&gt;0,ROUND(E22-(E22*H16),0),0)</f>
        <v>0</v>
      </c>
    </row>
    <row r="23" spans="1:7" ht="15">
      <c r="A23" s="32"/>
      <c r="B23" s="50" t="s">
        <v>1016</v>
      </c>
      <c r="C23" s="369"/>
      <c r="D23" s="48">
        <v>258124</v>
      </c>
      <c r="E23" s="48">
        <v>3860</v>
      </c>
      <c r="G23" s="208">
        <f>IF(H16&gt;0,ROUND(E23-(E23*H16),0),0)</f>
        <v>0</v>
      </c>
    </row>
    <row r="24" spans="1:7" ht="15">
      <c r="A24" s="32"/>
      <c r="B24" s="50" t="s">
        <v>1152</v>
      </c>
      <c r="C24" s="369"/>
      <c r="D24" s="48">
        <v>1931728</v>
      </c>
      <c r="E24" s="48">
        <v>823130</v>
      </c>
      <c r="G24" s="208">
        <f>IF(H16&gt;0,ROUND(E24-(E24*H16),0),0)</f>
        <v>0</v>
      </c>
    </row>
    <row r="25" spans="1:7" ht="15">
      <c r="A25" s="32"/>
      <c r="B25" s="50"/>
      <c r="C25" s="369"/>
      <c r="D25" s="48"/>
      <c r="E25" s="48"/>
      <c r="G25" s="208">
        <f>IF(H16&gt;0,ROUND(E25-(E25*H16),0),0)</f>
        <v>0</v>
      </c>
    </row>
    <row r="26" spans="1:7" ht="15">
      <c r="A26" s="32"/>
      <c r="B26" s="50"/>
      <c r="C26" s="369"/>
      <c r="D26" s="48"/>
      <c r="E26" s="48"/>
      <c r="G26" s="208">
        <f>IF(H16&gt;0,ROUND(E26-(E26*H16),0),0)</f>
        <v>0</v>
      </c>
    </row>
    <row r="27" spans="1:7" ht="15">
      <c r="A27" s="32"/>
      <c r="B27" s="50"/>
      <c r="C27" s="369"/>
      <c r="D27" s="48"/>
      <c r="E27" s="48"/>
      <c r="G27" s="208">
        <f>IF(H16&gt;0,ROUND(E27-(E27*H16),0),0)</f>
        <v>0</v>
      </c>
    </row>
    <row r="28" spans="1:7" ht="15">
      <c r="A28" s="32"/>
      <c r="B28" s="50"/>
      <c r="C28" s="369"/>
      <c r="D28" s="48"/>
      <c r="E28" s="48"/>
      <c r="G28" s="208">
        <f>IF(H16&gt;0,ROUND(E28-(E28*H16),0),0)</f>
        <v>0</v>
      </c>
    </row>
    <row r="29" spans="1:7" ht="15">
      <c r="A29" s="32"/>
      <c r="B29" s="50"/>
      <c r="C29" s="369"/>
      <c r="D29" s="48"/>
      <c r="E29" s="48"/>
      <c r="G29" s="208">
        <f>IF(H16&gt;0,ROUND(E29-(E29*H16),0),0)</f>
        <v>0</v>
      </c>
    </row>
    <row r="30" spans="1:7" ht="15">
      <c r="A30" s="32"/>
      <c r="B30" s="50"/>
      <c r="C30" s="369"/>
      <c r="D30" s="48"/>
      <c r="E30" s="48"/>
      <c r="G30" s="208">
        <f>IF(H16&gt;0,ROUND(E30-(E30*H16),0),0)</f>
        <v>0</v>
      </c>
    </row>
    <row r="31" spans="1:5" ht="15">
      <c r="A31" s="51" t="str">
        <f>CONCATENATE("Total Tax Levy Funds for ",C5-1," Budgeted Year")</f>
        <v>Total Tax Levy Funds for 2014 Budgeted Year</v>
      </c>
      <c r="B31" s="52"/>
      <c r="C31" s="53"/>
      <c r="D31" s="54"/>
      <c r="E31" s="55">
        <f>SUM(E17:E30)</f>
        <v>1683506</v>
      </c>
    </row>
    <row r="32" spans="1:5" ht="15">
      <c r="A32" s="416" t="str">
        <f>CONCATENATE("Fund Not Considered Part of the Max Levy Computation for ",C5," Budgeted Year:")</f>
        <v>Fund Not Considered Part of the Max Levy Computation for 2015 Budgeted Year:</v>
      </c>
      <c r="B32" s="57"/>
      <c r="C32" s="57"/>
      <c r="D32" s="58"/>
      <c r="E32" s="49"/>
    </row>
    <row r="33" spans="1:7" ht="15">
      <c r="A33" s="56"/>
      <c r="B33" s="417" t="s">
        <v>636</v>
      </c>
      <c r="C33" s="419" t="s">
        <v>637</v>
      </c>
      <c r="D33" s="418">
        <v>117524</v>
      </c>
      <c r="E33" s="418">
        <v>94193</v>
      </c>
      <c r="G33" s="208">
        <f>IF(H16&gt;0,ROUND(E33-(E33*H16),0),0)</f>
        <v>0</v>
      </c>
    </row>
    <row r="34" spans="1:5" ht="15">
      <c r="A34" s="56"/>
      <c r="B34" s="57"/>
      <c r="C34" s="57"/>
      <c r="D34" s="58"/>
      <c r="E34" s="49"/>
    </row>
    <row r="35" spans="1:5" ht="15">
      <c r="A35" s="33" t="s">
        <v>253</v>
      </c>
      <c r="B35" s="32"/>
      <c r="C35" s="32"/>
      <c r="D35" s="32"/>
      <c r="E35" s="32"/>
    </row>
    <row r="36" spans="1:5" ht="15">
      <c r="A36" s="32"/>
      <c r="B36" s="46" t="s">
        <v>205</v>
      </c>
      <c r="C36" s="32"/>
      <c r="D36" s="48">
        <v>380000</v>
      </c>
      <c r="E36" s="32"/>
    </row>
    <row r="37" spans="1:5" ht="15">
      <c r="A37" s="32"/>
      <c r="B37" s="50" t="s">
        <v>1017</v>
      </c>
      <c r="C37" s="32"/>
      <c r="D37" s="48">
        <v>45000</v>
      </c>
      <c r="E37" s="32"/>
    </row>
    <row r="38" spans="1:5" ht="15">
      <c r="A38" s="32"/>
      <c r="B38" s="50"/>
      <c r="C38" s="32"/>
      <c r="D38" s="48"/>
      <c r="E38" s="32"/>
    </row>
    <row r="39" spans="1:5" ht="15">
      <c r="A39" s="32"/>
      <c r="B39" s="50"/>
      <c r="C39" s="32"/>
      <c r="D39" s="48"/>
      <c r="E39" s="32"/>
    </row>
    <row r="40" spans="1:5" ht="15">
      <c r="A40" s="32"/>
      <c r="B40" s="50"/>
      <c r="C40" s="32"/>
      <c r="D40" s="48"/>
      <c r="E40" s="32"/>
    </row>
    <row r="41" spans="1:5" ht="15">
      <c r="A41" s="32"/>
      <c r="B41" s="50"/>
      <c r="C41" s="32"/>
      <c r="D41" s="48"/>
      <c r="E41" s="32"/>
    </row>
    <row r="42" spans="1:5" ht="15">
      <c r="A42" s="32"/>
      <c r="B42" s="50"/>
      <c r="C42" s="32"/>
      <c r="D42" s="48"/>
      <c r="E42" s="32"/>
    </row>
    <row r="43" spans="1:5" ht="15">
      <c r="A43" s="32"/>
      <c r="B43" s="50"/>
      <c r="C43" s="32"/>
      <c r="D43" s="48"/>
      <c r="E43" s="32"/>
    </row>
    <row r="44" spans="1:5" ht="15">
      <c r="A44" s="32"/>
      <c r="B44" s="50"/>
      <c r="C44" s="32"/>
      <c r="D44" s="48"/>
      <c r="E44" s="32"/>
    </row>
    <row r="45" spans="1:5" ht="15">
      <c r="A45" s="32"/>
      <c r="B45" s="50"/>
      <c r="C45" s="32"/>
      <c r="D45" s="48"/>
      <c r="E45" s="32"/>
    </row>
    <row r="46" spans="1:5" ht="15">
      <c r="A46" s="32"/>
      <c r="B46" s="59"/>
      <c r="C46" s="32"/>
      <c r="D46" s="48"/>
      <c r="E46" s="32"/>
    </row>
    <row r="47" spans="1:5" ht="15">
      <c r="A47" s="32"/>
      <c r="B47" s="59"/>
      <c r="C47" s="32"/>
      <c r="D47" s="48"/>
      <c r="E47" s="32"/>
    </row>
    <row r="48" spans="1:5" ht="15">
      <c r="A48" s="32"/>
      <c r="B48" s="59"/>
      <c r="C48" s="32"/>
      <c r="D48" s="48"/>
      <c r="E48" s="32"/>
    </row>
    <row r="49" spans="1:5" ht="15">
      <c r="A49" s="32"/>
      <c r="B49" s="59"/>
      <c r="C49" s="32"/>
      <c r="D49" s="48"/>
      <c r="E49" s="32"/>
    </row>
    <row r="50" spans="1:5" ht="15">
      <c r="A50" s="32"/>
      <c r="B50" s="59"/>
      <c r="C50" s="32"/>
      <c r="D50" s="48"/>
      <c r="E50" s="32"/>
    </row>
    <row r="51" spans="1:5" ht="15">
      <c r="A51" s="32"/>
      <c r="B51" s="59"/>
      <c r="C51" s="32"/>
      <c r="D51" s="48"/>
      <c r="E51" s="32"/>
    </row>
    <row r="52" spans="1:5" ht="15">
      <c r="A52" s="32" t="s">
        <v>276</v>
      </c>
      <c r="B52" s="60"/>
      <c r="C52" s="32"/>
      <c r="D52" s="32"/>
      <c r="E52" s="32"/>
    </row>
    <row r="53" spans="1:5" ht="15">
      <c r="A53" s="32">
        <v>1</v>
      </c>
      <c r="B53" s="59" t="s">
        <v>1018</v>
      </c>
      <c r="C53" s="32"/>
      <c r="D53" s="48">
        <v>11019500</v>
      </c>
      <c r="E53" s="32"/>
    </row>
    <row r="54" spans="1:5" ht="15">
      <c r="A54" s="32">
        <v>2</v>
      </c>
      <c r="B54" s="59" t="s">
        <v>1019</v>
      </c>
      <c r="C54" s="32"/>
      <c r="D54" s="48">
        <v>2257311</v>
      </c>
      <c r="E54" s="32"/>
    </row>
    <row r="55" spans="1:5" ht="15">
      <c r="A55" s="32">
        <v>3</v>
      </c>
      <c r="B55" s="59" t="s">
        <v>1020</v>
      </c>
      <c r="C55" s="32"/>
      <c r="D55" s="48">
        <v>423450</v>
      </c>
      <c r="E55" s="32"/>
    </row>
    <row r="56" spans="1:5" ht="15">
      <c r="A56" s="32">
        <v>4</v>
      </c>
      <c r="B56" s="59" t="s">
        <v>1021</v>
      </c>
      <c r="C56" s="32"/>
      <c r="D56" s="48">
        <v>406000</v>
      </c>
      <c r="E56" s="32"/>
    </row>
    <row r="57" spans="1:5" ht="15">
      <c r="A57" s="51" t="str">
        <f>CONCATENATE("Total Expenditures for ",C5-1," Budgeted Year")</f>
        <v>Total Expenditures for 2014 Budgeted Year</v>
      </c>
      <c r="B57" s="61"/>
      <c r="C57" s="62"/>
      <c r="D57" s="63">
        <f>SUM(D17:D19,D21:D30,D36:D51,D53:D56)</f>
        <v>21639086</v>
      </c>
      <c r="E57" s="32"/>
    </row>
    <row r="58" spans="1:5" ht="15">
      <c r="A58" s="32" t="s">
        <v>277</v>
      </c>
      <c r="B58" s="64"/>
      <c r="C58" s="32"/>
      <c r="D58" s="32"/>
      <c r="E58" s="32"/>
    </row>
    <row r="59" spans="1:5" ht="15">
      <c r="A59" s="32">
        <v>1</v>
      </c>
      <c r="B59" s="59" t="s">
        <v>1022</v>
      </c>
      <c r="C59" s="32"/>
      <c r="D59" s="32"/>
      <c r="E59" s="32"/>
    </row>
    <row r="60" spans="1:5" ht="15">
      <c r="A60" s="32">
        <v>2</v>
      </c>
      <c r="B60" s="59" t="s">
        <v>1023</v>
      </c>
      <c r="C60" s="32"/>
      <c r="D60" s="32"/>
      <c r="E60" s="32"/>
    </row>
    <row r="61" spans="1:5" ht="15">
      <c r="A61" s="32">
        <v>3</v>
      </c>
      <c r="B61" s="59" t="s">
        <v>1024</v>
      </c>
      <c r="C61" s="32"/>
      <c r="D61" s="32"/>
      <c r="E61" s="32"/>
    </row>
    <row r="62" spans="1:5" ht="15">
      <c r="A62" s="32">
        <v>4</v>
      </c>
      <c r="B62" s="59" t="s">
        <v>1025</v>
      </c>
      <c r="C62" s="32"/>
      <c r="D62" s="32"/>
      <c r="E62" s="32"/>
    </row>
    <row r="63" spans="1:5" ht="15">
      <c r="A63" s="32">
        <v>5</v>
      </c>
      <c r="B63" s="59" t="s">
        <v>1148</v>
      </c>
      <c r="C63" s="32"/>
      <c r="D63" s="32"/>
      <c r="E63" s="32"/>
    </row>
    <row r="64" spans="1:5" ht="15">
      <c r="A64" s="32" t="s">
        <v>278</v>
      </c>
      <c r="B64" s="60"/>
      <c r="C64" s="32"/>
      <c r="D64" s="32"/>
      <c r="E64" s="32"/>
    </row>
    <row r="65" spans="1:5" ht="15">
      <c r="A65" s="32">
        <v>1</v>
      </c>
      <c r="B65" s="59" t="s">
        <v>1026</v>
      </c>
      <c r="C65" s="32"/>
      <c r="D65" s="32"/>
      <c r="E65" s="32"/>
    </row>
    <row r="66" spans="1:5" ht="15">
      <c r="A66" s="32">
        <v>2</v>
      </c>
      <c r="B66" s="59" t="s">
        <v>1027</v>
      </c>
      <c r="C66" s="32"/>
      <c r="D66" s="32"/>
      <c r="E66" s="32"/>
    </row>
    <row r="67" spans="1:5" ht="15">
      <c r="A67" s="32">
        <v>3</v>
      </c>
      <c r="B67" s="59" t="s">
        <v>1028</v>
      </c>
      <c r="C67" s="32"/>
      <c r="D67" s="32"/>
      <c r="E67" s="32"/>
    </row>
    <row r="68" spans="1:5" ht="15">
      <c r="A68" s="32">
        <v>4</v>
      </c>
      <c r="B68" s="59" t="s">
        <v>1029</v>
      </c>
      <c r="C68" s="32"/>
      <c r="D68" s="32"/>
      <c r="E68" s="32"/>
    </row>
    <row r="69" spans="1:5" ht="15">
      <c r="A69" s="32">
        <v>5</v>
      </c>
      <c r="B69" s="59" t="s">
        <v>1030</v>
      </c>
      <c r="C69" s="32"/>
      <c r="D69" s="32"/>
      <c r="E69" s="32"/>
    </row>
    <row r="70" spans="1:5" ht="15">
      <c r="A70" s="32" t="s">
        <v>279</v>
      </c>
      <c r="B70" s="60"/>
      <c r="C70" s="32"/>
      <c r="D70" s="32"/>
      <c r="E70" s="32"/>
    </row>
    <row r="71" spans="1:5" ht="15">
      <c r="A71" s="32">
        <v>1</v>
      </c>
      <c r="B71" s="59" t="s">
        <v>1031</v>
      </c>
      <c r="C71" s="32"/>
      <c r="D71" s="32"/>
      <c r="E71" s="32"/>
    </row>
    <row r="72" spans="1:5" ht="15">
      <c r="A72" s="32">
        <v>2</v>
      </c>
      <c r="B72" s="59" t="s">
        <v>1032</v>
      </c>
      <c r="C72" s="32"/>
      <c r="D72" s="32"/>
      <c r="E72" s="32"/>
    </row>
    <row r="73" spans="1:5" ht="15">
      <c r="A73" s="32">
        <v>3</v>
      </c>
      <c r="B73" s="59"/>
      <c r="C73" s="32"/>
      <c r="D73" s="32"/>
      <c r="E73" s="32"/>
    </row>
    <row r="74" spans="1:5" ht="15">
      <c r="A74" s="32">
        <v>4</v>
      </c>
      <c r="B74" s="59"/>
      <c r="C74" s="32"/>
      <c r="D74" s="32"/>
      <c r="E74" s="32"/>
    </row>
    <row r="75" spans="1:5" ht="15">
      <c r="A75" s="32">
        <v>5</v>
      </c>
      <c r="B75" s="59"/>
      <c r="C75" s="32"/>
      <c r="D75" s="32"/>
      <c r="E75" s="32"/>
    </row>
    <row r="76" spans="1:5" ht="15">
      <c r="A76" s="32" t="s">
        <v>280</v>
      </c>
      <c r="B76" s="60"/>
      <c r="C76" s="32"/>
      <c r="D76" s="32"/>
      <c r="E76" s="32"/>
    </row>
    <row r="77" spans="1:5" ht="15">
      <c r="A77" s="32">
        <v>1</v>
      </c>
      <c r="B77" s="59"/>
      <c r="C77" s="32"/>
      <c r="D77" s="32"/>
      <c r="E77" s="32"/>
    </row>
    <row r="78" spans="1:5" ht="15">
      <c r="A78" s="32">
        <v>2</v>
      </c>
      <c r="B78" s="59"/>
      <c r="C78" s="32"/>
      <c r="D78" s="32"/>
      <c r="E78" s="32"/>
    </row>
    <row r="79" spans="1:5" ht="15">
      <c r="A79" s="32">
        <v>3</v>
      </c>
      <c r="B79" s="59"/>
      <c r="C79" s="32"/>
      <c r="D79" s="32"/>
      <c r="E79" s="32"/>
    </row>
    <row r="80" spans="1:5" ht="15">
      <c r="A80" s="32">
        <v>4</v>
      </c>
      <c r="B80" s="59"/>
      <c r="C80" s="32"/>
      <c r="D80" s="32"/>
      <c r="E80" s="32"/>
    </row>
    <row r="81" spans="1:5" ht="15">
      <c r="A81" s="32">
        <v>5</v>
      </c>
      <c r="B81" s="59"/>
      <c r="C81" s="32"/>
      <c r="D81" s="32"/>
      <c r="E81" s="32"/>
    </row>
    <row r="82" spans="1:5" ht="15">
      <c r="A82" s="56"/>
      <c r="B82" s="57"/>
      <c r="C82" s="57"/>
      <c r="D82" s="57"/>
      <c r="E82" s="65"/>
    </row>
    <row r="83" spans="1:5" ht="15">
      <c r="A83" s="32"/>
      <c r="B83" s="32"/>
      <c r="C83" s="32"/>
      <c r="D83" s="32"/>
      <c r="E83" s="32"/>
    </row>
    <row r="84" spans="1:5" ht="15">
      <c r="A84" s="32"/>
      <c r="B84" s="32"/>
      <c r="C84" s="32"/>
      <c r="D84" s="66" t="str">
        <f>CONCATENATE("",C5-3," Tax Rate")</f>
        <v>2012 Tax Rate</v>
      </c>
      <c r="E84" s="32"/>
    </row>
    <row r="85" spans="1:5" ht="15">
      <c r="A85" s="40" t="str">
        <f>CONCATENATE("From the ",C5-1," Budget, Budget Summary Page")</f>
        <v>From the 2014 Budget, Budget Summary Page</v>
      </c>
      <c r="B85" s="41"/>
      <c r="C85" s="32"/>
      <c r="D85" s="67" t="str">
        <f>CONCATENATE("(",C5-2," Column)")</f>
        <v>(2013 Column)</v>
      </c>
      <c r="E85" s="32"/>
    </row>
    <row r="86" spans="1:5" ht="15">
      <c r="A86" s="32"/>
      <c r="B86" s="68" t="str">
        <f>B17</f>
        <v>General</v>
      </c>
      <c r="C86" s="32"/>
      <c r="D86" s="59">
        <v>31.478</v>
      </c>
      <c r="E86" s="32"/>
    </row>
    <row r="87" spans="1:5" ht="15">
      <c r="A87" s="32"/>
      <c r="B87" s="68" t="str">
        <f>B18</f>
        <v>Debt Service</v>
      </c>
      <c r="C87" s="32"/>
      <c r="D87" s="59">
        <v>2.214</v>
      </c>
      <c r="E87" s="32"/>
    </row>
    <row r="88" spans="1:5" ht="15">
      <c r="A88" s="32"/>
      <c r="B88" s="68" t="str">
        <f>B19</f>
        <v>Library</v>
      </c>
      <c r="C88" s="32"/>
      <c r="D88" s="59">
        <v>4.909</v>
      </c>
      <c r="E88" s="32"/>
    </row>
    <row r="89" spans="1:5" ht="15">
      <c r="A89" s="32"/>
      <c r="B89" s="68" t="str">
        <f>B21</f>
        <v>Airport</v>
      </c>
      <c r="C89" s="32"/>
      <c r="D89" s="59">
        <v>0.981</v>
      </c>
      <c r="E89" s="32"/>
    </row>
    <row r="90" spans="1:5" ht="15">
      <c r="A90" s="32"/>
      <c r="B90" s="68" t="str">
        <f aca="true" t="shared" si="0" ref="B90:B98">B22</f>
        <v>Industrial</v>
      </c>
      <c r="C90" s="32"/>
      <c r="D90" s="59">
        <v>1.013</v>
      </c>
      <c r="E90" s="32"/>
    </row>
    <row r="91" spans="1:5" ht="15">
      <c r="A91" s="32"/>
      <c r="B91" s="68" t="str">
        <f t="shared" si="0"/>
        <v>Fire Equipment</v>
      </c>
      <c r="C91" s="32"/>
      <c r="D91" s="59">
        <v>0.987</v>
      </c>
      <c r="E91" s="32"/>
    </row>
    <row r="92" spans="1:5" ht="15">
      <c r="A92" s="32"/>
      <c r="B92" s="68" t="str">
        <f t="shared" si="0"/>
        <v>Personnel Benefits</v>
      </c>
      <c r="C92" s="32"/>
      <c r="D92" s="59">
        <v>16.718</v>
      </c>
      <c r="E92" s="32"/>
    </row>
    <row r="93" spans="1:5" ht="15">
      <c r="A93" s="32"/>
      <c r="B93" s="68">
        <f t="shared" si="0"/>
        <v>0</v>
      </c>
      <c r="C93" s="32"/>
      <c r="D93" s="59"/>
      <c r="E93" s="32"/>
    </row>
    <row r="94" spans="1:5" ht="15">
      <c r="A94" s="32"/>
      <c r="B94" s="68">
        <f t="shared" si="0"/>
        <v>0</v>
      </c>
      <c r="C94" s="32"/>
      <c r="D94" s="59"/>
      <c r="E94" s="32"/>
    </row>
    <row r="95" spans="1:5" ht="15">
      <c r="A95" s="32"/>
      <c r="B95" s="68">
        <f t="shared" si="0"/>
        <v>0</v>
      </c>
      <c r="C95" s="32"/>
      <c r="D95" s="59"/>
      <c r="E95" s="32"/>
    </row>
    <row r="96" spans="1:5" ht="15">
      <c r="A96" s="32"/>
      <c r="B96" s="68">
        <f t="shared" si="0"/>
        <v>0</v>
      </c>
      <c r="C96" s="32"/>
      <c r="D96" s="59"/>
      <c r="E96" s="32"/>
    </row>
    <row r="97" spans="1:5" ht="15">
      <c r="A97" s="32"/>
      <c r="B97" s="68">
        <f t="shared" si="0"/>
        <v>0</v>
      </c>
      <c r="C97" s="32"/>
      <c r="D97" s="59"/>
      <c r="E97" s="32"/>
    </row>
    <row r="98" spans="1:5" ht="15">
      <c r="A98" s="32"/>
      <c r="B98" s="68">
        <f t="shared" si="0"/>
        <v>0</v>
      </c>
      <c r="C98" s="32"/>
      <c r="D98" s="59"/>
      <c r="E98" s="32"/>
    </row>
    <row r="99" spans="1:5" ht="15">
      <c r="A99" s="32"/>
      <c r="B99" s="142" t="str">
        <f>B33</f>
        <v>Recreation</v>
      </c>
      <c r="C99" s="136"/>
      <c r="D99" s="59">
        <v>3.971</v>
      </c>
      <c r="E99" s="32"/>
    </row>
    <row r="100" spans="1:5" ht="15">
      <c r="A100" s="51" t="s">
        <v>75</v>
      </c>
      <c r="B100" s="52"/>
      <c r="C100" s="62"/>
      <c r="D100" s="69">
        <f>SUM(D86:D99)</f>
        <v>62.271</v>
      </c>
      <c r="E100" s="32"/>
    </row>
    <row r="101" spans="1:5" ht="15">
      <c r="A101" s="32"/>
      <c r="B101" s="32"/>
      <c r="C101" s="32"/>
      <c r="D101" s="32"/>
      <c r="E101" s="32"/>
    </row>
    <row r="102" spans="1:5" ht="15">
      <c r="A102" s="70" t="str">
        <f>CONCATENATE("Total Tax Levied (",C5-2," budget column)")</f>
        <v>Total Tax Levied (2013 budget column)</v>
      </c>
      <c r="B102" s="71"/>
      <c r="C102" s="52"/>
      <c r="D102" s="62"/>
      <c r="E102" s="48">
        <v>1463657</v>
      </c>
    </row>
    <row r="103" spans="1:5" ht="15">
      <c r="A103" s="72" t="str">
        <f>CONCATENATE("Assessed Valuation  (",C5-2," budget column)")</f>
        <v>Assessed Valuation  (2013 budget column)</v>
      </c>
      <c r="B103" s="73"/>
      <c r="C103" s="53"/>
      <c r="D103" s="74"/>
      <c r="E103" s="48">
        <v>26184170</v>
      </c>
    </row>
    <row r="104" spans="1:5" ht="15">
      <c r="A104" s="56"/>
      <c r="B104" s="57"/>
      <c r="C104" s="57"/>
      <c r="D104" s="57"/>
      <c r="E104" s="65"/>
    </row>
    <row r="105" spans="1:5" ht="15">
      <c r="A105" s="75" t="str">
        <f>CONCATENATE("From the ",C5-1," Budget, Budget Summary Page")</f>
        <v>From the 2014 Budget, Budget Summary Page</v>
      </c>
      <c r="B105" s="76"/>
      <c r="C105" s="32"/>
      <c r="D105" s="77"/>
      <c r="E105" s="78"/>
    </row>
    <row r="106" spans="1:5" ht="15">
      <c r="A106" s="39" t="s">
        <v>3</v>
      </c>
      <c r="B106" s="39"/>
      <c r="C106" s="79"/>
      <c r="D106" s="80">
        <f>C5-3</f>
        <v>2012</v>
      </c>
      <c r="E106" s="81">
        <f>C5-2</f>
        <v>2013</v>
      </c>
    </row>
    <row r="107" spans="1:5" ht="15">
      <c r="A107" s="82" t="s">
        <v>249</v>
      </c>
      <c r="B107" s="82"/>
      <c r="C107" s="83"/>
      <c r="D107" s="84">
        <v>5415000</v>
      </c>
      <c r="E107" s="84"/>
    </row>
    <row r="108" spans="1:5" ht="15">
      <c r="A108" s="85" t="s">
        <v>250</v>
      </c>
      <c r="B108" s="85"/>
      <c r="C108" s="86"/>
      <c r="D108" s="84"/>
      <c r="E108" s="84"/>
    </row>
    <row r="109" spans="1:5" ht="15">
      <c r="A109" s="85" t="s">
        <v>251</v>
      </c>
      <c r="B109" s="85"/>
      <c r="C109" s="86"/>
      <c r="D109" s="84"/>
      <c r="E109" s="84"/>
    </row>
    <row r="110" spans="1:5" ht="15">
      <c r="A110" s="85" t="s">
        <v>252</v>
      </c>
      <c r="B110" s="85"/>
      <c r="C110" s="86"/>
      <c r="D110" s="84"/>
      <c r="E110" s="84"/>
    </row>
    <row r="111" spans="1:5" ht="15">
      <c r="A111" s="87"/>
      <c r="B111" s="87"/>
      <c r="C111" s="87"/>
      <c r="D111" s="87"/>
      <c r="E111" s="87"/>
    </row>
    <row r="112" spans="1:5" ht="15">
      <c r="A112" s="87"/>
      <c r="B112" s="87"/>
      <c r="C112" s="87"/>
      <c r="D112" s="87"/>
      <c r="E112" s="87"/>
    </row>
    <row r="113" spans="1:5" ht="15">
      <c r="A113" s="87"/>
      <c r="B113" s="87"/>
      <c r="C113" s="87"/>
      <c r="D113" s="87"/>
      <c r="E113" s="87"/>
    </row>
    <row r="114" spans="1:5" ht="15">
      <c r="A114" s="87"/>
      <c r="B114" s="87"/>
      <c r="C114" s="87"/>
      <c r="D114" s="87"/>
      <c r="E114" s="87"/>
    </row>
    <row r="115" spans="1:5" ht="15">
      <c r="A115" s="87"/>
      <c r="B115" s="87"/>
      <c r="C115" s="87"/>
      <c r="D115" s="87"/>
      <c r="E115" s="87"/>
    </row>
    <row r="116" spans="1:5" ht="15">
      <c r="A116" s="87"/>
      <c r="B116" s="87"/>
      <c r="C116" s="87"/>
      <c r="D116" s="87"/>
      <c r="E116" s="87"/>
    </row>
    <row r="117" s="87" customFormat="1" ht="15"/>
    <row r="118" spans="1:5" ht="15">
      <c r="A118" s="87"/>
      <c r="B118" s="87"/>
      <c r="C118" s="87"/>
      <c r="D118" s="87"/>
      <c r="E118" s="87"/>
    </row>
    <row r="119" spans="1:5" ht="15">
      <c r="A119" s="87"/>
      <c r="B119" s="87"/>
      <c r="C119" s="87"/>
      <c r="D119" s="87"/>
      <c r="E119" s="87"/>
    </row>
    <row r="120" spans="1:5" ht="15">
      <c r="A120" s="87"/>
      <c r="B120" s="87"/>
      <c r="C120" s="87"/>
      <c r="D120" s="87"/>
      <c r="E120" s="87"/>
    </row>
    <row r="121" spans="1:5" ht="15">
      <c r="A121" s="87"/>
      <c r="B121" s="87"/>
      <c r="C121" s="87"/>
      <c r="D121" s="87"/>
      <c r="E121" s="87"/>
    </row>
    <row r="122" spans="1:5" ht="15">
      <c r="A122" s="87"/>
      <c r="B122" s="87"/>
      <c r="C122" s="87"/>
      <c r="D122" s="87"/>
      <c r="E122" s="87"/>
    </row>
    <row r="123" spans="1:5" ht="15">
      <c r="A123" s="87"/>
      <c r="B123" s="87"/>
      <c r="C123" s="87"/>
      <c r="D123" s="87"/>
      <c r="E123" s="87"/>
    </row>
    <row r="124" spans="1:5" ht="15">
      <c r="A124" s="87"/>
      <c r="B124" s="87"/>
      <c r="C124" s="87"/>
      <c r="D124" s="87"/>
      <c r="E124" s="87"/>
    </row>
    <row r="125" spans="1:5" ht="15">
      <c r="A125" s="87"/>
      <c r="B125" s="87"/>
      <c r="C125" s="87"/>
      <c r="D125" s="87"/>
      <c r="E125" s="87"/>
    </row>
    <row r="126" spans="1:5" ht="15">
      <c r="A126" s="87"/>
      <c r="B126" s="87"/>
      <c r="C126" s="87"/>
      <c r="D126" s="87"/>
      <c r="E126" s="87"/>
    </row>
    <row r="127" spans="1:5" ht="15">
      <c r="A127" s="87"/>
      <c r="B127" s="87"/>
      <c r="C127" s="87"/>
      <c r="D127" s="87"/>
      <c r="E127" s="87"/>
    </row>
    <row r="128" spans="1:5" ht="15">
      <c r="A128" s="87"/>
      <c r="B128" s="87"/>
      <c r="C128" s="87"/>
      <c r="D128" s="87"/>
      <c r="E128" s="87"/>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68"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1">
      <selection activeCell="C82" sqref="C82"/>
    </sheetView>
  </sheetViews>
  <sheetFormatPr defaultColWidth="8.8984375" defaultRowHeight="15"/>
  <cols>
    <col min="1" max="1" width="2.3984375" style="30" customWidth="1"/>
    <col min="2" max="2" width="31.09765625" style="30" customWidth="1"/>
    <col min="3" max="4" width="15.69921875" style="30" customWidth="1"/>
    <col min="5" max="5" width="16.0976562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171</v>
      </c>
      <c r="C3" s="182"/>
      <c r="D3" s="182"/>
      <c r="E3" s="270"/>
    </row>
    <row r="4" spans="2:5" ht="15">
      <c r="B4" s="33" t="s">
        <v>103</v>
      </c>
      <c r="C4" s="405" t="s">
        <v>806</v>
      </c>
      <c r="D4" s="404" t="s">
        <v>807</v>
      </c>
      <c r="E4" s="383" t="s">
        <v>808</v>
      </c>
    </row>
    <row r="5" spans="2:5" ht="15">
      <c r="B5" s="531">
        <f>inputPrYr!B27</f>
        <v>0</v>
      </c>
      <c r="C5" s="406" t="str">
        <f>CONCATENATE("Actual for ",E1-2,"")</f>
        <v>Actual for 2013</v>
      </c>
      <c r="D5" s="406" t="str">
        <f>CONCATENATE("Estimate for ",E1-1,"")</f>
        <v>Estimate for 2014</v>
      </c>
      <c r="E5" s="391" t="str">
        <f>CONCATENATE("Year for ",E1,"")</f>
        <v>Year for 2015</v>
      </c>
    </row>
    <row r="6" spans="2:5" ht="15">
      <c r="B6" s="234" t="s">
        <v>214</v>
      </c>
      <c r="C6" s="239"/>
      <c r="D6" s="237">
        <f>C34</f>
        <v>0</v>
      </c>
      <c r="E6" s="208">
        <f>D34</f>
        <v>0</v>
      </c>
    </row>
    <row r="7" spans="2:5" ht="15">
      <c r="B7" s="238" t="s">
        <v>216</v>
      </c>
      <c r="C7" s="142"/>
      <c r="D7" s="142"/>
      <c r="E7" s="68"/>
    </row>
    <row r="8" spans="2:5" ht="15">
      <c r="B8" s="133" t="s">
        <v>104</v>
      </c>
      <c r="C8" s="239"/>
      <c r="D8" s="237">
        <f>IF(inputPrYr!H16&gt;0,inputPrYr!G27,inputPrYr!E27)</f>
        <v>0</v>
      </c>
      <c r="E8" s="268" t="s">
        <v>92</v>
      </c>
    </row>
    <row r="9" spans="2:5" ht="15">
      <c r="B9" s="133" t="s">
        <v>105</v>
      </c>
      <c r="C9" s="239"/>
      <c r="D9" s="239"/>
      <c r="E9" s="48"/>
    </row>
    <row r="10" spans="2:5" ht="15">
      <c r="B10" s="133" t="s">
        <v>106</v>
      </c>
      <c r="C10" s="239"/>
      <c r="D10" s="239"/>
      <c r="E10" s="208" t="str">
        <f>mvalloc!D16</f>
        <v>  </v>
      </c>
    </row>
    <row r="11" spans="2:5" ht="15">
      <c r="B11" s="133" t="s">
        <v>107</v>
      </c>
      <c r="C11" s="239"/>
      <c r="D11" s="239"/>
      <c r="E11" s="208" t="str">
        <f>mvalloc!E16</f>
        <v> </v>
      </c>
    </row>
    <row r="12" spans="2:5" ht="15">
      <c r="B12" s="142" t="s">
        <v>203</v>
      </c>
      <c r="C12" s="239"/>
      <c r="D12" s="239"/>
      <c r="E12" s="208" t="str">
        <f>mvalloc!F16</f>
        <v> </v>
      </c>
    </row>
    <row r="13" spans="2:5" ht="15">
      <c r="B13" s="255"/>
      <c r="C13" s="239"/>
      <c r="D13" s="239"/>
      <c r="E13" s="48"/>
    </row>
    <row r="14" spans="2:5" ht="15">
      <c r="B14" s="255"/>
      <c r="C14" s="239"/>
      <c r="D14" s="239"/>
      <c r="E14" s="48"/>
    </row>
    <row r="15" spans="2:5" ht="15">
      <c r="B15" s="255"/>
      <c r="C15" s="239"/>
      <c r="D15" s="239"/>
      <c r="E15" s="48"/>
    </row>
    <row r="16" spans="2:5" ht="15">
      <c r="B16" s="255"/>
      <c r="C16" s="239"/>
      <c r="D16" s="239"/>
      <c r="E16" s="48"/>
    </row>
    <row r="17" spans="2:5" ht="15">
      <c r="B17" s="243" t="s">
        <v>111</v>
      </c>
      <c r="C17" s="239"/>
      <c r="D17" s="239"/>
      <c r="E17" s="48"/>
    </row>
    <row r="18" spans="2:5" ht="15">
      <c r="B18" s="142" t="s">
        <v>13</v>
      </c>
      <c r="C18" s="239"/>
      <c r="D18" s="239"/>
      <c r="E18" s="48"/>
    </row>
    <row r="19" spans="2:5" ht="15">
      <c r="B19" s="234" t="s">
        <v>785</v>
      </c>
      <c r="C19" s="244">
        <f>IF(C20*0.1&lt;C18,"Exceed 10% Rule","")</f>
      </c>
      <c r="D19" s="244">
        <f>IF(D20*0.1&lt;D18,"Exceed 10% Rule","")</f>
      </c>
      <c r="E19" s="282">
        <f>IF(E20*0.1+E40&lt;E18,"Exceed 10% Rule","")</f>
      </c>
    </row>
    <row r="20" spans="2:5" ht="15">
      <c r="B20" s="246" t="s">
        <v>112</v>
      </c>
      <c r="C20" s="248">
        <f>SUM(C8:C18)</f>
        <v>0</v>
      </c>
      <c r="D20" s="248">
        <f>SUM(D8:D18)</f>
        <v>0</v>
      </c>
      <c r="E20" s="249">
        <f>SUM(E8:E18)</f>
        <v>0</v>
      </c>
    </row>
    <row r="21" spans="2:5" ht="15">
      <c r="B21" s="246" t="s">
        <v>113</v>
      </c>
      <c r="C21" s="248">
        <f>C6+C20</f>
        <v>0</v>
      </c>
      <c r="D21" s="248">
        <f>D6+D20</f>
        <v>0</v>
      </c>
      <c r="E21" s="249">
        <f>E6+E20</f>
        <v>0</v>
      </c>
    </row>
    <row r="22" spans="2:5" ht="15">
      <c r="B22" s="133" t="s">
        <v>115</v>
      </c>
      <c r="C22" s="256"/>
      <c r="D22" s="256"/>
      <c r="E22" s="46"/>
    </row>
    <row r="23" spans="2:5" ht="15">
      <c r="B23" s="255"/>
      <c r="C23" s="239"/>
      <c r="D23" s="239"/>
      <c r="E23" s="48"/>
    </row>
    <row r="24" spans="2:10" ht="15">
      <c r="B24" s="255"/>
      <c r="C24" s="239"/>
      <c r="D24" s="239"/>
      <c r="E24" s="48"/>
      <c r="G24" s="1036" t="str">
        <f>CONCATENATE("Desired Carryover Into ",E1+1,"")</f>
        <v>Desired Carryover Into 2016</v>
      </c>
      <c r="H24" s="1019"/>
      <c r="I24" s="1019"/>
      <c r="J24" s="1020"/>
    </row>
    <row r="25" spans="2:10" ht="15">
      <c r="B25" s="255"/>
      <c r="C25" s="239"/>
      <c r="D25" s="239"/>
      <c r="E25" s="48"/>
      <c r="G25" s="786"/>
      <c r="H25" s="787"/>
      <c r="I25" s="788"/>
      <c r="J25" s="789"/>
    </row>
    <row r="26" spans="2:10" ht="15">
      <c r="B26" s="255"/>
      <c r="C26" s="239"/>
      <c r="D26" s="239"/>
      <c r="E26" s="48"/>
      <c r="G26" s="790" t="s">
        <v>773</v>
      </c>
      <c r="H26" s="788"/>
      <c r="I26" s="788"/>
      <c r="J26" s="791">
        <v>0</v>
      </c>
    </row>
    <row r="27" spans="2:10" ht="15">
      <c r="B27" s="255"/>
      <c r="C27" s="239"/>
      <c r="D27" s="239"/>
      <c r="E27" s="48"/>
      <c r="G27" s="786" t="s">
        <v>774</v>
      </c>
      <c r="H27" s="787"/>
      <c r="I27" s="787"/>
      <c r="J27" s="792">
        <f>IF(J26=0,"",ROUND((J26+E40-G39)/inputOth!E9*1000,3)-G44)</f>
      </c>
    </row>
    <row r="28" spans="2:10" ht="15">
      <c r="B28" s="255"/>
      <c r="C28" s="239"/>
      <c r="D28" s="239"/>
      <c r="E28" s="48"/>
      <c r="G28" s="793" t="str">
        <f>CONCATENATE("",E1," Tot Exp/Non-Appr Must Be:")</f>
        <v>2015 Tot Exp/Non-Appr Must Be:</v>
      </c>
      <c r="H28" s="794"/>
      <c r="I28" s="795"/>
      <c r="J28" s="796">
        <f>IF(J26&gt;0,IF(E37&lt;E21,IF(J26=G39,E37,((J26-G39)*(1-D39))+E21),E37+(J26-G39)),0)</f>
        <v>0</v>
      </c>
    </row>
    <row r="29" spans="2:10" ht="15">
      <c r="B29" s="255"/>
      <c r="C29" s="239"/>
      <c r="D29" s="239"/>
      <c r="E29" s="48"/>
      <c r="G29" s="797" t="s">
        <v>809</v>
      </c>
      <c r="H29" s="798"/>
      <c r="I29" s="798"/>
      <c r="J29" s="765">
        <f>IF(J26&gt;0,J28-E37,0)</f>
        <v>0</v>
      </c>
    </row>
    <row r="30" spans="2:10" ht="15">
      <c r="B30" s="256" t="s">
        <v>12</v>
      </c>
      <c r="C30" s="239"/>
      <c r="D30" s="239"/>
      <c r="E30" s="63">
        <f>nhood!E15</f>
      </c>
      <c r="J30" s="2"/>
    </row>
    <row r="31" spans="2:10" ht="15">
      <c r="B31" s="256" t="s">
        <v>13</v>
      </c>
      <c r="C31" s="239"/>
      <c r="D31" s="239"/>
      <c r="E31" s="48"/>
      <c r="G31" s="1036" t="str">
        <f>CONCATENATE("Projected Carryover Into ",E1+1,"")</f>
        <v>Projected Carryover Into 2016</v>
      </c>
      <c r="H31" s="1041"/>
      <c r="I31" s="1041"/>
      <c r="J31" s="1039"/>
    </row>
    <row r="32" spans="2:10" ht="15">
      <c r="B32" s="256" t="s">
        <v>786</v>
      </c>
      <c r="C32" s="244">
        <f>IF(C33*0.1&lt;C31,"Exceed 10% Rule","")</f>
      </c>
      <c r="D32" s="244">
        <f>IF(D33*0.1&lt;D31,"Exceed 10% Rule","")</f>
      </c>
      <c r="E32" s="282">
        <f>IF(E33*0.1&lt;E31,"Exceed 10% Rule","")</f>
      </c>
      <c r="G32" s="786"/>
      <c r="H32" s="788"/>
      <c r="I32" s="788"/>
      <c r="J32" s="812"/>
    </row>
    <row r="33" spans="2:10" ht="15">
      <c r="B33" s="246" t="s">
        <v>119</v>
      </c>
      <c r="C33" s="248">
        <f>SUM(C23:C31)</f>
        <v>0</v>
      </c>
      <c r="D33" s="248">
        <f>SUM(D23:D31)</f>
        <v>0</v>
      </c>
      <c r="E33" s="249">
        <f>SUM(E23:E31)</f>
        <v>0</v>
      </c>
      <c r="G33" s="813">
        <f>D34</f>
        <v>0</v>
      </c>
      <c r="H33" s="777" t="str">
        <f>CONCATENATE("",E1-1," Ending Cash Balance (est.)")</f>
        <v>2014 Ending Cash Balance (est.)</v>
      </c>
      <c r="I33" s="814"/>
      <c r="J33" s="812"/>
    </row>
    <row r="34" spans="2:10" ht="15">
      <c r="B34" s="133" t="s">
        <v>215</v>
      </c>
      <c r="C34" s="252">
        <f>C21-C33</f>
        <v>0</v>
      </c>
      <c r="D34" s="252">
        <f>D21-D33</f>
        <v>0</v>
      </c>
      <c r="E34" s="268" t="s">
        <v>92</v>
      </c>
      <c r="G34" s="813">
        <f>E20</f>
        <v>0</v>
      </c>
      <c r="H34" s="788" t="str">
        <f>CONCATENATE("",E1," Non-AV Receipts (est.)")</f>
        <v>2015 Non-AV Receipts (est.)</v>
      </c>
      <c r="I34" s="814"/>
      <c r="J34" s="812"/>
    </row>
    <row r="35" spans="2:11" ht="15">
      <c r="B35" s="153" t="str">
        <f>CONCATENATE("",E1-2,"/",E1-1,"/",E1," Budget Authority Amount:")</f>
        <v>2013/2014/2015 Budget Authority Amount:</v>
      </c>
      <c r="C35" s="910">
        <f>inputOth!B72</f>
        <v>0</v>
      </c>
      <c r="D35" s="837">
        <f>inputPrYr!D27</f>
        <v>0</v>
      </c>
      <c r="E35" s="208">
        <f>E33</f>
        <v>0</v>
      </c>
      <c r="F35" s="258"/>
      <c r="G35" s="815">
        <f>IF(E39&gt;0,E38,E40)</f>
        <v>0</v>
      </c>
      <c r="H35" s="788" t="str">
        <f>CONCATENATE("",E1," Ad Valorem Tax (est.)")</f>
        <v>2015 Ad Valorem Tax (est.)</v>
      </c>
      <c r="I35" s="814"/>
      <c r="J35" s="800"/>
      <c r="K35" s="770">
        <f>IF(G35=E40,"","Note: Does not include Delinquent Taxes")</f>
      </c>
    </row>
    <row r="36" spans="2:10" ht="15">
      <c r="B36" s="119"/>
      <c r="C36" s="1010" t="s">
        <v>631</v>
      </c>
      <c r="D36" s="1011"/>
      <c r="E36" s="48"/>
      <c r="F36" s="873">
        <f>IF(E33/0.95-E33&lt;E36,"Exceeds 5%","")</f>
      </c>
      <c r="G36" s="813">
        <f>SUM(G33:G35)</f>
        <v>0</v>
      </c>
      <c r="H36" s="788" t="str">
        <f>CONCATENATE("Total ",E1," Resources Available")</f>
        <v>Total 2015 Resources Available</v>
      </c>
      <c r="I36" s="814"/>
      <c r="J36" s="812"/>
    </row>
    <row r="37" spans="2:10" ht="15">
      <c r="B37" s="527" t="str">
        <f>CONCATENATE(C94,"     ",D94)</f>
        <v>     </v>
      </c>
      <c r="C37" s="1012" t="s">
        <v>632</v>
      </c>
      <c r="D37" s="1013"/>
      <c r="E37" s="208">
        <f>E33+E36</f>
        <v>0</v>
      </c>
      <c r="G37" s="832"/>
      <c r="H37" s="788"/>
      <c r="I37" s="788"/>
      <c r="J37" s="812"/>
    </row>
    <row r="38" spans="2:10" ht="15">
      <c r="B38" s="527" t="str">
        <f>CONCATENATE(C95,"     ",D95)</f>
        <v>     </v>
      </c>
      <c r="C38" s="259"/>
      <c r="D38" s="151" t="s">
        <v>120</v>
      </c>
      <c r="E38" s="63">
        <f>IF(E37-E21&gt;0,E37-E21,0)</f>
        <v>0</v>
      </c>
      <c r="G38" s="815">
        <f>ROUND(C33*0.05+C33,0)</f>
        <v>0</v>
      </c>
      <c r="H38" s="788" t="str">
        <f>CONCATENATE("Less ",E1-2," Expenditures + 5%")</f>
        <v>Less 2013 Expenditures + 5%</v>
      </c>
      <c r="I38" s="814"/>
      <c r="J38" s="812"/>
    </row>
    <row r="39" spans="2:10" ht="15">
      <c r="B39" s="151"/>
      <c r="C39" s="370" t="s">
        <v>630</v>
      </c>
      <c r="D39" s="733">
        <f>inputOth!$E$50</f>
        <v>0.013</v>
      </c>
      <c r="E39" s="208">
        <f>ROUND(IF(D39&gt;0,(E38*D39),0),0)</f>
        <v>0</v>
      </c>
      <c r="G39" s="833">
        <f>G36-G38</f>
        <v>0</v>
      </c>
      <c r="H39" s="834" t="str">
        <f>CONCATENATE("Projected ",E1+1," carryover (est.)")</f>
        <v>Projected 2016 carryover (est.)</v>
      </c>
      <c r="I39" s="835"/>
      <c r="J39" s="825"/>
    </row>
    <row r="40" spans="2:10" ht="15.75" thickBot="1">
      <c r="B40" s="32"/>
      <c r="C40" s="1014" t="str">
        <f>CONCATENATE("Amount of  ",$E$1-1," Ad Valorem Tax")</f>
        <v>Amount of  2014 Ad Valorem Tax</v>
      </c>
      <c r="D40" s="1015"/>
      <c r="E40" s="736">
        <f>E38+E39</f>
        <v>0</v>
      </c>
      <c r="G40" s="2"/>
      <c r="H40" s="2"/>
      <c r="I40" s="2"/>
      <c r="J40" s="2"/>
    </row>
    <row r="41" spans="2:10" ht="15.75" thickTop="1">
      <c r="B41" s="32"/>
      <c r="C41" s="32"/>
      <c r="D41" s="32"/>
      <c r="E41" s="32"/>
      <c r="G41" s="1021" t="s">
        <v>810</v>
      </c>
      <c r="H41" s="1022"/>
      <c r="I41" s="1022"/>
      <c r="J41" s="1023"/>
    </row>
    <row r="42" spans="2:10" ht="15">
      <c r="B42" s="33"/>
      <c r="C42" s="125"/>
      <c r="D42" s="125"/>
      <c r="E42" s="125"/>
      <c r="G42" s="776"/>
      <c r="H42" s="777"/>
      <c r="I42" s="778"/>
      <c r="J42" s="779"/>
    </row>
    <row r="43" spans="2:10" ht="15">
      <c r="B43" s="33" t="s">
        <v>103</v>
      </c>
      <c r="C43" s="405" t="s">
        <v>806</v>
      </c>
      <c r="D43" s="404" t="s">
        <v>807</v>
      </c>
      <c r="E43" s="383" t="s">
        <v>808</v>
      </c>
      <c r="G43" s="780" t="str">
        <f>summ!H24</f>
        <v>  </v>
      </c>
      <c r="H43" s="777" t="str">
        <f>CONCATENATE("",E1," Fund Mill Rate")</f>
        <v>2015 Fund Mill Rate</v>
      </c>
      <c r="I43" s="778"/>
      <c r="J43" s="779"/>
    </row>
    <row r="44" spans="2:10" ht="15">
      <c r="B44" s="531">
        <f>inputPrYr!B28</f>
        <v>0</v>
      </c>
      <c r="C44" s="406" t="str">
        <f>CONCATENATE("Actual for ",E1-2,"")</f>
        <v>Actual for 2013</v>
      </c>
      <c r="D44" s="406" t="str">
        <f>CONCATENATE("Estimate for ",E1-1,"")</f>
        <v>Estimate for 2014</v>
      </c>
      <c r="E44" s="391" t="str">
        <f>CONCATENATE("Year for ",E1,"")</f>
        <v>Year for 2015</v>
      </c>
      <c r="G44" s="781" t="str">
        <f>summ!E24</f>
        <v>  </v>
      </c>
      <c r="H44" s="777" t="str">
        <f>CONCATENATE("",E1-1," Fund Mill Rate")</f>
        <v>2014 Fund Mill Rate</v>
      </c>
      <c r="I44" s="778"/>
      <c r="J44" s="779"/>
    </row>
    <row r="45" spans="2:10" ht="15">
      <c r="B45" s="234" t="s">
        <v>214</v>
      </c>
      <c r="C45" s="239"/>
      <c r="D45" s="237">
        <f>C74</f>
        <v>0</v>
      </c>
      <c r="E45" s="208">
        <f>D74</f>
        <v>0</v>
      </c>
      <c r="G45" s="782">
        <f>summ!H52</f>
        <v>59.433</v>
      </c>
      <c r="H45" s="777" t="str">
        <f>CONCATENATE("Total ",E1," Mill Rate")</f>
        <v>Total 2015 Mill Rate</v>
      </c>
      <c r="I45" s="778"/>
      <c r="J45" s="779"/>
    </row>
    <row r="46" spans="2:10" ht="15">
      <c r="B46" s="238" t="s">
        <v>216</v>
      </c>
      <c r="C46" s="142"/>
      <c r="D46" s="142"/>
      <c r="E46" s="68"/>
      <c r="G46" s="781">
        <f>summ!E52</f>
        <v>60.644</v>
      </c>
      <c r="H46" s="783" t="str">
        <f>CONCATENATE("Total ",E1-1," Mill Rate")</f>
        <v>Total 2014 Mill Rate</v>
      </c>
      <c r="I46" s="784"/>
      <c r="J46" s="785"/>
    </row>
    <row r="47" spans="2:5" ht="15">
      <c r="B47" s="133" t="s">
        <v>104</v>
      </c>
      <c r="C47" s="239"/>
      <c r="D47" s="237">
        <f>IF(inputPrYr!H16&gt;0,inputPrYr!G28,inputPrYr!E28)</f>
        <v>0</v>
      </c>
      <c r="E47" s="268" t="s">
        <v>92</v>
      </c>
    </row>
    <row r="48" spans="2:9" ht="15">
      <c r="B48" s="133" t="s">
        <v>105</v>
      </c>
      <c r="C48" s="239"/>
      <c r="D48" s="239"/>
      <c r="E48" s="48"/>
      <c r="G48" s="943" t="s">
        <v>990</v>
      </c>
      <c r="H48" s="898"/>
      <c r="I48" s="897" t="str">
        <f>cert!F60</f>
        <v>Yes</v>
      </c>
    </row>
    <row r="49" spans="2:5" ht="15">
      <c r="B49" s="133" t="s">
        <v>106</v>
      </c>
      <c r="C49" s="239"/>
      <c r="D49" s="239"/>
      <c r="E49" s="208" t="str">
        <f>mvalloc!D17</f>
        <v>  </v>
      </c>
    </row>
    <row r="50" spans="2:5" ht="15">
      <c r="B50" s="133" t="s">
        <v>107</v>
      </c>
      <c r="C50" s="239"/>
      <c r="D50" s="239"/>
      <c r="E50" s="208" t="str">
        <f>mvalloc!E17</f>
        <v> </v>
      </c>
    </row>
    <row r="51" spans="2:5" ht="15">
      <c r="B51" s="142" t="s">
        <v>203</v>
      </c>
      <c r="C51" s="239"/>
      <c r="D51" s="239"/>
      <c r="E51" s="208" t="str">
        <f>mvalloc!F17</f>
        <v> </v>
      </c>
    </row>
    <row r="52" spans="2:5" ht="15">
      <c r="B52" s="255"/>
      <c r="C52" s="239"/>
      <c r="D52" s="239"/>
      <c r="E52" s="48"/>
    </row>
    <row r="53" spans="2:5" ht="15">
      <c r="B53" s="255"/>
      <c r="C53" s="239"/>
      <c r="D53" s="239"/>
      <c r="E53" s="48"/>
    </row>
    <row r="54" spans="2:5" ht="15">
      <c r="B54" s="255"/>
      <c r="C54" s="239"/>
      <c r="D54" s="239"/>
      <c r="E54" s="48"/>
    </row>
    <row r="55" spans="2:5" ht="15">
      <c r="B55" s="255"/>
      <c r="C55" s="239"/>
      <c r="D55" s="239"/>
      <c r="E55" s="48"/>
    </row>
    <row r="56" spans="2:5" ht="15">
      <c r="B56" s="255"/>
      <c r="C56" s="239"/>
      <c r="D56" s="239"/>
      <c r="E56" s="48"/>
    </row>
    <row r="57" spans="2:5" ht="15">
      <c r="B57" s="243" t="s">
        <v>111</v>
      </c>
      <c r="C57" s="239"/>
      <c r="D57" s="239"/>
      <c r="E57" s="48"/>
    </row>
    <row r="58" spans="2:5" ht="15">
      <c r="B58" s="142" t="s">
        <v>13</v>
      </c>
      <c r="C58" s="239"/>
      <c r="D58" s="239"/>
      <c r="E58" s="48"/>
    </row>
    <row r="59" spans="2:5" ht="15">
      <c r="B59" s="234" t="s">
        <v>785</v>
      </c>
      <c r="C59" s="244">
        <f>IF(C60*0.1&lt;C58,"Exceed 10% Rule","")</f>
      </c>
      <c r="D59" s="244">
        <f>IF(D60*0.1&lt;D58,"Exceed 10% Rule","")</f>
      </c>
      <c r="E59" s="282">
        <f>IF(E60*0.1+E80&lt;E58,"Exceed 10% Rule","")</f>
      </c>
    </row>
    <row r="60" spans="2:5" ht="15">
      <c r="B60" s="246" t="s">
        <v>112</v>
      </c>
      <c r="C60" s="248">
        <f>SUM(C47:C58)</f>
        <v>0</v>
      </c>
      <c r="D60" s="248">
        <f>SUM(D47:D58)</f>
        <v>0</v>
      </c>
      <c r="E60" s="249">
        <f>SUM(E47:E58)</f>
        <v>0</v>
      </c>
    </row>
    <row r="61" spans="2:5" ht="15">
      <c r="B61" s="246" t="s">
        <v>113</v>
      </c>
      <c r="C61" s="248">
        <f>C45+C60</f>
        <v>0</v>
      </c>
      <c r="D61" s="248">
        <f>D45+D60</f>
        <v>0</v>
      </c>
      <c r="E61" s="249">
        <f>E45+E60</f>
        <v>0</v>
      </c>
    </row>
    <row r="62" spans="2:5" ht="15">
      <c r="B62" s="133" t="s">
        <v>115</v>
      </c>
      <c r="C62" s="256"/>
      <c r="D62" s="256"/>
      <c r="E62" s="46"/>
    </row>
    <row r="63" spans="2:5" ht="15">
      <c r="B63" s="255"/>
      <c r="C63" s="239"/>
      <c r="D63" s="239"/>
      <c r="E63" s="48"/>
    </row>
    <row r="64" spans="2:10" ht="15">
      <c r="B64" s="255"/>
      <c r="C64" s="239"/>
      <c r="D64" s="239"/>
      <c r="E64" s="48"/>
      <c r="G64" s="1036" t="str">
        <f>CONCATENATE("Desired Carryover Into ",E1+1,"")</f>
        <v>Desired Carryover Into 2016</v>
      </c>
      <c r="H64" s="1019"/>
      <c r="I64" s="1019"/>
      <c r="J64" s="1020"/>
    </row>
    <row r="65" spans="2:10" ht="15">
      <c r="B65" s="255"/>
      <c r="C65" s="239"/>
      <c r="D65" s="239"/>
      <c r="E65" s="48"/>
      <c r="G65" s="786"/>
      <c r="H65" s="787"/>
      <c r="I65" s="788"/>
      <c r="J65" s="789"/>
    </row>
    <row r="66" spans="2:10" ht="15">
      <c r="B66" s="255"/>
      <c r="C66" s="239"/>
      <c r="D66" s="239"/>
      <c r="E66" s="48"/>
      <c r="G66" s="790" t="s">
        <v>773</v>
      </c>
      <c r="H66" s="788"/>
      <c r="I66" s="788"/>
      <c r="J66" s="791">
        <v>0</v>
      </c>
    </row>
    <row r="67" spans="2:10" ht="15">
      <c r="B67" s="255"/>
      <c r="C67" s="239"/>
      <c r="D67" s="239"/>
      <c r="E67" s="48"/>
      <c r="G67" s="786" t="s">
        <v>774</v>
      </c>
      <c r="H67" s="787"/>
      <c r="I67" s="787"/>
      <c r="J67" s="792">
        <f>IF(J66=0,"",ROUND((J66+E80-G79)/inputOth!E9*1000,3)-G84)</f>
      </c>
    </row>
    <row r="68" spans="2:10" ht="15">
      <c r="B68" s="255"/>
      <c r="C68" s="239"/>
      <c r="D68" s="239"/>
      <c r="E68" s="48"/>
      <c r="G68" s="793" t="str">
        <f>CONCATENATE("",E1," Tot Exp/Non-Appr Must Be:")</f>
        <v>2015 Tot Exp/Non-Appr Must Be:</v>
      </c>
      <c r="H68" s="794"/>
      <c r="I68" s="795"/>
      <c r="J68" s="796">
        <f>IF(J66&gt;0,IF(E77&lt;E61,IF(J66=G79,E77,((J66-G79)*(1-D79))+E61),E77+(J66-G79)),0)</f>
        <v>0</v>
      </c>
    </row>
    <row r="69" spans="2:10" ht="15">
      <c r="B69" s="255"/>
      <c r="C69" s="239"/>
      <c r="D69" s="239"/>
      <c r="E69" s="48"/>
      <c r="G69" s="797" t="s">
        <v>809</v>
      </c>
      <c r="H69" s="798"/>
      <c r="I69" s="798"/>
      <c r="J69" s="765">
        <f>IF(J66&gt;0,J68-E77,0)</f>
        <v>0</v>
      </c>
    </row>
    <row r="70" spans="2:10" ht="15">
      <c r="B70" s="256" t="s">
        <v>12</v>
      </c>
      <c r="C70" s="239"/>
      <c r="D70" s="239"/>
      <c r="E70" s="63">
        <f>nhood!E16</f>
      </c>
      <c r="J70" s="2"/>
    </row>
    <row r="71" spans="2:10" ht="15">
      <c r="B71" s="256" t="s">
        <v>13</v>
      </c>
      <c r="C71" s="239"/>
      <c r="D71" s="239"/>
      <c r="E71" s="48"/>
      <c r="G71" s="1036" t="str">
        <f>CONCATENATE("Projected Carryover Into ",E1+1,"")</f>
        <v>Projected Carryover Into 2016</v>
      </c>
      <c r="H71" s="1038"/>
      <c r="I71" s="1038"/>
      <c r="J71" s="1039"/>
    </row>
    <row r="72" spans="2:10" ht="15">
      <c r="B72" s="256" t="s">
        <v>786</v>
      </c>
      <c r="C72" s="244">
        <f>IF(C73*0.1&lt;C71,"Exceed 10% Rule","")</f>
      </c>
      <c r="D72" s="244">
        <f>IF(D73*0.1&lt;D71,"Exceed 10% Rule","")</f>
      </c>
      <c r="E72" s="282">
        <f>IF(E73*0.1&lt;E71,"Exceed 10% Rule","")</f>
      </c>
      <c r="G72" s="811"/>
      <c r="H72" s="787"/>
      <c r="I72" s="787"/>
      <c r="J72" s="818"/>
    </row>
    <row r="73" spans="2:10" ht="15">
      <c r="B73" s="246" t="s">
        <v>119</v>
      </c>
      <c r="C73" s="248">
        <f>SUM(C63:C71)</f>
        <v>0</v>
      </c>
      <c r="D73" s="248">
        <f>SUM(D63:D71)</f>
        <v>0</v>
      </c>
      <c r="E73" s="249">
        <f>SUM(E63:E71)</f>
        <v>0</v>
      </c>
      <c r="G73" s="813">
        <f>D74</f>
        <v>0</v>
      </c>
      <c r="H73" s="777" t="str">
        <f>CONCATENATE("",E1-1," Ending Cash Balance (est.)")</f>
        <v>2014 Ending Cash Balance (est.)</v>
      </c>
      <c r="I73" s="814"/>
      <c r="J73" s="818"/>
    </row>
    <row r="74" spans="2:10" ht="15">
      <c r="B74" s="133" t="s">
        <v>215</v>
      </c>
      <c r="C74" s="252">
        <f>C61-C73</f>
        <v>0</v>
      </c>
      <c r="D74" s="252">
        <f>D61-D73</f>
        <v>0</v>
      </c>
      <c r="E74" s="268" t="s">
        <v>92</v>
      </c>
      <c r="G74" s="813">
        <f>E60</f>
        <v>0</v>
      </c>
      <c r="H74" s="788" t="str">
        <f>CONCATENATE("",E1," Non-AV Receipts (est.)")</f>
        <v>2015 Non-AV Receipts (est.)</v>
      </c>
      <c r="I74" s="814"/>
      <c r="J74" s="818"/>
    </row>
    <row r="75" spans="2:11" ht="15">
      <c r="B75" s="153" t="str">
        <f>CONCATENATE("",E1-2,"/",E1-1,"/",E1," Budget Authority Amount:")</f>
        <v>2013/2014/2015 Budget Authority Amount:</v>
      </c>
      <c r="C75" s="910">
        <f>inputOth!B73</f>
        <v>0</v>
      </c>
      <c r="D75" s="837">
        <f>inputPrYr!D28</f>
        <v>0</v>
      </c>
      <c r="E75" s="208">
        <f>E73</f>
        <v>0</v>
      </c>
      <c r="F75" s="258"/>
      <c r="G75" s="815">
        <f>IF(D79&gt;0,E78,E80)</f>
        <v>0</v>
      </c>
      <c r="H75" s="788" t="str">
        <f>CONCATENATE("",E1," Ad Valorem Tax (est.)")</f>
        <v>2015 Ad Valorem Tax (est.)</v>
      </c>
      <c r="I75" s="814"/>
      <c r="J75" s="818"/>
      <c r="K75" s="770">
        <f>IF(G75=E80,"","Note: Does not include Delinquent Taxes")</f>
      </c>
    </row>
    <row r="76" spans="2:10" ht="15">
      <c r="B76" s="119"/>
      <c r="C76" s="1010" t="s">
        <v>631</v>
      </c>
      <c r="D76" s="1011"/>
      <c r="E76" s="84"/>
      <c r="F76" s="873">
        <f>IF(E73/0.95-E73&lt;E76,"Exceeds 5%","")</f>
      </c>
      <c r="G76" s="817">
        <f>SUM(G73:G75)</f>
        <v>0</v>
      </c>
      <c r="H76" s="788" t="str">
        <f>CONCATENATE("Total ",E1," Resources Available")</f>
        <v>Total 2015 Resources Available</v>
      </c>
      <c r="I76" s="818"/>
      <c r="J76" s="818"/>
    </row>
    <row r="77" spans="2:10" ht="15">
      <c r="B77" s="527" t="str">
        <f>CONCATENATE(C96,"     ",D96)</f>
        <v>     </v>
      </c>
      <c r="C77" s="1012" t="s">
        <v>632</v>
      </c>
      <c r="D77" s="1013"/>
      <c r="E77" s="208">
        <f>E73+E76</f>
        <v>0</v>
      </c>
      <c r="G77" s="819"/>
      <c r="H77" s="820"/>
      <c r="I77" s="787"/>
      <c r="J77" s="818"/>
    </row>
    <row r="78" spans="2:10" ht="15">
      <c r="B78" s="527" t="str">
        <f>CONCATENATE(C97,"     ",D97)</f>
        <v>     </v>
      </c>
      <c r="C78" s="259"/>
      <c r="D78" s="151" t="s">
        <v>120</v>
      </c>
      <c r="E78" s="63">
        <f>IF(E77-E61&gt;0,E77-E61,0)</f>
        <v>0</v>
      </c>
      <c r="G78" s="821">
        <f>ROUND(C73*0.05+C73,0)</f>
        <v>0</v>
      </c>
      <c r="H78" s="820" t="str">
        <f>CONCATENATE("Less ",E1-2," Expenditures + 5%")</f>
        <v>Less 2013 Expenditures + 5%</v>
      </c>
      <c r="I78" s="818"/>
      <c r="J78" s="818"/>
    </row>
    <row r="79" spans="2:10" ht="15">
      <c r="B79" s="119"/>
      <c r="C79" s="370" t="s">
        <v>630</v>
      </c>
      <c r="D79" s="733">
        <f>inputOth!$E$50</f>
        <v>0.013</v>
      </c>
      <c r="E79" s="208">
        <f>ROUND(IF(D79&gt;0,(E78*D79),0),0)</f>
        <v>0</v>
      </c>
      <c r="G79" s="822">
        <f>G76-G78</f>
        <v>0</v>
      </c>
      <c r="H79" s="823" t="str">
        <f>CONCATENATE("Projected ",E1+1," carryover (est.)")</f>
        <v>Projected 2016 carryover (est.)</v>
      </c>
      <c r="I79" s="824"/>
      <c r="J79" s="825"/>
    </row>
    <row r="80" spans="2:9" ht="15.75" thickBot="1">
      <c r="B80" s="151"/>
      <c r="C80" s="1014" t="str">
        <f>CONCATENATE("Amount of  ",$E$1-1," Ad Valorem Tax")</f>
        <v>Amount of  2014 Ad Valorem Tax</v>
      </c>
      <c r="D80" s="1015"/>
      <c r="E80" s="736">
        <f>E78+E79</f>
        <v>0</v>
      </c>
      <c r="G80" s="2"/>
      <c r="H80" s="2"/>
      <c r="I80" s="2"/>
    </row>
    <row r="81" spans="2:10" ht="15.75" thickTop="1">
      <c r="B81" s="32"/>
      <c r="C81" s="32"/>
      <c r="D81" s="32"/>
      <c r="E81" s="32"/>
      <c r="G81" s="1021" t="s">
        <v>810</v>
      </c>
      <c r="H81" s="1022"/>
      <c r="I81" s="1022"/>
      <c r="J81" s="1023"/>
    </row>
    <row r="82" spans="2:10" ht="15">
      <c r="B82" s="119" t="s">
        <v>122</v>
      </c>
      <c r="C82" s="264"/>
      <c r="D82" s="32"/>
      <c r="E82" s="32"/>
      <c r="G82" s="776"/>
      <c r="H82" s="777"/>
      <c r="I82" s="778"/>
      <c r="J82" s="779"/>
    </row>
    <row r="83" spans="2:10" ht="15">
      <c r="B83" s="151"/>
      <c r="G83" s="780" t="str">
        <f>summ!H25</f>
        <v>  </v>
      </c>
      <c r="H83" s="777" t="str">
        <f>CONCATENATE("",E1," Fund Mill Rate")</f>
        <v>2015 Fund Mill Rate</v>
      </c>
      <c r="I83" s="778"/>
      <c r="J83" s="779"/>
    </row>
    <row r="84" spans="7:10" ht="15">
      <c r="G84" s="781" t="str">
        <f>summ!E25</f>
        <v>  </v>
      </c>
      <c r="H84" s="777" t="str">
        <f>CONCATENATE("",E1-1," Fund Mill Rate")</f>
        <v>2014 Fund Mill Rate</v>
      </c>
      <c r="I84" s="778"/>
      <c r="J84" s="779"/>
    </row>
    <row r="85" spans="7:10" ht="15">
      <c r="G85" s="782">
        <f>summ!H52</f>
        <v>59.433</v>
      </c>
      <c r="H85" s="777" t="str">
        <f>CONCATENATE("Total ",E1," Mill Rate")</f>
        <v>Total 2015 Mill Rate</v>
      </c>
      <c r="I85" s="778"/>
      <c r="J85" s="779"/>
    </row>
    <row r="86" spans="7:10" ht="15">
      <c r="G86" s="781">
        <f>summ!E52</f>
        <v>60.644</v>
      </c>
      <c r="H86" s="783" t="str">
        <f>CONCATENATE("Total ",E1-1," Mill Rate")</f>
        <v>Total 2014 Mill Rate</v>
      </c>
      <c r="I86" s="784"/>
      <c r="J86" s="785"/>
    </row>
    <row r="88" spans="7:9" ht="15">
      <c r="G88" s="944" t="s">
        <v>990</v>
      </c>
      <c r="H88" s="900"/>
      <c r="I88" s="899" t="str">
        <f>cert!F60</f>
        <v>Yes</v>
      </c>
    </row>
    <row r="94" spans="3:4" ht="15" hidden="1">
      <c r="C94" s="526">
        <f>IF(C33&gt;C35,"See Tab A","")</f>
      </c>
      <c r="D94" s="526">
        <f>IF(D31&gt;D35,"See Tab C","")</f>
      </c>
    </row>
    <row r="95" spans="3:4" ht="15" hidden="1">
      <c r="C95" s="526">
        <f>IF(C34&lt;0,"See Tab B","")</f>
      </c>
      <c r="D95" s="526">
        <f>IF(D34&lt;0,"See Tab D","")</f>
      </c>
    </row>
    <row r="96" spans="3:4" ht="15" hidden="1">
      <c r="C96" s="526">
        <f>IF(C71&gt;C75,"See Tab A","")</f>
      </c>
      <c r="D96" s="526">
        <f>IF(D71&gt;D75,"See Tab C","")</f>
      </c>
    </row>
    <row r="97" spans="3:4" ht="15" hidden="1">
      <c r="C97" s="526">
        <f>IF(C74&lt;0,"See Tab B","")</f>
      </c>
      <c r="D97" s="526">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31">
    <cfRule type="cellIs" priority="3" dxfId="328" operator="greaterThan" stopIfTrue="1">
      <formula>$E$33*0.1</formula>
    </cfRule>
  </conditionalFormatting>
  <conditionalFormatting sqref="E36">
    <cfRule type="cellIs" priority="4" dxfId="328" operator="greaterThan" stopIfTrue="1">
      <formula>$E$33/0.95-$E$33</formula>
    </cfRule>
  </conditionalFormatting>
  <conditionalFormatting sqref="E71">
    <cfRule type="cellIs" priority="5" dxfId="328" operator="greaterThan" stopIfTrue="1">
      <formula>$E$73*0.1</formula>
    </cfRule>
  </conditionalFormatting>
  <conditionalFormatting sqref="E76">
    <cfRule type="cellIs" priority="6" dxfId="32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$C$75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8" operator="greaterThan" stopIfTrue="1">
      <formula>$E$60*0.1+E80</formula>
    </cfRule>
  </conditionalFormatting>
  <conditionalFormatting sqref="E18">
    <cfRule type="cellIs" priority="21" dxfId="32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5">
      <selection activeCell="B82" sqref="B82"/>
    </sheetView>
  </sheetViews>
  <sheetFormatPr defaultColWidth="8.8984375" defaultRowHeight="15"/>
  <cols>
    <col min="1" max="1" width="2.3984375" style="30" customWidth="1"/>
    <col min="2" max="2" width="31.09765625" style="30" customWidth="1"/>
    <col min="3" max="4" width="15.69921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171</v>
      </c>
      <c r="C3" s="182"/>
      <c r="D3" s="182"/>
      <c r="E3" s="270"/>
    </row>
    <row r="4" spans="2:5" ht="15">
      <c r="B4" s="33" t="s">
        <v>103</v>
      </c>
      <c r="C4" s="405" t="s">
        <v>806</v>
      </c>
      <c r="D4" s="404" t="s">
        <v>807</v>
      </c>
      <c r="E4" s="383" t="s">
        <v>808</v>
      </c>
    </row>
    <row r="5" spans="2:5" ht="15">
      <c r="B5" s="531">
        <f>inputPrYr!B29</f>
        <v>0</v>
      </c>
      <c r="C5" s="406" t="str">
        <f>CONCATENATE("Actual for ",E1-2,"")</f>
        <v>Actual for 2013</v>
      </c>
      <c r="D5" s="406" t="str">
        <f>CONCATENATE("Estimate for ",E1-1,"")</f>
        <v>Estimate for 2014</v>
      </c>
      <c r="E5" s="391" t="str">
        <f>CONCATENATE("Year for ",E1,"")</f>
        <v>Year for 2015</v>
      </c>
    </row>
    <row r="6" spans="2:5" ht="15">
      <c r="B6" s="234" t="s">
        <v>214</v>
      </c>
      <c r="C6" s="239"/>
      <c r="D6" s="237">
        <f>C34</f>
        <v>0</v>
      </c>
      <c r="E6" s="208">
        <f>D34</f>
        <v>0</v>
      </c>
    </row>
    <row r="7" spans="2:5" ht="15">
      <c r="B7" s="238" t="s">
        <v>216</v>
      </c>
      <c r="C7" s="142"/>
      <c r="D7" s="142"/>
      <c r="E7" s="68"/>
    </row>
    <row r="8" spans="2:5" ht="15">
      <c r="B8" s="133" t="s">
        <v>104</v>
      </c>
      <c r="C8" s="239"/>
      <c r="D8" s="237">
        <f>IF(inputPrYr!H16&gt;0,inputPrYr!G29,inputPrYr!E29)</f>
        <v>0</v>
      </c>
      <c r="E8" s="268" t="s">
        <v>92</v>
      </c>
    </row>
    <row r="9" spans="2:5" ht="15">
      <c r="B9" s="133" t="s">
        <v>105</v>
      </c>
      <c r="C9" s="239"/>
      <c r="D9" s="239"/>
      <c r="E9" s="48"/>
    </row>
    <row r="10" spans="2:5" ht="15">
      <c r="B10" s="133" t="s">
        <v>106</v>
      </c>
      <c r="C10" s="239"/>
      <c r="D10" s="239"/>
      <c r="E10" s="208" t="str">
        <f>mvalloc!D18</f>
        <v>  </v>
      </c>
    </row>
    <row r="11" spans="2:5" ht="15">
      <c r="B11" s="133" t="s">
        <v>107</v>
      </c>
      <c r="C11" s="239"/>
      <c r="D11" s="239"/>
      <c r="E11" s="208" t="str">
        <f>mvalloc!E18</f>
        <v> </v>
      </c>
    </row>
    <row r="12" spans="2:5" ht="15">
      <c r="B12" s="142" t="s">
        <v>203</v>
      </c>
      <c r="C12" s="239"/>
      <c r="D12" s="239"/>
      <c r="E12" s="208" t="str">
        <f>mvalloc!F18</f>
        <v> </v>
      </c>
    </row>
    <row r="13" spans="2:5" ht="15">
      <c r="B13" s="255"/>
      <c r="C13" s="239"/>
      <c r="D13" s="239"/>
      <c r="E13" s="48"/>
    </row>
    <row r="14" spans="2:5" ht="15">
      <c r="B14" s="255"/>
      <c r="C14" s="239"/>
      <c r="D14" s="239"/>
      <c r="E14" s="48"/>
    </row>
    <row r="15" spans="2:5" ht="15">
      <c r="B15" s="255"/>
      <c r="C15" s="239"/>
      <c r="D15" s="239"/>
      <c r="E15" s="48"/>
    </row>
    <row r="16" spans="2:5" ht="15">
      <c r="B16" s="255"/>
      <c r="C16" s="239"/>
      <c r="D16" s="239"/>
      <c r="E16" s="48"/>
    </row>
    <row r="17" spans="2:5" ht="15">
      <c r="B17" s="243" t="s">
        <v>111</v>
      </c>
      <c r="C17" s="239"/>
      <c r="D17" s="239"/>
      <c r="E17" s="48"/>
    </row>
    <row r="18" spans="2:5" ht="15">
      <c r="B18" s="142" t="s">
        <v>13</v>
      </c>
      <c r="C18" s="239"/>
      <c r="D18" s="239"/>
      <c r="E18" s="48"/>
    </row>
    <row r="19" spans="2:5" ht="15">
      <c r="B19" s="234" t="s">
        <v>785</v>
      </c>
      <c r="C19" s="244">
        <f>IF(C20*0.1&lt;C18,"Exceed 10% Rule","")</f>
      </c>
      <c r="D19" s="244">
        <f>IF(D20*0.1&lt;D18,"Exceed 10% Rule","")</f>
      </c>
      <c r="E19" s="282">
        <f>IF(E20*0.1+E40&lt;E18,"Exceed 10% Rule","")</f>
      </c>
    </row>
    <row r="20" spans="2:5" ht="15">
      <c r="B20" s="246" t="s">
        <v>112</v>
      </c>
      <c r="C20" s="248">
        <f>SUM(C8:C18)</f>
        <v>0</v>
      </c>
      <c r="D20" s="248">
        <f>SUM(D8:D18)</f>
        <v>0</v>
      </c>
      <c r="E20" s="249">
        <f>SUM(E8:E18)</f>
        <v>0</v>
      </c>
    </row>
    <row r="21" spans="2:5" ht="15">
      <c r="B21" s="246" t="s">
        <v>113</v>
      </c>
      <c r="C21" s="248">
        <f>C6+C20</f>
        <v>0</v>
      </c>
      <c r="D21" s="248">
        <f>D6+D20</f>
        <v>0</v>
      </c>
      <c r="E21" s="249">
        <f>E6+E20</f>
        <v>0</v>
      </c>
    </row>
    <row r="22" spans="2:5" ht="15">
      <c r="B22" s="133" t="s">
        <v>115</v>
      </c>
      <c r="C22" s="256"/>
      <c r="D22" s="256"/>
      <c r="E22" s="46"/>
    </row>
    <row r="23" spans="2:5" ht="15">
      <c r="B23" s="255"/>
      <c r="C23" s="239"/>
      <c r="D23" s="239"/>
      <c r="E23" s="48"/>
    </row>
    <row r="24" spans="2:10" ht="15">
      <c r="B24" s="255"/>
      <c r="C24" s="239"/>
      <c r="D24" s="239"/>
      <c r="E24" s="48"/>
      <c r="G24" s="1036" t="str">
        <f>CONCATENATE("Desired Carryover Into ",E1+1,"")</f>
        <v>Desired Carryover Into 2016</v>
      </c>
      <c r="H24" s="1019"/>
      <c r="I24" s="1019"/>
      <c r="J24" s="1020"/>
    </row>
    <row r="25" spans="2:10" ht="15">
      <c r="B25" s="255"/>
      <c r="C25" s="239"/>
      <c r="D25" s="239"/>
      <c r="E25" s="48"/>
      <c r="G25" s="786"/>
      <c r="H25" s="787"/>
      <c r="I25" s="788"/>
      <c r="J25" s="789"/>
    </row>
    <row r="26" spans="2:10" ht="15">
      <c r="B26" s="255"/>
      <c r="C26" s="239"/>
      <c r="D26" s="239"/>
      <c r="E26" s="48"/>
      <c r="G26" s="790" t="s">
        <v>773</v>
      </c>
      <c r="H26" s="788"/>
      <c r="I26" s="788"/>
      <c r="J26" s="791">
        <v>0</v>
      </c>
    </row>
    <row r="27" spans="2:10" ht="15">
      <c r="B27" s="255"/>
      <c r="C27" s="239"/>
      <c r="D27" s="239"/>
      <c r="E27" s="48"/>
      <c r="G27" s="786" t="s">
        <v>774</v>
      </c>
      <c r="H27" s="787"/>
      <c r="I27" s="787"/>
      <c r="J27" s="792">
        <f>IF(J26=0,"",ROUND((J26+E40-G39)/inputOth!E9*1000,3)-G44)</f>
      </c>
    </row>
    <row r="28" spans="2:10" ht="15">
      <c r="B28" s="255"/>
      <c r="C28" s="239"/>
      <c r="D28" s="239"/>
      <c r="E28" s="48"/>
      <c r="G28" s="793" t="str">
        <f>CONCATENATE("",E1," Tot Exp/Non-Appr Must Be:")</f>
        <v>2015 Tot Exp/Non-Appr Must Be:</v>
      </c>
      <c r="H28" s="794"/>
      <c r="I28" s="795"/>
      <c r="J28" s="796">
        <f>IF(J26&gt;0,IF(E37&lt;E21,IF(J26=G39,E37,((J26-G39)*(1-D39))+E21),E37+(J26-G39)),0)</f>
        <v>0</v>
      </c>
    </row>
    <row r="29" spans="2:10" ht="15">
      <c r="B29" s="255"/>
      <c r="C29" s="239"/>
      <c r="D29" s="239"/>
      <c r="E29" s="48"/>
      <c r="G29" s="797" t="s">
        <v>809</v>
      </c>
      <c r="H29" s="798"/>
      <c r="I29" s="798"/>
      <c r="J29" s="765">
        <f>IF(J26&gt;0,J28-E37,0)</f>
        <v>0</v>
      </c>
    </row>
    <row r="30" spans="2:10" ht="15">
      <c r="B30" s="256" t="s">
        <v>12</v>
      </c>
      <c r="C30" s="239"/>
      <c r="D30" s="239"/>
      <c r="E30" s="63">
        <f>nhood!E17</f>
      </c>
      <c r="J30" s="2"/>
    </row>
    <row r="31" spans="2:10" ht="15">
      <c r="B31" s="256" t="s">
        <v>13</v>
      </c>
      <c r="C31" s="239"/>
      <c r="D31" s="239"/>
      <c r="E31" s="48"/>
      <c r="G31" s="1036" t="str">
        <f>CONCATENATE("Projected Carryover Into ",E1+1,"")</f>
        <v>Projected Carryover Into 2016</v>
      </c>
      <c r="H31" s="1041"/>
      <c r="I31" s="1041"/>
      <c r="J31" s="1039"/>
    </row>
    <row r="32" spans="2:10" ht="15">
      <c r="B32" s="256" t="s">
        <v>786</v>
      </c>
      <c r="C32" s="244">
        <f>IF(C33*0.1&lt;C31,"Exceed 10% Rule","")</f>
      </c>
      <c r="D32" s="244">
        <f>IF(D33*0.1&lt;D31,"Exceed 10% Rule","")</f>
      </c>
      <c r="E32" s="282">
        <f>IF(E33*0.1&lt;E31,"Exceed 10% Rule","")</f>
      </c>
      <c r="G32" s="786"/>
      <c r="H32" s="788"/>
      <c r="I32" s="788"/>
      <c r="J32" s="812"/>
    </row>
    <row r="33" spans="2:10" ht="15">
      <c r="B33" s="246" t="s">
        <v>119</v>
      </c>
      <c r="C33" s="248">
        <f>SUM(C23:C31)</f>
        <v>0</v>
      </c>
      <c r="D33" s="248">
        <f>SUM(D23:D31)</f>
        <v>0</v>
      </c>
      <c r="E33" s="249">
        <f>SUM(E23:E31)</f>
        <v>0</v>
      </c>
      <c r="G33" s="813">
        <f>D34</f>
        <v>0</v>
      </c>
      <c r="H33" s="777" t="str">
        <f>CONCATENATE("",E1-1," Ending Cash Balance (est.)")</f>
        <v>2014 Ending Cash Balance (est.)</v>
      </c>
      <c r="I33" s="814"/>
      <c r="J33" s="812"/>
    </row>
    <row r="34" spans="2:10" ht="15">
      <c r="B34" s="133" t="s">
        <v>215</v>
      </c>
      <c r="C34" s="252">
        <f>C21-C33</f>
        <v>0</v>
      </c>
      <c r="D34" s="252">
        <f>D21-D33</f>
        <v>0</v>
      </c>
      <c r="E34" s="268" t="s">
        <v>92</v>
      </c>
      <c r="G34" s="813">
        <f>E20</f>
        <v>0</v>
      </c>
      <c r="H34" s="788" t="str">
        <f>CONCATENATE("",E1," Non-AV Receipts (est.)")</f>
        <v>2015 Non-AV Receipts (est.)</v>
      </c>
      <c r="I34" s="814"/>
      <c r="J34" s="812"/>
    </row>
    <row r="35" spans="2:11" ht="15">
      <c r="B35" s="153" t="str">
        <f>CONCATENATE("",E1-2,"/",E1-1,"/",E1," Budget Authority Amount:")</f>
        <v>2013/2014/2015 Budget Authority Amount:</v>
      </c>
      <c r="C35" s="837">
        <f>inputOth!B74</f>
        <v>0</v>
      </c>
      <c r="D35" s="837">
        <f>inputPrYr!D29</f>
        <v>0</v>
      </c>
      <c r="E35" s="208">
        <f>E33</f>
        <v>0</v>
      </c>
      <c r="F35" s="258"/>
      <c r="G35" s="815">
        <f>IF(E39&gt;0,E38,E40)</f>
        <v>0</v>
      </c>
      <c r="H35" s="788" t="str">
        <f>CONCATENATE("",E1," Ad Valorem Tax (est.)")</f>
        <v>2015 Ad Valorem Tax (est.)</v>
      </c>
      <c r="I35" s="814"/>
      <c r="J35" s="800"/>
      <c r="K35" s="770">
        <f>IF(G35=E40,"","Note: Does not include Delinquent Taxes")</f>
      </c>
    </row>
    <row r="36" spans="2:10" ht="15">
      <c r="B36" s="119"/>
      <c r="C36" s="1010" t="s">
        <v>631</v>
      </c>
      <c r="D36" s="1011"/>
      <c r="E36" s="48"/>
      <c r="F36" s="873">
        <f>IF(E33/0.95-E33&lt;E36,"Exceeds 5%","")</f>
      </c>
      <c r="G36" s="813">
        <f>SUM(G33:G35)</f>
        <v>0</v>
      </c>
      <c r="H36" s="788" t="str">
        <f>CONCATENATE("Total ",E1," Resources Available")</f>
        <v>Total 2015 Resources Available</v>
      </c>
      <c r="I36" s="814"/>
      <c r="J36" s="812"/>
    </row>
    <row r="37" spans="2:10" ht="15">
      <c r="B37" s="527" t="str">
        <f>CONCATENATE(C94,"     ",D94)</f>
        <v>     </v>
      </c>
      <c r="C37" s="1012" t="s">
        <v>632</v>
      </c>
      <c r="D37" s="1013"/>
      <c r="E37" s="208">
        <f>E33+E36</f>
        <v>0</v>
      </c>
      <c r="G37" s="832"/>
      <c r="H37" s="788"/>
      <c r="I37" s="788"/>
      <c r="J37" s="812"/>
    </row>
    <row r="38" spans="2:10" ht="15">
      <c r="B38" s="527" t="str">
        <f>CONCATENATE(C95,"     ",D95)</f>
        <v>     </v>
      </c>
      <c r="C38" s="259"/>
      <c r="D38" s="151" t="s">
        <v>120</v>
      </c>
      <c r="E38" s="63">
        <f>IF(E37-E21&gt;0,E37-E21,0)</f>
        <v>0</v>
      </c>
      <c r="G38" s="815">
        <f>ROUND(C33*0.05+C33,0)</f>
        <v>0</v>
      </c>
      <c r="H38" s="788" t="str">
        <f>CONCATENATE("Less ",E1-2," Expenditures + 5%")</f>
        <v>Less 2013 Expenditures + 5%</v>
      </c>
      <c r="I38" s="814"/>
      <c r="J38" s="812"/>
    </row>
    <row r="39" spans="2:10" ht="15">
      <c r="B39" s="151"/>
      <c r="C39" s="370" t="s">
        <v>630</v>
      </c>
      <c r="D39" s="733">
        <f>inputOth!$E$50</f>
        <v>0.013</v>
      </c>
      <c r="E39" s="208">
        <f>ROUND(IF(D39&gt;0,(E38*D39),0),0)</f>
        <v>0</v>
      </c>
      <c r="G39" s="833">
        <f>G36-G38</f>
        <v>0</v>
      </c>
      <c r="H39" s="834" t="str">
        <f>CONCATENATE("Projected ",E1+1," carryover (est.)")</f>
        <v>Projected 2016 carryover (est.)</v>
      </c>
      <c r="I39" s="835"/>
      <c r="J39" s="825"/>
    </row>
    <row r="40" spans="2:10" ht="15.75" thickBot="1">
      <c r="B40" s="32"/>
      <c r="C40" s="1014" t="str">
        <f>CONCATENATE("Amount of  ",$E$1-1," Ad Valorem Tax")</f>
        <v>Amount of  2014 Ad Valorem Tax</v>
      </c>
      <c r="D40" s="1015"/>
      <c r="E40" s="736">
        <f>E38+E39</f>
        <v>0</v>
      </c>
      <c r="G40" s="2"/>
      <c r="H40" s="2"/>
      <c r="I40" s="2"/>
      <c r="J40" s="2"/>
    </row>
    <row r="41" spans="2:10" ht="15.75" thickTop="1">
      <c r="B41" s="32"/>
      <c r="C41" s="32"/>
      <c r="D41" s="32"/>
      <c r="E41" s="32"/>
      <c r="G41" s="1021" t="s">
        <v>810</v>
      </c>
      <c r="H41" s="1022"/>
      <c r="I41" s="1022"/>
      <c r="J41" s="1023"/>
    </row>
    <row r="42" spans="2:10" ht="15">
      <c r="B42" s="33"/>
      <c r="C42" s="125"/>
      <c r="D42" s="125"/>
      <c r="E42" s="125"/>
      <c r="G42" s="776"/>
      <c r="H42" s="777"/>
      <c r="I42" s="778"/>
      <c r="J42" s="779"/>
    </row>
    <row r="43" spans="2:10" ht="15">
      <c r="B43" s="33" t="s">
        <v>103</v>
      </c>
      <c r="C43" s="405" t="s">
        <v>806</v>
      </c>
      <c r="D43" s="404" t="s">
        <v>807</v>
      </c>
      <c r="E43" s="383" t="s">
        <v>808</v>
      </c>
      <c r="G43" s="780" t="str">
        <f>summ!H26</f>
        <v>  </v>
      </c>
      <c r="H43" s="777" t="str">
        <f>CONCATENATE("",E1," Fund Mill Rate")</f>
        <v>2015 Fund Mill Rate</v>
      </c>
      <c r="I43" s="778"/>
      <c r="J43" s="779"/>
    </row>
    <row r="44" spans="2:10" ht="15">
      <c r="B44" s="531">
        <f>inputPrYr!B30</f>
        <v>0</v>
      </c>
      <c r="C44" s="406" t="str">
        <f>CONCATENATE("Actual for ",E1-2,"")</f>
        <v>Actual for 2013</v>
      </c>
      <c r="D44" s="406" t="str">
        <f>CONCATENATE("Estimate for ",E1-1,"")</f>
        <v>Estimate for 2014</v>
      </c>
      <c r="E44" s="391" t="str">
        <f>CONCATENATE("Year for ",E1,"")</f>
        <v>Year for 2015</v>
      </c>
      <c r="G44" s="781" t="str">
        <f>summ!E26</f>
        <v>  </v>
      </c>
      <c r="H44" s="777" t="str">
        <f>CONCATENATE("",E1-1," Fund Mill Rate")</f>
        <v>2014 Fund Mill Rate</v>
      </c>
      <c r="I44" s="778"/>
      <c r="J44" s="779"/>
    </row>
    <row r="45" spans="2:10" ht="15">
      <c r="B45" s="234" t="s">
        <v>214</v>
      </c>
      <c r="C45" s="239"/>
      <c r="D45" s="237">
        <f>C74</f>
        <v>0</v>
      </c>
      <c r="E45" s="208">
        <f>D74</f>
        <v>0</v>
      </c>
      <c r="G45" s="782">
        <f>summ!H52</f>
        <v>59.433</v>
      </c>
      <c r="H45" s="777" t="str">
        <f>CONCATENATE("Total ",E1," Mill Rate")</f>
        <v>Total 2015 Mill Rate</v>
      </c>
      <c r="I45" s="778"/>
      <c r="J45" s="779"/>
    </row>
    <row r="46" spans="2:10" ht="15">
      <c r="B46" s="238" t="s">
        <v>216</v>
      </c>
      <c r="C46" s="142"/>
      <c r="D46" s="142"/>
      <c r="E46" s="68"/>
      <c r="G46" s="781">
        <f>summ!E52</f>
        <v>60.644</v>
      </c>
      <c r="H46" s="783" t="str">
        <f>CONCATENATE("Total ",E1-1," Mill Rate")</f>
        <v>Total 2014 Mill Rate</v>
      </c>
      <c r="I46" s="784"/>
      <c r="J46" s="785"/>
    </row>
    <row r="47" spans="2:5" ht="15">
      <c r="B47" s="133" t="s">
        <v>104</v>
      </c>
      <c r="C47" s="239"/>
      <c r="D47" s="237">
        <f>IF(inputPrYr!H16&gt;0,inputPrYr!G30,inputPrYr!E30)</f>
        <v>0</v>
      </c>
      <c r="E47" s="268" t="s">
        <v>92</v>
      </c>
    </row>
    <row r="48" spans="2:9" ht="15">
      <c r="B48" s="133" t="s">
        <v>105</v>
      </c>
      <c r="C48" s="239"/>
      <c r="D48" s="239"/>
      <c r="E48" s="48"/>
      <c r="G48" s="945" t="s">
        <v>990</v>
      </c>
      <c r="H48" s="902"/>
      <c r="I48" s="901" t="str">
        <f>cert!F60</f>
        <v>Yes</v>
      </c>
    </row>
    <row r="49" spans="2:5" ht="15">
      <c r="B49" s="133" t="s">
        <v>106</v>
      </c>
      <c r="C49" s="239"/>
      <c r="D49" s="239"/>
      <c r="E49" s="208" t="str">
        <f>mvalloc!D19</f>
        <v>  </v>
      </c>
    </row>
    <row r="50" spans="2:5" ht="15">
      <c r="B50" s="133" t="s">
        <v>107</v>
      </c>
      <c r="C50" s="239"/>
      <c r="D50" s="239"/>
      <c r="E50" s="208" t="str">
        <f>mvalloc!E19</f>
        <v> </v>
      </c>
    </row>
    <row r="51" spans="2:5" ht="15">
      <c r="B51" s="142" t="s">
        <v>203</v>
      </c>
      <c r="C51" s="239"/>
      <c r="D51" s="239"/>
      <c r="E51" s="208" t="str">
        <f>mvalloc!F19</f>
        <v> </v>
      </c>
    </row>
    <row r="52" spans="2:5" ht="15">
      <c r="B52" s="255"/>
      <c r="C52" s="239"/>
      <c r="D52" s="239"/>
      <c r="E52" s="48"/>
    </row>
    <row r="53" spans="2:5" ht="15">
      <c r="B53" s="255"/>
      <c r="C53" s="239"/>
      <c r="D53" s="239"/>
      <c r="E53" s="48"/>
    </row>
    <row r="54" spans="2:5" ht="15">
      <c r="B54" s="255"/>
      <c r="C54" s="239"/>
      <c r="D54" s="239"/>
      <c r="E54" s="48"/>
    </row>
    <row r="55" spans="2:5" ht="15">
      <c r="B55" s="255"/>
      <c r="C55" s="239"/>
      <c r="D55" s="239"/>
      <c r="E55" s="48"/>
    </row>
    <row r="56" spans="2:5" ht="15">
      <c r="B56" s="255"/>
      <c r="C56" s="239"/>
      <c r="D56" s="239"/>
      <c r="E56" s="48"/>
    </row>
    <row r="57" spans="2:5" ht="15">
      <c r="B57" s="243" t="s">
        <v>111</v>
      </c>
      <c r="C57" s="239"/>
      <c r="D57" s="239"/>
      <c r="E57" s="48"/>
    </row>
    <row r="58" spans="2:5" ht="15">
      <c r="B58" s="142" t="s">
        <v>13</v>
      </c>
      <c r="C58" s="239"/>
      <c r="D58" s="239"/>
      <c r="E58" s="48"/>
    </row>
    <row r="59" spans="2:5" ht="15">
      <c r="B59" s="234" t="s">
        <v>785</v>
      </c>
      <c r="C59" s="244">
        <f>IF(C60*0.1&lt;C58,"Exceed 10% Rule","")</f>
      </c>
      <c r="D59" s="244">
        <f>IF(D60*0.1&lt;D58,"Exceed 10% Rule","")</f>
      </c>
      <c r="E59" s="282">
        <f>IF(E60*0.1+E80&lt;E58,"Exceed 10% Rule","")</f>
      </c>
    </row>
    <row r="60" spans="2:5" ht="15">
      <c r="B60" s="246" t="s">
        <v>112</v>
      </c>
      <c r="C60" s="248">
        <f>SUM(C47:C58)</f>
        <v>0</v>
      </c>
      <c r="D60" s="248">
        <f>SUM(D47:D58)</f>
        <v>0</v>
      </c>
      <c r="E60" s="249">
        <f>SUM(E47:E58)</f>
        <v>0</v>
      </c>
    </row>
    <row r="61" spans="2:5" ht="15">
      <c r="B61" s="246" t="s">
        <v>113</v>
      </c>
      <c r="C61" s="248">
        <f>C45+C60</f>
        <v>0</v>
      </c>
      <c r="D61" s="248">
        <f>D45+D60</f>
        <v>0</v>
      </c>
      <c r="E61" s="249">
        <f>E45+E60</f>
        <v>0</v>
      </c>
    </row>
    <row r="62" spans="2:5" ht="15">
      <c r="B62" s="133" t="s">
        <v>115</v>
      </c>
      <c r="C62" s="256"/>
      <c r="D62" s="256"/>
      <c r="E62" s="46"/>
    </row>
    <row r="63" spans="2:5" ht="15">
      <c r="B63" s="255"/>
      <c r="C63" s="239"/>
      <c r="D63" s="239"/>
      <c r="E63" s="48"/>
    </row>
    <row r="64" spans="2:10" ht="15">
      <c r="B64" s="255"/>
      <c r="C64" s="239"/>
      <c r="D64" s="239"/>
      <c r="E64" s="48"/>
      <c r="G64" s="1036" t="str">
        <f>CONCATENATE("Desired Carryover Into ",E1+1,"")</f>
        <v>Desired Carryover Into 2016</v>
      </c>
      <c r="H64" s="1019"/>
      <c r="I64" s="1019"/>
      <c r="J64" s="1020"/>
    </row>
    <row r="65" spans="2:10" ht="15">
      <c r="B65" s="255"/>
      <c r="C65" s="239"/>
      <c r="D65" s="239"/>
      <c r="E65" s="48"/>
      <c r="G65" s="786"/>
      <c r="H65" s="787"/>
      <c r="I65" s="788"/>
      <c r="J65" s="789"/>
    </row>
    <row r="66" spans="2:10" ht="15">
      <c r="B66" s="255"/>
      <c r="C66" s="239"/>
      <c r="D66" s="239"/>
      <c r="E66" s="48"/>
      <c r="G66" s="790" t="s">
        <v>773</v>
      </c>
      <c r="H66" s="788"/>
      <c r="I66" s="788"/>
      <c r="J66" s="791">
        <v>0</v>
      </c>
    </row>
    <row r="67" spans="2:10" ht="15">
      <c r="B67" s="255"/>
      <c r="C67" s="239"/>
      <c r="D67" s="239"/>
      <c r="E67" s="48"/>
      <c r="G67" s="786" t="s">
        <v>774</v>
      </c>
      <c r="H67" s="787"/>
      <c r="I67" s="787"/>
      <c r="J67" s="792">
        <f>IF(J66=0,"",ROUND((J66+E80-G79)/inputOth!E9*1000,3)-G84)</f>
      </c>
    </row>
    <row r="68" spans="2:10" ht="15">
      <c r="B68" s="255"/>
      <c r="C68" s="239"/>
      <c r="D68" s="239"/>
      <c r="E68" s="48"/>
      <c r="G68" s="793" t="str">
        <f>CONCATENATE("",E1," Tot Exp/Non-Appr Must Be:")</f>
        <v>2015 Tot Exp/Non-Appr Must Be:</v>
      </c>
      <c r="H68" s="794"/>
      <c r="I68" s="795"/>
      <c r="J68" s="796">
        <f>IF(J66&gt;0,IF(E77&lt;E61,IF(J66=G79,E77,((J66-G79)*(1-D79))+E61),E77+(J66-G79)),0)</f>
        <v>0</v>
      </c>
    </row>
    <row r="69" spans="2:10" ht="15">
      <c r="B69" s="255"/>
      <c r="C69" s="239"/>
      <c r="D69" s="239"/>
      <c r="E69" s="48"/>
      <c r="G69" s="797" t="s">
        <v>809</v>
      </c>
      <c r="H69" s="798"/>
      <c r="I69" s="798"/>
      <c r="J69" s="765">
        <f>IF(J66&gt;0,J68-E78,0)</f>
        <v>0</v>
      </c>
    </row>
    <row r="70" spans="2:10" ht="15">
      <c r="B70" s="256" t="s">
        <v>12</v>
      </c>
      <c r="C70" s="239"/>
      <c r="D70" s="239"/>
      <c r="E70" s="63">
        <f>nhood!E18</f>
      </c>
      <c r="J70" s="2"/>
    </row>
    <row r="71" spans="2:10" ht="15">
      <c r="B71" s="256" t="s">
        <v>13</v>
      </c>
      <c r="C71" s="239"/>
      <c r="D71" s="239"/>
      <c r="E71" s="48"/>
      <c r="G71" s="1036" t="str">
        <f>CONCATENATE("Projected Carryover Into ",E1+1,"")</f>
        <v>Projected Carryover Into 2016</v>
      </c>
      <c r="H71" s="1038"/>
      <c r="I71" s="1038"/>
      <c r="J71" s="1039"/>
    </row>
    <row r="72" spans="2:10" ht="15">
      <c r="B72" s="256" t="s">
        <v>786</v>
      </c>
      <c r="C72" s="244">
        <f>IF(C73*0.1&lt;C71,"Exceed 10% Rule","")</f>
      </c>
      <c r="D72" s="244">
        <f>IF(D73*0.1&lt;D71,"Exceed 10% Rule","")</f>
      </c>
      <c r="E72" s="282">
        <f>IF(E73*0.1&lt;E71,"Exceed 10% Rule","")</f>
      </c>
      <c r="G72" s="811"/>
      <c r="H72" s="787"/>
      <c r="I72" s="787"/>
      <c r="J72" s="818"/>
    </row>
    <row r="73" spans="2:10" ht="15">
      <c r="B73" s="246" t="s">
        <v>119</v>
      </c>
      <c r="C73" s="248">
        <f>SUM(C63:C71)</f>
        <v>0</v>
      </c>
      <c r="D73" s="248">
        <f>SUM(D63:D71)</f>
        <v>0</v>
      </c>
      <c r="E73" s="249">
        <f>SUM(E63:E71)</f>
        <v>0</v>
      </c>
      <c r="G73" s="813">
        <f>D74</f>
        <v>0</v>
      </c>
      <c r="H73" s="777" t="str">
        <f>CONCATENATE("",E1-1," Ending Cash Balance (est.)")</f>
        <v>2014 Ending Cash Balance (est.)</v>
      </c>
      <c r="I73" s="814"/>
      <c r="J73" s="818"/>
    </row>
    <row r="74" spans="2:10" ht="15">
      <c r="B74" s="133" t="s">
        <v>215</v>
      </c>
      <c r="C74" s="252">
        <f>C61-C73</f>
        <v>0</v>
      </c>
      <c r="D74" s="252">
        <f>D61-D73</f>
        <v>0</v>
      </c>
      <c r="E74" s="268" t="s">
        <v>92</v>
      </c>
      <c r="G74" s="813">
        <f>E60</f>
        <v>0</v>
      </c>
      <c r="H74" s="788" t="str">
        <f>CONCATENATE("",E1," Non-AV Receipts (est.)")</f>
        <v>2015 Non-AV Receipts (est.)</v>
      </c>
      <c r="I74" s="814"/>
      <c r="J74" s="818"/>
    </row>
    <row r="75" spans="2:11" ht="15">
      <c r="B75" s="153" t="str">
        <f>CONCATENATE("",E1-2,"/",E1-1,"/",E1," Budget Authority Amount:")</f>
        <v>2013/2014/2015 Budget Authority Amount:</v>
      </c>
      <c r="C75" s="837">
        <f>inputOth!B75</f>
        <v>0</v>
      </c>
      <c r="D75" s="837">
        <f>inputPrYr!D30</f>
        <v>0</v>
      </c>
      <c r="E75" s="208">
        <f>E73</f>
        <v>0</v>
      </c>
      <c r="F75" s="258"/>
      <c r="G75" s="815">
        <f>IF(D79&gt;0,E78,E80)</f>
        <v>0</v>
      </c>
      <c r="H75" s="788" t="str">
        <f>CONCATENATE("",E1," Ad Valorem Tax (est.)")</f>
        <v>2015 Ad Valorem Tax (est.)</v>
      </c>
      <c r="I75" s="814"/>
      <c r="J75" s="818"/>
      <c r="K75" s="770">
        <f>IF(G75=E80,"","Note: Does not include Delinquent Taxes")</f>
      </c>
    </row>
    <row r="76" spans="2:10" ht="15">
      <c r="B76" s="119"/>
      <c r="C76" s="1010" t="s">
        <v>631</v>
      </c>
      <c r="D76" s="1011"/>
      <c r="E76" s="48"/>
      <c r="F76" s="873">
        <f>IF(E73/0.95-E73&lt;E76,"Exceeds 5%","")</f>
      </c>
      <c r="G76" s="817">
        <f>SUM(G73:G75)</f>
        <v>0</v>
      </c>
      <c r="H76" s="788" t="str">
        <f>CONCATENATE("Total ",E1," Resources Available")</f>
        <v>Total 2015 Resources Available</v>
      </c>
      <c r="I76" s="818"/>
      <c r="J76" s="818"/>
    </row>
    <row r="77" spans="2:10" ht="15">
      <c r="B77" s="527" t="str">
        <f>CONCATENATE(C96,"     ",D96)</f>
        <v>     </v>
      </c>
      <c r="C77" s="1012" t="s">
        <v>632</v>
      </c>
      <c r="D77" s="1013"/>
      <c r="E77" s="208">
        <f>E73+E76</f>
        <v>0</v>
      </c>
      <c r="G77" s="819"/>
      <c r="H77" s="820"/>
      <c r="I77" s="787"/>
      <c r="J77" s="818"/>
    </row>
    <row r="78" spans="2:10" ht="15">
      <c r="B78" s="527" t="str">
        <f>CONCATENATE(C97,"     ",D97)</f>
        <v>     </v>
      </c>
      <c r="C78" s="259"/>
      <c r="D78" s="151" t="s">
        <v>120</v>
      </c>
      <c r="E78" s="63">
        <f>IF(E77-E61&gt;0,E77-E61,0)</f>
        <v>0</v>
      </c>
      <c r="G78" s="821">
        <f>ROUND(C73*0.05+C73,0)</f>
        <v>0</v>
      </c>
      <c r="H78" s="820" t="str">
        <f>CONCATENATE("Less ",E1-2," Expenditures + 5%")</f>
        <v>Less 2013 Expenditures + 5%</v>
      </c>
      <c r="I78" s="818"/>
      <c r="J78" s="818"/>
    </row>
    <row r="79" spans="2:10" ht="15">
      <c r="B79" s="119"/>
      <c r="C79" s="370" t="s">
        <v>630</v>
      </c>
      <c r="D79" s="733">
        <f>inputOth!$E$50</f>
        <v>0.013</v>
      </c>
      <c r="E79" s="208">
        <f>ROUND(IF(D79&gt;0,(E78*D79),0),0)</f>
        <v>0</v>
      </c>
      <c r="G79" s="822">
        <f>G76-G78</f>
        <v>0</v>
      </c>
      <c r="H79" s="823" t="str">
        <f>CONCATENATE("Projected ",E1+1," carryover (est.)")</f>
        <v>Projected 2016 carryover (est.)</v>
      </c>
      <c r="I79" s="824"/>
      <c r="J79" s="825"/>
    </row>
    <row r="80" spans="2:9" ht="15.75" thickBot="1">
      <c r="B80" s="151"/>
      <c r="C80" s="1014" t="str">
        <f>CONCATENATE("Amount of  ",$E$1-1," Ad Valorem Tax")</f>
        <v>Amount of  2014 Ad Valorem Tax</v>
      </c>
      <c r="D80" s="1015"/>
      <c r="E80" s="736">
        <f>E78+E79</f>
        <v>0</v>
      </c>
      <c r="G80" s="2"/>
      <c r="H80" s="2"/>
      <c r="I80" s="2"/>
    </row>
    <row r="81" spans="2:10" ht="15.75" thickTop="1">
      <c r="B81" s="32"/>
      <c r="C81" s="32"/>
      <c r="D81" s="32"/>
      <c r="E81" s="32"/>
      <c r="G81" s="1021" t="s">
        <v>810</v>
      </c>
      <c r="H81" s="1022"/>
      <c r="I81" s="1022"/>
      <c r="J81" s="1023"/>
    </row>
    <row r="82" spans="2:10" ht="15">
      <c r="B82" s="119" t="s">
        <v>122</v>
      </c>
      <c r="C82" s="264"/>
      <c r="D82" s="32"/>
      <c r="E82" s="32"/>
      <c r="G82" s="776"/>
      <c r="H82" s="777"/>
      <c r="I82" s="778"/>
      <c r="J82" s="779"/>
    </row>
    <row r="83" spans="2:10" ht="15">
      <c r="B83" s="79"/>
      <c r="G83" s="780" t="str">
        <f>summ!H27</f>
        <v>  </v>
      </c>
      <c r="H83" s="777" t="str">
        <f>CONCATENATE("",E1," Fund Mill Rate")</f>
        <v>2015 Fund Mill Rate</v>
      </c>
      <c r="I83" s="778"/>
      <c r="J83" s="779"/>
    </row>
    <row r="84" spans="7:10" ht="15">
      <c r="G84" s="781" t="str">
        <f>summ!E27</f>
        <v>  </v>
      </c>
      <c r="H84" s="777" t="str">
        <f>CONCATENATE("",E1-1," Fund Mill Rate")</f>
        <v>2014 Fund Mill Rate</v>
      </c>
      <c r="I84" s="778"/>
      <c r="J84" s="779"/>
    </row>
    <row r="85" spans="7:10" ht="15">
      <c r="G85" s="782">
        <f>summ!H52</f>
        <v>59.433</v>
      </c>
      <c r="H85" s="777" t="str">
        <f>CONCATENATE("Total ",E1," Mill Rate")</f>
        <v>Total 2015 Mill Rate</v>
      </c>
      <c r="I85" s="778"/>
      <c r="J85" s="779"/>
    </row>
    <row r="86" spans="7:10" ht="15">
      <c r="G86" s="781">
        <f>summ!E52</f>
        <v>60.644</v>
      </c>
      <c r="H86" s="783" t="str">
        <f>CONCATENATE("Total ",E1-1," Mill Rate")</f>
        <v>Total 2014 Mill Rate</v>
      </c>
      <c r="I86" s="784"/>
      <c r="J86" s="785"/>
    </row>
    <row r="88" spans="7:9" ht="15">
      <c r="G88" s="946" t="s">
        <v>990</v>
      </c>
      <c r="H88" s="904"/>
      <c r="I88" s="903" t="str">
        <f>cert!F60</f>
        <v>Yes</v>
      </c>
    </row>
    <row r="94" spans="3:4" ht="15" hidden="1">
      <c r="C94" s="526">
        <f>IF(C33&gt;C35,"See Tab A","")</f>
      </c>
      <c r="D94" s="526">
        <f>IF(D31&gt;D35,"See Tab C","")</f>
      </c>
    </row>
    <row r="95" spans="3:4" ht="15" hidden="1">
      <c r="C95" s="526">
        <f>IF(C34&lt;0,"See Tab B","")</f>
      </c>
      <c r="D95" s="526">
        <f>IF(D34&lt;0,"See Tab D","")</f>
      </c>
    </row>
    <row r="96" spans="3:4" ht="15" hidden="1">
      <c r="C96" s="526">
        <f>IF(C71&gt;C75,"See Tab A","")</f>
      </c>
      <c r="D96" s="526">
        <f>IF(D71&gt;D75,"See Tab C","")</f>
      </c>
    </row>
    <row r="97" spans="3:4" ht="15" hidden="1">
      <c r="C97" s="526">
        <f>IF(C74&lt;0,"See Tab B","")</f>
      </c>
      <c r="D97" s="526">
        <f>IF(D74&lt;0,"See Tab D","")</f>
      </c>
    </row>
  </sheetData>
  <sheetProtection sheet="1"/>
  <mergeCells count="12">
    <mergeCell ref="G24:J24"/>
    <mergeCell ref="G31:J31"/>
    <mergeCell ref="G41:J41"/>
    <mergeCell ref="G64:J64"/>
    <mergeCell ref="G71:J71"/>
    <mergeCell ref="G81:J81"/>
    <mergeCell ref="C36:D36"/>
    <mergeCell ref="C37:D37"/>
    <mergeCell ref="C80:D80"/>
    <mergeCell ref="C40:D40"/>
    <mergeCell ref="C76:D76"/>
    <mergeCell ref="C77:D77"/>
  </mergeCells>
  <conditionalFormatting sqref="E31">
    <cfRule type="cellIs" priority="3" dxfId="328" operator="greaterThan" stopIfTrue="1">
      <formula>$E$33*0.1</formula>
    </cfRule>
  </conditionalFormatting>
  <conditionalFormatting sqref="E36">
    <cfRule type="cellIs" priority="4" dxfId="328" operator="greaterThan" stopIfTrue="1">
      <formula>$E$33/0.95-$E$33</formula>
    </cfRule>
  </conditionalFormatting>
  <conditionalFormatting sqref="E71">
    <cfRule type="cellIs" priority="5" dxfId="328" operator="greaterThan" stopIfTrue="1">
      <formula>$E$73*0.1</formula>
    </cfRule>
  </conditionalFormatting>
  <conditionalFormatting sqref="E76">
    <cfRule type="cellIs" priority="6" dxfId="32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$C$75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8" operator="greaterThan" stopIfTrue="1">
      <formula>$E$60*0.1+E80</formula>
    </cfRule>
  </conditionalFormatting>
  <conditionalFormatting sqref="E18">
    <cfRule type="cellIs" priority="21" dxfId="32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33">
      <selection activeCell="F67" sqref="F67"/>
    </sheetView>
  </sheetViews>
  <sheetFormatPr defaultColWidth="8.8984375" defaultRowHeight="15"/>
  <cols>
    <col min="1" max="1" width="2.3984375" style="30" customWidth="1"/>
    <col min="2" max="2" width="31.09765625" style="30" customWidth="1"/>
    <col min="3" max="4" width="15.69921875" style="30" customWidth="1"/>
    <col min="5" max="5" width="16.19921875" style="30" customWidth="1"/>
    <col min="6"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t="str">
        <f>(inputPrYr!B36)</f>
        <v>Special Highway</v>
      </c>
      <c r="C5" s="406" t="str">
        <f>CONCATENATE("Actual for ",E1-2,"")</f>
        <v>Actual for 2013</v>
      </c>
      <c r="D5" s="406" t="str">
        <f>CONCATENATE("Estimate for ",E1-1,"")</f>
        <v>Estimate for 2014</v>
      </c>
      <c r="E5" s="391" t="str">
        <f>CONCATENATE("Year for ",E1,"")</f>
        <v>Year for 2015</v>
      </c>
    </row>
    <row r="6" spans="2:5" ht="15">
      <c r="B6" s="234" t="s">
        <v>214</v>
      </c>
      <c r="C6" s="48">
        <v>260923</v>
      </c>
      <c r="D6" s="208">
        <f>C31</f>
        <v>599315</v>
      </c>
      <c r="E6" s="208">
        <f>D31</f>
        <v>684015</v>
      </c>
    </row>
    <row r="7" spans="2:5" ht="15">
      <c r="B7" s="238" t="s">
        <v>216</v>
      </c>
      <c r="C7" s="68"/>
      <c r="D7" s="68"/>
      <c r="E7" s="68"/>
    </row>
    <row r="8" spans="2:5" ht="15">
      <c r="B8" s="256" t="s">
        <v>206</v>
      </c>
      <c r="C8" s="48">
        <v>113106</v>
      </c>
      <c r="D8" s="275">
        <f>inputOth!E55</f>
        <v>114300</v>
      </c>
      <c r="E8" s="208">
        <f>inputOth!E53</f>
        <v>115240</v>
      </c>
    </row>
    <row r="9" spans="2:5" ht="15">
      <c r="B9" s="276" t="s">
        <v>254</v>
      </c>
      <c r="C9" s="48"/>
      <c r="D9" s="275">
        <f>inputOth!E56</f>
        <v>0</v>
      </c>
      <c r="E9" s="275">
        <f>inputOth!E54</f>
        <v>0</v>
      </c>
    </row>
    <row r="10" spans="2:5" ht="15">
      <c r="B10" s="255" t="s">
        <v>1090</v>
      </c>
      <c r="C10" s="48">
        <v>228200</v>
      </c>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v>454</v>
      </c>
      <c r="D14" s="48">
        <v>400</v>
      </c>
      <c r="E14" s="48">
        <v>400</v>
      </c>
    </row>
    <row r="15" spans="2:5" ht="15">
      <c r="B15" s="142" t="s">
        <v>13</v>
      </c>
      <c r="C15" s="48"/>
      <c r="D15" s="240"/>
      <c r="E15" s="240"/>
    </row>
    <row r="16" spans="2:5" ht="15">
      <c r="B16" s="234" t="s">
        <v>785</v>
      </c>
      <c r="C16" s="282">
        <f>IF(C17*0.1&lt;C15,"Exceed 10% Rule","")</f>
      </c>
      <c r="D16" s="245">
        <f>IF(D17*0.1&lt;D15,"Exceed 10% Rule","")</f>
      </c>
      <c r="E16" s="245">
        <f>IF(E17*0.1&lt;E15,"Exceed 10% Rule","")</f>
      </c>
    </row>
    <row r="17" spans="2:5" ht="15">
      <c r="B17" s="246" t="s">
        <v>112</v>
      </c>
      <c r="C17" s="249">
        <f>SUM(C8:C15)</f>
        <v>341760</v>
      </c>
      <c r="D17" s="249">
        <f>SUM(D8:D15)</f>
        <v>114700</v>
      </c>
      <c r="E17" s="249">
        <f>SUM(E8:E15)</f>
        <v>115640</v>
      </c>
    </row>
    <row r="18" spans="2:5" ht="15">
      <c r="B18" s="246" t="s">
        <v>113</v>
      </c>
      <c r="C18" s="249">
        <f>C6+C17</f>
        <v>602683</v>
      </c>
      <c r="D18" s="249">
        <f>D6+D17</f>
        <v>714015</v>
      </c>
      <c r="E18" s="249">
        <f>E6+E17</f>
        <v>799655</v>
      </c>
    </row>
    <row r="19" spans="2:5" ht="15">
      <c r="B19" s="133" t="s">
        <v>115</v>
      </c>
      <c r="C19" s="208"/>
      <c r="D19" s="208"/>
      <c r="E19" s="208"/>
    </row>
    <row r="20" spans="2:5" ht="15">
      <c r="B20" s="255" t="s">
        <v>1078</v>
      </c>
      <c r="C20" s="48">
        <v>3368</v>
      </c>
      <c r="D20" s="48">
        <v>30000</v>
      </c>
      <c r="E20" s="48">
        <v>75000</v>
      </c>
    </row>
    <row r="21" spans="2:5" ht="15">
      <c r="B21" s="255" t="s">
        <v>1079</v>
      </c>
      <c r="C21" s="48"/>
      <c r="D21" s="48"/>
      <c r="E21" s="48"/>
    </row>
    <row r="22" spans="2:5" ht="15">
      <c r="B22" s="255"/>
      <c r="C22" s="48"/>
      <c r="D22" s="48"/>
      <c r="E22" s="48"/>
    </row>
    <row r="23" spans="2:5" ht="15">
      <c r="B23" s="255" t="s">
        <v>1142</v>
      </c>
      <c r="C23" s="48"/>
      <c r="D23" s="48"/>
      <c r="E23" s="48">
        <v>650000</v>
      </c>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3368</v>
      </c>
      <c r="D30" s="249">
        <f>SUM(D20:D28)</f>
        <v>30000</v>
      </c>
      <c r="E30" s="249">
        <f>SUM(E20:E28)</f>
        <v>725000</v>
      </c>
    </row>
    <row r="31" spans="2:5" ht="15">
      <c r="B31" s="133" t="s">
        <v>215</v>
      </c>
      <c r="C31" s="63">
        <f>C18-C30</f>
        <v>599315</v>
      </c>
      <c r="D31" s="63">
        <f>D18-D30</f>
        <v>684015</v>
      </c>
      <c r="E31" s="63">
        <f>E18-E30</f>
        <v>74655</v>
      </c>
    </row>
    <row r="32" spans="2:5" ht="15">
      <c r="B32" s="153" t="str">
        <f>CONCATENATE("",E1-2,"/",E1-1,"/",E1," Budget Authority Amount:")</f>
        <v>2013/2014/2015 Budget Authority Amount:</v>
      </c>
      <c r="C32" s="837">
        <f>inputOth!B77</f>
        <v>350000</v>
      </c>
      <c r="D32" s="837">
        <f>inputPrYr!D36</f>
        <v>380000</v>
      </c>
      <c r="E32" s="911">
        <f>E30</f>
        <v>725000</v>
      </c>
    </row>
    <row r="33" spans="2:5" ht="15">
      <c r="B33" s="119"/>
      <c r="C33" s="259">
        <f>IF(C30&gt;C32,"See Tab A","")</f>
      </c>
      <c r="D33" s="259">
        <f>IF(D30&gt;D32,"See Tab C","")</f>
      </c>
      <c r="E33" s="912">
        <f>IF(E31&lt;0,"See Tab E","")</f>
      </c>
    </row>
    <row r="34" spans="2:5" ht="15">
      <c r="B34" s="119"/>
      <c r="C34" s="259">
        <f>IF(C31&lt;0,"See Tab B","")</f>
      </c>
      <c r="D34" s="259">
        <f>IF(D31&lt;0,"See Tab D","")</f>
      </c>
      <c r="E34" s="78"/>
    </row>
    <row r="35" spans="2:5" ht="15">
      <c r="B35" s="32"/>
      <c r="C35" s="78"/>
      <c r="D35" s="78"/>
      <c r="E35" s="78"/>
    </row>
    <row r="36" spans="2:5" ht="15">
      <c r="B36" s="33"/>
      <c r="C36" s="277"/>
      <c r="D36" s="277"/>
      <c r="E36" s="277"/>
    </row>
    <row r="37" spans="2:5" ht="15">
      <c r="B37" s="33" t="s">
        <v>103</v>
      </c>
      <c r="C37" s="261" t="s">
        <v>806</v>
      </c>
      <c r="D37" s="127" t="s">
        <v>807</v>
      </c>
      <c r="E37" s="127" t="s">
        <v>808</v>
      </c>
    </row>
    <row r="38" spans="2:5" ht="15">
      <c r="B38" s="531" t="str">
        <f>(inputPrYr!B37)</f>
        <v>Special Parks &amp; Recreation</v>
      </c>
      <c r="C38" s="233" t="str">
        <f>C5</f>
        <v>Actual for 2013</v>
      </c>
      <c r="D38" s="233" t="str">
        <f>D5</f>
        <v>Estimate for 2014</v>
      </c>
      <c r="E38" s="233" t="str">
        <f>E5</f>
        <v>Year for 2015</v>
      </c>
    </row>
    <row r="39" spans="2:5" ht="15">
      <c r="B39" s="234" t="s">
        <v>214</v>
      </c>
      <c r="C39" s="48">
        <v>59700</v>
      </c>
      <c r="D39" s="208">
        <f>C62</f>
        <v>72844</v>
      </c>
      <c r="E39" s="208">
        <f>D62</f>
        <v>59904</v>
      </c>
    </row>
    <row r="40" spans="2:5" ht="15">
      <c r="B40" s="238" t="s">
        <v>216</v>
      </c>
      <c r="C40" s="68"/>
      <c r="D40" s="68"/>
      <c r="E40" s="68"/>
    </row>
    <row r="41" spans="2:5" ht="15">
      <c r="B41" s="255" t="s">
        <v>1166</v>
      </c>
      <c r="C41" s="48">
        <v>13061</v>
      </c>
      <c r="D41" s="48">
        <v>12000</v>
      </c>
      <c r="E41" s="48">
        <v>13469</v>
      </c>
    </row>
    <row r="42" spans="2:5" ht="15">
      <c r="B42" s="255"/>
      <c r="C42" s="48"/>
      <c r="D42" s="48"/>
      <c r="E42" s="48"/>
    </row>
    <row r="43" spans="2:5" ht="15">
      <c r="B43" s="255"/>
      <c r="C43" s="48"/>
      <c r="D43" s="48"/>
      <c r="E43" s="48"/>
    </row>
    <row r="44" spans="2:5" ht="15">
      <c r="B44" s="255"/>
      <c r="C44" s="48"/>
      <c r="D44" s="48"/>
      <c r="E44" s="48"/>
    </row>
    <row r="45" spans="2:5" ht="15">
      <c r="B45" s="243" t="s">
        <v>111</v>
      </c>
      <c r="C45" s="48">
        <v>83</v>
      </c>
      <c r="D45" s="48">
        <v>60</v>
      </c>
      <c r="E45" s="48">
        <v>70</v>
      </c>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13144</v>
      </c>
      <c r="D48" s="249">
        <f>SUM(D41:D46)</f>
        <v>12060</v>
      </c>
      <c r="E48" s="249">
        <f>SUM(E41:E46)</f>
        <v>13539</v>
      </c>
    </row>
    <row r="49" spans="2:5" ht="15">
      <c r="B49" s="246" t="s">
        <v>113</v>
      </c>
      <c r="C49" s="249">
        <f>C39+C48</f>
        <v>72844</v>
      </c>
      <c r="D49" s="249">
        <f>D39+D48</f>
        <v>84904</v>
      </c>
      <c r="E49" s="249">
        <f>E39+E48</f>
        <v>73443</v>
      </c>
    </row>
    <row r="50" spans="2:5" ht="15">
      <c r="B50" s="133" t="s">
        <v>115</v>
      </c>
      <c r="C50" s="208"/>
      <c r="D50" s="208"/>
      <c r="E50" s="208"/>
    </row>
    <row r="51" spans="2:5" ht="15">
      <c r="B51" s="255" t="s">
        <v>1077</v>
      </c>
      <c r="C51" s="48"/>
      <c r="D51" s="48"/>
      <c r="E51" s="48"/>
    </row>
    <row r="52" spans="2:5" ht="15">
      <c r="B52" s="255" t="s">
        <v>1078</v>
      </c>
      <c r="C52" s="48"/>
      <c r="D52" s="48"/>
      <c r="E52" s="48"/>
    </row>
    <row r="53" spans="2:5" ht="15">
      <c r="B53" s="255" t="s">
        <v>1079</v>
      </c>
      <c r="C53" s="48"/>
      <c r="D53" s="48">
        <v>25000</v>
      </c>
      <c r="E53" s="48">
        <v>70000</v>
      </c>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56" t="s">
        <v>786</v>
      </c>
      <c r="C60" s="282">
        <f>IF(C61*0.1&lt;C59,"Exceed 10% Rule","")</f>
      </c>
      <c r="D60" s="245">
        <f>IF(D61*0.1&lt;D59,"Exceed 10% Rule","")</f>
      </c>
      <c r="E60" s="245">
        <f>IF(E61*0.1&lt;E59,"Exceed 10% Rule","")</f>
      </c>
    </row>
    <row r="61" spans="2:5" ht="15">
      <c r="B61" s="246" t="s">
        <v>119</v>
      </c>
      <c r="C61" s="249">
        <f>SUM(C51:C59)</f>
        <v>0</v>
      </c>
      <c r="D61" s="249">
        <f>SUM(D51:D59)</f>
        <v>25000</v>
      </c>
      <c r="E61" s="249">
        <f>SUM(E51:E59)</f>
        <v>70000</v>
      </c>
    </row>
    <row r="62" spans="2:5" ht="15">
      <c r="B62" s="133" t="s">
        <v>215</v>
      </c>
      <c r="C62" s="63">
        <f>C49-C61</f>
        <v>72844</v>
      </c>
      <c r="D62" s="63">
        <f>D49-D61</f>
        <v>59904</v>
      </c>
      <c r="E62" s="63">
        <f>E49-E61</f>
        <v>3443</v>
      </c>
    </row>
    <row r="63" spans="2:5" ht="15">
      <c r="B63" s="153" t="str">
        <f>CONCATENATE("",E1-2,"/",E1-1,"/",E1," Budget Authority Amount:")</f>
        <v>2013/2014/2015 Budget Authority Amount:</v>
      </c>
      <c r="C63" s="837">
        <f>inputOth!B78</f>
        <v>30000</v>
      </c>
      <c r="D63" s="837">
        <f>inputPrYr!D37</f>
        <v>45000</v>
      </c>
      <c r="E63" s="911">
        <f>E61</f>
        <v>70000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v>13</v>
      </c>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8" sqref="Q88"/>
    </sheetView>
  </sheetViews>
  <sheetFormatPr defaultColWidth="8.8984375" defaultRowHeight="15"/>
  <cols>
    <col min="1" max="1" width="2.3984375" style="30" customWidth="1"/>
    <col min="2" max="2" width="31.09765625" style="30" customWidth="1"/>
    <col min="3" max="4" width="15.69921875" style="30" customWidth="1"/>
    <col min="5" max="5" width="16.296875" style="30" customWidth="1"/>
    <col min="6"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f>(inputPrYr!B38)</f>
        <v>0</v>
      </c>
      <c r="C5" s="406" t="str">
        <f>CONCATENATE("Actual for ",E1-2,"")</f>
        <v>Actual for 2013</v>
      </c>
      <c r="D5" s="406" t="str">
        <f>CONCATENATE("Estimate for ",E1-1,"")</f>
        <v>Estimate for 2014</v>
      </c>
      <c r="E5" s="391" t="str">
        <f>CONCATENATE("Year for ",E1,"")</f>
        <v>Year for 2015</v>
      </c>
    </row>
    <row r="6" spans="2:5" ht="15">
      <c r="B6" s="234" t="s">
        <v>214</v>
      </c>
      <c r="C6" s="48"/>
      <c r="D6" s="208">
        <f>C31</f>
        <v>0</v>
      </c>
      <c r="E6" s="208">
        <f>D31</f>
        <v>0</v>
      </c>
    </row>
    <row r="7" spans="2:5" ht="15">
      <c r="B7" s="238" t="s">
        <v>216</v>
      </c>
      <c r="C7" s="68"/>
      <c r="D7" s="68"/>
      <c r="E7" s="68"/>
    </row>
    <row r="8" spans="2:5" ht="15">
      <c r="B8" s="255"/>
      <c r="C8" s="48"/>
      <c r="D8" s="48"/>
      <c r="E8" s="48"/>
    </row>
    <row r="9" spans="2:5" ht="15">
      <c r="B9" s="255"/>
      <c r="C9" s="48"/>
      <c r="D9" s="48"/>
      <c r="E9" s="48"/>
    </row>
    <row r="10" spans="2:5" ht="15">
      <c r="B10" s="255"/>
      <c r="C10" s="48"/>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c r="D14" s="48"/>
      <c r="E14" s="48"/>
    </row>
    <row r="15" spans="2:5" ht="15">
      <c r="B15" s="142" t="s">
        <v>13</v>
      </c>
      <c r="C15" s="48"/>
      <c r="D15" s="240"/>
      <c r="E15" s="240"/>
    </row>
    <row r="16" spans="2:5" ht="15">
      <c r="B16" s="234" t="s">
        <v>785</v>
      </c>
      <c r="C16" s="282">
        <f>IF(C17*0.1&lt;C15,"Exceed 10% Rule","")</f>
      </c>
      <c r="D16" s="245">
        <f>IF(D17*0.1&lt;D15,"Exceed 10% Rule","")</f>
      </c>
      <c r="E16" s="245">
        <f>IF(E17*0.1&lt;E15,"Exceed 10% Rule","")</f>
      </c>
    </row>
    <row r="17" spans="2:5" ht="15">
      <c r="B17" s="246" t="s">
        <v>112</v>
      </c>
      <c r="C17" s="249">
        <f>SUM(C8:C15)</f>
        <v>0</v>
      </c>
      <c r="D17" s="249">
        <f>SUM(D8:D15)</f>
        <v>0</v>
      </c>
      <c r="E17" s="249">
        <f>SUM(E8:E15)</f>
        <v>0</v>
      </c>
    </row>
    <row r="18" spans="2:5" ht="15">
      <c r="B18" s="246" t="s">
        <v>113</v>
      </c>
      <c r="C18" s="249">
        <f>C6+C17</f>
        <v>0</v>
      </c>
      <c r="D18" s="249">
        <f>D6+D17</f>
        <v>0</v>
      </c>
      <c r="E18" s="249">
        <f>E6+E17</f>
        <v>0</v>
      </c>
    </row>
    <row r="19" spans="2:5" ht="15">
      <c r="B19" s="133" t="s">
        <v>115</v>
      </c>
      <c r="C19" s="208"/>
      <c r="D19" s="208"/>
      <c r="E19" s="208"/>
    </row>
    <row r="20" spans="2:5" ht="15">
      <c r="B20" s="255"/>
      <c r="C20" s="48"/>
      <c r="D20" s="48"/>
      <c r="E20" s="48"/>
    </row>
    <row r="21" spans="2:5" ht="15">
      <c r="B21" s="255"/>
      <c r="C21" s="48"/>
      <c r="D21" s="48"/>
      <c r="E21" s="48"/>
    </row>
    <row r="22" spans="2:5" ht="15">
      <c r="B22" s="255"/>
      <c r="C22" s="48"/>
      <c r="D22" s="48"/>
      <c r="E22" s="48"/>
    </row>
    <row r="23" spans="2:5" ht="15">
      <c r="B23" s="255"/>
      <c r="C23" s="48"/>
      <c r="D23" s="48"/>
      <c r="E23" s="48"/>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0</v>
      </c>
      <c r="D30" s="249">
        <f>SUM(D20:D28)</f>
        <v>0</v>
      </c>
      <c r="E30" s="249">
        <f>SUM(E20:E28)</f>
        <v>0</v>
      </c>
    </row>
    <row r="31" spans="2:5" ht="15">
      <c r="B31" s="133" t="s">
        <v>215</v>
      </c>
      <c r="C31" s="63">
        <f>C18-C30</f>
        <v>0</v>
      </c>
      <c r="D31" s="63">
        <f>D18-D30</f>
        <v>0</v>
      </c>
      <c r="E31" s="63">
        <f>E18-E30</f>
        <v>0</v>
      </c>
    </row>
    <row r="32" spans="2:5" ht="15">
      <c r="B32" s="153" t="str">
        <f>CONCATENATE("",E1-2,"/",E1-1,"/",E1," Budget Authority Amount:")</f>
        <v>2013/2014/2015 Budget Authority Amount:</v>
      </c>
      <c r="C32" s="837">
        <f>inputOth!B79</f>
        <v>0</v>
      </c>
      <c r="D32" s="837">
        <f>inputPrYr!D38</f>
        <v>0</v>
      </c>
      <c r="E32" s="911">
        <f>E30</f>
        <v>0</v>
      </c>
    </row>
    <row r="33" spans="2:5" ht="15">
      <c r="B33" s="119"/>
      <c r="C33" s="259">
        <f>IF(C30&gt;C32,"See Tab A","")</f>
      </c>
      <c r="D33" s="259">
        <f>IF(D30&gt;D32,"See Tab C","")</f>
      </c>
      <c r="E33" s="912">
        <f>IF(E31&lt;0,"See Tab E","")</f>
      </c>
    </row>
    <row r="34" spans="2:5" ht="15">
      <c r="B34" s="119"/>
      <c r="C34" s="259">
        <f>IF(C31&lt;0,"See Tab B","")</f>
      </c>
      <c r="D34" s="259">
        <f>IF(D31&lt;0,"See Tab D","")</f>
      </c>
      <c r="E34" s="78"/>
    </row>
    <row r="35" spans="2:5" ht="15">
      <c r="B35" s="32"/>
      <c r="C35" s="78"/>
      <c r="D35" s="78"/>
      <c r="E35" s="78"/>
    </row>
    <row r="36" spans="2:5" ht="15">
      <c r="B36" s="33"/>
      <c r="C36" s="277"/>
      <c r="D36" s="277"/>
      <c r="E36" s="277"/>
    </row>
    <row r="37" spans="2:5" ht="15">
      <c r="B37" s="33" t="s">
        <v>103</v>
      </c>
      <c r="C37" s="261" t="s">
        <v>806</v>
      </c>
      <c r="D37" s="127" t="s">
        <v>807</v>
      </c>
      <c r="E37" s="127" t="s">
        <v>808</v>
      </c>
    </row>
    <row r="38" spans="2:5" ht="15">
      <c r="B38" s="531">
        <f>(inputPrYr!B39)</f>
        <v>0</v>
      </c>
      <c r="C38" s="233" t="str">
        <f>C5</f>
        <v>Actual for 2013</v>
      </c>
      <c r="D38" s="233" t="str">
        <f>D5</f>
        <v>Estimate for 2014</v>
      </c>
      <c r="E38" s="233" t="str">
        <f>E5</f>
        <v>Year for 2015</v>
      </c>
    </row>
    <row r="39" spans="2:5" ht="15">
      <c r="B39" s="234" t="s">
        <v>214</v>
      </c>
      <c r="C39" s="48"/>
      <c r="D39" s="208">
        <f>C62</f>
        <v>0</v>
      </c>
      <c r="E39" s="208">
        <f>D62</f>
        <v>0</v>
      </c>
    </row>
    <row r="40" spans="2:5" ht="15">
      <c r="B40" s="238" t="s">
        <v>216</v>
      </c>
      <c r="C40" s="68"/>
      <c r="D40" s="68"/>
      <c r="E40" s="68"/>
    </row>
    <row r="41" spans="2:5" ht="15">
      <c r="B41" s="255"/>
      <c r="C41" s="48"/>
      <c r="D41" s="48"/>
      <c r="E41" s="48"/>
    </row>
    <row r="42" spans="2:5" ht="15">
      <c r="B42" s="255"/>
      <c r="C42" s="48"/>
      <c r="D42" s="48"/>
      <c r="E42" s="48"/>
    </row>
    <row r="43" spans="2:5" ht="15">
      <c r="B43" s="255"/>
      <c r="C43" s="48"/>
      <c r="D43" s="48"/>
      <c r="E43" s="48"/>
    </row>
    <row r="44" spans="2:5" ht="15">
      <c r="B44" s="255"/>
      <c r="C44" s="48"/>
      <c r="D44" s="48"/>
      <c r="E44" s="48"/>
    </row>
    <row r="45" spans="2:5" ht="15">
      <c r="B45" s="243" t="s">
        <v>111</v>
      </c>
      <c r="C45" s="48"/>
      <c r="D45" s="48"/>
      <c r="E45" s="48"/>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0</v>
      </c>
      <c r="D48" s="249">
        <f>SUM(D41:D46)</f>
        <v>0</v>
      </c>
      <c r="E48" s="249">
        <f>SUM(E41:E46)</f>
        <v>0</v>
      </c>
    </row>
    <row r="49" spans="2:5" ht="15">
      <c r="B49" s="246" t="s">
        <v>113</v>
      </c>
      <c r="C49" s="249">
        <f>C39+C48</f>
        <v>0</v>
      </c>
      <c r="D49" s="249">
        <f>D39+D48</f>
        <v>0</v>
      </c>
      <c r="E49" s="249">
        <f>E39+E48</f>
        <v>0</v>
      </c>
    </row>
    <row r="50" spans="2:5" ht="15">
      <c r="B50" s="133" t="s">
        <v>115</v>
      </c>
      <c r="C50" s="208"/>
      <c r="D50" s="208"/>
      <c r="E50" s="208"/>
    </row>
    <row r="51" spans="2:5" ht="15">
      <c r="B51" s="255"/>
      <c r="C51" s="48"/>
      <c r="D51" s="48"/>
      <c r="E51" s="48"/>
    </row>
    <row r="52" spans="2:5" ht="15">
      <c r="B52" s="255"/>
      <c r="C52" s="48"/>
      <c r="D52" s="48"/>
      <c r="E52" s="48"/>
    </row>
    <row r="53" spans="2:5" ht="15">
      <c r="B53" s="255"/>
      <c r="C53" s="48"/>
      <c r="D53" s="48"/>
      <c r="E53" s="48"/>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56" t="s">
        <v>786</v>
      </c>
      <c r="C60" s="282">
        <f>IF(C61*0.1&lt;C59,"Exceed 10% Rule","")</f>
      </c>
      <c r="D60" s="245">
        <f>IF(D61*0.1&lt;D59,"Exceed 10% Rule","")</f>
      </c>
      <c r="E60" s="245">
        <f>IF(E61*0.1&lt;E59,"Exceed 10% Rule","")</f>
      </c>
    </row>
    <row r="61" spans="2:5" ht="15">
      <c r="B61" s="246" t="s">
        <v>119</v>
      </c>
      <c r="C61" s="249">
        <f>SUM(C51:C59)</f>
        <v>0</v>
      </c>
      <c r="D61" s="249">
        <f>SUM(D51:D59)</f>
        <v>0</v>
      </c>
      <c r="E61" s="249">
        <f>SUM(E51:E59)</f>
        <v>0</v>
      </c>
    </row>
    <row r="62" spans="2:5" ht="15">
      <c r="B62" s="133" t="s">
        <v>215</v>
      </c>
      <c r="C62" s="63">
        <f>C49-C61</f>
        <v>0</v>
      </c>
      <c r="D62" s="63">
        <f>D49-D61</f>
        <v>0</v>
      </c>
      <c r="E62" s="63">
        <f>E49-E61</f>
        <v>0</v>
      </c>
    </row>
    <row r="63" spans="2:5" ht="15">
      <c r="B63" s="153" t="str">
        <f>CONCATENATE("",E1-2,"/",E1-1,"/",E1," Budget Authority Amount:")</f>
        <v>2013/2014/2015 Budget Authority Amount:</v>
      </c>
      <c r="C63" s="837">
        <f>inputOth!B80</f>
        <v>0</v>
      </c>
      <c r="D63" s="837">
        <f>inputPrYr!D39</f>
        <v>0</v>
      </c>
      <c r="E63" s="911">
        <f>E61</f>
        <v>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91" sqref="Q91"/>
    </sheetView>
  </sheetViews>
  <sheetFormatPr defaultColWidth="8.8984375" defaultRowHeight="15"/>
  <cols>
    <col min="1" max="1" width="2.3984375" style="30" customWidth="1"/>
    <col min="2" max="2" width="31.09765625" style="30" customWidth="1"/>
    <col min="3" max="4" width="15.69921875" style="30" customWidth="1"/>
    <col min="5" max="5" width="16.09765625" style="30" customWidth="1"/>
    <col min="6"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f>(inputPrYr!B40)</f>
        <v>0</v>
      </c>
      <c r="C5" s="406" t="str">
        <f>CONCATENATE("Actual for ",E1-2,"")</f>
        <v>Actual for 2013</v>
      </c>
      <c r="D5" s="406" t="str">
        <f>CONCATENATE("Estimate for ",E1-1,"")</f>
        <v>Estimate for 2014</v>
      </c>
      <c r="E5" s="391" t="str">
        <f>CONCATENATE("Year for ",E1,"")</f>
        <v>Year for 2015</v>
      </c>
    </row>
    <row r="6" spans="2:5" ht="15">
      <c r="B6" s="234" t="s">
        <v>214</v>
      </c>
      <c r="C6" s="48"/>
      <c r="D6" s="208">
        <f>C31</f>
        <v>0</v>
      </c>
      <c r="E6" s="208">
        <f>D31</f>
        <v>0</v>
      </c>
    </row>
    <row r="7" spans="2:5" ht="15">
      <c r="B7" s="238" t="s">
        <v>216</v>
      </c>
      <c r="C7" s="68"/>
      <c r="D7" s="68"/>
      <c r="E7" s="68"/>
    </row>
    <row r="8" spans="2:5" ht="15">
      <c r="B8" s="255"/>
      <c r="C8" s="48"/>
      <c r="D8" s="48"/>
      <c r="E8" s="48"/>
    </row>
    <row r="9" spans="2:5" ht="15">
      <c r="B9" s="255"/>
      <c r="C9" s="48"/>
      <c r="D9" s="48"/>
      <c r="E9" s="48"/>
    </row>
    <row r="10" spans="2:5" ht="15">
      <c r="B10" s="255"/>
      <c r="C10" s="48"/>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c r="D14" s="48"/>
      <c r="E14" s="48"/>
    </row>
    <row r="15" spans="2:5" ht="15">
      <c r="B15" s="142" t="s">
        <v>13</v>
      </c>
      <c r="C15" s="48"/>
      <c r="D15" s="240"/>
      <c r="E15" s="240"/>
    </row>
    <row r="16" spans="2:5" ht="15">
      <c r="B16" s="234" t="s">
        <v>785</v>
      </c>
      <c r="C16" s="282">
        <f>IF(C17*0.1&lt;C15,"Exceed 10% Rule","")</f>
      </c>
      <c r="D16" s="245">
        <f>IF(D17*0.1&lt;D15,"Exceed 10% Rule","")</f>
      </c>
      <c r="E16" s="245">
        <f>IF(E17*0.1&lt;E15,"Exceed 10% Rule","")</f>
      </c>
    </row>
    <row r="17" spans="2:5" ht="15">
      <c r="B17" s="246" t="s">
        <v>112</v>
      </c>
      <c r="C17" s="249">
        <f>SUM(C8:C15)</f>
        <v>0</v>
      </c>
      <c r="D17" s="249">
        <f>SUM(D8:D15)</f>
        <v>0</v>
      </c>
      <c r="E17" s="249">
        <f>SUM(E8:E15)</f>
        <v>0</v>
      </c>
    </row>
    <row r="18" spans="2:5" ht="15">
      <c r="B18" s="246" t="s">
        <v>113</v>
      </c>
      <c r="C18" s="249">
        <f>C6+C17</f>
        <v>0</v>
      </c>
      <c r="D18" s="249">
        <f>D6+D17</f>
        <v>0</v>
      </c>
      <c r="E18" s="249">
        <f>E6+E17</f>
        <v>0</v>
      </c>
    </row>
    <row r="19" spans="2:5" ht="15">
      <c r="B19" s="133" t="s">
        <v>115</v>
      </c>
      <c r="C19" s="208"/>
      <c r="D19" s="208"/>
      <c r="E19" s="208"/>
    </row>
    <row r="20" spans="2:5" ht="15">
      <c r="B20" s="255"/>
      <c r="C20" s="48"/>
      <c r="D20" s="48"/>
      <c r="E20" s="48"/>
    </row>
    <row r="21" spans="2:5" ht="15">
      <c r="B21" s="255"/>
      <c r="C21" s="48"/>
      <c r="D21" s="48"/>
      <c r="E21" s="48"/>
    </row>
    <row r="22" spans="2:5" ht="15">
      <c r="B22" s="255"/>
      <c r="C22" s="48"/>
      <c r="D22" s="48"/>
      <c r="E22" s="48"/>
    </row>
    <row r="23" spans="2:5" ht="15">
      <c r="B23" s="255"/>
      <c r="C23" s="48"/>
      <c r="D23" s="48"/>
      <c r="E23" s="48"/>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0</v>
      </c>
      <c r="D30" s="249">
        <f>SUM(D20:D28)</f>
        <v>0</v>
      </c>
      <c r="E30" s="249">
        <f>SUM(E20:E28)</f>
        <v>0</v>
      </c>
    </row>
    <row r="31" spans="2:5" ht="15">
      <c r="B31" s="133" t="s">
        <v>215</v>
      </c>
      <c r="C31" s="63">
        <f>C18-C30</f>
        <v>0</v>
      </c>
      <c r="D31" s="63">
        <f>D18-D30</f>
        <v>0</v>
      </c>
      <c r="E31" s="63">
        <f>E18-E30</f>
        <v>0</v>
      </c>
    </row>
    <row r="32" spans="2:5" ht="15">
      <c r="B32" s="153" t="str">
        <f>CONCATENATE("",E1-2,"/",E1-1,"/",E1," Budget Authority Amount:")</f>
        <v>2013/2014/2015 Budget Authority Amount:</v>
      </c>
      <c r="C32" s="837">
        <f>inputOth!B81</f>
        <v>0</v>
      </c>
      <c r="D32" s="837">
        <f>inputPrYr!D40</f>
        <v>0</v>
      </c>
      <c r="E32" s="911">
        <f>E30</f>
        <v>0</v>
      </c>
    </row>
    <row r="33" spans="2:5" ht="15">
      <c r="B33" s="119"/>
      <c r="C33" s="259">
        <f>IF(C30&gt;C32,"See Tab A","")</f>
      </c>
      <c r="D33" s="259">
        <f>IF(D30&gt;D32,"See Tab C","")</f>
      </c>
      <c r="E33" s="912">
        <f>IF(E31&lt;0,"See Tab E","")</f>
      </c>
    </row>
    <row r="34" spans="2:5" ht="15">
      <c r="B34" s="119"/>
      <c r="C34" s="259">
        <f>IF(C31&lt;0,"See Tab B","")</f>
      </c>
      <c r="D34" s="259">
        <f>IF(D31&lt;0,"See Tab D","")</f>
      </c>
      <c r="E34" s="78"/>
    </row>
    <row r="35" spans="2:5" ht="15">
      <c r="B35" s="32"/>
      <c r="C35" s="78"/>
      <c r="D35" s="78"/>
      <c r="E35" s="78"/>
    </row>
    <row r="36" spans="2:5" ht="15">
      <c r="B36" s="33"/>
      <c r="C36" s="277"/>
      <c r="D36" s="277"/>
      <c r="E36" s="277"/>
    </row>
    <row r="37" spans="2:5" ht="15">
      <c r="B37" s="33" t="s">
        <v>103</v>
      </c>
      <c r="C37" s="261" t="s">
        <v>806</v>
      </c>
      <c r="D37" s="127" t="s">
        <v>807</v>
      </c>
      <c r="E37" s="127" t="s">
        <v>808</v>
      </c>
    </row>
    <row r="38" spans="2:5" ht="15">
      <c r="B38" s="531">
        <f>(inputPrYr!B41)</f>
        <v>0</v>
      </c>
      <c r="C38" s="233" t="str">
        <f>C5</f>
        <v>Actual for 2013</v>
      </c>
      <c r="D38" s="233" t="str">
        <f>D5</f>
        <v>Estimate for 2014</v>
      </c>
      <c r="E38" s="233" t="str">
        <f>E5</f>
        <v>Year for 2015</v>
      </c>
    </row>
    <row r="39" spans="2:5" ht="15">
      <c r="B39" s="234" t="s">
        <v>214</v>
      </c>
      <c r="C39" s="48"/>
      <c r="D39" s="208">
        <f>C62</f>
        <v>0</v>
      </c>
      <c r="E39" s="208">
        <f>D62</f>
        <v>0</v>
      </c>
    </row>
    <row r="40" spans="2:5" ht="15">
      <c r="B40" s="238" t="s">
        <v>216</v>
      </c>
      <c r="C40" s="68"/>
      <c r="D40" s="68"/>
      <c r="E40" s="68"/>
    </row>
    <row r="41" spans="2:5" ht="15">
      <c r="B41" s="255"/>
      <c r="C41" s="48"/>
      <c r="D41" s="48"/>
      <c r="E41" s="48"/>
    </row>
    <row r="42" spans="2:5" ht="15">
      <c r="B42" s="255"/>
      <c r="C42" s="48"/>
      <c r="D42" s="48"/>
      <c r="E42" s="48"/>
    </row>
    <row r="43" spans="2:5" ht="15">
      <c r="B43" s="255"/>
      <c r="C43" s="48"/>
      <c r="D43" s="48"/>
      <c r="E43" s="48"/>
    </row>
    <row r="44" spans="2:5" ht="15">
      <c r="B44" s="255"/>
      <c r="C44" s="48"/>
      <c r="D44" s="48"/>
      <c r="E44" s="48"/>
    </row>
    <row r="45" spans="2:5" ht="15">
      <c r="B45" s="243" t="s">
        <v>111</v>
      </c>
      <c r="C45" s="48"/>
      <c r="D45" s="48"/>
      <c r="E45" s="48"/>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0</v>
      </c>
      <c r="D48" s="249">
        <f>SUM(D41:D46)</f>
        <v>0</v>
      </c>
      <c r="E48" s="249">
        <f>SUM(E41:E46)</f>
        <v>0</v>
      </c>
    </row>
    <row r="49" spans="2:5" ht="15">
      <c r="B49" s="246" t="s">
        <v>113</v>
      </c>
      <c r="C49" s="249">
        <f>C39+C48</f>
        <v>0</v>
      </c>
      <c r="D49" s="249">
        <f>D39+D48</f>
        <v>0</v>
      </c>
      <c r="E49" s="249">
        <f>E39+E48</f>
        <v>0</v>
      </c>
    </row>
    <row r="50" spans="2:5" ht="15">
      <c r="B50" s="133" t="s">
        <v>115</v>
      </c>
      <c r="C50" s="208"/>
      <c r="D50" s="208"/>
      <c r="E50" s="208"/>
    </row>
    <row r="51" spans="2:5" ht="15">
      <c r="B51" s="255"/>
      <c r="C51" s="48"/>
      <c r="D51" s="48"/>
      <c r="E51" s="48"/>
    </row>
    <row r="52" spans="2:5" ht="15">
      <c r="B52" s="255"/>
      <c r="C52" s="48"/>
      <c r="D52" s="48"/>
      <c r="E52" s="48"/>
    </row>
    <row r="53" spans="2:5" ht="15">
      <c r="B53" s="255"/>
      <c r="C53" s="48"/>
      <c r="D53" s="48"/>
      <c r="E53" s="48"/>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78" t="s">
        <v>786</v>
      </c>
      <c r="C60" s="282">
        <f>IF(C61*0.1&lt;C59,"Exceed 10% Rule","")</f>
      </c>
      <c r="D60" s="245">
        <f>IF(D61*0.1&lt;D59,"Exceed 10% Rule","")</f>
      </c>
      <c r="E60" s="245">
        <f>IF(E61*0.1&lt;E59,"Exceed 10% Rule","")</f>
      </c>
    </row>
    <row r="61" spans="2:5" ht="15">
      <c r="B61" s="246" t="s">
        <v>119</v>
      </c>
      <c r="C61" s="249">
        <f>SUM(C51:C59)</f>
        <v>0</v>
      </c>
      <c r="D61" s="249">
        <f>SUM(D51:D59)</f>
        <v>0</v>
      </c>
      <c r="E61" s="249">
        <f>SUM(E51:E59)</f>
        <v>0</v>
      </c>
    </row>
    <row r="62" spans="2:5" ht="15">
      <c r="B62" s="133" t="s">
        <v>215</v>
      </c>
      <c r="C62" s="63">
        <f>C49-C61</f>
        <v>0</v>
      </c>
      <c r="D62" s="63">
        <f>D49-D61</f>
        <v>0</v>
      </c>
      <c r="E62" s="63">
        <f>E49-E61</f>
        <v>0</v>
      </c>
    </row>
    <row r="63" spans="2:5" ht="15">
      <c r="B63" s="153" t="str">
        <f>CONCATENATE("",E1-2,"/",E1-1,"/",E1," Budget Authority Amount:")</f>
        <v>2013/2014/2015 Budget Authority Amount:</v>
      </c>
      <c r="C63" s="837">
        <f>inputOth!B82</f>
        <v>0</v>
      </c>
      <c r="D63" s="837">
        <f>inputPrYr!D41</f>
        <v>0</v>
      </c>
      <c r="E63" s="911">
        <f>E61</f>
        <v>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99" sqref="Q99"/>
    </sheetView>
  </sheetViews>
  <sheetFormatPr defaultColWidth="8.8984375" defaultRowHeight="15"/>
  <cols>
    <col min="1" max="1" width="2.3984375" style="30" customWidth="1"/>
    <col min="2" max="2" width="31.09765625" style="30" customWidth="1"/>
    <col min="3" max="4" width="15.69921875" style="30" customWidth="1"/>
    <col min="5" max="5" width="16.19921875" style="30" customWidth="1"/>
    <col min="6"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f>inputPrYr!B42</f>
        <v>0</v>
      </c>
      <c r="C5" s="406" t="str">
        <f>CONCATENATE("Actual for ",E1-2,"")</f>
        <v>Actual for 2013</v>
      </c>
      <c r="D5" s="406" t="str">
        <f>CONCATENATE("Estimate for ",E1-1,"")</f>
        <v>Estimate for 2014</v>
      </c>
      <c r="E5" s="391" t="str">
        <f>CONCATENATE("Year for ",E1,"")</f>
        <v>Year for 2015</v>
      </c>
    </row>
    <row r="6" spans="2:5" ht="15">
      <c r="B6" s="234" t="s">
        <v>214</v>
      </c>
      <c r="C6" s="48"/>
      <c r="D6" s="208">
        <f>C31</f>
        <v>0</v>
      </c>
      <c r="E6" s="208">
        <f>D31</f>
        <v>0</v>
      </c>
    </row>
    <row r="7" spans="2:5" ht="15">
      <c r="B7" s="238" t="s">
        <v>216</v>
      </c>
      <c r="C7" s="68"/>
      <c r="D7" s="68"/>
      <c r="E7" s="68"/>
    </row>
    <row r="8" spans="2:5" ht="15">
      <c r="B8" s="255"/>
      <c r="C8" s="48"/>
      <c r="D8" s="48"/>
      <c r="E8" s="48"/>
    </row>
    <row r="9" spans="2:5" ht="15">
      <c r="B9" s="255"/>
      <c r="C9" s="48"/>
      <c r="D9" s="48"/>
      <c r="E9" s="48"/>
    </row>
    <row r="10" spans="2:5" ht="15">
      <c r="B10" s="255"/>
      <c r="C10" s="48"/>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c r="D14" s="48"/>
      <c r="E14" s="48"/>
    </row>
    <row r="15" spans="2:5" ht="15">
      <c r="B15" s="142" t="s">
        <v>13</v>
      </c>
      <c r="C15" s="48"/>
      <c r="D15" s="240"/>
      <c r="E15" s="240"/>
    </row>
    <row r="16" spans="2:5" ht="15">
      <c r="B16" s="234" t="s">
        <v>785</v>
      </c>
      <c r="C16" s="282">
        <f>IF(C17*0.1&lt;C15,"Exceed 10% Rule","")</f>
      </c>
      <c r="D16" s="245">
        <f>IF(D17*0.1&lt;D15,"Exceed 10% Rule","")</f>
      </c>
      <c r="E16" s="245">
        <f>IF(E17*0.1&lt;E15,"Exceed 10% Rule","")</f>
      </c>
    </row>
    <row r="17" spans="2:5" ht="15">
      <c r="B17" s="246" t="s">
        <v>112</v>
      </c>
      <c r="C17" s="249">
        <f>SUM(C8:C15)</f>
        <v>0</v>
      </c>
      <c r="D17" s="249">
        <f>SUM(D8:D15)</f>
        <v>0</v>
      </c>
      <c r="E17" s="249">
        <f>SUM(E8:E15)</f>
        <v>0</v>
      </c>
    </row>
    <row r="18" spans="2:5" ht="15">
      <c r="B18" s="246" t="s">
        <v>113</v>
      </c>
      <c r="C18" s="249">
        <f>C6+C17</f>
        <v>0</v>
      </c>
      <c r="D18" s="249">
        <f>D6+D17</f>
        <v>0</v>
      </c>
      <c r="E18" s="249">
        <f>E6+E17</f>
        <v>0</v>
      </c>
    </row>
    <row r="19" spans="2:5" ht="15">
      <c r="B19" s="133" t="s">
        <v>115</v>
      </c>
      <c r="C19" s="208"/>
      <c r="D19" s="208"/>
      <c r="E19" s="208"/>
    </row>
    <row r="20" spans="2:5" ht="15">
      <c r="B20" s="255"/>
      <c r="C20" s="48"/>
      <c r="D20" s="48"/>
      <c r="E20" s="48"/>
    </row>
    <row r="21" spans="2:5" ht="15">
      <c r="B21" s="255"/>
      <c r="C21" s="48"/>
      <c r="D21" s="48"/>
      <c r="E21" s="48"/>
    </row>
    <row r="22" spans="2:5" ht="15">
      <c r="B22" s="255"/>
      <c r="C22" s="48"/>
      <c r="D22" s="48"/>
      <c r="E22" s="48"/>
    </row>
    <row r="23" spans="2:5" ht="15">
      <c r="B23" s="255"/>
      <c r="C23" s="48"/>
      <c r="D23" s="48"/>
      <c r="E23" s="48"/>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0</v>
      </c>
      <c r="D30" s="249">
        <f>SUM(D20:D28)</f>
        <v>0</v>
      </c>
      <c r="E30" s="249">
        <f>SUM(E20:E28)</f>
        <v>0</v>
      </c>
    </row>
    <row r="31" spans="2:5" ht="15">
      <c r="B31" s="133" t="s">
        <v>215</v>
      </c>
      <c r="C31" s="63">
        <f>C18-C30</f>
        <v>0</v>
      </c>
      <c r="D31" s="63">
        <f>D18-D30</f>
        <v>0</v>
      </c>
      <c r="E31" s="63">
        <f>E18-E30</f>
        <v>0</v>
      </c>
    </row>
    <row r="32" spans="2:5" ht="15">
      <c r="B32" s="153" t="str">
        <f>CONCATENATE("",E1-2,"/",E1-1,"/",E1," Budget Authority Amount:")</f>
        <v>2013/2014/2015 Budget Authority Amount:</v>
      </c>
      <c r="C32" s="837">
        <f>inputOth!B83</f>
        <v>0</v>
      </c>
      <c r="D32" s="837">
        <f>inputPrYr!D42</f>
        <v>0</v>
      </c>
      <c r="E32" s="911">
        <f>E30</f>
        <v>0</v>
      </c>
    </row>
    <row r="33" spans="2:5" ht="15">
      <c r="B33" s="119"/>
      <c r="C33" s="259">
        <f>IF(C30&gt;C32,"See Tab A","")</f>
      </c>
      <c r="D33" s="259">
        <f>IF(D30&gt;D32,"See Tab C","")</f>
      </c>
      <c r="E33" s="912">
        <f>IF(E31&lt;0,"See Tab E","")</f>
      </c>
    </row>
    <row r="34" spans="2:5" ht="15">
      <c r="B34" s="119"/>
      <c r="C34" s="259">
        <f>IF(C31&lt;0,"See Tab B","")</f>
      </c>
      <c r="D34" s="259">
        <f>IF(D31&lt;0,"See Tab D","")</f>
      </c>
      <c r="E34" s="78"/>
    </row>
    <row r="35" spans="2:5" ht="15">
      <c r="B35" s="32"/>
      <c r="C35" s="78"/>
      <c r="D35" s="78"/>
      <c r="E35" s="78"/>
    </row>
    <row r="36" spans="2:5" ht="15">
      <c r="B36" s="33"/>
      <c r="C36" s="277"/>
      <c r="D36" s="277"/>
      <c r="E36" s="277"/>
    </row>
    <row r="37" spans="2:5" ht="15">
      <c r="B37" s="33" t="s">
        <v>103</v>
      </c>
      <c r="C37" s="261" t="s">
        <v>806</v>
      </c>
      <c r="D37" s="127" t="s">
        <v>807</v>
      </c>
      <c r="E37" s="127" t="s">
        <v>808</v>
      </c>
    </row>
    <row r="38" spans="2:5" ht="15">
      <c r="B38" s="531">
        <f>inputPrYr!B43</f>
        <v>0</v>
      </c>
      <c r="C38" s="233" t="str">
        <f>C5</f>
        <v>Actual for 2013</v>
      </c>
      <c r="D38" s="233" t="str">
        <f>D5</f>
        <v>Estimate for 2014</v>
      </c>
      <c r="E38" s="233" t="str">
        <f>E5</f>
        <v>Year for 2015</v>
      </c>
    </row>
    <row r="39" spans="2:5" ht="15">
      <c r="B39" s="234" t="s">
        <v>214</v>
      </c>
      <c r="C39" s="48"/>
      <c r="D39" s="208">
        <f>C62</f>
        <v>0</v>
      </c>
      <c r="E39" s="208">
        <f>D62</f>
        <v>0</v>
      </c>
    </row>
    <row r="40" spans="2:5" ht="15">
      <c r="B40" s="238" t="s">
        <v>216</v>
      </c>
      <c r="C40" s="68"/>
      <c r="D40" s="68"/>
      <c r="E40" s="68"/>
    </row>
    <row r="41" spans="2:5" ht="15">
      <c r="B41" s="255"/>
      <c r="C41" s="48"/>
      <c r="D41" s="48"/>
      <c r="E41" s="48"/>
    </row>
    <row r="42" spans="2:5" ht="15">
      <c r="B42" s="255"/>
      <c r="C42" s="48"/>
      <c r="D42" s="48"/>
      <c r="E42" s="48"/>
    </row>
    <row r="43" spans="2:5" ht="15">
      <c r="B43" s="255"/>
      <c r="C43" s="48"/>
      <c r="D43" s="48"/>
      <c r="E43" s="48"/>
    </row>
    <row r="44" spans="2:5" ht="15">
      <c r="B44" s="255"/>
      <c r="C44" s="48"/>
      <c r="D44" s="48"/>
      <c r="E44" s="48"/>
    </row>
    <row r="45" spans="2:5" ht="15">
      <c r="B45" s="243" t="s">
        <v>111</v>
      </c>
      <c r="C45" s="48"/>
      <c r="D45" s="48"/>
      <c r="E45" s="48"/>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0</v>
      </c>
      <c r="D48" s="249">
        <f>SUM(D41:D46)</f>
        <v>0</v>
      </c>
      <c r="E48" s="249">
        <f>SUM(E41:E46)</f>
        <v>0</v>
      </c>
    </row>
    <row r="49" spans="2:5" ht="15">
      <c r="B49" s="246" t="s">
        <v>113</v>
      </c>
      <c r="C49" s="249">
        <f>C39+C48</f>
        <v>0</v>
      </c>
      <c r="D49" s="249">
        <f>D39+D48</f>
        <v>0</v>
      </c>
      <c r="E49" s="249">
        <f>E39+E48</f>
        <v>0</v>
      </c>
    </row>
    <row r="50" spans="2:5" ht="15">
      <c r="B50" s="133" t="s">
        <v>115</v>
      </c>
      <c r="C50" s="208"/>
      <c r="D50" s="208"/>
      <c r="E50" s="208"/>
    </row>
    <row r="51" spans="2:5" ht="15">
      <c r="B51" s="255"/>
      <c r="C51" s="48"/>
      <c r="D51" s="48"/>
      <c r="E51" s="48"/>
    </row>
    <row r="52" spans="2:5" ht="15">
      <c r="B52" s="255"/>
      <c r="C52" s="48"/>
      <c r="D52" s="48"/>
      <c r="E52" s="48"/>
    </row>
    <row r="53" spans="2:5" ht="15">
      <c r="B53" s="255"/>
      <c r="C53" s="48"/>
      <c r="D53" s="48"/>
      <c r="E53" s="48"/>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56" t="s">
        <v>786</v>
      </c>
      <c r="C60" s="282">
        <f>IF(C61*0.1&lt;C59,"Exceed 10% Rule","")</f>
      </c>
      <c r="D60" s="245">
        <f>IF(D61*0.1&lt;D59,"Exceed 10% Rule","")</f>
      </c>
      <c r="E60" s="245">
        <f>IF(E61*0.1&lt;E59,"Exceed 10% Rule","")</f>
      </c>
    </row>
    <row r="61" spans="2:5" ht="15">
      <c r="B61" s="246" t="s">
        <v>119</v>
      </c>
      <c r="C61" s="249">
        <f>SUM(C51:C59)</f>
        <v>0</v>
      </c>
      <c r="D61" s="249">
        <f>SUM(D51:D59)</f>
        <v>0</v>
      </c>
      <c r="E61" s="249">
        <f>SUM(E51:E59)</f>
        <v>0</v>
      </c>
    </row>
    <row r="62" spans="2:5" ht="15">
      <c r="B62" s="133" t="s">
        <v>215</v>
      </c>
      <c r="C62" s="63">
        <f>C49-C61</f>
        <v>0</v>
      </c>
      <c r="D62" s="63">
        <f>D49-D61</f>
        <v>0</v>
      </c>
      <c r="E62" s="63">
        <f>E49-E61</f>
        <v>0</v>
      </c>
    </row>
    <row r="63" spans="2:5" ht="15">
      <c r="B63" s="153" t="str">
        <f>CONCATENATE("",E1-2,"/",E1-1,"/",E1," Budget Authority Amount:")</f>
        <v>2013/2014/2015 Budget Authority Amount:</v>
      </c>
      <c r="C63" s="837">
        <f>inputOth!B84</f>
        <v>0</v>
      </c>
      <c r="D63" s="837">
        <f>inputPrYr!D43</f>
        <v>0</v>
      </c>
      <c r="E63" s="911">
        <f>E61</f>
        <v>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8" sqref="Q88"/>
    </sheetView>
  </sheetViews>
  <sheetFormatPr defaultColWidth="8.8984375" defaultRowHeight="15"/>
  <cols>
    <col min="1" max="1" width="2.3984375" style="30" customWidth="1"/>
    <col min="2" max="2" width="31.09765625" style="30" customWidth="1"/>
    <col min="3" max="4" width="15.69921875" style="30" customWidth="1"/>
    <col min="5" max="5" width="16.0976562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f>inputPrYr!B44</f>
        <v>0</v>
      </c>
      <c r="C5" s="406" t="str">
        <f>CONCATENATE("Actual for ",E1-2,"")</f>
        <v>Actual for 2013</v>
      </c>
      <c r="D5" s="406" t="str">
        <f>CONCATENATE("Estimate for ",E1-1,"")</f>
        <v>Estimate for 2014</v>
      </c>
      <c r="E5" s="391" t="str">
        <f>CONCATENATE("Year for ",E1,"")</f>
        <v>Year for 2015</v>
      </c>
    </row>
    <row r="6" spans="2:5" ht="15">
      <c r="B6" s="234" t="s">
        <v>214</v>
      </c>
      <c r="C6" s="48"/>
      <c r="D6" s="208">
        <f>C31</f>
        <v>0</v>
      </c>
      <c r="E6" s="208">
        <f>D31</f>
        <v>0</v>
      </c>
    </row>
    <row r="7" spans="2:5" ht="15">
      <c r="B7" s="238" t="s">
        <v>216</v>
      </c>
      <c r="C7" s="68"/>
      <c r="D7" s="68"/>
      <c r="E7" s="68"/>
    </row>
    <row r="8" spans="2:5" ht="15">
      <c r="B8" s="255"/>
      <c r="C8" s="48"/>
      <c r="D8" s="48"/>
      <c r="E8" s="48"/>
    </row>
    <row r="9" spans="2:5" ht="15">
      <c r="B9" s="255"/>
      <c r="C9" s="48"/>
      <c r="D9" s="48"/>
      <c r="E9" s="48"/>
    </row>
    <row r="10" spans="2:5" ht="15">
      <c r="B10" s="255"/>
      <c r="C10" s="48"/>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c r="D14" s="48"/>
      <c r="E14" s="48"/>
    </row>
    <row r="15" spans="2:5" ht="15">
      <c r="B15" s="142" t="s">
        <v>13</v>
      </c>
      <c r="C15" s="192"/>
      <c r="D15" s="192"/>
      <c r="E15" s="192"/>
    </row>
    <row r="16" spans="2:5" ht="15">
      <c r="B16" s="234" t="s">
        <v>785</v>
      </c>
      <c r="C16" s="282">
        <f>IF(C17*0.1&lt;C15,"Exceed 10% Rule","")</f>
      </c>
      <c r="D16" s="245">
        <f>IF(D17*0.1&lt;D15,"Exceed 10% Rule","")</f>
      </c>
      <c r="E16" s="245">
        <f>IF(E17*0.1&lt;E15,"Exceed 10% Rule","")</f>
      </c>
    </row>
    <row r="17" spans="2:5" ht="15">
      <c r="B17" s="246" t="s">
        <v>112</v>
      </c>
      <c r="C17" s="249">
        <f>SUM(C8:C15)</f>
        <v>0</v>
      </c>
      <c r="D17" s="249">
        <f>SUM(D8:D15)</f>
        <v>0</v>
      </c>
      <c r="E17" s="249">
        <f>SUM(E8:E15)</f>
        <v>0</v>
      </c>
    </row>
    <row r="18" spans="2:5" ht="15">
      <c r="B18" s="246" t="s">
        <v>113</v>
      </c>
      <c r="C18" s="249">
        <f>C6+C17</f>
        <v>0</v>
      </c>
      <c r="D18" s="249">
        <f>D6+D17</f>
        <v>0</v>
      </c>
      <c r="E18" s="249">
        <f>E6+E17</f>
        <v>0</v>
      </c>
    </row>
    <row r="19" spans="2:5" ht="15">
      <c r="B19" s="133" t="s">
        <v>115</v>
      </c>
      <c r="C19" s="208"/>
      <c r="D19" s="208"/>
      <c r="E19" s="208"/>
    </row>
    <row r="20" spans="2:5" ht="15">
      <c r="B20" s="255"/>
      <c r="C20" s="48"/>
      <c r="D20" s="48"/>
      <c r="E20" s="48"/>
    </row>
    <row r="21" spans="2:5" ht="15">
      <c r="B21" s="255"/>
      <c r="C21" s="48"/>
      <c r="D21" s="48"/>
      <c r="E21" s="48"/>
    </row>
    <row r="22" spans="2:5" ht="15">
      <c r="B22" s="255"/>
      <c r="C22" s="48"/>
      <c r="D22" s="48"/>
      <c r="E22" s="48"/>
    </row>
    <row r="23" spans="2:5" ht="15">
      <c r="B23" s="255"/>
      <c r="C23" s="48"/>
      <c r="D23" s="48"/>
      <c r="E23" s="48"/>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0</v>
      </c>
      <c r="D30" s="249">
        <f>SUM(D20:D28)</f>
        <v>0</v>
      </c>
      <c r="E30" s="249">
        <f>SUM(E20:E28)</f>
        <v>0</v>
      </c>
    </row>
    <row r="31" spans="2:5" ht="15">
      <c r="B31" s="133" t="s">
        <v>215</v>
      </c>
      <c r="C31" s="63">
        <f>C18-C30</f>
        <v>0</v>
      </c>
      <c r="D31" s="63">
        <f>D18-D30</f>
        <v>0</v>
      </c>
      <c r="E31" s="63">
        <f>E18-E30</f>
        <v>0</v>
      </c>
    </row>
    <row r="32" spans="2:5" ht="15">
      <c r="B32" s="153" t="str">
        <f>CONCATENATE("",E1-2,"/",E1-1,"/",E1," Budget Authority Amount:")</f>
        <v>2013/2014/2015 Budget Authority Amount:</v>
      </c>
      <c r="C32" s="837">
        <f>inputOth!B85</f>
        <v>0</v>
      </c>
      <c r="D32" s="837">
        <f>inputPrYr!D44</f>
        <v>0</v>
      </c>
      <c r="E32" s="911">
        <f>E30</f>
        <v>0</v>
      </c>
    </row>
    <row r="33" spans="2:5" ht="15">
      <c r="B33" s="119"/>
      <c r="C33" s="259">
        <f>IF(C30&gt;C32,"See Tab A","")</f>
      </c>
      <c r="D33" s="259">
        <f>IF(D30&gt;D32,"See Tab C","")</f>
      </c>
      <c r="E33" s="912">
        <f>IF(E31&lt;0,"See Tab E","")</f>
      </c>
    </row>
    <row r="34" spans="2:5" ht="15">
      <c r="B34" s="119"/>
      <c r="C34" s="259">
        <f>IF(C31&lt;0,"See Tab B","")</f>
      </c>
      <c r="D34" s="259">
        <f>IF(D31&lt;0,"See Tab D","")</f>
      </c>
      <c r="E34" s="78"/>
    </row>
    <row r="35" spans="2:5" ht="15">
      <c r="B35" s="32"/>
      <c r="C35" s="78"/>
      <c r="D35" s="78"/>
      <c r="E35" s="78"/>
    </row>
    <row r="36" spans="2:5" ht="15">
      <c r="B36" s="33"/>
      <c r="C36" s="277"/>
      <c r="D36" s="277"/>
      <c r="E36" s="277"/>
    </row>
    <row r="37" spans="2:5" ht="15">
      <c r="B37" s="33" t="s">
        <v>103</v>
      </c>
      <c r="C37" s="261" t="s">
        <v>806</v>
      </c>
      <c r="D37" s="127" t="s">
        <v>807</v>
      </c>
      <c r="E37" s="127" t="s">
        <v>884</v>
      </c>
    </row>
    <row r="38" spans="2:5" ht="15">
      <c r="B38" s="531">
        <f>inputPrYr!B45</f>
        <v>0</v>
      </c>
      <c r="C38" s="233" t="str">
        <f>C5</f>
        <v>Actual for 2013</v>
      </c>
      <c r="D38" s="233" t="str">
        <f>D5</f>
        <v>Estimate for 2014</v>
      </c>
      <c r="E38" s="233" t="str">
        <f>E5</f>
        <v>Year for 2015</v>
      </c>
    </row>
    <row r="39" spans="2:5" ht="15">
      <c r="B39" s="234" t="s">
        <v>214</v>
      </c>
      <c r="C39" s="48"/>
      <c r="D39" s="208">
        <f>C62</f>
        <v>0</v>
      </c>
      <c r="E39" s="208">
        <f>D62</f>
        <v>0</v>
      </c>
    </row>
    <row r="40" spans="2:5" ht="15">
      <c r="B40" s="238" t="s">
        <v>216</v>
      </c>
      <c r="C40" s="68"/>
      <c r="D40" s="68"/>
      <c r="E40" s="68"/>
    </row>
    <row r="41" spans="2:5" ht="15">
      <c r="B41" s="255"/>
      <c r="C41" s="48"/>
      <c r="D41" s="48"/>
      <c r="E41" s="48"/>
    </row>
    <row r="42" spans="2:5" ht="15">
      <c r="B42" s="255"/>
      <c r="C42" s="48"/>
      <c r="D42" s="48"/>
      <c r="E42" s="48"/>
    </row>
    <row r="43" spans="2:5" ht="15">
      <c r="B43" s="255"/>
      <c r="C43" s="48"/>
      <c r="D43" s="48"/>
      <c r="E43" s="48"/>
    </row>
    <row r="44" spans="2:5" ht="15">
      <c r="B44" s="255"/>
      <c r="C44" s="48"/>
      <c r="D44" s="48"/>
      <c r="E44" s="48"/>
    </row>
    <row r="45" spans="2:5" ht="15">
      <c r="B45" s="243" t="s">
        <v>111</v>
      </c>
      <c r="C45" s="48"/>
      <c r="D45" s="48"/>
      <c r="E45" s="48"/>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0</v>
      </c>
      <c r="D48" s="249">
        <f>SUM(D41:D46)</f>
        <v>0</v>
      </c>
      <c r="E48" s="249">
        <f>SUM(E41:E46)</f>
        <v>0</v>
      </c>
    </row>
    <row r="49" spans="2:5" ht="15">
      <c r="B49" s="246" t="s">
        <v>113</v>
      </c>
      <c r="C49" s="249">
        <f>C39+C48</f>
        <v>0</v>
      </c>
      <c r="D49" s="249">
        <f>D39+D48</f>
        <v>0</v>
      </c>
      <c r="E49" s="249">
        <f>E39+E48</f>
        <v>0</v>
      </c>
    </row>
    <row r="50" spans="2:5" ht="15">
      <c r="B50" s="133" t="s">
        <v>115</v>
      </c>
      <c r="C50" s="208"/>
      <c r="D50" s="208"/>
      <c r="E50" s="208"/>
    </row>
    <row r="51" spans="2:5" ht="15">
      <c r="B51" s="255"/>
      <c r="C51" s="48"/>
      <c r="D51" s="48"/>
      <c r="E51" s="48"/>
    </row>
    <row r="52" spans="2:5" ht="15">
      <c r="B52" s="255"/>
      <c r="C52" s="48"/>
      <c r="D52" s="48"/>
      <c r="E52" s="48"/>
    </row>
    <row r="53" spans="2:5" ht="15">
      <c r="B53" s="255"/>
      <c r="C53" s="48"/>
      <c r="D53" s="48"/>
      <c r="E53" s="48"/>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56" t="s">
        <v>786</v>
      </c>
      <c r="C60" s="282">
        <f>IF(C61*0.1&lt;C59,"Exceed 10% Rule","")</f>
      </c>
      <c r="D60" s="245">
        <f>IF(D61*0.1&lt;D59,"Exceed 10% Rule","")</f>
      </c>
      <c r="E60" s="245">
        <f>IF(E61*0.1&lt;E59,"Exceed 10% Rule","")</f>
      </c>
    </row>
    <row r="61" spans="2:5" ht="15">
      <c r="B61" s="246" t="s">
        <v>119</v>
      </c>
      <c r="C61" s="249">
        <f>SUM(C51:C59)</f>
        <v>0</v>
      </c>
      <c r="D61" s="249">
        <f>SUM(D51:D59)</f>
        <v>0</v>
      </c>
      <c r="E61" s="249">
        <f>SUM(E51:E59)</f>
        <v>0</v>
      </c>
    </row>
    <row r="62" spans="2:5" ht="15">
      <c r="B62" s="133" t="s">
        <v>215</v>
      </c>
      <c r="C62" s="63">
        <f>C49-C61</f>
        <v>0</v>
      </c>
      <c r="D62" s="63">
        <f>D49-D61</f>
        <v>0</v>
      </c>
      <c r="E62" s="63">
        <f>E49-E61</f>
        <v>0</v>
      </c>
    </row>
    <row r="63" spans="2:5" ht="15">
      <c r="B63" s="153" t="str">
        <f>CONCATENATE("",E1-2,"/",E1-1,"/",E1," Budget Authority Amount:")</f>
        <v>2013/2014/2015 Budget Authority Amount:</v>
      </c>
      <c r="C63" s="837">
        <f>inputOth!B86</f>
        <v>0</v>
      </c>
      <c r="D63" s="837">
        <f>inputPrYr!D45</f>
        <v>0</v>
      </c>
      <c r="E63" s="911">
        <f>E61</f>
        <v>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c r="D67" s="32"/>
      <c r="E67" s="32"/>
    </row>
  </sheetData>
  <sheetProtection sheet="1"/>
  <conditionalFormatting sqref="C15">
    <cfRule type="cellIs" priority="4" dxfId="328" operator="greaterThan" stopIfTrue="1">
      <formula>$C$17*0.1</formula>
    </cfRule>
  </conditionalFormatting>
  <conditionalFormatting sqref="D15">
    <cfRule type="cellIs" priority="5" dxfId="328" operator="greaterThan" stopIfTrue="1">
      <formula>$D$17*0.1</formula>
    </cfRule>
  </conditionalFormatting>
  <conditionalFormatting sqref="E15">
    <cfRule type="cellIs" priority="6" dxfId="328" operator="greaterThan" stopIfTrue="1">
      <formula>$E$17*0.1</formula>
    </cfRule>
  </conditionalFormatting>
  <conditionalFormatting sqref="C28">
    <cfRule type="cellIs" priority="7" dxfId="328" operator="greaterThan" stopIfTrue="1">
      <formula>$C$30*0.1</formula>
    </cfRule>
  </conditionalFormatting>
  <conditionalFormatting sqref="D28">
    <cfRule type="cellIs" priority="8" dxfId="328" operator="greaterThan" stopIfTrue="1">
      <formula>$D$30*0.1</formula>
    </cfRule>
  </conditionalFormatting>
  <conditionalFormatting sqref="E28">
    <cfRule type="cellIs" priority="9" dxfId="328" operator="greaterThan" stopIfTrue="1">
      <formula>$E$30*0.1</formula>
    </cfRule>
  </conditionalFormatting>
  <conditionalFormatting sqref="C46">
    <cfRule type="cellIs" priority="10" dxfId="328" operator="greaterThan" stopIfTrue="1">
      <formula>$C$48*0.1</formula>
    </cfRule>
  </conditionalFormatting>
  <conditionalFormatting sqref="D46">
    <cfRule type="cellIs" priority="11" dxfId="328" operator="greaterThan" stopIfTrue="1">
      <formula>$D$48*0.1</formula>
    </cfRule>
  </conditionalFormatting>
  <conditionalFormatting sqref="E46">
    <cfRule type="cellIs" priority="12" dxfId="328" operator="greaterThan" stopIfTrue="1">
      <formula>$E$48*0.1</formula>
    </cfRule>
  </conditionalFormatting>
  <conditionalFormatting sqref="C59">
    <cfRule type="cellIs" priority="13" dxfId="328" operator="greaterThan" stopIfTrue="1">
      <formula>$C$61*0.1</formula>
    </cfRule>
  </conditionalFormatting>
  <conditionalFormatting sqref="D59">
    <cfRule type="cellIs" priority="14" dxfId="328" operator="greaterThan" stopIfTrue="1">
      <formula>$D$61*0.1</formula>
    </cfRule>
  </conditionalFormatting>
  <conditionalFormatting sqref="E59">
    <cfRule type="cellIs" priority="15" dxfId="328" operator="greaterThan" stopIfTrue="1">
      <formula>$E$61*0.1</formula>
    </cfRule>
  </conditionalFormatting>
  <conditionalFormatting sqref="D61">
    <cfRule type="cellIs" priority="16" dxfId="3" operator="greaterThan" stopIfTrue="1">
      <formula>$D$63</formula>
    </cfRule>
  </conditionalFormatting>
  <conditionalFormatting sqref="C61">
    <cfRule type="cellIs" priority="17" dxfId="3" operator="greaterThan" stopIfTrue="1">
      <formula>$C$63</formula>
    </cfRule>
  </conditionalFormatting>
  <conditionalFormatting sqref="C62 E62 C31 E31">
    <cfRule type="cellIs" priority="18" dxfId="3" operator="lessThan" stopIfTrue="1">
      <formula>0</formula>
    </cfRule>
  </conditionalFormatting>
  <conditionalFormatting sqref="C30">
    <cfRule type="cellIs" priority="20" dxfId="3" operator="greaterThan" stopIfTrue="1">
      <formula>$C$32</formula>
    </cfRule>
  </conditionalFormatting>
  <conditionalFormatting sqref="D62">
    <cfRule type="cellIs" priority="3"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5" sqref="Q85"/>
    </sheetView>
  </sheetViews>
  <sheetFormatPr defaultColWidth="8.8984375" defaultRowHeight="15"/>
  <cols>
    <col min="1" max="1" width="2.3984375" style="18" customWidth="1"/>
    <col min="2" max="2" width="31.09765625" style="18" customWidth="1"/>
    <col min="3" max="4" width="15.69921875" style="18" customWidth="1"/>
    <col min="5" max="5" width="16.09765625" style="18" customWidth="1"/>
    <col min="6" max="16384" width="8.8984375" style="18"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f>inputPrYr!B46</f>
        <v>0</v>
      </c>
      <c r="C5" s="406" t="str">
        <f>CONCATENATE("Actual for ",E1-2,"")</f>
        <v>Actual for 2013</v>
      </c>
      <c r="D5" s="406" t="str">
        <f>CONCATENATE("Estimate for ",E1-1,"")</f>
        <v>Estimate for 2014</v>
      </c>
      <c r="E5" s="391" t="str">
        <f>CONCATENATE("Year for ",E1,"")</f>
        <v>Year for 2015</v>
      </c>
    </row>
    <row r="6" spans="2:5" ht="15">
      <c r="B6" s="234" t="s">
        <v>214</v>
      </c>
      <c r="C6" s="48"/>
      <c r="D6" s="208">
        <f>C31</f>
        <v>0</v>
      </c>
      <c r="E6" s="208">
        <f>D31</f>
        <v>0</v>
      </c>
    </row>
    <row r="7" spans="2:5" s="30" customFormat="1" ht="15">
      <c r="B7" s="238" t="s">
        <v>216</v>
      </c>
      <c r="C7" s="68"/>
      <c r="D7" s="68"/>
      <c r="E7" s="68"/>
    </row>
    <row r="8" spans="2:5" ht="15">
      <c r="B8" s="255"/>
      <c r="C8" s="48"/>
      <c r="D8" s="48"/>
      <c r="E8" s="48"/>
    </row>
    <row r="9" spans="2:5" ht="15">
      <c r="B9" s="255"/>
      <c r="C9" s="48"/>
      <c r="D9" s="48"/>
      <c r="E9" s="48"/>
    </row>
    <row r="10" spans="2:5" ht="15">
      <c r="B10" s="255"/>
      <c r="C10" s="48"/>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c r="D14" s="48"/>
      <c r="E14" s="48"/>
    </row>
    <row r="15" spans="2:5" ht="15">
      <c r="B15" s="142" t="s">
        <v>13</v>
      </c>
      <c r="C15" s="48"/>
      <c r="D15" s="240"/>
      <c r="E15" s="240"/>
    </row>
    <row r="16" spans="2:5" ht="15">
      <c r="B16" s="234" t="s">
        <v>785</v>
      </c>
      <c r="C16" s="282">
        <f>IF(C17*0.1&lt;C15,"Exceed 10% Rule","")</f>
      </c>
      <c r="D16" s="245">
        <f>IF(D17*0.1&lt;D15,"Exceed 10% Rule","")</f>
      </c>
      <c r="E16" s="245">
        <f>IF(E17*0.1&lt;E15,"Exceed 10% Rule","")</f>
      </c>
    </row>
    <row r="17" spans="2:5" ht="15">
      <c r="B17" s="246" t="s">
        <v>112</v>
      </c>
      <c r="C17" s="249">
        <f>SUM(C8:C15)</f>
        <v>0</v>
      </c>
      <c r="D17" s="249">
        <f>SUM(D8:D15)</f>
        <v>0</v>
      </c>
      <c r="E17" s="249">
        <f>SUM(E8:E15)</f>
        <v>0</v>
      </c>
    </row>
    <row r="18" spans="2:5" ht="15">
      <c r="B18" s="246" t="s">
        <v>113</v>
      </c>
      <c r="C18" s="249">
        <f>C6+C17</f>
        <v>0</v>
      </c>
      <c r="D18" s="249">
        <f>D6+D17</f>
        <v>0</v>
      </c>
      <c r="E18" s="249">
        <f>E6+E17</f>
        <v>0</v>
      </c>
    </row>
    <row r="19" spans="2:5" ht="15">
      <c r="B19" s="133" t="s">
        <v>115</v>
      </c>
      <c r="C19" s="208"/>
      <c r="D19" s="208"/>
      <c r="E19" s="208"/>
    </row>
    <row r="20" spans="2:5" ht="15">
      <c r="B20" s="255"/>
      <c r="C20" s="48"/>
      <c r="D20" s="48"/>
      <c r="E20" s="48"/>
    </row>
    <row r="21" spans="2:5" ht="15">
      <c r="B21" s="255"/>
      <c r="C21" s="48"/>
      <c r="D21" s="48"/>
      <c r="E21" s="48"/>
    </row>
    <row r="22" spans="2:5" ht="15">
      <c r="B22" s="255"/>
      <c r="C22" s="48"/>
      <c r="D22" s="48"/>
      <c r="E22" s="48"/>
    </row>
    <row r="23" spans="2:5" ht="15">
      <c r="B23" s="255"/>
      <c r="C23" s="48"/>
      <c r="D23" s="48"/>
      <c r="E23" s="48"/>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0</v>
      </c>
      <c r="D30" s="249">
        <f>SUM(D20:D28)</f>
        <v>0</v>
      </c>
      <c r="E30" s="249">
        <f>SUM(E20:E28)</f>
        <v>0</v>
      </c>
    </row>
    <row r="31" spans="2:5" ht="15">
      <c r="B31" s="133" t="s">
        <v>215</v>
      </c>
      <c r="C31" s="63">
        <f>C18-C30</f>
        <v>0</v>
      </c>
      <c r="D31" s="63">
        <f>D18-D30</f>
        <v>0</v>
      </c>
      <c r="E31" s="63">
        <f>E18-E30</f>
        <v>0</v>
      </c>
    </row>
    <row r="32" spans="2:5" ht="15">
      <c r="B32" s="153" t="str">
        <f>CONCATENATE("",E1-2,"/",E1-1,"/",E1," Budget Authority Amount:")</f>
        <v>2013/2014/2015 Budget Authority Amount:</v>
      </c>
      <c r="C32" s="837">
        <f>inputOth!B87</f>
        <v>0</v>
      </c>
      <c r="D32" s="837">
        <f>inputPrYr!D46</f>
        <v>0</v>
      </c>
      <c r="E32" s="911">
        <f>E30</f>
        <v>0</v>
      </c>
    </row>
    <row r="33" spans="2:5" ht="15">
      <c r="B33" s="119"/>
      <c r="C33" s="259">
        <f>IF(C30&gt;C32,"See Tab A","")</f>
      </c>
      <c r="D33" s="259">
        <f>IF(D30&gt;D32,"See Tab C","")</f>
      </c>
      <c r="E33" s="912">
        <f>IF(E31&lt;0,"See Tab E","")</f>
      </c>
    </row>
    <row r="34" spans="2:5" ht="15">
      <c r="B34" s="119"/>
      <c r="C34" s="259">
        <f>IF(C31&lt;0,"See Tab B","")</f>
      </c>
      <c r="D34" s="259">
        <f>IF(D31&lt;0,"See Tab D","")</f>
      </c>
      <c r="E34" s="78"/>
    </row>
    <row r="35" spans="2:5" ht="15">
      <c r="B35" s="32"/>
      <c r="C35" s="78"/>
      <c r="D35" s="78"/>
      <c r="E35" s="78"/>
    </row>
    <row r="36" spans="2:5" ht="15">
      <c r="B36" s="33"/>
      <c r="C36" s="277"/>
      <c r="D36" s="277"/>
      <c r="E36" s="277"/>
    </row>
    <row r="37" spans="2:5" ht="15">
      <c r="B37" s="33" t="s">
        <v>103</v>
      </c>
      <c r="C37" s="261" t="s">
        <v>883</v>
      </c>
      <c r="D37" s="127" t="s">
        <v>807</v>
      </c>
      <c r="E37" s="127" t="s">
        <v>808</v>
      </c>
    </row>
    <row r="38" spans="2:5" ht="15">
      <c r="B38" s="531">
        <f>inputPrYr!B47</f>
        <v>0</v>
      </c>
      <c r="C38" s="233" t="str">
        <f>C5</f>
        <v>Actual for 2013</v>
      </c>
      <c r="D38" s="233" t="str">
        <f>D5</f>
        <v>Estimate for 2014</v>
      </c>
      <c r="E38" s="233" t="str">
        <f>E5</f>
        <v>Year for 2015</v>
      </c>
    </row>
    <row r="39" spans="2:5" ht="15">
      <c r="B39" s="234" t="s">
        <v>214</v>
      </c>
      <c r="C39" s="48"/>
      <c r="D39" s="208">
        <f>C62</f>
        <v>0</v>
      </c>
      <c r="E39" s="208">
        <f>D62</f>
        <v>0</v>
      </c>
    </row>
    <row r="40" spans="2:5" s="30" customFormat="1" ht="15">
      <c r="B40" s="238" t="s">
        <v>216</v>
      </c>
      <c r="C40" s="68"/>
      <c r="D40" s="68"/>
      <c r="E40" s="68"/>
    </row>
    <row r="41" spans="2:5" ht="15">
      <c r="B41" s="255"/>
      <c r="C41" s="48"/>
      <c r="D41" s="48"/>
      <c r="E41" s="48"/>
    </row>
    <row r="42" spans="2:5" ht="15">
      <c r="B42" s="255"/>
      <c r="C42" s="48"/>
      <c r="D42" s="48"/>
      <c r="E42" s="48"/>
    </row>
    <row r="43" spans="2:5" ht="15">
      <c r="B43" s="255"/>
      <c r="C43" s="48"/>
      <c r="D43" s="48"/>
      <c r="E43" s="48"/>
    </row>
    <row r="44" spans="2:5" ht="15">
      <c r="B44" s="255"/>
      <c r="C44" s="48"/>
      <c r="D44" s="48"/>
      <c r="E44" s="48"/>
    </row>
    <row r="45" spans="2:5" ht="15">
      <c r="B45" s="243" t="s">
        <v>111</v>
      </c>
      <c r="C45" s="48"/>
      <c r="D45" s="48"/>
      <c r="E45" s="48"/>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0</v>
      </c>
      <c r="D48" s="249">
        <f>SUM(D41:D46)</f>
        <v>0</v>
      </c>
      <c r="E48" s="249">
        <f>SUM(E41:E46)</f>
        <v>0</v>
      </c>
    </row>
    <row r="49" spans="2:5" ht="15">
      <c r="B49" s="246" t="s">
        <v>113</v>
      </c>
      <c r="C49" s="249">
        <f>C39+C48</f>
        <v>0</v>
      </c>
      <c r="D49" s="249">
        <f>D39+D48</f>
        <v>0</v>
      </c>
      <c r="E49" s="249">
        <f>E39+E48</f>
        <v>0</v>
      </c>
    </row>
    <row r="50" spans="2:5" ht="15">
      <c r="B50" s="133" t="s">
        <v>115</v>
      </c>
      <c r="C50" s="208"/>
      <c r="D50" s="208"/>
      <c r="E50" s="208"/>
    </row>
    <row r="51" spans="2:5" ht="15">
      <c r="B51" s="255"/>
      <c r="C51" s="48"/>
      <c r="D51" s="48"/>
      <c r="E51" s="48"/>
    </row>
    <row r="52" spans="2:5" ht="15">
      <c r="B52" s="255"/>
      <c r="C52" s="48"/>
      <c r="D52" s="48"/>
      <c r="E52" s="48"/>
    </row>
    <row r="53" spans="2:5" ht="15">
      <c r="B53" s="255"/>
      <c r="C53" s="48"/>
      <c r="D53" s="48"/>
      <c r="E53" s="48"/>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56" t="s">
        <v>786</v>
      </c>
      <c r="C60" s="282">
        <f>IF(C61*0.1&lt;C59,"Exceed 10% Rule","")</f>
      </c>
      <c r="D60" s="245">
        <f>IF(D61*0.1&lt;D59,"Exceed 10% Rule","")</f>
      </c>
      <c r="E60" s="245">
        <f>IF(E61*0.1&lt;E59,"Exceed 10% Rule","")</f>
      </c>
    </row>
    <row r="61" spans="2:5" ht="15">
      <c r="B61" s="246" t="s">
        <v>119</v>
      </c>
      <c r="C61" s="249">
        <f>SUM(C51:C59)</f>
        <v>0</v>
      </c>
      <c r="D61" s="249">
        <f>SUM(D51:D59)</f>
        <v>0</v>
      </c>
      <c r="E61" s="249">
        <f>SUM(E51:E59)</f>
        <v>0</v>
      </c>
    </row>
    <row r="62" spans="2:5" ht="15">
      <c r="B62" s="133" t="s">
        <v>215</v>
      </c>
      <c r="C62" s="63">
        <f>C49-C61</f>
        <v>0</v>
      </c>
      <c r="D62" s="63">
        <f>D49-D61</f>
        <v>0</v>
      </c>
      <c r="E62" s="63">
        <f>E49-E61</f>
        <v>0</v>
      </c>
    </row>
    <row r="63" spans="2:5" ht="15">
      <c r="B63" s="153" t="str">
        <f>CONCATENATE("",E1-2,"/",E1-1,"/",E1," Budget Authority Amount:")</f>
        <v>2013/2014/2015 Budget Authority Amount:</v>
      </c>
      <c r="C63" s="837">
        <f>inputOth!B88</f>
        <v>0</v>
      </c>
      <c r="D63" s="837">
        <f>inputPrYr!D47</f>
        <v>0</v>
      </c>
      <c r="E63" s="911">
        <f>E61</f>
        <v>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C61:D61">
    <cfRule type="cellIs" priority="15" dxfId="3" operator="greaterThan" stopIfTrue="1">
      <formula>$D$63</formula>
    </cfRule>
  </conditionalFormatting>
  <conditionalFormatting sqref="C62 E62 C31 E31">
    <cfRule type="cellIs" priority="16" dxfId="3" operator="lessThan" stopIfTrue="1">
      <formula>0</formula>
    </cfRule>
  </conditionalFormatting>
  <conditionalFormatting sqref="D30">
    <cfRule type="cellIs" priority="17" dxfId="3" operator="greaterThan" stopIfTrue="1">
      <formula>$D$32</formula>
    </cfRule>
  </conditionalFormatting>
  <conditionalFormatting sqref="C30">
    <cfRule type="cellIs" priority="18"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8" sqref="Q88"/>
    </sheetView>
  </sheetViews>
  <sheetFormatPr defaultColWidth="8.8984375" defaultRowHeight="15"/>
  <cols>
    <col min="1" max="1" width="2.3984375" style="18" customWidth="1"/>
    <col min="2" max="2" width="31.09765625" style="18" customWidth="1"/>
    <col min="3" max="4" width="15.69921875" style="18" customWidth="1"/>
    <col min="5" max="5" width="16.09765625" style="18" customWidth="1"/>
    <col min="6" max="16384" width="8.8984375" style="18"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f>inputPrYr!B48</f>
        <v>0</v>
      </c>
      <c r="C5" s="406" t="str">
        <f>CONCATENATE("Actual for ",E1-2,"")</f>
        <v>Actual for 2013</v>
      </c>
      <c r="D5" s="406" t="str">
        <f>CONCATENATE("Estimate for ",E1-1,"")</f>
        <v>Estimate for 2014</v>
      </c>
      <c r="E5" s="391" t="str">
        <f>CONCATENATE("Year for ",E1,"")</f>
        <v>Year for 2015</v>
      </c>
    </row>
    <row r="6" spans="2:5" ht="15">
      <c r="B6" s="234" t="s">
        <v>214</v>
      </c>
      <c r="C6" s="48"/>
      <c r="D6" s="208">
        <f>C31</f>
        <v>0</v>
      </c>
      <c r="E6" s="208">
        <f>D31</f>
        <v>0</v>
      </c>
    </row>
    <row r="7" spans="2:5" s="30" customFormat="1" ht="15">
      <c r="B7" s="238" t="s">
        <v>216</v>
      </c>
      <c r="C7" s="68"/>
      <c r="D7" s="68"/>
      <c r="E7" s="68"/>
    </row>
    <row r="8" spans="2:5" ht="15">
      <c r="B8" s="255"/>
      <c r="C8" s="48"/>
      <c r="D8" s="48"/>
      <c r="E8" s="48"/>
    </row>
    <row r="9" spans="2:5" ht="15">
      <c r="B9" s="255"/>
      <c r="C9" s="48"/>
      <c r="D9" s="48"/>
      <c r="E9" s="48"/>
    </row>
    <row r="10" spans="2:5" ht="15">
      <c r="B10" s="255"/>
      <c r="C10" s="48"/>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c r="D14" s="48"/>
      <c r="E14" s="48"/>
    </row>
    <row r="15" spans="2:5" ht="15">
      <c r="B15" s="142" t="s">
        <v>13</v>
      </c>
      <c r="C15" s="48"/>
      <c r="D15" s="240"/>
      <c r="E15" s="240"/>
    </row>
    <row r="16" spans="2:5" ht="15">
      <c r="B16" s="234" t="s">
        <v>785</v>
      </c>
      <c r="C16" s="282">
        <f>IF(C17*0.1&lt;C15,"Exceed 10% Rule","")</f>
      </c>
      <c r="D16" s="245">
        <f>IF(D17*0.1&lt;D15,"Exceed 10% Rule","")</f>
      </c>
      <c r="E16" s="245">
        <f>IF(E17*0.1&lt;E15,"Exceed 10% Rule","")</f>
      </c>
    </row>
    <row r="17" spans="2:5" ht="15">
      <c r="B17" s="246" t="s">
        <v>112</v>
      </c>
      <c r="C17" s="249">
        <f>SUM(C8:C15)</f>
        <v>0</v>
      </c>
      <c r="D17" s="249">
        <f>SUM(D8:D15)</f>
        <v>0</v>
      </c>
      <c r="E17" s="249">
        <f>SUM(E8:E15)</f>
        <v>0</v>
      </c>
    </row>
    <row r="18" spans="2:5" ht="15">
      <c r="B18" s="246" t="s">
        <v>113</v>
      </c>
      <c r="C18" s="249">
        <f>C6+C17</f>
        <v>0</v>
      </c>
      <c r="D18" s="249">
        <f>D6+D17</f>
        <v>0</v>
      </c>
      <c r="E18" s="249">
        <f>E6+E17</f>
        <v>0</v>
      </c>
    </row>
    <row r="19" spans="2:5" ht="15">
      <c r="B19" s="133" t="s">
        <v>115</v>
      </c>
      <c r="C19" s="208"/>
      <c r="D19" s="208"/>
      <c r="E19" s="208"/>
    </row>
    <row r="20" spans="2:5" ht="15">
      <c r="B20" s="255"/>
      <c r="C20" s="48"/>
      <c r="D20" s="48"/>
      <c r="E20" s="48"/>
    </row>
    <row r="21" spans="2:5" ht="15">
      <c r="B21" s="255"/>
      <c r="C21" s="48"/>
      <c r="D21" s="48"/>
      <c r="E21" s="48"/>
    </row>
    <row r="22" spans="2:5" ht="15">
      <c r="B22" s="255"/>
      <c r="C22" s="48"/>
      <c r="D22" s="48"/>
      <c r="E22" s="48"/>
    </row>
    <row r="23" spans="2:5" ht="15">
      <c r="B23" s="255"/>
      <c r="C23" s="48"/>
      <c r="D23" s="48"/>
      <c r="E23" s="48"/>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0</v>
      </c>
      <c r="D30" s="249">
        <f>SUM(D20:D28)</f>
        <v>0</v>
      </c>
      <c r="E30" s="249">
        <f>SUM(E20:E28)</f>
        <v>0</v>
      </c>
    </row>
    <row r="31" spans="2:5" ht="15">
      <c r="B31" s="133" t="s">
        <v>215</v>
      </c>
      <c r="C31" s="63">
        <f>C18-C30</f>
        <v>0</v>
      </c>
      <c r="D31" s="63">
        <f>D18-D30</f>
        <v>0</v>
      </c>
      <c r="E31" s="63">
        <f>E18-E30</f>
        <v>0</v>
      </c>
    </row>
    <row r="32" spans="2:5" ht="15">
      <c r="B32" s="153" t="str">
        <f>CONCATENATE("",E1-2,"/",E1-1,"/",E1," Budget Authority Amount:")</f>
        <v>2013/2014/2015 Budget Authority Amount:</v>
      </c>
      <c r="C32" s="837">
        <f>inputOth!B89</f>
        <v>0</v>
      </c>
      <c r="D32" s="837">
        <f>inputPrYr!D48</f>
        <v>0</v>
      </c>
      <c r="E32" s="911">
        <f>E30</f>
        <v>0</v>
      </c>
    </row>
    <row r="33" spans="2:5" ht="15">
      <c r="B33" s="119"/>
      <c r="C33" s="259">
        <f>IF(C30&gt;C32,"See Tab A","")</f>
      </c>
      <c r="D33" s="259">
        <f>IF(D30&gt;D32,"See Tab C","")</f>
      </c>
      <c r="E33" s="912">
        <f>IF(E31&lt;0,"See Tab E","")</f>
      </c>
    </row>
    <row r="34" spans="2:5" ht="15">
      <c r="B34" s="119"/>
      <c r="C34" s="259">
        <f>IF(C31&lt;0,"See Tab B","")</f>
      </c>
      <c r="D34" s="259">
        <f>IF(D31&lt;0,"See Tab D","")</f>
      </c>
      <c r="E34" s="78"/>
    </row>
    <row r="35" spans="2:5" ht="15">
      <c r="B35" s="32"/>
      <c r="C35" s="78"/>
      <c r="D35" s="78"/>
      <c r="E35" s="78"/>
    </row>
    <row r="36" spans="2:5" ht="15">
      <c r="B36" s="33"/>
      <c r="C36" s="277"/>
      <c r="D36" s="277"/>
      <c r="E36" s="277"/>
    </row>
    <row r="37" spans="2:5" ht="15">
      <c r="B37" s="33" t="s">
        <v>103</v>
      </c>
      <c r="C37" s="261" t="s">
        <v>806</v>
      </c>
      <c r="D37" s="127" t="s">
        <v>807</v>
      </c>
      <c r="E37" s="127" t="s">
        <v>808</v>
      </c>
    </row>
    <row r="38" spans="2:5" ht="15">
      <c r="B38" s="531">
        <f>inputPrYr!B49</f>
        <v>0</v>
      </c>
      <c r="C38" s="233" t="str">
        <f>C5</f>
        <v>Actual for 2013</v>
      </c>
      <c r="D38" s="233" t="str">
        <f>D5</f>
        <v>Estimate for 2014</v>
      </c>
      <c r="E38" s="233" t="str">
        <f>E5</f>
        <v>Year for 2015</v>
      </c>
    </row>
    <row r="39" spans="2:5" ht="15">
      <c r="B39" s="234" t="s">
        <v>214</v>
      </c>
      <c r="C39" s="48"/>
      <c r="D39" s="208">
        <f>C62</f>
        <v>0</v>
      </c>
      <c r="E39" s="208">
        <f>D62</f>
        <v>0</v>
      </c>
    </row>
    <row r="40" spans="2:5" s="30" customFormat="1" ht="15">
      <c r="B40" s="238" t="s">
        <v>216</v>
      </c>
      <c r="C40" s="68"/>
      <c r="D40" s="68"/>
      <c r="E40" s="68"/>
    </row>
    <row r="41" spans="2:5" ht="15">
      <c r="B41" s="255"/>
      <c r="C41" s="48"/>
      <c r="D41" s="48"/>
      <c r="E41" s="48"/>
    </row>
    <row r="42" spans="2:5" ht="15">
      <c r="B42" s="255"/>
      <c r="C42" s="48"/>
      <c r="D42" s="48"/>
      <c r="E42" s="48"/>
    </row>
    <row r="43" spans="2:5" ht="15">
      <c r="B43" s="255"/>
      <c r="C43" s="48"/>
      <c r="D43" s="48"/>
      <c r="E43" s="48"/>
    </row>
    <row r="44" spans="2:5" ht="15">
      <c r="B44" s="255"/>
      <c r="C44" s="48"/>
      <c r="D44" s="48"/>
      <c r="E44" s="48"/>
    </row>
    <row r="45" spans="2:5" ht="15">
      <c r="B45" s="243" t="s">
        <v>111</v>
      </c>
      <c r="C45" s="48"/>
      <c r="D45" s="48"/>
      <c r="E45" s="48"/>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0</v>
      </c>
      <c r="D48" s="249">
        <f>SUM(D41:D46)</f>
        <v>0</v>
      </c>
      <c r="E48" s="249">
        <f>SUM(E41:E46)</f>
        <v>0</v>
      </c>
    </row>
    <row r="49" spans="2:5" ht="15">
      <c r="B49" s="246" t="s">
        <v>113</v>
      </c>
      <c r="C49" s="249">
        <f>C39+C48</f>
        <v>0</v>
      </c>
      <c r="D49" s="249">
        <f>D39+D48</f>
        <v>0</v>
      </c>
      <c r="E49" s="249">
        <f>E39+E48</f>
        <v>0</v>
      </c>
    </row>
    <row r="50" spans="2:5" ht="15">
      <c r="B50" s="133" t="s">
        <v>115</v>
      </c>
      <c r="C50" s="208"/>
      <c r="D50" s="208"/>
      <c r="E50" s="208"/>
    </row>
    <row r="51" spans="2:5" ht="15">
      <c r="B51" s="255"/>
      <c r="C51" s="48"/>
      <c r="D51" s="48"/>
      <c r="E51" s="48"/>
    </row>
    <row r="52" spans="2:5" ht="15">
      <c r="B52" s="255"/>
      <c r="C52" s="48"/>
      <c r="D52" s="48"/>
      <c r="E52" s="48"/>
    </row>
    <row r="53" spans="2:5" ht="15">
      <c r="B53" s="255"/>
      <c r="C53" s="48"/>
      <c r="D53" s="48"/>
      <c r="E53" s="48"/>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56" t="s">
        <v>786</v>
      </c>
      <c r="C60" s="282">
        <f>IF(C61*0.1&lt;C59,"Exceed 10% Rule","")</f>
      </c>
      <c r="D60" s="245">
        <f>IF(D61*0.1&lt;D59,"Exceed 10% Rule","")</f>
      </c>
      <c r="E60" s="245">
        <f>IF(E61*0.1&lt;E59,"Exceed 10% Rule","")</f>
      </c>
    </row>
    <row r="61" spans="2:5" ht="15">
      <c r="B61" s="246" t="s">
        <v>119</v>
      </c>
      <c r="C61" s="249">
        <f>SUM(C51:C59)</f>
        <v>0</v>
      </c>
      <c r="D61" s="249">
        <f>SUM(D51:D59)</f>
        <v>0</v>
      </c>
      <c r="E61" s="249">
        <f>SUM(E51:E59)</f>
        <v>0</v>
      </c>
    </row>
    <row r="62" spans="2:5" ht="15">
      <c r="B62" s="133" t="s">
        <v>215</v>
      </c>
      <c r="C62" s="63">
        <f>C49-C61</f>
        <v>0</v>
      </c>
      <c r="D62" s="63">
        <f>D49-D61</f>
        <v>0</v>
      </c>
      <c r="E62" s="63">
        <f>E49-E61</f>
        <v>0</v>
      </c>
    </row>
    <row r="63" spans="2:5" ht="15">
      <c r="B63" s="153" t="str">
        <f>CONCATENATE("",E1-2,"/",E1-1,"/",E1," Budget Authority Amount:")</f>
        <v>2013/2014/2015 Budget Authority Amount:</v>
      </c>
      <c r="C63" s="837">
        <f>inputOth!B90</f>
        <v>0</v>
      </c>
      <c r="D63" s="837">
        <f>inputPrYr!D49</f>
        <v>0</v>
      </c>
      <c r="E63" s="911">
        <f>E61</f>
        <v>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c r="D67" s="32"/>
      <c r="E67" s="32"/>
    </row>
  </sheetData>
  <sheetProtection sheet="1"/>
  <conditionalFormatting sqref="C15">
    <cfRule type="cellIs" priority="18" dxfId="328" operator="greaterThan" stopIfTrue="1">
      <formula>$C$17*0.1</formula>
    </cfRule>
  </conditionalFormatting>
  <conditionalFormatting sqref="D15">
    <cfRule type="cellIs" priority="17" dxfId="328" operator="greaterThan" stopIfTrue="1">
      <formula>$D$17*0.1</formula>
    </cfRule>
  </conditionalFormatting>
  <conditionalFormatting sqref="E15">
    <cfRule type="cellIs" priority="16" dxfId="328" operator="greaterThan" stopIfTrue="1">
      <formula>$E$17*0.1</formula>
    </cfRule>
  </conditionalFormatting>
  <conditionalFormatting sqref="C28">
    <cfRule type="cellIs" priority="15" dxfId="328" operator="greaterThan" stopIfTrue="1">
      <formula>$C$30*0.1</formula>
    </cfRule>
  </conditionalFormatting>
  <conditionalFormatting sqref="D28">
    <cfRule type="cellIs" priority="14" dxfId="328" operator="greaterThan" stopIfTrue="1">
      <formula>$D$30*0.1</formula>
    </cfRule>
  </conditionalFormatting>
  <conditionalFormatting sqref="E28">
    <cfRule type="cellIs" priority="13" dxfId="328" operator="greaterThan" stopIfTrue="1">
      <formula>$E$30*0.1</formula>
    </cfRule>
  </conditionalFormatting>
  <conditionalFormatting sqref="C46">
    <cfRule type="cellIs" priority="12" dxfId="328" operator="greaterThan" stopIfTrue="1">
      <formula>$C$48*0.1</formula>
    </cfRule>
  </conditionalFormatting>
  <conditionalFormatting sqref="D46">
    <cfRule type="cellIs" priority="11" dxfId="328" operator="greaterThan" stopIfTrue="1">
      <formula>$D$48*0.1</formula>
    </cfRule>
  </conditionalFormatting>
  <conditionalFormatting sqref="E46">
    <cfRule type="cellIs" priority="10" dxfId="328" operator="greaterThan" stopIfTrue="1">
      <formula>$E$48*0.1</formula>
    </cfRule>
  </conditionalFormatting>
  <conditionalFormatting sqref="C59">
    <cfRule type="cellIs" priority="9" dxfId="328" operator="greaterThan" stopIfTrue="1">
      <formula>$C$61*0.1</formula>
    </cfRule>
  </conditionalFormatting>
  <conditionalFormatting sqref="D59">
    <cfRule type="cellIs" priority="8" dxfId="328" operator="greaterThan" stopIfTrue="1">
      <formula>$D$61*0.1</formula>
    </cfRule>
  </conditionalFormatting>
  <conditionalFormatting sqref="E59">
    <cfRule type="cellIs" priority="7" dxfId="328" operator="greaterThan" stopIfTrue="1">
      <formula>$E$61*0.1</formula>
    </cfRule>
  </conditionalFormatting>
  <conditionalFormatting sqref="C61:D61">
    <cfRule type="cellIs" priority="6" dxfId="3" operator="greaterThan" stopIfTrue="1">
      <formula>$D$63</formula>
    </cfRule>
  </conditionalFormatting>
  <conditionalFormatting sqref="C62 E62 C31 E31">
    <cfRule type="cellIs" priority="5" dxfId="3" operator="lessThan" stopIfTrue="1">
      <formula>0</formula>
    </cfRule>
  </conditionalFormatting>
  <conditionalFormatting sqref="D30">
    <cfRule type="cellIs" priority="4" dxfId="3" operator="greaterThan" stopIfTrue="1">
      <formula>$D$32</formula>
    </cfRule>
  </conditionalFormatting>
  <conditionalFormatting sqref="C30">
    <cfRule type="cellIs" priority="3"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5"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91" sqref="Q91"/>
    </sheetView>
  </sheetViews>
  <sheetFormatPr defaultColWidth="8.8984375" defaultRowHeight="15"/>
  <cols>
    <col min="1" max="1" width="2.3984375" style="18" customWidth="1"/>
    <col min="2" max="2" width="31.09765625" style="18" customWidth="1"/>
    <col min="3" max="4" width="15.69921875" style="18" customWidth="1"/>
    <col min="5" max="5" width="16.09765625" style="18" customWidth="1"/>
    <col min="6" max="16384" width="8.8984375" style="18" customWidth="1"/>
  </cols>
  <sheetData>
    <row r="1" spans="2:5" ht="15">
      <c r="B1" s="176" t="str">
        <f>(inputPrYr!D2)</f>
        <v>City of Russell</v>
      </c>
      <c r="C1" s="32"/>
      <c r="D1" s="32"/>
      <c r="E1" s="228">
        <f>inputPrYr!C5</f>
        <v>2015</v>
      </c>
    </row>
    <row r="2" spans="2:5" ht="15">
      <c r="B2" s="32"/>
      <c r="C2" s="32"/>
      <c r="D2" s="32"/>
      <c r="E2" s="151"/>
    </row>
    <row r="3" spans="2:5" ht="15">
      <c r="B3" s="229" t="s">
        <v>172</v>
      </c>
      <c r="C3" s="271"/>
      <c r="D3" s="271"/>
      <c r="E3" s="271"/>
    </row>
    <row r="4" spans="2:5" ht="15">
      <c r="B4" s="33" t="s">
        <v>103</v>
      </c>
      <c r="C4" s="405" t="s">
        <v>806</v>
      </c>
      <c r="D4" s="404" t="s">
        <v>807</v>
      </c>
      <c r="E4" s="383" t="s">
        <v>808</v>
      </c>
    </row>
    <row r="5" spans="2:5" ht="15">
      <c r="B5" s="531">
        <f>inputPrYr!B50</f>
        <v>0</v>
      </c>
      <c r="C5" s="406" t="str">
        <f>CONCATENATE("Actual for ",E1-2,"")</f>
        <v>Actual for 2013</v>
      </c>
      <c r="D5" s="406" t="str">
        <f>CONCATENATE("Estimate for ",E1-1,"")</f>
        <v>Estimate for 2014</v>
      </c>
      <c r="E5" s="391" t="str">
        <f>CONCATENATE("Year for ",E1,"")</f>
        <v>Year for 2015</v>
      </c>
    </row>
    <row r="6" spans="2:5" ht="15">
      <c r="B6" s="234" t="s">
        <v>214</v>
      </c>
      <c r="C6" s="48"/>
      <c r="D6" s="208">
        <f>C31</f>
        <v>0</v>
      </c>
      <c r="E6" s="208">
        <f>D31</f>
        <v>0</v>
      </c>
    </row>
    <row r="7" spans="2:5" s="30" customFormat="1" ht="15">
      <c r="B7" s="238" t="s">
        <v>216</v>
      </c>
      <c r="C7" s="68"/>
      <c r="D7" s="68"/>
      <c r="E7" s="68"/>
    </row>
    <row r="8" spans="2:5" ht="15">
      <c r="B8" s="255"/>
      <c r="C8" s="48"/>
      <c r="D8" s="48"/>
      <c r="E8" s="48"/>
    </row>
    <row r="9" spans="2:5" ht="15">
      <c r="B9" s="255"/>
      <c r="C9" s="48"/>
      <c r="D9" s="48"/>
      <c r="E9" s="48"/>
    </row>
    <row r="10" spans="2:5" ht="15">
      <c r="B10" s="255"/>
      <c r="C10" s="48"/>
      <c r="D10" s="48"/>
      <c r="E10" s="48"/>
    </row>
    <row r="11" spans="2:5" ht="15">
      <c r="B11" s="255"/>
      <c r="C11" s="48"/>
      <c r="D11" s="48"/>
      <c r="E11" s="48"/>
    </row>
    <row r="12" spans="2:5" ht="15">
      <c r="B12" s="255"/>
      <c r="C12" s="48"/>
      <c r="D12" s="48"/>
      <c r="E12" s="48"/>
    </row>
    <row r="13" spans="2:5" ht="15">
      <c r="B13" s="255"/>
      <c r="C13" s="48"/>
      <c r="D13" s="48"/>
      <c r="E13" s="48"/>
    </row>
    <row r="14" spans="2:5" ht="15">
      <c r="B14" s="243" t="s">
        <v>111</v>
      </c>
      <c r="C14" s="48"/>
      <c r="D14" s="48"/>
      <c r="E14" s="48"/>
    </row>
    <row r="15" spans="2:5" ht="15">
      <c r="B15" s="142" t="s">
        <v>13</v>
      </c>
      <c r="C15" s="48"/>
      <c r="D15" s="240"/>
      <c r="E15" s="240"/>
    </row>
    <row r="16" spans="2:5" ht="15">
      <c r="B16" s="234" t="s">
        <v>785</v>
      </c>
      <c r="C16" s="282">
        <f>IF(C17*0.1&lt;C15,"Exceed 10% Rule","")</f>
      </c>
      <c r="D16" s="245">
        <f>IF(D17*0.1&lt;D15,"Exceed 10% Rule","")</f>
      </c>
      <c r="E16" s="245">
        <f>IF(E17*0.1&lt;E15,"Exceed 10% Rule","")</f>
      </c>
    </row>
    <row r="17" spans="2:5" ht="15">
      <c r="B17" s="246" t="s">
        <v>112</v>
      </c>
      <c r="C17" s="249">
        <f>SUM(C8:C15)</f>
        <v>0</v>
      </c>
      <c r="D17" s="249">
        <f>SUM(D8:D15)</f>
        <v>0</v>
      </c>
      <c r="E17" s="249">
        <f>SUM(E8:E15)</f>
        <v>0</v>
      </c>
    </row>
    <row r="18" spans="2:5" ht="15">
      <c r="B18" s="246" t="s">
        <v>113</v>
      </c>
      <c r="C18" s="249">
        <f>C6+C17</f>
        <v>0</v>
      </c>
      <c r="D18" s="249">
        <f>D6+D17</f>
        <v>0</v>
      </c>
      <c r="E18" s="249">
        <f>E6+E17</f>
        <v>0</v>
      </c>
    </row>
    <row r="19" spans="2:5" ht="15">
      <c r="B19" s="133" t="s">
        <v>115</v>
      </c>
      <c r="C19" s="208"/>
      <c r="D19" s="208"/>
      <c r="E19" s="208"/>
    </row>
    <row r="20" spans="2:5" ht="15">
      <c r="B20" s="255"/>
      <c r="C20" s="48"/>
      <c r="D20" s="48"/>
      <c r="E20" s="48"/>
    </row>
    <row r="21" spans="2:5" ht="15">
      <c r="B21" s="255"/>
      <c r="C21" s="48"/>
      <c r="D21" s="48"/>
      <c r="E21" s="48"/>
    </row>
    <row r="22" spans="2:5" ht="15">
      <c r="B22" s="255"/>
      <c r="C22" s="48"/>
      <c r="D22" s="48"/>
      <c r="E22" s="48"/>
    </row>
    <row r="23" spans="2:5" ht="15">
      <c r="B23" s="255"/>
      <c r="C23" s="48"/>
      <c r="D23" s="48"/>
      <c r="E23" s="48"/>
    </row>
    <row r="24" spans="2:5" ht="15">
      <c r="B24" s="255"/>
      <c r="C24" s="48"/>
      <c r="D24" s="48"/>
      <c r="E24" s="48"/>
    </row>
    <row r="25" spans="2:5" ht="15">
      <c r="B25" s="255"/>
      <c r="C25" s="48"/>
      <c r="D25" s="48"/>
      <c r="E25" s="48"/>
    </row>
    <row r="26" spans="2:5" ht="15">
      <c r="B26" s="255"/>
      <c r="C26" s="48"/>
      <c r="D26" s="48"/>
      <c r="E26" s="48"/>
    </row>
    <row r="27" spans="2:5" ht="15">
      <c r="B27" s="255"/>
      <c r="C27" s="48"/>
      <c r="D27" s="48"/>
      <c r="E27" s="48"/>
    </row>
    <row r="28" spans="2:5" ht="15">
      <c r="B28" s="256" t="s">
        <v>13</v>
      </c>
      <c r="C28" s="48"/>
      <c r="D28" s="240"/>
      <c r="E28" s="240"/>
    </row>
    <row r="29" spans="2:5" ht="15">
      <c r="B29" s="256" t="s">
        <v>786</v>
      </c>
      <c r="C29" s="282">
        <f>IF(C30*0.1&lt;C28,"Exceed 10% Rule","")</f>
      </c>
      <c r="D29" s="245">
        <f>IF(D30*0.1&lt;D28,"Exceed 10% Rule","")</f>
      </c>
      <c r="E29" s="245">
        <f>IF(E30*0.1&lt;E28,"Exceed 10% Rule","")</f>
      </c>
    </row>
    <row r="30" spans="2:5" ht="15">
      <c r="B30" s="246" t="s">
        <v>119</v>
      </c>
      <c r="C30" s="249">
        <f>SUM(C20:C28)</f>
        <v>0</v>
      </c>
      <c r="D30" s="249">
        <f>SUM(D20:D28)</f>
        <v>0</v>
      </c>
      <c r="E30" s="249">
        <f>SUM(E20:E28)</f>
        <v>0</v>
      </c>
    </row>
    <row r="31" spans="2:5" ht="15">
      <c r="B31" s="133" t="s">
        <v>215</v>
      </c>
      <c r="C31" s="63">
        <f>C18-C30</f>
        <v>0</v>
      </c>
      <c r="D31" s="63">
        <f>D18-D30</f>
        <v>0</v>
      </c>
      <c r="E31" s="63">
        <f>E18-E30</f>
        <v>0</v>
      </c>
    </row>
    <row r="32" spans="2:5" ht="15">
      <c r="B32" s="153" t="str">
        <f>CONCATENATE("",E1-2,"/",E1-1,"/",E1," Budget Authority Amount:")</f>
        <v>2013/2014/2015 Budget Authority Amount:</v>
      </c>
      <c r="C32" s="837">
        <f>inputOth!B91</f>
        <v>0</v>
      </c>
      <c r="D32" s="837">
        <f>inputPrYr!D50</f>
        <v>0</v>
      </c>
      <c r="E32" s="911">
        <f>E30</f>
        <v>0</v>
      </c>
    </row>
    <row r="33" spans="2:5" ht="15">
      <c r="B33" s="119"/>
      <c r="C33" s="364">
        <f>IF(C30&gt;C32,"See Tab A","")</f>
      </c>
      <c r="D33" s="259">
        <f>IF(D30&gt;D32,"See Tab C","")</f>
      </c>
      <c r="E33" s="912">
        <f>IF(E31&lt;0,"See Tab E","")</f>
      </c>
    </row>
    <row r="34" spans="2:5" ht="15">
      <c r="B34" s="119"/>
      <c r="C34" s="364">
        <f>IF(C31&lt;0,"See Tab B","")</f>
      </c>
      <c r="D34" s="259">
        <f>IF(D31&lt;0,"See Tab D","")</f>
      </c>
      <c r="E34" s="78"/>
    </row>
    <row r="35" spans="2:5" ht="15">
      <c r="B35" s="32"/>
      <c r="C35" s="365"/>
      <c r="D35" s="78"/>
      <c r="E35" s="78"/>
    </row>
    <row r="36" spans="2:5" ht="15">
      <c r="B36" s="33"/>
      <c r="C36" s="366"/>
      <c r="D36" s="277"/>
      <c r="E36" s="277"/>
    </row>
    <row r="37" spans="2:5" ht="15">
      <c r="B37" s="33" t="s">
        <v>103</v>
      </c>
      <c r="C37" s="261" t="s">
        <v>125</v>
      </c>
      <c r="D37" s="127" t="s">
        <v>228</v>
      </c>
      <c r="E37" s="127" t="s">
        <v>229</v>
      </c>
    </row>
    <row r="38" spans="2:5" ht="15">
      <c r="B38" s="531">
        <f>inputPrYr!B51</f>
        <v>0</v>
      </c>
      <c r="C38" s="233" t="str">
        <f>C5</f>
        <v>Actual for 2013</v>
      </c>
      <c r="D38" s="233" t="str">
        <f>D5</f>
        <v>Estimate for 2014</v>
      </c>
      <c r="E38" s="233" t="str">
        <f>E5</f>
        <v>Year for 2015</v>
      </c>
    </row>
    <row r="39" spans="2:5" ht="15">
      <c r="B39" s="234" t="s">
        <v>214</v>
      </c>
      <c r="C39" s="48"/>
      <c r="D39" s="208">
        <f>C62</f>
        <v>0</v>
      </c>
      <c r="E39" s="208">
        <f>D62</f>
        <v>0</v>
      </c>
    </row>
    <row r="40" spans="2:5" s="30" customFormat="1" ht="15">
      <c r="B40" s="238" t="s">
        <v>216</v>
      </c>
      <c r="C40" s="68"/>
      <c r="D40" s="68"/>
      <c r="E40" s="68"/>
    </row>
    <row r="41" spans="2:5" ht="15">
      <c r="B41" s="255"/>
      <c r="C41" s="48"/>
      <c r="D41" s="48"/>
      <c r="E41" s="48"/>
    </row>
    <row r="42" spans="2:5" ht="15">
      <c r="B42" s="255"/>
      <c r="C42" s="48"/>
      <c r="D42" s="48"/>
      <c r="E42" s="48"/>
    </row>
    <row r="43" spans="2:5" ht="15">
      <c r="B43" s="255"/>
      <c r="C43" s="48"/>
      <c r="D43" s="48"/>
      <c r="E43" s="48"/>
    </row>
    <row r="44" spans="2:5" ht="15">
      <c r="B44" s="255"/>
      <c r="C44" s="48"/>
      <c r="D44" s="48"/>
      <c r="E44" s="48"/>
    </row>
    <row r="45" spans="2:5" ht="15">
      <c r="B45" s="243" t="s">
        <v>111</v>
      </c>
      <c r="C45" s="48"/>
      <c r="D45" s="48"/>
      <c r="E45" s="48"/>
    </row>
    <row r="46" spans="2:5" ht="15">
      <c r="B46" s="142" t="s">
        <v>13</v>
      </c>
      <c r="C46" s="48"/>
      <c r="D46" s="240"/>
      <c r="E46" s="240"/>
    </row>
    <row r="47" spans="2:5" ht="15">
      <c r="B47" s="234" t="s">
        <v>785</v>
      </c>
      <c r="C47" s="282">
        <f>IF(C48*0.1&lt;C46,"Exceed 10% Rule","")</f>
      </c>
      <c r="D47" s="245">
        <f>IF(D48*0.1&lt;D46,"Exceed 10% Rule","")</f>
      </c>
      <c r="E47" s="245">
        <f>IF(E48*0.1&lt;E46,"Exceed 10% Rule","")</f>
      </c>
    </row>
    <row r="48" spans="2:5" ht="15">
      <c r="B48" s="246" t="s">
        <v>112</v>
      </c>
      <c r="C48" s="249">
        <f>SUM(C41:C46)</f>
        <v>0</v>
      </c>
      <c r="D48" s="249">
        <f>SUM(D41:D46)</f>
        <v>0</v>
      </c>
      <c r="E48" s="249">
        <f>SUM(E41:E46)</f>
        <v>0</v>
      </c>
    </row>
    <row r="49" spans="2:5" ht="15">
      <c r="B49" s="246" t="s">
        <v>113</v>
      </c>
      <c r="C49" s="249">
        <f>C39+C48</f>
        <v>0</v>
      </c>
      <c r="D49" s="249">
        <f>D39+D48</f>
        <v>0</v>
      </c>
      <c r="E49" s="249">
        <f>E39+E48</f>
        <v>0</v>
      </c>
    </row>
    <row r="50" spans="2:5" ht="15">
      <c r="B50" s="133" t="s">
        <v>115</v>
      </c>
      <c r="C50" s="208"/>
      <c r="D50" s="208"/>
      <c r="E50" s="208"/>
    </row>
    <row r="51" spans="2:5" ht="15">
      <c r="B51" s="255"/>
      <c r="C51" s="48"/>
      <c r="D51" s="48"/>
      <c r="E51" s="48"/>
    </row>
    <row r="52" spans="2:5" ht="15">
      <c r="B52" s="255"/>
      <c r="C52" s="48"/>
      <c r="D52" s="48"/>
      <c r="E52" s="48"/>
    </row>
    <row r="53" spans="2:5" ht="15">
      <c r="B53" s="255"/>
      <c r="C53" s="48"/>
      <c r="D53" s="48"/>
      <c r="E53" s="48"/>
    </row>
    <row r="54" spans="2:5" ht="15">
      <c r="B54" s="255"/>
      <c r="C54" s="48"/>
      <c r="D54" s="48"/>
      <c r="E54" s="48"/>
    </row>
    <row r="55" spans="2:5" ht="15">
      <c r="B55" s="255"/>
      <c r="C55" s="48"/>
      <c r="D55" s="48"/>
      <c r="E55" s="48"/>
    </row>
    <row r="56" spans="2:5" ht="15">
      <c r="B56" s="255"/>
      <c r="C56" s="48"/>
      <c r="D56" s="48"/>
      <c r="E56" s="48"/>
    </row>
    <row r="57" spans="2:5" ht="15">
      <c r="B57" s="255"/>
      <c r="C57" s="48"/>
      <c r="D57" s="48"/>
      <c r="E57" s="48"/>
    </row>
    <row r="58" spans="2:5" ht="15">
      <c r="B58" s="255"/>
      <c r="C58" s="48"/>
      <c r="D58" s="48"/>
      <c r="E58" s="48"/>
    </row>
    <row r="59" spans="2:5" ht="15">
      <c r="B59" s="256" t="s">
        <v>13</v>
      </c>
      <c r="C59" s="48"/>
      <c r="D59" s="240"/>
      <c r="E59" s="240"/>
    </row>
    <row r="60" spans="2:5" ht="15">
      <c r="B60" s="256" t="s">
        <v>786</v>
      </c>
      <c r="C60" s="282">
        <f>IF(C61*0.1&lt;C59,"Exceed 10% Rule","")</f>
      </c>
      <c r="D60" s="245">
        <f>IF(D61*0.1&lt;D59,"Exceed 10% Rule","")</f>
      </c>
      <c r="E60" s="245">
        <f>IF(E61*0.1&lt;E59,"Exceed 10% Rule","")</f>
      </c>
    </row>
    <row r="61" spans="2:5" ht="15">
      <c r="B61" s="246" t="s">
        <v>119</v>
      </c>
      <c r="C61" s="249">
        <f>SUM(C51:C59)</f>
        <v>0</v>
      </c>
      <c r="D61" s="249">
        <f>SUM(D51:D59)</f>
        <v>0</v>
      </c>
      <c r="E61" s="249">
        <f>SUM(E51:E59)</f>
        <v>0</v>
      </c>
    </row>
    <row r="62" spans="2:5" ht="15">
      <c r="B62" s="133" t="s">
        <v>215</v>
      </c>
      <c r="C62" s="63">
        <f>C49-C61</f>
        <v>0</v>
      </c>
      <c r="D62" s="63">
        <f>D49-D61</f>
        <v>0</v>
      </c>
      <c r="E62" s="63">
        <f>E49-E61</f>
        <v>0</v>
      </c>
    </row>
    <row r="63" spans="2:5" ht="15">
      <c r="B63" s="153" t="str">
        <f>CONCATENATE("",E1-2,"/",E1-1,"/",E1," Budget Authority Amount:")</f>
        <v>2013/2014/2015 Budget Authority Amount:</v>
      </c>
      <c r="C63" s="837">
        <f>inputOth!B92</f>
        <v>0</v>
      </c>
      <c r="D63" s="837">
        <f>inputPrYr!D51</f>
        <v>0</v>
      </c>
      <c r="E63" s="911">
        <f>E61</f>
        <v>0</v>
      </c>
    </row>
    <row r="64" spans="2:5" ht="15">
      <c r="B64" s="119"/>
      <c r="C64" s="259">
        <f>IF(C61&gt;C63,"See Tab A","")</f>
      </c>
      <c r="D64" s="259">
        <f>IF(D61&gt;D63,"See Tab C","")</f>
      </c>
      <c r="E64" s="912">
        <f>IF(E62&lt;0,"See Tab E","")</f>
      </c>
    </row>
    <row r="65" spans="2:5" ht="15">
      <c r="B65" s="119"/>
      <c r="C65" s="259">
        <f>IF(C62&lt;0,"See Tab B","")</f>
      </c>
      <c r="D65" s="259">
        <f>IF(D62&lt;0,"See Tab D","")</f>
      </c>
      <c r="E65" s="32"/>
    </row>
    <row r="66" spans="2:5" ht="15">
      <c r="B66" s="32"/>
      <c r="C66" s="32"/>
      <c r="D66" s="32"/>
      <c r="E66" s="32"/>
    </row>
    <row r="67" spans="2:5" ht="15">
      <c r="B67" s="151" t="s">
        <v>122</v>
      </c>
      <c r="C67" s="264"/>
      <c r="D67" s="32"/>
      <c r="E67" s="32"/>
    </row>
  </sheetData>
  <sheetProtection sheet="1"/>
  <conditionalFormatting sqref="C15">
    <cfRule type="cellIs" priority="18" dxfId="328" operator="greaterThan" stopIfTrue="1">
      <formula>$C$17*0.1</formula>
    </cfRule>
  </conditionalFormatting>
  <conditionalFormatting sqref="D15">
    <cfRule type="cellIs" priority="17" dxfId="328" operator="greaterThan" stopIfTrue="1">
      <formula>$D$17*0.1</formula>
    </cfRule>
  </conditionalFormatting>
  <conditionalFormatting sqref="E15">
    <cfRule type="cellIs" priority="16" dxfId="328" operator="greaterThan" stopIfTrue="1">
      <formula>$E$17*0.1</formula>
    </cfRule>
  </conditionalFormatting>
  <conditionalFormatting sqref="C28">
    <cfRule type="cellIs" priority="15" dxfId="328" operator="greaterThan" stopIfTrue="1">
      <formula>$C$30*0.1</formula>
    </cfRule>
  </conditionalFormatting>
  <conditionalFormatting sqref="D28">
    <cfRule type="cellIs" priority="14" dxfId="328" operator="greaterThan" stopIfTrue="1">
      <formula>$D$30*0.1</formula>
    </cfRule>
  </conditionalFormatting>
  <conditionalFormatting sqref="E28">
    <cfRule type="cellIs" priority="13" dxfId="328" operator="greaterThan" stopIfTrue="1">
      <formula>$E$30*0.1</formula>
    </cfRule>
  </conditionalFormatting>
  <conditionalFormatting sqref="C46">
    <cfRule type="cellIs" priority="12" dxfId="328" operator="greaterThan" stopIfTrue="1">
      <formula>$C$48*0.1</formula>
    </cfRule>
  </conditionalFormatting>
  <conditionalFormatting sqref="D46">
    <cfRule type="cellIs" priority="11" dxfId="328" operator="greaterThan" stopIfTrue="1">
      <formula>$D$48*0.1</formula>
    </cfRule>
  </conditionalFormatting>
  <conditionalFormatting sqref="E46">
    <cfRule type="cellIs" priority="10" dxfId="328" operator="greaterThan" stopIfTrue="1">
      <formula>$E$48*0.1</formula>
    </cfRule>
  </conditionalFormatting>
  <conditionalFormatting sqref="C59">
    <cfRule type="cellIs" priority="9" dxfId="328" operator="greaterThan" stopIfTrue="1">
      <formula>$C$61*0.1</formula>
    </cfRule>
  </conditionalFormatting>
  <conditionalFormatting sqref="D59">
    <cfRule type="cellIs" priority="8" dxfId="328" operator="greaterThan" stopIfTrue="1">
      <formula>$D$61*0.1</formula>
    </cfRule>
  </conditionalFormatting>
  <conditionalFormatting sqref="E59">
    <cfRule type="cellIs" priority="7" dxfId="328" operator="greaterThan" stopIfTrue="1">
      <formula>$E$61*0.1</formula>
    </cfRule>
  </conditionalFormatting>
  <conditionalFormatting sqref="C61:D61">
    <cfRule type="cellIs" priority="6" dxfId="3" operator="greaterThan" stopIfTrue="1">
      <formula>$D$63</formula>
    </cfRule>
  </conditionalFormatting>
  <conditionalFormatting sqref="C62 E62 C31 E31">
    <cfRule type="cellIs" priority="5" dxfId="3" operator="lessThan" stopIfTrue="1">
      <formula>0</formula>
    </cfRule>
  </conditionalFormatting>
  <conditionalFormatting sqref="D30">
    <cfRule type="cellIs" priority="4" dxfId="3" operator="greaterThan" stopIfTrue="1">
      <formula>$D$32</formula>
    </cfRule>
  </conditionalFormatting>
  <conditionalFormatting sqref="C30">
    <cfRule type="cellIs" priority="3"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5" r:id="rId1"/>
  <headerFooter>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6"/>
  <sheetViews>
    <sheetView zoomScalePageLayoutView="0" workbookViewId="0" topLeftCell="A1">
      <selection activeCell="H18" sqref="H18"/>
    </sheetView>
  </sheetViews>
  <sheetFormatPr defaultColWidth="8.8984375" defaultRowHeight="15"/>
  <cols>
    <col min="1" max="1" width="15.69921875" style="87" customWidth="1"/>
    <col min="2" max="2" width="20.69921875" style="87" customWidth="1"/>
    <col min="3" max="3" width="9.69921875" style="87" customWidth="1"/>
    <col min="4" max="4" width="15.09765625" style="87" customWidth="1"/>
    <col min="5" max="5" width="15.69921875" style="87" customWidth="1"/>
    <col min="6" max="16384" width="8.8984375" style="87" customWidth="1"/>
  </cols>
  <sheetData>
    <row r="1" spans="1:5" ht="15">
      <c r="A1" s="156" t="str">
        <f>inputPrYr!$D$2</f>
        <v>City of Russell</v>
      </c>
      <c r="B1" s="49"/>
      <c r="C1" s="49"/>
      <c r="D1" s="49"/>
      <c r="E1" s="155">
        <f>inputPrYr!C5</f>
        <v>2015</v>
      </c>
    </row>
    <row r="2" spans="1:5" ht="15">
      <c r="A2" s="49"/>
      <c r="B2" s="49"/>
      <c r="C2" s="49"/>
      <c r="D2" s="49"/>
      <c r="E2" s="49"/>
    </row>
    <row r="3" spans="1:5" ht="15">
      <c r="A3" s="965" t="s">
        <v>303</v>
      </c>
      <c r="B3" s="966"/>
      <c r="C3" s="966"/>
      <c r="D3" s="966"/>
      <c r="E3" s="966"/>
    </row>
    <row r="4" spans="1:5" ht="15">
      <c r="A4" s="49"/>
      <c r="B4" s="49"/>
      <c r="C4" s="49"/>
      <c r="D4" s="49"/>
      <c r="E4" s="49"/>
    </row>
    <row r="5" spans="1:5" ht="15">
      <c r="A5" s="980" t="s">
        <v>640</v>
      </c>
      <c r="B5" s="981"/>
      <c r="C5" s="423"/>
      <c r="D5" s="427" t="s">
        <v>641</v>
      </c>
      <c r="E5" s="426" t="s">
        <v>642</v>
      </c>
    </row>
    <row r="6" spans="1:5" ht="15">
      <c r="A6" s="423" t="s">
        <v>643</v>
      </c>
      <c r="B6" s="485"/>
      <c r="C6" s="425"/>
      <c r="D6" s="424" t="s">
        <v>636</v>
      </c>
      <c r="E6" s="484">
        <v>4</v>
      </c>
    </row>
    <row r="7" spans="1:5" ht="15">
      <c r="A7" s="49"/>
      <c r="B7" s="49"/>
      <c r="C7" s="49"/>
      <c r="D7" s="49"/>
      <c r="E7" s="49"/>
    </row>
    <row r="8" spans="1:5" ht="15">
      <c r="A8" s="40" t="str">
        <f>CONCATENATE("From the County Clerks ",E1," Budget Information:")</f>
        <v>From the County Clerks 2015 Budget Information:</v>
      </c>
      <c r="B8" s="41"/>
      <c r="C8" s="32"/>
      <c r="D8" s="32"/>
      <c r="E8" s="78"/>
    </row>
    <row r="9" spans="1:5" ht="15">
      <c r="A9" s="88" t="str">
        <f>CONCATENATE("Total Assessed Valuation for ",E1-1,"")</f>
        <v>Total Assessed Valuation for 2014</v>
      </c>
      <c r="B9" s="53"/>
      <c r="C9" s="53"/>
      <c r="D9" s="53"/>
      <c r="E9" s="48">
        <v>29006726</v>
      </c>
    </row>
    <row r="10" spans="1:5" ht="15">
      <c r="A10" s="88" t="str">
        <f>CONCATENATE("New Improvements for ",E1-1,"")</f>
        <v>New Improvements for 2014</v>
      </c>
      <c r="B10" s="53"/>
      <c r="C10" s="53"/>
      <c r="D10" s="53"/>
      <c r="E10" s="89">
        <v>191482</v>
      </c>
    </row>
    <row r="11" spans="1:5" ht="15">
      <c r="A11" s="88" t="str">
        <f>CONCATENATE("Personal Property excluding oil, gas, mobile homes - ",E1-1,"")</f>
        <v>Personal Property excluding oil, gas, mobile homes - 2014</v>
      </c>
      <c r="B11" s="53"/>
      <c r="C11" s="53"/>
      <c r="D11" s="53"/>
      <c r="E11" s="89">
        <v>2496667</v>
      </c>
    </row>
    <row r="12" spans="1:5" ht="15">
      <c r="A12" s="90" t="s">
        <v>241</v>
      </c>
      <c r="B12" s="53"/>
      <c r="C12" s="53"/>
      <c r="D12" s="53"/>
      <c r="E12" s="68"/>
    </row>
    <row r="13" spans="1:5" ht="15">
      <c r="A13" s="88" t="s">
        <v>209</v>
      </c>
      <c r="B13" s="53"/>
      <c r="C13" s="53"/>
      <c r="D13" s="53"/>
      <c r="E13" s="89"/>
    </row>
    <row r="14" spans="1:5" ht="15">
      <c r="A14" s="88" t="s">
        <v>210</v>
      </c>
      <c r="B14" s="53"/>
      <c r="C14" s="53"/>
      <c r="D14" s="53"/>
      <c r="E14" s="89"/>
    </row>
    <row r="15" spans="1:5" ht="15">
      <c r="A15" s="88" t="s">
        <v>211</v>
      </c>
      <c r="B15" s="53"/>
      <c r="C15" s="53"/>
      <c r="D15" s="53"/>
      <c r="E15" s="89"/>
    </row>
    <row r="16" spans="1:5" ht="15">
      <c r="A16" s="88" t="str">
        <f>CONCATENATE("Property that has changed in use for ",E1-1,"")</f>
        <v>Property that has changed in use for 2014</v>
      </c>
      <c r="B16" s="53"/>
      <c r="C16" s="53"/>
      <c r="D16" s="53"/>
      <c r="E16" s="89">
        <v>41156</v>
      </c>
    </row>
    <row r="17" spans="1:5" ht="15">
      <c r="A17" s="88" t="str">
        <f>CONCATENATE("Personal Property  excluding oil, gas, mobile homes- ",E1-2,"")</f>
        <v>Personal Property  excluding oil, gas, mobile homes- 2013</v>
      </c>
      <c r="B17" s="53"/>
      <c r="C17" s="53"/>
      <c r="D17" s="53"/>
      <c r="E17" s="89">
        <v>3004451</v>
      </c>
    </row>
    <row r="18" spans="1:5" ht="15">
      <c r="A18" s="88" t="str">
        <f>CONCATENATE("Gross earnings (intangible) tax estimate for ",E1,"")</f>
        <v>Gross earnings (intangible) tax estimate for 2015</v>
      </c>
      <c r="B18" s="53"/>
      <c r="C18" s="53"/>
      <c r="D18" s="74"/>
      <c r="E18" s="48"/>
    </row>
    <row r="19" spans="1:5" ht="15">
      <c r="A19" s="88" t="s">
        <v>242</v>
      </c>
      <c r="B19" s="53"/>
      <c r="C19" s="53"/>
      <c r="D19" s="53"/>
      <c r="E19" s="84">
        <v>841661</v>
      </c>
    </row>
    <row r="20" spans="1:5" ht="15">
      <c r="A20" s="56"/>
      <c r="B20" s="57"/>
      <c r="C20" s="57"/>
      <c r="D20" s="57"/>
      <c r="E20" s="65"/>
    </row>
    <row r="21" spans="1:5" ht="15">
      <c r="A21" s="56" t="str">
        <f>CONCATENATE("Actual Tax Rates for the ",E1-1," Budget:")</f>
        <v>Actual Tax Rates for the 2014 Budget:</v>
      </c>
      <c r="B21" s="57"/>
      <c r="C21" s="57"/>
      <c r="D21" s="57"/>
      <c r="E21" s="65"/>
    </row>
    <row r="22" spans="1:5" ht="15">
      <c r="A22" s="974" t="s">
        <v>89</v>
      </c>
      <c r="B22" s="975"/>
      <c r="C22" s="49"/>
      <c r="D22" s="91" t="s">
        <v>144</v>
      </c>
      <c r="E22" s="65"/>
    </row>
    <row r="23" spans="1:5" ht="15">
      <c r="A23" s="51" t="s">
        <v>73</v>
      </c>
      <c r="B23" s="52"/>
      <c r="C23" s="57"/>
      <c r="D23" s="92">
        <v>25.087</v>
      </c>
      <c r="E23" s="65"/>
    </row>
    <row r="24" spans="1:5" ht="15">
      <c r="A24" s="88" t="s">
        <v>44</v>
      </c>
      <c r="B24" s="53"/>
      <c r="C24" s="57"/>
      <c r="D24" s="93">
        <v>0.525</v>
      </c>
      <c r="E24" s="65"/>
    </row>
    <row r="25" spans="1:5" ht="15">
      <c r="A25" s="88" t="str">
        <f>IF(inputPrYr!B19&gt;" ",(inputPrYr!B19)," ")</f>
        <v>Library</v>
      </c>
      <c r="B25" s="53"/>
      <c r="C25" s="57"/>
      <c r="D25" s="93">
        <v>4.41</v>
      </c>
      <c r="E25" s="65"/>
    </row>
    <row r="26" spans="1:5" ht="15">
      <c r="A26" s="88" t="str">
        <f>IF(inputPrYr!B21&gt;" ",(inputPrYr!B21)," ")</f>
        <v>Airport</v>
      </c>
      <c r="B26" s="53"/>
      <c r="C26" s="57"/>
      <c r="D26" s="93">
        <v>0.018</v>
      </c>
      <c r="E26" s="65"/>
    </row>
    <row r="27" spans="1:5" ht="15">
      <c r="A27" s="88" t="str">
        <f>IF(inputPrYr!B22&gt;" ",(inputPrYr!B22)," ")</f>
        <v>Industrial</v>
      </c>
      <c r="B27" s="53"/>
      <c r="C27" s="57"/>
      <c r="D27" s="93">
        <v>0.814</v>
      </c>
      <c r="E27" s="65"/>
    </row>
    <row r="28" spans="1:5" ht="15">
      <c r="A28" s="88" t="str">
        <f>IF(inputPrYr!B23&gt;" ",(inputPrYr!B23)," ")</f>
        <v>Fire Equipment</v>
      </c>
      <c r="B28" s="53"/>
      <c r="C28" s="57"/>
      <c r="D28" s="93">
        <v>0.139</v>
      </c>
      <c r="E28" s="65"/>
    </row>
    <row r="29" spans="1:5" ht="15">
      <c r="A29" s="88" t="str">
        <f>IF(inputPrYr!B24&gt;" ",(inputPrYr!B24)," ")</f>
        <v>Personnel Benefits</v>
      </c>
      <c r="B29" s="94"/>
      <c r="C29" s="57"/>
      <c r="D29" s="95">
        <v>29.651</v>
      </c>
      <c r="E29" s="65"/>
    </row>
    <row r="30" spans="1:5" ht="15">
      <c r="A30" s="88" t="str">
        <f>IF(inputPrYr!B25&gt;" ",(inputPrYr!B25)," ")</f>
        <v> </v>
      </c>
      <c r="B30" s="94"/>
      <c r="C30" s="57"/>
      <c r="D30" s="95"/>
      <c r="E30" s="65"/>
    </row>
    <row r="31" spans="1:5" ht="15">
      <c r="A31" s="88" t="str">
        <f>IF(inputPrYr!B26&gt;" ",(inputPrYr!B26)," ")</f>
        <v> </v>
      </c>
      <c r="B31" s="94"/>
      <c r="C31" s="57"/>
      <c r="D31" s="95"/>
      <c r="E31" s="65"/>
    </row>
    <row r="32" spans="1:5" ht="15">
      <c r="A32" s="88" t="str">
        <f>IF(inputPrYr!B27&gt;" ",(inputPrYr!B27)," ")</f>
        <v> </v>
      </c>
      <c r="B32" s="94"/>
      <c r="C32" s="57"/>
      <c r="D32" s="95"/>
      <c r="E32" s="65"/>
    </row>
    <row r="33" spans="1:5" ht="15">
      <c r="A33" s="88" t="str">
        <f>IF(inputPrYr!B28&gt;" ",(inputPrYr!B28)," ")</f>
        <v> </v>
      </c>
      <c r="B33" s="94"/>
      <c r="C33" s="57"/>
      <c r="D33" s="95"/>
      <c r="E33" s="65"/>
    </row>
    <row r="34" spans="1:5" ht="15">
      <c r="A34" s="88" t="str">
        <f>IF(inputPrYr!B29&gt;" ",(inputPrYr!B29)," ")</f>
        <v> </v>
      </c>
      <c r="B34" s="94"/>
      <c r="C34" s="57"/>
      <c r="D34" s="95"/>
      <c r="E34" s="65"/>
    </row>
    <row r="35" spans="1:5" ht="15">
      <c r="A35" s="88" t="str">
        <f>IF(inputPrYr!B30&gt;" ",(inputPrYr!B30)," ")</f>
        <v> </v>
      </c>
      <c r="B35" s="94"/>
      <c r="C35" s="57"/>
      <c r="D35" s="95"/>
      <c r="E35" s="65"/>
    </row>
    <row r="36" spans="1:5" ht="15">
      <c r="A36" s="88" t="str">
        <f>inputPrYr!B33</f>
        <v>Recreation</v>
      </c>
      <c r="B36" s="94"/>
      <c r="C36" s="57"/>
      <c r="D36" s="95">
        <v>3.393</v>
      </c>
      <c r="E36" s="65"/>
    </row>
    <row r="37" spans="1:5" ht="15">
      <c r="A37" s="96"/>
      <c r="B37" s="46" t="s">
        <v>75</v>
      </c>
      <c r="C37" s="97"/>
      <c r="D37" s="98">
        <f>SUM(D23:D36)</f>
        <v>64.03699999999999</v>
      </c>
      <c r="E37" s="96"/>
    </row>
    <row r="38" spans="1:5" ht="15">
      <c r="A38" s="96"/>
      <c r="B38" s="96"/>
      <c r="C38" s="96"/>
      <c r="D38" s="96"/>
      <c r="E38" s="96"/>
    </row>
    <row r="39" spans="1:5" ht="15">
      <c r="A39" s="52" t="str">
        <f>CONCATENATE("Final Assessed Valuation from the November 1, ",E1-2," Abstract")</f>
        <v>Final Assessed Valuation from the November 1, 2013 Abstract</v>
      </c>
      <c r="B39" s="99"/>
      <c r="C39" s="99"/>
      <c r="D39" s="99"/>
      <c r="E39" s="84">
        <v>28677204</v>
      </c>
    </row>
    <row r="40" spans="1:5" ht="15">
      <c r="A40" s="96"/>
      <c r="B40" s="96"/>
      <c r="C40" s="96"/>
      <c r="D40" s="96"/>
      <c r="E40" s="96"/>
    </row>
    <row r="41" spans="1:5" ht="15">
      <c r="A41" s="100" t="str">
        <f>CONCATENATE("From the County Treasurer's Budget Information - ",E1," Budget Year Estimates:")</f>
        <v>From the County Treasurer's Budget Information - 2015 Budget Year Estimates:</v>
      </c>
      <c r="B41" s="39"/>
      <c r="C41" s="39"/>
      <c r="D41" s="101"/>
      <c r="E41" s="78"/>
    </row>
    <row r="42" spans="1:5" ht="15">
      <c r="A42" s="51" t="s">
        <v>76</v>
      </c>
      <c r="B42" s="52"/>
      <c r="C42" s="52"/>
      <c r="D42" s="102"/>
      <c r="E42" s="48">
        <v>272355</v>
      </c>
    </row>
    <row r="43" spans="1:5" ht="15">
      <c r="A43" s="88" t="s">
        <v>77</v>
      </c>
      <c r="B43" s="53"/>
      <c r="C43" s="53"/>
      <c r="D43" s="103"/>
      <c r="E43" s="48">
        <v>3930</v>
      </c>
    </row>
    <row r="44" spans="1:5" ht="15">
      <c r="A44" s="88" t="s">
        <v>243</v>
      </c>
      <c r="B44" s="53"/>
      <c r="C44" s="53"/>
      <c r="D44" s="103"/>
      <c r="E44" s="48">
        <v>6511</v>
      </c>
    </row>
    <row r="45" spans="1:5" ht="15">
      <c r="A45" s="88" t="s">
        <v>244</v>
      </c>
      <c r="B45" s="53"/>
      <c r="C45" s="53"/>
      <c r="D45" s="103"/>
      <c r="E45" s="48"/>
    </row>
    <row r="46" spans="1:5" ht="15">
      <c r="A46" s="88" t="s">
        <v>245</v>
      </c>
      <c r="B46" s="53"/>
      <c r="C46" s="53"/>
      <c r="D46" s="103"/>
      <c r="E46" s="48"/>
    </row>
    <row r="47" spans="1:5" ht="15">
      <c r="A47" s="32" t="s">
        <v>246</v>
      </c>
      <c r="B47" s="32"/>
      <c r="C47" s="32"/>
      <c r="D47" s="32"/>
      <c r="E47" s="32"/>
    </row>
    <row r="48" spans="1:5" ht="15">
      <c r="A48" s="31" t="s">
        <v>97</v>
      </c>
      <c r="B48" s="37"/>
      <c r="C48" s="37"/>
      <c r="D48" s="32"/>
      <c r="E48" s="32"/>
    </row>
    <row r="49" spans="1:5" ht="15">
      <c r="A49" s="51" t="str">
        <f>CONCATENATE("Actual Delinquency for ",E1-3," Tax - (rate .01213 = 1.213%, key in 1.2)")</f>
        <v>Actual Delinquency for 2012 Tax - (rate .01213 = 1.213%, key in 1.2)</v>
      </c>
      <c r="B49" s="52"/>
      <c r="C49" s="52"/>
      <c r="D49" s="62"/>
      <c r="E49" s="746">
        <v>0.013</v>
      </c>
    </row>
    <row r="50" spans="1:5" ht="15">
      <c r="A50" s="51" t="s">
        <v>879</v>
      </c>
      <c r="B50" s="51"/>
      <c r="C50" s="52"/>
      <c r="D50" s="52"/>
      <c r="E50" s="747">
        <v>0.013</v>
      </c>
    </row>
    <row r="51" spans="1:5" ht="15">
      <c r="A51" s="32"/>
      <c r="B51" s="32"/>
      <c r="C51" s="32"/>
      <c r="D51" s="32"/>
      <c r="E51" s="32"/>
    </row>
    <row r="52" spans="1:5" ht="15">
      <c r="A52" s="104" t="s">
        <v>4</v>
      </c>
      <c r="B52" s="105"/>
      <c r="C52" s="106"/>
      <c r="D52" s="106"/>
      <c r="E52" s="106"/>
    </row>
    <row r="53" spans="1:5" ht="15">
      <c r="A53" s="107" t="str">
        <f>CONCATENATE("",E1," State Distribution for Kansas Gas Tax")</f>
        <v>2015 State Distribution for Kansas Gas Tax</v>
      </c>
      <c r="B53" s="108"/>
      <c r="C53" s="108"/>
      <c r="D53" s="109"/>
      <c r="E53" s="84">
        <v>115240</v>
      </c>
    </row>
    <row r="54" spans="1:5" ht="15">
      <c r="A54" s="110" t="str">
        <f>CONCATENATE("",E1," County Transfers for Gas**")</f>
        <v>2015 County Transfers for Gas**</v>
      </c>
      <c r="B54" s="111"/>
      <c r="C54" s="111"/>
      <c r="D54" s="112"/>
      <c r="E54" s="84"/>
    </row>
    <row r="55" spans="1:5" ht="15">
      <c r="A55" s="110" t="str">
        <f>CONCATENATE("Adjusted ",E1-1," State Distribution for Kansas Gas Tax")</f>
        <v>Adjusted 2014 State Distribution for Kansas Gas Tax</v>
      </c>
      <c r="B55" s="111"/>
      <c r="C55" s="111"/>
      <c r="D55" s="112"/>
      <c r="E55" s="84">
        <v>114300</v>
      </c>
    </row>
    <row r="56" spans="1:5" ht="15">
      <c r="A56" s="110" t="str">
        <f>CONCATENATE("Adjusted ",E1-1," County Transfers for Gas**")</f>
        <v>Adjusted 2014 County Transfers for Gas**</v>
      </c>
      <c r="B56" s="111"/>
      <c r="C56" s="111"/>
      <c r="D56" s="112"/>
      <c r="E56" s="84"/>
    </row>
    <row r="57" spans="1:5" ht="15">
      <c r="A57" s="976" t="s">
        <v>298</v>
      </c>
      <c r="B57" s="977"/>
      <c r="C57" s="977"/>
      <c r="D57" s="977"/>
      <c r="E57" s="977"/>
    </row>
    <row r="58" spans="1:5" ht="15">
      <c r="A58" s="113" t="s">
        <v>299</v>
      </c>
      <c r="B58" s="113"/>
      <c r="C58" s="113"/>
      <c r="D58" s="113"/>
      <c r="E58" s="113"/>
    </row>
    <row r="59" spans="1:5" ht="15">
      <c r="A59" s="49"/>
      <c r="B59" s="49"/>
      <c r="C59" s="49"/>
      <c r="D59" s="49"/>
      <c r="E59" s="49"/>
    </row>
    <row r="60" spans="1:5" ht="15">
      <c r="A60" s="978" t="str">
        <f>CONCATENATE("From the ",E1-2," Budget Certificate Page")</f>
        <v>From the 2013 Budget Certificate Page</v>
      </c>
      <c r="B60" s="979"/>
      <c r="C60" s="49"/>
      <c r="D60" s="49"/>
      <c r="E60" s="49"/>
    </row>
    <row r="61" spans="1:5" ht="15">
      <c r="A61" s="114"/>
      <c r="B61" s="114" t="str">
        <f>CONCATENATE("",E1-2," Expenditure Amounts")</f>
        <v>2013 Expenditure Amounts</v>
      </c>
      <c r="C61" s="972" t="str">
        <f>CONCATENATE("Note: If the ",E1-2," budget was amended, then the")</f>
        <v>Note: If the 2013 budget was amended, then the</v>
      </c>
      <c r="D61" s="973"/>
      <c r="E61" s="973"/>
    </row>
    <row r="62" spans="1:5" ht="15">
      <c r="A62" s="115" t="s">
        <v>8</v>
      </c>
      <c r="B62" s="115" t="s">
        <v>9</v>
      </c>
      <c r="C62" s="116" t="s">
        <v>10</v>
      </c>
      <c r="D62" s="117"/>
      <c r="E62" s="117"/>
    </row>
    <row r="63" spans="1:5" ht="15">
      <c r="A63" s="118" t="str">
        <f>inputPrYr!B17</f>
        <v>General</v>
      </c>
      <c r="B63" s="84">
        <v>3563282</v>
      </c>
      <c r="C63" s="116" t="s">
        <v>11</v>
      </c>
      <c r="D63" s="117"/>
      <c r="E63" s="117"/>
    </row>
    <row r="64" spans="1:5" ht="15">
      <c r="A64" s="118" t="str">
        <f>inputPrYr!B18</f>
        <v>Debt Service</v>
      </c>
      <c r="B64" s="84">
        <v>621057</v>
      </c>
      <c r="C64" s="116"/>
      <c r="D64" s="117"/>
      <c r="E64" s="117"/>
    </row>
    <row r="65" spans="1:5" ht="15">
      <c r="A65" s="118" t="str">
        <f>inputPrYr!B19</f>
        <v>Library</v>
      </c>
      <c r="B65" s="84">
        <v>146781</v>
      </c>
      <c r="C65" s="116"/>
      <c r="D65" s="117"/>
      <c r="E65" s="117"/>
    </row>
    <row r="66" spans="1:5" ht="15">
      <c r="A66" s="118" t="str">
        <f>inputPrYr!B21</f>
        <v>Airport</v>
      </c>
      <c r="B66" s="84">
        <v>66955</v>
      </c>
      <c r="C66" s="49"/>
      <c r="D66" s="49"/>
      <c r="E66" s="49"/>
    </row>
    <row r="67" spans="1:5" ht="15">
      <c r="A67" s="118" t="str">
        <f>inputPrYr!B22</f>
        <v>Industrial</v>
      </c>
      <c r="B67" s="84">
        <v>114478</v>
      </c>
      <c r="C67" s="49"/>
      <c r="D67" s="49"/>
      <c r="E67" s="49"/>
    </row>
    <row r="68" spans="1:5" ht="15">
      <c r="A68" s="118" t="str">
        <f>inputPrYr!B23</f>
        <v>Fire Equipment</v>
      </c>
      <c r="B68" s="84">
        <v>245962</v>
      </c>
      <c r="C68" s="49"/>
      <c r="D68" s="49"/>
      <c r="E68" s="49"/>
    </row>
    <row r="69" spans="1:5" ht="15">
      <c r="A69" s="118" t="str">
        <f>inputPrYr!B24</f>
        <v>Personnel Benefits</v>
      </c>
      <c r="B69" s="84">
        <v>1741282</v>
      </c>
      <c r="C69" s="49"/>
      <c r="D69" s="49"/>
      <c r="E69" s="49"/>
    </row>
    <row r="70" spans="1:5" ht="15">
      <c r="A70" s="118">
        <f>inputPrYr!B25</f>
        <v>0</v>
      </c>
      <c r="B70" s="84"/>
      <c r="C70" s="49"/>
      <c r="D70" s="49"/>
      <c r="E70" s="49"/>
    </row>
    <row r="71" spans="1:5" ht="15">
      <c r="A71" s="118">
        <f>inputPrYr!B26</f>
        <v>0</v>
      </c>
      <c r="B71" s="84"/>
      <c r="C71" s="49"/>
      <c r="D71" s="49"/>
      <c r="E71" s="49"/>
    </row>
    <row r="72" spans="1:5" ht="15">
      <c r="A72" s="118">
        <f>inputPrYr!B27</f>
        <v>0</v>
      </c>
      <c r="B72" s="84"/>
      <c r="C72" s="49"/>
      <c r="D72" s="49"/>
      <c r="E72" s="49"/>
    </row>
    <row r="73" spans="1:5" ht="15">
      <c r="A73" s="118">
        <f>inputPrYr!B28</f>
        <v>0</v>
      </c>
      <c r="B73" s="84"/>
      <c r="C73" s="49"/>
      <c r="D73" s="49"/>
      <c r="E73" s="49"/>
    </row>
    <row r="74" spans="1:5" ht="15">
      <c r="A74" s="118">
        <f>inputPrYr!B29</f>
        <v>0</v>
      </c>
      <c r="B74" s="84"/>
      <c r="C74" s="49"/>
      <c r="D74" s="49"/>
      <c r="E74" s="49"/>
    </row>
    <row r="75" spans="1:5" ht="15">
      <c r="A75" s="118">
        <f>inputPrYr!B30</f>
        <v>0</v>
      </c>
      <c r="B75" s="84"/>
      <c r="C75" s="49"/>
      <c r="D75" s="49"/>
      <c r="E75" s="49"/>
    </row>
    <row r="76" spans="1:5" ht="15">
      <c r="A76" s="118" t="str">
        <f>inputPrYr!B33</f>
        <v>Recreation</v>
      </c>
      <c r="B76" s="84">
        <v>118368</v>
      </c>
      <c r="C76" s="49"/>
      <c r="D76" s="49"/>
      <c r="E76" s="49"/>
    </row>
    <row r="77" spans="1:5" ht="15">
      <c r="A77" s="118" t="str">
        <f>inputPrYr!B36</f>
        <v>Special Highway</v>
      </c>
      <c r="B77" s="84">
        <v>350000</v>
      </c>
      <c r="C77" s="49"/>
      <c r="D77" s="49"/>
      <c r="E77" s="49"/>
    </row>
    <row r="78" spans="1:5" ht="15">
      <c r="A78" s="118" t="str">
        <f>inputPrYr!B37</f>
        <v>Special Parks &amp; Recreation</v>
      </c>
      <c r="B78" s="84">
        <v>30000</v>
      </c>
      <c r="C78" s="49"/>
      <c r="D78" s="49"/>
      <c r="E78" s="49"/>
    </row>
    <row r="79" spans="1:5" ht="15">
      <c r="A79" s="118">
        <f>inputPrYr!B38</f>
        <v>0</v>
      </c>
      <c r="B79" s="84"/>
      <c r="C79" s="49"/>
      <c r="D79" s="49"/>
      <c r="E79" s="49"/>
    </row>
    <row r="80" spans="1:5" ht="15">
      <c r="A80" s="118">
        <f>inputPrYr!B39</f>
        <v>0</v>
      </c>
      <c r="B80" s="84"/>
      <c r="C80" s="49"/>
      <c r="D80" s="49"/>
      <c r="E80" s="49"/>
    </row>
    <row r="81" spans="1:5" ht="15">
      <c r="A81" s="118">
        <f>inputPrYr!B40</f>
        <v>0</v>
      </c>
      <c r="B81" s="84"/>
      <c r="C81" s="49"/>
      <c r="D81" s="49"/>
      <c r="E81" s="49"/>
    </row>
    <row r="82" spans="1:5" ht="15">
      <c r="A82" s="118">
        <f>inputPrYr!B41</f>
        <v>0</v>
      </c>
      <c r="B82" s="84"/>
      <c r="C82" s="49"/>
      <c r="D82" s="49"/>
      <c r="E82" s="49"/>
    </row>
    <row r="83" spans="1:5" ht="15">
      <c r="A83" s="118">
        <f>inputPrYr!B42</f>
        <v>0</v>
      </c>
      <c r="B83" s="84"/>
      <c r="C83" s="49"/>
      <c r="D83" s="49"/>
      <c r="E83" s="49"/>
    </row>
    <row r="84" spans="1:5" ht="15">
      <c r="A84" s="118">
        <f>inputPrYr!B43</f>
        <v>0</v>
      </c>
      <c r="B84" s="84"/>
      <c r="C84" s="49"/>
      <c r="D84" s="49"/>
      <c r="E84" s="49"/>
    </row>
    <row r="85" spans="1:5" ht="15">
      <c r="A85" s="118">
        <f>inputPrYr!B44</f>
        <v>0</v>
      </c>
      <c r="B85" s="84"/>
      <c r="C85" s="49"/>
      <c r="D85" s="49"/>
      <c r="E85" s="49"/>
    </row>
    <row r="86" spans="1:5" ht="15">
      <c r="A86" s="118">
        <f>inputPrYr!B45</f>
        <v>0</v>
      </c>
      <c r="B86" s="84"/>
      <c r="C86" s="49"/>
      <c r="D86" s="49"/>
      <c r="E86" s="49"/>
    </row>
    <row r="87" spans="1:5" ht="15">
      <c r="A87" s="118">
        <f>inputPrYr!B46</f>
        <v>0</v>
      </c>
      <c r="B87" s="84"/>
      <c r="C87" s="49"/>
      <c r="D87" s="49"/>
      <c r="E87" s="49"/>
    </row>
    <row r="88" spans="1:5" ht="15">
      <c r="A88" s="118">
        <f>inputPrYr!B47</f>
        <v>0</v>
      </c>
      <c r="B88" s="84"/>
      <c r="C88" s="49"/>
      <c r="D88" s="49"/>
      <c r="E88" s="49"/>
    </row>
    <row r="89" spans="1:5" ht="15">
      <c r="A89" s="118">
        <f>inputPrYr!B48</f>
        <v>0</v>
      </c>
      <c r="B89" s="84"/>
      <c r="C89" s="49"/>
      <c r="D89" s="49"/>
      <c r="E89" s="49"/>
    </row>
    <row r="90" spans="1:5" ht="15">
      <c r="A90" s="118">
        <f>inputPrYr!B49</f>
        <v>0</v>
      </c>
      <c r="B90" s="84"/>
      <c r="C90" s="49"/>
      <c r="D90" s="49"/>
      <c r="E90" s="49"/>
    </row>
    <row r="91" spans="1:5" ht="15">
      <c r="A91" s="118">
        <f>inputPrYr!B50</f>
        <v>0</v>
      </c>
      <c r="B91" s="84"/>
      <c r="C91" s="49"/>
      <c r="D91" s="49"/>
      <c r="E91" s="49"/>
    </row>
    <row r="92" spans="1:5" ht="15">
      <c r="A92" s="118">
        <f>inputPrYr!B51</f>
        <v>0</v>
      </c>
      <c r="B92" s="84"/>
      <c r="C92" s="49"/>
      <c r="D92" s="49"/>
      <c r="E92" s="49"/>
    </row>
    <row r="93" spans="1:5" ht="15">
      <c r="A93" s="118" t="str">
        <f>inputPrYr!B53</f>
        <v>Electric</v>
      </c>
      <c r="B93" s="84">
        <v>10805000</v>
      </c>
      <c r="C93" s="49"/>
      <c r="D93" s="49"/>
      <c r="E93" s="49"/>
    </row>
    <row r="94" spans="1:5" ht="15">
      <c r="A94" s="118" t="str">
        <f>inputPrYr!B54</f>
        <v>Water</v>
      </c>
      <c r="B94" s="84">
        <v>2079749</v>
      </c>
      <c r="C94" s="49"/>
      <c r="D94" s="49"/>
      <c r="E94" s="49"/>
    </row>
    <row r="95" spans="1:5" ht="15">
      <c r="A95" s="118" t="str">
        <f>inputPrYr!B55</f>
        <v>Sanitation</v>
      </c>
      <c r="B95" s="84">
        <v>511500</v>
      </c>
      <c r="C95" s="49"/>
      <c r="D95" s="49"/>
      <c r="E95" s="49"/>
    </row>
    <row r="96" spans="1:5" ht="15">
      <c r="A96" s="118" t="str">
        <f>inputPrYr!B56</f>
        <v>Wastewater</v>
      </c>
      <c r="B96" s="84">
        <v>373000</v>
      </c>
      <c r="C96" s="49"/>
      <c r="D96" s="49"/>
      <c r="E96" s="49"/>
    </row>
  </sheetData>
  <sheetProtection sheet="1"/>
  <mergeCells count="6">
    <mergeCell ref="C61:E61"/>
    <mergeCell ref="A22:B22"/>
    <mergeCell ref="A57:E57"/>
    <mergeCell ref="A3:E3"/>
    <mergeCell ref="A60:B60"/>
    <mergeCell ref="A5:B5"/>
  </mergeCells>
  <printOptions/>
  <pageMargins left="0.75" right="0.75" top="1" bottom="1" header="0.5" footer="0.5"/>
  <pageSetup blackAndWhite="1" fitToHeight="1" fitToWidth="1" horizontalDpi="600" verticalDpi="600" orientation="portrait" scale="43"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2">
      <selection activeCell="C53" sqref="C53"/>
    </sheetView>
  </sheetViews>
  <sheetFormatPr defaultColWidth="8.8984375" defaultRowHeight="15"/>
  <cols>
    <col min="1" max="1" width="2.3984375" style="87" customWidth="1"/>
    <col min="2" max="2" width="31.09765625" style="87" customWidth="1"/>
    <col min="3" max="4" width="15.69921875" style="87" customWidth="1"/>
    <col min="5" max="5" width="16.296875" style="87" customWidth="1"/>
    <col min="6" max="16384" width="8.8984375" style="87" customWidth="1"/>
  </cols>
  <sheetData>
    <row r="1" spans="2:5" ht="15">
      <c r="B1" s="176" t="str">
        <f>(inputPrYr!D2)</f>
        <v>City of Russell</v>
      </c>
      <c r="C1" s="32"/>
      <c r="D1" s="32"/>
      <c r="E1" s="199">
        <f>inputPrYr!$C$5</f>
        <v>2015</v>
      </c>
    </row>
    <row r="2" spans="2:5" ht="15">
      <c r="B2" s="32"/>
      <c r="C2" s="32"/>
      <c r="D2" s="32"/>
      <c r="E2" s="151"/>
    </row>
    <row r="3" spans="2:5" ht="15">
      <c r="B3" s="229" t="s">
        <v>172</v>
      </c>
      <c r="C3" s="279"/>
      <c r="D3" s="279"/>
      <c r="E3" s="280"/>
    </row>
    <row r="4" spans="2:5" ht="15">
      <c r="B4" s="33" t="s">
        <v>103</v>
      </c>
      <c r="C4" s="405" t="s">
        <v>806</v>
      </c>
      <c r="D4" s="404" t="s">
        <v>807</v>
      </c>
      <c r="E4" s="383" t="s">
        <v>808</v>
      </c>
    </row>
    <row r="5" spans="2:5" ht="15">
      <c r="B5" s="531" t="str">
        <f>(inputPrYr!B53)</f>
        <v>Electric</v>
      </c>
      <c r="C5" s="406" t="str">
        <f>CONCATENATE("Actual for ",E1-2,"")</f>
        <v>Actual for 2013</v>
      </c>
      <c r="D5" s="406" t="str">
        <f>CONCATENATE("Estimate for ",E1-1,"")</f>
        <v>Estimate for 2014</v>
      </c>
      <c r="E5" s="391" t="str">
        <f>CONCATENATE("Year for ",E1,"")</f>
        <v>Year for 2015</v>
      </c>
    </row>
    <row r="6" spans="2:5" ht="15">
      <c r="B6" s="133" t="s">
        <v>214</v>
      </c>
      <c r="C6" s="239">
        <v>3165317</v>
      </c>
      <c r="D6" s="237">
        <f>C48</f>
        <v>3043537</v>
      </c>
      <c r="E6" s="208">
        <f>D48</f>
        <v>3182729</v>
      </c>
    </row>
    <row r="7" spans="2:5" ht="15">
      <c r="B7" s="267" t="s">
        <v>216</v>
      </c>
      <c r="C7" s="142"/>
      <c r="D7" s="142"/>
      <c r="E7" s="68"/>
    </row>
    <row r="8" spans="2:5" ht="15">
      <c r="B8" s="255" t="s">
        <v>1091</v>
      </c>
      <c r="C8" s="239">
        <v>6415703</v>
      </c>
      <c r="D8" s="239">
        <v>6431598</v>
      </c>
      <c r="E8" s="242">
        <v>6470000</v>
      </c>
    </row>
    <row r="9" spans="2:5" ht="15">
      <c r="B9" s="255" t="s">
        <v>1092</v>
      </c>
      <c r="C9" s="239">
        <v>3995944</v>
      </c>
      <c r="D9" s="239">
        <v>4659390</v>
      </c>
      <c r="E9" s="242">
        <v>4671040</v>
      </c>
    </row>
    <row r="10" spans="2:5" ht="15">
      <c r="B10" s="255" t="s">
        <v>1093</v>
      </c>
      <c r="C10" s="239">
        <v>69088</v>
      </c>
      <c r="D10" s="239">
        <v>30000</v>
      </c>
      <c r="E10" s="242">
        <v>0</v>
      </c>
    </row>
    <row r="11" spans="2:5" ht="15">
      <c r="B11" s="255" t="s">
        <v>1094</v>
      </c>
      <c r="C11" s="239">
        <v>17113</v>
      </c>
      <c r="D11" s="239">
        <v>15000</v>
      </c>
      <c r="E11" s="242">
        <v>15000</v>
      </c>
    </row>
    <row r="12" spans="2:5" ht="15">
      <c r="B12" s="255" t="s">
        <v>1095</v>
      </c>
      <c r="C12" s="239">
        <v>1327</v>
      </c>
      <c r="D12" s="239"/>
      <c r="E12" s="242"/>
    </row>
    <row r="13" spans="2:5" ht="15">
      <c r="B13" s="255" t="s">
        <v>1096</v>
      </c>
      <c r="C13" s="239">
        <v>5684</v>
      </c>
      <c r="D13" s="239">
        <v>5500</v>
      </c>
      <c r="E13" s="242">
        <v>5500</v>
      </c>
    </row>
    <row r="14" spans="2:5" ht="15">
      <c r="B14" s="274"/>
      <c r="C14" s="239"/>
      <c r="D14" s="239"/>
      <c r="E14" s="89"/>
    </row>
    <row r="15" spans="2:5" ht="15">
      <c r="B15" s="255"/>
      <c r="C15" s="239"/>
      <c r="D15" s="239"/>
      <c r="E15" s="242"/>
    </row>
    <row r="16" spans="2:5" ht="15">
      <c r="B16" s="281" t="s">
        <v>111</v>
      </c>
      <c r="C16" s="239">
        <v>4977</v>
      </c>
      <c r="D16" s="239">
        <v>5000</v>
      </c>
      <c r="E16" s="242">
        <v>4800</v>
      </c>
    </row>
    <row r="17" spans="2:5" ht="15">
      <c r="B17" s="142" t="s">
        <v>13</v>
      </c>
      <c r="C17" s="239">
        <v>32593</v>
      </c>
      <c r="D17" s="239"/>
      <c r="E17" s="242"/>
    </row>
    <row r="18" spans="2:5" ht="15">
      <c r="B18" s="234" t="s">
        <v>785</v>
      </c>
      <c r="C18" s="244">
        <f>IF(C19*0.1&lt;C17,"Exceed 10% Rule","")</f>
      </c>
      <c r="D18" s="244">
        <f>IF(D19*0.1&lt;D17,"Exceed 10% Rule","")</f>
      </c>
      <c r="E18" s="282">
        <f>IF(E19*0.1&lt;E17,"Exceed 10% Rule","")</f>
      </c>
    </row>
    <row r="19" spans="2:5" ht="15">
      <c r="B19" s="246" t="s">
        <v>112</v>
      </c>
      <c r="C19" s="248">
        <f>SUM(C8:C17)</f>
        <v>10542429</v>
      </c>
      <c r="D19" s="248">
        <f>SUM(D8:D17)</f>
        <v>11146488</v>
      </c>
      <c r="E19" s="249">
        <f>SUM(E8:E17)</f>
        <v>11166340</v>
      </c>
    </row>
    <row r="20" spans="2:5" ht="15">
      <c r="B20" s="246" t="s">
        <v>113</v>
      </c>
      <c r="C20" s="248">
        <f>C6+C19</f>
        <v>13707746</v>
      </c>
      <c r="D20" s="248">
        <f>D6+D19</f>
        <v>14190025</v>
      </c>
      <c r="E20" s="249">
        <f>E6+E19</f>
        <v>14349069</v>
      </c>
    </row>
    <row r="21" spans="2:5" ht="15">
      <c r="B21" s="133" t="s">
        <v>115</v>
      </c>
      <c r="C21" s="142"/>
      <c r="D21" s="142"/>
      <c r="E21" s="68"/>
    </row>
    <row r="22" spans="2:5" ht="15">
      <c r="B22" s="255" t="s">
        <v>1097</v>
      </c>
      <c r="C22" s="239"/>
      <c r="D22" s="239"/>
      <c r="E22" s="242"/>
    </row>
    <row r="23" spans="2:5" ht="15">
      <c r="B23" s="255" t="s">
        <v>1099</v>
      </c>
      <c r="C23" s="239">
        <v>65281</v>
      </c>
      <c r="D23" s="239">
        <v>67496</v>
      </c>
      <c r="E23" s="242">
        <v>69600</v>
      </c>
    </row>
    <row r="24" spans="2:5" ht="15">
      <c r="B24" s="255" t="s">
        <v>116</v>
      </c>
      <c r="C24" s="239">
        <v>64348</v>
      </c>
      <c r="D24" s="239">
        <v>76900</v>
      </c>
      <c r="E24" s="89">
        <v>68250</v>
      </c>
    </row>
    <row r="25" spans="2:5" ht="15">
      <c r="B25" s="255" t="s">
        <v>117</v>
      </c>
      <c r="C25" s="239">
        <v>332</v>
      </c>
      <c r="D25" s="239">
        <v>2150</v>
      </c>
      <c r="E25" s="89">
        <v>2500</v>
      </c>
    </row>
    <row r="26" spans="2:5" ht="15">
      <c r="B26" s="255" t="s">
        <v>118</v>
      </c>
      <c r="C26" s="239"/>
      <c r="D26" s="239"/>
      <c r="E26" s="89"/>
    </row>
    <row r="27" spans="2:5" ht="15">
      <c r="B27" s="255" t="s">
        <v>1098</v>
      </c>
      <c r="C27" s="239"/>
      <c r="D27" s="239"/>
      <c r="E27" s="89"/>
    </row>
    <row r="28" spans="2:5" ht="15">
      <c r="B28" s="255" t="s">
        <v>1099</v>
      </c>
      <c r="C28" s="239">
        <v>270166</v>
      </c>
      <c r="D28" s="239">
        <v>288900</v>
      </c>
      <c r="E28" s="89">
        <v>302200</v>
      </c>
    </row>
    <row r="29" spans="2:5" ht="15">
      <c r="B29" s="255" t="s">
        <v>116</v>
      </c>
      <c r="C29" s="239">
        <v>178899</v>
      </c>
      <c r="D29" s="239">
        <v>429850</v>
      </c>
      <c r="E29" s="89">
        <v>167600</v>
      </c>
    </row>
    <row r="30" spans="2:5" ht="15">
      <c r="B30" s="255" t="s">
        <v>117</v>
      </c>
      <c r="C30" s="239">
        <v>8417443</v>
      </c>
      <c r="D30" s="239">
        <v>8335400</v>
      </c>
      <c r="E30" s="89">
        <v>8669000</v>
      </c>
    </row>
    <row r="31" spans="2:5" ht="15">
      <c r="B31" s="255" t="s">
        <v>118</v>
      </c>
      <c r="C31" s="239"/>
      <c r="D31" s="239"/>
      <c r="E31" s="89"/>
    </row>
    <row r="32" spans="2:5" ht="15">
      <c r="B32" s="255" t="s">
        <v>1100</v>
      </c>
      <c r="C32" s="239"/>
      <c r="D32" s="239"/>
      <c r="E32" s="89"/>
    </row>
    <row r="33" spans="2:5" ht="15">
      <c r="B33" s="255" t="s">
        <v>1099</v>
      </c>
      <c r="C33" s="239">
        <v>258968</v>
      </c>
      <c r="D33" s="239">
        <v>320600</v>
      </c>
      <c r="E33" s="89">
        <v>382058</v>
      </c>
    </row>
    <row r="34" spans="2:5" ht="15">
      <c r="B34" s="255" t="s">
        <v>116</v>
      </c>
      <c r="C34" s="239">
        <v>37045</v>
      </c>
      <c r="D34" s="239">
        <v>61900</v>
      </c>
      <c r="E34" s="89">
        <v>41100</v>
      </c>
    </row>
    <row r="35" spans="2:5" ht="15">
      <c r="B35" s="255" t="s">
        <v>117</v>
      </c>
      <c r="C35" s="239">
        <v>267283</v>
      </c>
      <c r="D35" s="239">
        <v>108600</v>
      </c>
      <c r="E35" s="242">
        <v>229100</v>
      </c>
    </row>
    <row r="36" spans="2:5" ht="15">
      <c r="B36" s="255" t="s">
        <v>118</v>
      </c>
      <c r="C36" s="239">
        <v>60944</v>
      </c>
      <c r="D36" s="239">
        <v>237000</v>
      </c>
      <c r="E36" s="242"/>
    </row>
    <row r="37" spans="2:5" ht="15">
      <c r="B37" s="255" t="s">
        <v>44</v>
      </c>
      <c r="C37" s="239"/>
      <c r="D37" s="239"/>
      <c r="E37" s="242"/>
    </row>
    <row r="38" spans="2:5" ht="15">
      <c r="B38" s="255" t="s">
        <v>1101</v>
      </c>
      <c r="C38" s="239">
        <v>415000</v>
      </c>
      <c r="D38" s="239">
        <v>450000</v>
      </c>
      <c r="E38" s="242">
        <v>430000</v>
      </c>
    </row>
    <row r="39" spans="2:5" ht="15">
      <c r="B39" s="255" t="s">
        <v>1102</v>
      </c>
      <c r="C39" s="239">
        <v>375000</v>
      </c>
      <c r="D39" s="239">
        <v>375000</v>
      </c>
      <c r="E39" s="242">
        <v>375000</v>
      </c>
    </row>
    <row r="40" spans="2:5" ht="15">
      <c r="B40" s="255" t="s">
        <v>1103</v>
      </c>
      <c r="C40" s="239">
        <v>250000</v>
      </c>
      <c r="D40" s="239">
        <v>250000</v>
      </c>
      <c r="E40" s="242">
        <v>250000</v>
      </c>
    </row>
    <row r="41" spans="2:5" ht="15">
      <c r="B41" s="255" t="s">
        <v>1059</v>
      </c>
      <c r="C41" s="239">
        <v>3500</v>
      </c>
      <c r="D41" s="239">
        <v>3500</v>
      </c>
      <c r="E41" s="242">
        <v>3500</v>
      </c>
    </row>
    <row r="42" spans="2:5" ht="15">
      <c r="B42" s="255"/>
      <c r="C42" s="239"/>
      <c r="D42" s="239"/>
      <c r="E42" s="242"/>
    </row>
    <row r="43" spans="2:5" ht="15">
      <c r="B43" s="255"/>
      <c r="C43" s="239"/>
      <c r="D43" s="239"/>
      <c r="E43" s="242"/>
    </row>
    <row r="44" spans="2:5" ht="15">
      <c r="B44" s="255"/>
      <c r="C44" s="239"/>
      <c r="D44" s="239"/>
      <c r="E44" s="242"/>
    </row>
    <row r="45" spans="2:5" ht="15">
      <c r="B45" s="256" t="s">
        <v>13</v>
      </c>
      <c r="C45" s="239"/>
      <c r="D45" s="239"/>
      <c r="E45" s="242"/>
    </row>
    <row r="46" spans="2:5" ht="15">
      <c r="B46" s="256" t="s">
        <v>786</v>
      </c>
      <c r="C46" s="244">
        <f>IF(C47*0.1&lt;C45,"Exceed 10% Rule","")</f>
      </c>
      <c r="D46" s="244">
        <f>IF(D47*0.1&lt;D45,"Exceed 10% Rule","")</f>
      </c>
      <c r="E46" s="282">
        <f>IF(E47*0.1&lt;E45,"Exceed 10% Rule","")</f>
      </c>
    </row>
    <row r="47" spans="2:5" ht="15">
      <c r="B47" s="246" t="s">
        <v>119</v>
      </c>
      <c r="C47" s="248">
        <f>SUM(C22:C45)</f>
        <v>10664209</v>
      </c>
      <c r="D47" s="248">
        <f>SUM(D22:D45)</f>
        <v>11007296</v>
      </c>
      <c r="E47" s="249">
        <f>SUM(E22:E45)</f>
        <v>10989908</v>
      </c>
    </row>
    <row r="48" spans="2:5" ht="15">
      <c r="B48" s="133" t="s">
        <v>215</v>
      </c>
      <c r="C48" s="252">
        <f>C20-C47</f>
        <v>3043537</v>
      </c>
      <c r="D48" s="252">
        <f>D20-D47</f>
        <v>3182729</v>
      </c>
      <c r="E48" s="63">
        <f>E20-E47</f>
        <v>3359161</v>
      </c>
    </row>
    <row r="49" spans="2:5" ht="15">
      <c r="B49" s="153" t="str">
        <f>CONCATENATE("",E1-2,"/",E1-1,"/",E1," Budget Authority Amount:")</f>
        <v>2013/2014/2015 Budget Authority Amount:</v>
      </c>
      <c r="C49" s="837">
        <f>inputOth!B93</f>
        <v>10805000</v>
      </c>
      <c r="D49" s="837">
        <f>inputPrYr!D53</f>
        <v>11019500</v>
      </c>
      <c r="E49" s="911">
        <f>E47</f>
        <v>10989908</v>
      </c>
    </row>
    <row r="50" spans="2:5" ht="15">
      <c r="B50" s="119"/>
      <c r="C50" s="259">
        <f>IF(C47&gt;C49,"See Tab A","")</f>
      </c>
      <c r="D50" s="259">
        <f>IF(D47&gt;D49,"See Tab C","")</f>
      </c>
      <c r="E50" s="912">
        <f>IF(E48&lt;0,"See Tab E","")</f>
      </c>
    </row>
    <row r="51" spans="2:5" ht="15">
      <c r="B51" s="119"/>
      <c r="C51" s="259">
        <f>IF(C48&lt;0,"See Tab B","")</f>
      </c>
      <c r="D51" s="259">
        <f>IF(D48&lt;0,"See Tab D","")</f>
      </c>
      <c r="E51" s="49"/>
    </row>
    <row r="52" spans="2:5" ht="15">
      <c r="B52" s="49"/>
      <c r="C52" s="49"/>
      <c r="D52" s="49"/>
      <c r="E52" s="49"/>
    </row>
    <row r="53" spans="2:5" ht="15">
      <c r="B53" s="151" t="s">
        <v>122</v>
      </c>
      <c r="C53" s="264">
        <v>14</v>
      </c>
      <c r="D53" s="49"/>
      <c r="E53" s="49"/>
    </row>
  </sheetData>
  <sheetProtection sheet="1"/>
  <conditionalFormatting sqref="E17">
    <cfRule type="cellIs" priority="4" dxfId="328" operator="greaterThan" stopIfTrue="1">
      <formula>$E$19*0.1</formula>
    </cfRule>
  </conditionalFormatting>
  <conditionalFormatting sqref="E45">
    <cfRule type="cellIs" priority="5" dxfId="32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2">
      <selection activeCell="C53" sqref="C53"/>
    </sheetView>
  </sheetViews>
  <sheetFormatPr defaultColWidth="8.8984375" defaultRowHeight="15"/>
  <cols>
    <col min="1" max="1" width="2.3984375" style="87" customWidth="1"/>
    <col min="2" max="2" width="31.09765625" style="87" customWidth="1"/>
    <col min="3" max="4" width="15.69921875" style="87" customWidth="1"/>
    <col min="5" max="5" width="16.19921875" style="87" customWidth="1"/>
    <col min="6" max="16384" width="8.8984375" style="87" customWidth="1"/>
  </cols>
  <sheetData>
    <row r="1" spans="2:5" ht="15">
      <c r="B1" s="176" t="str">
        <f>(inputPrYr!D2)</f>
        <v>City of Russell</v>
      </c>
      <c r="C1" s="32"/>
      <c r="D1" s="32"/>
      <c r="E1" s="199">
        <f>inputPrYr!$C$5</f>
        <v>2015</v>
      </c>
    </row>
    <row r="2" spans="2:5" ht="15">
      <c r="B2" s="32"/>
      <c r="C2" s="32"/>
      <c r="D2" s="32"/>
      <c r="E2" s="151"/>
    </row>
    <row r="3" spans="2:5" ht="15">
      <c r="B3" s="229" t="s">
        <v>172</v>
      </c>
      <c r="C3" s="279"/>
      <c r="D3" s="279"/>
      <c r="E3" s="280"/>
    </row>
    <row r="4" spans="2:5" ht="15">
      <c r="B4" s="33" t="s">
        <v>103</v>
      </c>
      <c r="C4" s="405" t="s">
        <v>806</v>
      </c>
      <c r="D4" s="404" t="s">
        <v>807</v>
      </c>
      <c r="E4" s="383" t="s">
        <v>808</v>
      </c>
    </row>
    <row r="5" spans="2:5" ht="15">
      <c r="B5" s="531" t="str">
        <f>(inputPrYr!B54)</f>
        <v>Water</v>
      </c>
      <c r="C5" s="406" t="str">
        <f>CONCATENATE("Actual for ",E1-2,"")</f>
        <v>Actual for 2013</v>
      </c>
      <c r="D5" s="406" t="str">
        <f>CONCATENATE("Estimate for ",E1-1,"")</f>
        <v>Estimate for 2014</v>
      </c>
      <c r="E5" s="391" t="str">
        <f>CONCATENATE("Year for ",E1,"")</f>
        <v>Year for 2015</v>
      </c>
    </row>
    <row r="6" spans="2:5" ht="15">
      <c r="B6" s="133" t="s">
        <v>214</v>
      </c>
      <c r="C6" s="48">
        <v>1260531</v>
      </c>
      <c r="D6" s="208">
        <f>C48</f>
        <v>1284396</v>
      </c>
      <c r="E6" s="208">
        <f>D48</f>
        <v>1124348.9900000002</v>
      </c>
    </row>
    <row r="7" spans="2:5" ht="15">
      <c r="B7" s="267" t="s">
        <v>216</v>
      </c>
      <c r="C7" s="68"/>
      <c r="D7" s="68"/>
      <c r="E7" s="68"/>
    </row>
    <row r="8" spans="2:5" ht="15">
      <c r="B8" s="255" t="s">
        <v>1104</v>
      </c>
      <c r="C8" s="242">
        <v>1699448</v>
      </c>
      <c r="D8" s="242">
        <f>1800000+15200+137072+328</f>
        <v>1952600</v>
      </c>
      <c r="E8" s="242">
        <f>1800000+323500</f>
        <v>2123500</v>
      </c>
    </row>
    <row r="9" spans="2:5" ht="15">
      <c r="B9" s="255" t="s">
        <v>1105</v>
      </c>
      <c r="C9" s="242">
        <v>6184</v>
      </c>
      <c r="D9" s="242">
        <v>8000</v>
      </c>
      <c r="E9" s="242">
        <v>8000</v>
      </c>
    </row>
    <row r="10" spans="2:5" ht="15">
      <c r="B10" s="255" t="s">
        <v>1094</v>
      </c>
      <c r="C10" s="242">
        <v>5823</v>
      </c>
      <c r="D10" s="242">
        <v>5000</v>
      </c>
      <c r="E10" s="242">
        <v>5000</v>
      </c>
    </row>
    <row r="11" spans="2:5" ht="15">
      <c r="B11" s="255" t="s">
        <v>1106</v>
      </c>
      <c r="C11" s="242"/>
      <c r="D11" s="242"/>
      <c r="E11" s="242"/>
    </row>
    <row r="12" spans="2:5" ht="15">
      <c r="B12" s="255" t="s">
        <v>1107</v>
      </c>
      <c r="C12" s="242">
        <v>22292</v>
      </c>
      <c r="D12" s="242">
        <v>9000</v>
      </c>
      <c r="E12" s="242">
        <v>6000</v>
      </c>
    </row>
    <row r="13" spans="2:5" ht="15">
      <c r="B13" s="255" t="s">
        <v>1108</v>
      </c>
      <c r="C13" s="242">
        <v>3292</v>
      </c>
      <c r="D13" s="242">
        <v>3900</v>
      </c>
      <c r="E13" s="242"/>
    </row>
    <row r="14" spans="2:5" ht="15">
      <c r="B14" s="274" t="s">
        <v>1095</v>
      </c>
      <c r="C14" s="89"/>
      <c r="D14" s="89"/>
      <c r="E14" s="89"/>
    </row>
    <row r="15" spans="2:5" ht="15">
      <c r="B15" s="255" t="s">
        <v>1109</v>
      </c>
      <c r="C15" s="242"/>
      <c r="D15" s="242"/>
      <c r="E15" s="242"/>
    </row>
    <row r="16" spans="2:5" ht="15">
      <c r="B16" s="281" t="s">
        <v>111</v>
      </c>
      <c r="C16" s="242">
        <v>1813</v>
      </c>
      <c r="D16" s="242">
        <v>1000</v>
      </c>
      <c r="E16" s="242">
        <v>2000</v>
      </c>
    </row>
    <row r="17" spans="2:5" ht="15">
      <c r="B17" s="142" t="s">
        <v>13</v>
      </c>
      <c r="C17" s="242">
        <v>26041</v>
      </c>
      <c r="D17" s="236">
        <v>12500</v>
      </c>
      <c r="E17" s="236">
        <v>5000</v>
      </c>
    </row>
    <row r="18" spans="2:5" ht="15">
      <c r="B18" s="234" t="s">
        <v>785</v>
      </c>
      <c r="C18" s="282">
        <f>IF(C19*0.1&lt;C17,"Exceed 10% Rule","")</f>
      </c>
      <c r="D18" s="245">
        <f>IF(D19*0.1&lt;D17,"Exceed 10% Rule","")</f>
      </c>
      <c r="E18" s="245">
        <f>IF(E19*0.1&lt;E17,"Exceed 10% Rule","")</f>
      </c>
    </row>
    <row r="19" spans="2:5" ht="15">
      <c r="B19" s="246" t="s">
        <v>112</v>
      </c>
      <c r="C19" s="249">
        <f>SUM(C8:C17)</f>
        <v>1764893</v>
      </c>
      <c r="D19" s="249">
        <f>SUM(D8:D17)</f>
        <v>1992000</v>
      </c>
      <c r="E19" s="249">
        <f>SUM(E8:E17)</f>
        <v>2149500</v>
      </c>
    </row>
    <row r="20" spans="2:5" ht="15">
      <c r="B20" s="246" t="s">
        <v>113</v>
      </c>
      <c r="C20" s="249">
        <f>C6+C19</f>
        <v>3025424</v>
      </c>
      <c r="D20" s="249">
        <f>D6+D19</f>
        <v>3276396</v>
      </c>
      <c r="E20" s="249">
        <f>E6+E19</f>
        <v>3273848.99</v>
      </c>
    </row>
    <row r="21" spans="2:5" ht="15">
      <c r="B21" s="133" t="s">
        <v>115</v>
      </c>
      <c r="C21" s="68"/>
      <c r="D21" s="68"/>
      <c r="E21" s="68"/>
    </row>
    <row r="22" spans="2:5" ht="15">
      <c r="B22" s="255"/>
      <c r="C22" s="242"/>
      <c r="D22" s="242"/>
      <c r="E22" s="242"/>
    </row>
    <row r="23" spans="2:5" ht="15">
      <c r="B23" s="255" t="s">
        <v>1097</v>
      </c>
      <c r="C23" s="242"/>
      <c r="D23" s="242"/>
      <c r="E23" s="242"/>
    </row>
    <row r="24" spans="2:5" ht="15">
      <c r="B24" s="255" t="s">
        <v>116</v>
      </c>
      <c r="C24" s="89">
        <v>21195</v>
      </c>
      <c r="D24" s="89">
        <v>19950</v>
      </c>
      <c r="E24" s="89">
        <v>24950</v>
      </c>
    </row>
    <row r="25" spans="2:5" ht="15">
      <c r="B25" s="255" t="s">
        <v>117</v>
      </c>
      <c r="C25" s="89">
        <v>122</v>
      </c>
      <c r="D25" s="89">
        <v>400</v>
      </c>
      <c r="E25" s="89">
        <v>400</v>
      </c>
    </row>
    <row r="26" spans="2:5" ht="15">
      <c r="B26" s="255" t="s">
        <v>118</v>
      </c>
      <c r="C26" s="89"/>
      <c r="D26" s="89"/>
      <c r="E26" s="89"/>
    </row>
    <row r="27" spans="2:5" ht="15">
      <c r="B27" s="255" t="s">
        <v>1098</v>
      </c>
      <c r="C27" s="89"/>
      <c r="D27" s="89"/>
      <c r="E27" s="89"/>
    </row>
    <row r="28" spans="2:5" ht="15">
      <c r="B28" s="255" t="s">
        <v>1099</v>
      </c>
      <c r="C28" s="89">
        <v>193432</v>
      </c>
      <c r="D28" s="89">
        <v>207000</v>
      </c>
      <c r="E28" s="89">
        <v>225400</v>
      </c>
    </row>
    <row r="29" spans="2:5" ht="15">
      <c r="B29" s="255" t="s">
        <v>116</v>
      </c>
      <c r="C29" s="89">
        <v>181117</v>
      </c>
      <c r="D29" s="89">
        <v>236600</v>
      </c>
      <c r="E29" s="89">
        <v>145900</v>
      </c>
    </row>
    <row r="30" spans="2:5" ht="15">
      <c r="B30" s="255" t="s">
        <v>117</v>
      </c>
      <c r="C30" s="89">
        <v>230944</v>
      </c>
      <c r="D30" s="89">
        <v>324000</v>
      </c>
      <c r="E30" s="89">
        <v>404000</v>
      </c>
    </row>
    <row r="31" spans="2:5" ht="15">
      <c r="B31" s="255" t="s">
        <v>118</v>
      </c>
      <c r="C31" s="89"/>
      <c r="D31" s="89">
        <v>1000</v>
      </c>
      <c r="E31" s="89"/>
    </row>
    <row r="32" spans="2:5" ht="15">
      <c r="B32" s="255" t="s">
        <v>1100</v>
      </c>
      <c r="C32" s="89"/>
      <c r="D32" s="89"/>
      <c r="E32" s="89"/>
    </row>
    <row r="33" spans="2:5" ht="15">
      <c r="B33" s="255" t="s">
        <v>1099</v>
      </c>
      <c r="C33" s="89">
        <v>156040</v>
      </c>
      <c r="D33" s="89">
        <v>159400</v>
      </c>
      <c r="E33" s="89">
        <v>172275</v>
      </c>
    </row>
    <row r="34" spans="2:5" ht="15">
      <c r="B34" s="255" t="s">
        <v>116</v>
      </c>
      <c r="C34" s="89">
        <v>15976</v>
      </c>
      <c r="D34" s="89">
        <v>17400</v>
      </c>
      <c r="E34" s="89">
        <v>17750</v>
      </c>
    </row>
    <row r="35" spans="2:5" ht="15">
      <c r="B35" s="255" t="s">
        <v>117</v>
      </c>
      <c r="C35" s="242">
        <v>51491</v>
      </c>
      <c r="D35" s="242">
        <v>57750</v>
      </c>
      <c r="E35" s="242">
        <v>57700</v>
      </c>
    </row>
    <row r="36" spans="2:5" ht="15">
      <c r="B36" s="255" t="s">
        <v>118</v>
      </c>
      <c r="C36" s="242"/>
      <c r="D36" s="242"/>
      <c r="E36" s="242"/>
    </row>
    <row r="37" spans="2:5" ht="15">
      <c r="B37" s="255" t="s">
        <v>44</v>
      </c>
      <c r="C37" s="242">
        <v>19058</v>
      </c>
      <c r="D37" s="242">
        <v>24251.01</v>
      </c>
      <c r="E37" s="242">
        <v>106422</v>
      </c>
    </row>
    <row r="38" spans="2:5" ht="15">
      <c r="B38" s="255" t="s">
        <v>1110</v>
      </c>
      <c r="C38" s="242">
        <v>440653</v>
      </c>
      <c r="D38" s="242">
        <v>438296</v>
      </c>
      <c r="E38" s="242">
        <v>475500</v>
      </c>
    </row>
    <row r="39" spans="2:5" ht="15">
      <c r="B39" s="255" t="s">
        <v>1111</v>
      </c>
      <c r="C39" s="242">
        <v>245000</v>
      </c>
      <c r="D39" s="242">
        <v>250000</v>
      </c>
      <c r="E39" s="242">
        <v>250000</v>
      </c>
    </row>
    <row r="40" spans="2:5" ht="15">
      <c r="B40" s="255" t="s">
        <v>1112</v>
      </c>
      <c r="C40" s="242">
        <v>75000</v>
      </c>
      <c r="D40" s="242">
        <v>300000</v>
      </c>
      <c r="E40" s="242">
        <v>300000</v>
      </c>
    </row>
    <row r="41" spans="2:5" ht="15">
      <c r="B41" s="255" t="s">
        <v>1101</v>
      </c>
      <c r="C41" s="242">
        <v>110000</v>
      </c>
      <c r="D41" s="242">
        <v>115000</v>
      </c>
      <c r="E41" s="242">
        <v>100000</v>
      </c>
    </row>
    <row r="42" spans="2:5" ht="15">
      <c r="B42" s="255" t="s">
        <v>1059</v>
      </c>
      <c r="C42" s="242">
        <v>1000</v>
      </c>
      <c r="D42" s="242">
        <v>1000</v>
      </c>
      <c r="E42" s="242">
        <v>1000</v>
      </c>
    </row>
    <row r="43" spans="2:5" ht="15">
      <c r="B43" s="255"/>
      <c r="C43" s="242"/>
      <c r="D43" s="242"/>
      <c r="E43" s="242"/>
    </row>
    <row r="44" spans="2:5" ht="15">
      <c r="B44" s="255"/>
      <c r="C44" s="242"/>
      <c r="D44" s="242"/>
      <c r="E44" s="242"/>
    </row>
    <row r="45" spans="2:5" ht="15">
      <c r="B45" s="256" t="s">
        <v>13</v>
      </c>
      <c r="C45" s="242"/>
      <c r="D45" s="236"/>
      <c r="E45" s="236"/>
    </row>
    <row r="46" spans="2:5" ht="15">
      <c r="B46" s="256" t="s">
        <v>786</v>
      </c>
      <c r="C46" s="282">
        <f>IF(C47*0.1&lt;C45,"Exceed 10% Rule","")</f>
      </c>
      <c r="D46" s="245">
        <f>IF(D47*0.1&lt;D45,"Exceed 10% Rule","")</f>
      </c>
      <c r="E46" s="245">
        <f>IF(E47*0.1&lt;E45,"Exceed 10% Rule","")</f>
      </c>
    </row>
    <row r="47" spans="2:5" ht="15">
      <c r="B47" s="246" t="s">
        <v>119</v>
      </c>
      <c r="C47" s="249">
        <f>SUM(C22:C45)</f>
        <v>1741028</v>
      </c>
      <c r="D47" s="249">
        <f>SUM(D22:D45)</f>
        <v>2152047.01</v>
      </c>
      <c r="E47" s="249">
        <f>SUM(E22:E45)</f>
        <v>2281297</v>
      </c>
    </row>
    <row r="48" spans="2:5" ht="15">
      <c r="B48" s="133" t="s">
        <v>215</v>
      </c>
      <c r="C48" s="63">
        <f>C20-C47</f>
        <v>1284396</v>
      </c>
      <c r="D48" s="63">
        <f>D20-D47</f>
        <v>1124348.9900000002</v>
      </c>
      <c r="E48" s="63">
        <f>E20-E47</f>
        <v>992551.9900000002</v>
      </c>
    </row>
    <row r="49" spans="2:5" ht="15">
      <c r="B49" s="153" t="str">
        <f>CONCATENATE("",E1-2,"/",E1-1,"/",E1," Budget Authority Amount:")</f>
        <v>2013/2014/2015 Budget Authority Amount:</v>
      </c>
      <c r="C49" s="837">
        <f>inputOth!B94</f>
        <v>2079749</v>
      </c>
      <c r="D49" s="837">
        <f>inputPrYr!D54</f>
        <v>2257311</v>
      </c>
      <c r="E49" s="911">
        <f>E47</f>
        <v>2281297</v>
      </c>
    </row>
    <row r="50" spans="2:5" ht="15">
      <c r="B50" s="119"/>
      <c r="C50" s="259">
        <f>IF(C47&gt;C49,"See Tab A","")</f>
      </c>
      <c r="D50" s="259">
        <f>IF(D47&gt;D49,"See Tab C","")</f>
      </c>
      <c r="E50" s="912">
        <f>IF(E48&lt;0,"See Tab E","")</f>
      </c>
    </row>
    <row r="51" spans="2:5" ht="15">
      <c r="B51" s="119"/>
      <c r="C51" s="259">
        <f>IF(C48&lt;0,"See Tab B","")</f>
      </c>
      <c r="D51" s="259">
        <f>IF(D48&lt;0,"See Tab D","")</f>
      </c>
      <c r="E51" s="49"/>
    </row>
    <row r="52" spans="2:5" ht="15">
      <c r="B52" s="49"/>
      <c r="C52" s="49"/>
      <c r="D52" s="49"/>
      <c r="E52" s="49"/>
    </row>
    <row r="53" spans="2:5" ht="15">
      <c r="B53" s="151" t="s">
        <v>122</v>
      </c>
      <c r="C53" s="264">
        <v>15</v>
      </c>
      <c r="D53" s="49"/>
      <c r="E53" s="49"/>
    </row>
  </sheetData>
  <sheetProtection sheet="1"/>
  <conditionalFormatting sqref="E17">
    <cfRule type="cellIs" priority="2" dxfId="328" operator="greaterThan" stopIfTrue="1">
      <formula>$E$19*0.1</formula>
    </cfRule>
  </conditionalFormatting>
  <conditionalFormatting sqref="E45">
    <cfRule type="cellIs" priority="3" dxfId="328" operator="greaterThan" stopIfTrue="1">
      <formula>$E$47*0.1</formula>
    </cfRule>
  </conditionalFormatting>
  <conditionalFormatting sqref="D17">
    <cfRule type="cellIs" priority="4" dxfId="328" operator="greaterThan" stopIfTrue="1">
      <formula>$D$19*0.1</formula>
    </cfRule>
  </conditionalFormatting>
  <conditionalFormatting sqref="D45">
    <cfRule type="cellIs" priority="5" dxfId="328" operator="greaterThan" stopIfTrue="1">
      <formula>$D$47*0.1</formula>
    </cfRule>
  </conditionalFormatting>
  <conditionalFormatting sqref="C17">
    <cfRule type="cellIs" priority="6" dxfId="328" operator="greaterThan" stopIfTrue="1">
      <formula>$C$19*0.1</formula>
    </cfRule>
  </conditionalFormatting>
  <conditionalFormatting sqref="C45">
    <cfRule type="cellIs" priority="7" dxfId="32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9">
      <selection activeCell="C53" sqref="C53"/>
    </sheetView>
  </sheetViews>
  <sheetFormatPr defaultColWidth="8.8984375" defaultRowHeight="15"/>
  <cols>
    <col min="1" max="1" width="2.3984375" style="87" customWidth="1"/>
    <col min="2" max="2" width="31.09765625" style="87" customWidth="1"/>
    <col min="3" max="4" width="15.69921875" style="87" customWidth="1"/>
    <col min="5" max="5" width="16.3984375" style="87" customWidth="1"/>
    <col min="6" max="16384" width="8.8984375" style="87" customWidth="1"/>
  </cols>
  <sheetData>
    <row r="1" spans="2:5" ht="15">
      <c r="B1" s="176" t="str">
        <f>(inputPrYr!D2)</f>
        <v>City of Russell</v>
      </c>
      <c r="C1" s="32"/>
      <c r="D1" s="32"/>
      <c r="E1" s="199">
        <f>inputPrYr!$C$5</f>
        <v>2015</v>
      </c>
    </row>
    <row r="2" spans="2:5" ht="15">
      <c r="B2" s="32"/>
      <c r="C2" s="32"/>
      <c r="D2" s="32"/>
      <c r="E2" s="151"/>
    </row>
    <row r="3" spans="2:5" ht="15">
      <c r="B3" s="229" t="s">
        <v>172</v>
      </c>
      <c r="C3" s="279"/>
      <c r="D3" s="279"/>
      <c r="E3" s="280"/>
    </row>
    <row r="4" spans="2:5" ht="15">
      <c r="B4" s="33" t="s">
        <v>103</v>
      </c>
      <c r="C4" s="405" t="s">
        <v>806</v>
      </c>
      <c r="D4" s="404" t="s">
        <v>807</v>
      </c>
      <c r="E4" s="383" t="s">
        <v>808</v>
      </c>
    </row>
    <row r="5" spans="2:5" ht="15">
      <c r="B5" s="531" t="str">
        <f>(inputPrYr!B55)</f>
        <v>Sanitation</v>
      </c>
      <c r="C5" s="406" t="str">
        <f>CONCATENATE("Actual for ",E1-2,"")</f>
        <v>Actual for 2013</v>
      </c>
      <c r="D5" s="406" t="str">
        <f>CONCATENATE("Estimate for ",E1-1,"")</f>
        <v>Estimate for 2014</v>
      </c>
      <c r="E5" s="391" t="str">
        <f>CONCATENATE("Year for ",E1,"")</f>
        <v>Year for 2015</v>
      </c>
    </row>
    <row r="6" spans="2:5" ht="15">
      <c r="B6" s="133" t="s">
        <v>214</v>
      </c>
      <c r="C6" s="239">
        <v>164757</v>
      </c>
      <c r="D6" s="237">
        <f>C48</f>
        <v>181402</v>
      </c>
      <c r="E6" s="208">
        <f>D48</f>
        <v>199629</v>
      </c>
    </row>
    <row r="7" spans="2:5" ht="15">
      <c r="B7" s="267" t="s">
        <v>216</v>
      </c>
      <c r="C7" s="142"/>
      <c r="D7" s="142"/>
      <c r="E7" s="68"/>
    </row>
    <row r="8" spans="2:5" ht="15">
      <c r="B8" s="255" t="s">
        <v>1113</v>
      </c>
      <c r="C8" s="239">
        <v>265438</v>
      </c>
      <c r="D8" s="239">
        <v>267000</v>
      </c>
      <c r="E8" s="242">
        <v>270000</v>
      </c>
    </row>
    <row r="9" spans="2:5" ht="15">
      <c r="B9" s="255" t="s">
        <v>1114</v>
      </c>
      <c r="C9" s="239">
        <v>146544</v>
      </c>
      <c r="D9" s="239">
        <v>147000</v>
      </c>
      <c r="E9" s="242">
        <v>148000</v>
      </c>
    </row>
    <row r="10" spans="2:5" ht="15">
      <c r="B10" s="255" t="s">
        <v>1115</v>
      </c>
      <c r="C10" s="239">
        <v>4384</v>
      </c>
      <c r="D10" s="239">
        <v>4000</v>
      </c>
      <c r="E10" s="242">
        <v>4000</v>
      </c>
    </row>
    <row r="11" spans="2:5" ht="15">
      <c r="B11" s="255" t="s">
        <v>1116</v>
      </c>
      <c r="C11" s="239">
        <v>11976</v>
      </c>
      <c r="D11" s="239">
        <v>10000</v>
      </c>
      <c r="E11" s="242">
        <v>7500</v>
      </c>
    </row>
    <row r="12" spans="2:5" ht="15">
      <c r="B12" s="255" t="s">
        <v>1106</v>
      </c>
      <c r="C12" s="239">
        <v>1131</v>
      </c>
      <c r="D12" s="239">
        <v>1600</v>
      </c>
      <c r="E12" s="242">
        <v>1000</v>
      </c>
    </row>
    <row r="13" spans="2:5" ht="15">
      <c r="B13" s="255" t="s">
        <v>1117</v>
      </c>
      <c r="C13" s="239">
        <v>1517</v>
      </c>
      <c r="D13" s="239">
        <v>1400</v>
      </c>
      <c r="E13" s="242">
        <v>1400</v>
      </c>
    </row>
    <row r="14" spans="2:5" ht="15">
      <c r="B14" s="274"/>
      <c r="C14" s="239"/>
      <c r="D14" s="239"/>
      <c r="E14" s="89"/>
    </row>
    <row r="15" spans="2:5" ht="15">
      <c r="B15" s="255"/>
      <c r="C15" s="239"/>
      <c r="D15" s="239"/>
      <c r="E15" s="242"/>
    </row>
    <row r="16" spans="2:5" ht="15">
      <c r="B16" s="281" t="s">
        <v>111</v>
      </c>
      <c r="C16" s="239">
        <v>260</v>
      </c>
      <c r="D16" s="239">
        <v>127</v>
      </c>
      <c r="E16" s="242">
        <v>200</v>
      </c>
    </row>
    <row r="17" spans="2:5" ht="15">
      <c r="B17" s="142" t="s">
        <v>13</v>
      </c>
      <c r="C17" s="239">
        <v>4799</v>
      </c>
      <c r="D17" s="239">
        <v>9000</v>
      </c>
      <c r="E17" s="242">
        <v>4800</v>
      </c>
    </row>
    <row r="18" spans="2:5" ht="15">
      <c r="B18" s="234" t="s">
        <v>785</v>
      </c>
      <c r="C18" s="244">
        <f>IF(C19*0.1&lt;C17,"Exceed 10% Rule","")</f>
      </c>
      <c r="D18" s="244">
        <f>IF(D19*0.1&lt;D17,"Exceed 10% Rule","")</f>
      </c>
      <c r="E18" s="282">
        <f>IF(E19*0.1&lt;E17,"Exceed 10% Rule","")</f>
      </c>
    </row>
    <row r="19" spans="2:5" ht="15">
      <c r="B19" s="246" t="s">
        <v>112</v>
      </c>
      <c r="C19" s="248">
        <f>SUM(C8:C17)</f>
        <v>436049</v>
      </c>
      <c r="D19" s="248">
        <f>SUM(D8:D17)</f>
        <v>440127</v>
      </c>
      <c r="E19" s="249">
        <f>SUM(E8:E17)</f>
        <v>436900</v>
      </c>
    </row>
    <row r="20" spans="2:5" ht="15">
      <c r="B20" s="246" t="s">
        <v>113</v>
      </c>
      <c r="C20" s="248">
        <f>C6+C19</f>
        <v>600806</v>
      </c>
      <c r="D20" s="248">
        <f>D6+D19</f>
        <v>621529</v>
      </c>
      <c r="E20" s="249">
        <f>E6+E19</f>
        <v>636529</v>
      </c>
    </row>
    <row r="21" spans="2:5" ht="15">
      <c r="B21" s="133" t="s">
        <v>115</v>
      </c>
      <c r="C21" s="142"/>
      <c r="D21" s="142"/>
      <c r="E21" s="68"/>
    </row>
    <row r="22" spans="2:5" ht="15">
      <c r="B22" s="255" t="s">
        <v>1097</v>
      </c>
      <c r="C22" s="239"/>
      <c r="D22" s="239"/>
      <c r="E22" s="242"/>
    </row>
    <row r="23" spans="2:5" ht="15">
      <c r="B23" s="255" t="s">
        <v>116</v>
      </c>
      <c r="C23" s="239">
        <v>4613</v>
      </c>
      <c r="D23" s="239">
        <v>5750</v>
      </c>
      <c r="E23" s="242">
        <v>5750</v>
      </c>
    </row>
    <row r="24" spans="2:5" ht="15">
      <c r="B24" s="255" t="s">
        <v>117</v>
      </c>
      <c r="C24" s="239">
        <v>1251</v>
      </c>
      <c r="D24" s="239">
        <v>6000</v>
      </c>
      <c r="E24" s="89">
        <v>2000</v>
      </c>
    </row>
    <row r="25" spans="2:5" ht="15">
      <c r="B25" s="255"/>
      <c r="C25" s="239"/>
      <c r="D25" s="239"/>
      <c r="E25" s="89"/>
    </row>
    <row r="26" spans="2:5" ht="15">
      <c r="B26" s="255" t="s">
        <v>1118</v>
      </c>
      <c r="C26" s="239">
        <v>120841</v>
      </c>
      <c r="D26" s="239">
        <v>118700</v>
      </c>
      <c r="E26" s="89">
        <v>132550</v>
      </c>
    </row>
    <row r="27" spans="2:5" ht="15">
      <c r="B27" s="255" t="s">
        <v>1077</v>
      </c>
      <c r="C27" s="239">
        <v>104145</v>
      </c>
      <c r="D27" s="239">
        <v>109950</v>
      </c>
      <c r="E27" s="89">
        <v>113500</v>
      </c>
    </row>
    <row r="28" spans="2:5" ht="15">
      <c r="B28" s="255" t="s">
        <v>1078</v>
      </c>
      <c r="C28" s="239">
        <v>28554</v>
      </c>
      <c r="D28" s="239">
        <v>31500</v>
      </c>
      <c r="E28" s="89">
        <v>39800</v>
      </c>
    </row>
    <row r="29" spans="2:5" ht="15">
      <c r="B29" s="255" t="s">
        <v>1079</v>
      </c>
      <c r="C29" s="239">
        <v>15000</v>
      </c>
      <c r="D29" s="239"/>
      <c r="E29" s="89">
        <v>150000</v>
      </c>
    </row>
    <row r="30" spans="2:5" ht="15">
      <c r="B30" s="255" t="s">
        <v>1101</v>
      </c>
      <c r="C30" s="239">
        <v>35000</v>
      </c>
      <c r="D30" s="239">
        <v>35000</v>
      </c>
      <c r="E30" s="89">
        <v>35000</v>
      </c>
    </row>
    <row r="31" spans="2:5" ht="15">
      <c r="B31" s="255" t="s">
        <v>1102</v>
      </c>
      <c r="C31" s="239">
        <v>110000</v>
      </c>
      <c r="D31" s="239">
        <v>115000</v>
      </c>
      <c r="E31" s="89">
        <v>115000</v>
      </c>
    </row>
    <row r="32" spans="2:5" ht="15">
      <c r="B32" s="255"/>
      <c r="C32" s="239"/>
      <c r="D32" s="239"/>
      <c r="E32" s="89"/>
    </row>
    <row r="33" spans="2:5" ht="15">
      <c r="B33" s="255"/>
      <c r="C33" s="239"/>
      <c r="D33" s="239"/>
      <c r="E33" s="89"/>
    </row>
    <row r="34" spans="2:5" ht="15">
      <c r="B34" s="255"/>
      <c r="C34" s="239"/>
      <c r="D34" s="239"/>
      <c r="E34" s="89"/>
    </row>
    <row r="35" spans="2:5" ht="15">
      <c r="B35" s="255"/>
      <c r="C35" s="239"/>
      <c r="D35" s="239"/>
      <c r="E35" s="242"/>
    </row>
    <row r="36" spans="2:5" ht="15">
      <c r="B36" s="255"/>
      <c r="C36" s="239"/>
      <c r="D36" s="239"/>
      <c r="E36" s="242"/>
    </row>
    <row r="37" spans="2:5" ht="15">
      <c r="B37" s="255"/>
      <c r="C37" s="239"/>
      <c r="D37" s="239"/>
      <c r="E37" s="242"/>
    </row>
    <row r="38" spans="2:5" ht="15">
      <c r="B38" s="255"/>
      <c r="C38" s="239"/>
      <c r="D38" s="239"/>
      <c r="E38" s="242"/>
    </row>
    <row r="39" spans="2:5" ht="15">
      <c r="B39" s="255"/>
      <c r="C39" s="239"/>
      <c r="D39" s="239"/>
      <c r="E39" s="242"/>
    </row>
    <row r="40" spans="2:5" ht="15">
      <c r="B40" s="255"/>
      <c r="C40" s="239"/>
      <c r="D40" s="239"/>
      <c r="E40" s="242"/>
    </row>
    <row r="41" spans="2:5" ht="15">
      <c r="B41" s="255"/>
      <c r="C41" s="239"/>
      <c r="D41" s="239"/>
      <c r="E41" s="242"/>
    </row>
    <row r="42" spans="2:5" ht="15">
      <c r="B42" s="255"/>
      <c r="C42" s="239"/>
      <c r="D42" s="239"/>
      <c r="E42" s="242"/>
    </row>
    <row r="43" spans="2:5" ht="15">
      <c r="B43" s="255"/>
      <c r="C43" s="239"/>
      <c r="D43" s="239"/>
      <c r="E43" s="242"/>
    </row>
    <row r="44" spans="2:5" ht="15">
      <c r="B44" s="255"/>
      <c r="C44" s="239"/>
      <c r="D44" s="239"/>
      <c r="E44" s="242"/>
    </row>
    <row r="45" spans="2:5" ht="15">
      <c r="B45" s="256" t="s">
        <v>13</v>
      </c>
      <c r="C45" s="239"/>
      <c r="D45" s="239"/>
      <c r="E45" s="242"/>
    </row>
    <row r="46" spans="2:5" ht="15">
      <c r="B46" s="256" t="s">
        <v>786</v>
      </c>
      <c r="C46" s="244">
        <f>IF(C47*0.1&lt;C45,"Exceed 10% Rule","")</f>
      </c>
      <c r="D46" s="244">
        <f>IF(D47*0.1&lt;D45,"Exceed 10% Rule","")</f>
      </c>
      <c r="E46" s="282">
        <f>IF(E47*0.1&lt;E45,"Exceed 10% Rule","")</f>
      </c>
    </row>
    <row r="47" spans="2:5" ht="15">
      <c r="B47" s="246" t="s">
        <v>119</v>
      </c>
      <c r="C47" s="248">
        <f>SUM(C22:C45)</f>
        <v>419404</v>
      </c>
      <c r="D47" s="248">
        <f>SUM(D22:D45)</f>
        <v>421900</v>
      </c>
      <c r="E47" s="249">
        <f>SUM(E22:E45)</f>
        <v>593600</v>
      </c>
    </row>
    <row r="48" spans="2:5" ht="15">
      <c r="B48" s="133" t="s">
        <v>215</v>
      </c>
      <c r="C48" s="252">
        <f>C20-C47</f>
        <v>181402</v>
      </c>
      <c r="D48" s="252">
        <f>D20-D47</f>
        <v>199629</v>
      </c>
      <c r="E48" s="63">
        <f>E20-E47</f>
        <v>42929</v>
      </c>
    </row>
    <row r="49" spans="2:5" ht="15">
      <c r="B49" s="153" t="str">
        <f>CONCATENATE("",E1-2,"/",E1-1,"/",E1," Budget Authority Amount:")</f>
        <v>2013/2014/2015 Budget Authority Amount:</v>
      </c>
      <c r="C49" s="837">
        <f>inputOth!B95</f>
        <v>511500</v>
      </c>
      <c r="D49" s="837">
        <f>inputPrYr!D55</f>
        <v>423450</v>
      </c>
      <c r="E49" s="911">
        <f>E47</f>
        <v>593600</v>
      </c>
    </row>
    <row r="50" spans="2:5" ht="15">
      <c r="B50" s="119"/>
      <c r="C50" s="259">
        <f>IF(C47&gt;C49,"See Tab A","")</f>
      </c>
      <c r="D50" s="259">
        <f>IF(D47&gt;D49,"See Tab C","")</f>
      </c>
      <c r="E50" s="912">
        <f>IF(E48&lt;0,"See Tab E","")</f>
      </c>
    </row>
    <row r="51" spans="2:5" ht="15">
      <c r="B51" s="119"/>
      <c r="C51" s="259">
        <f>IF(C48&lt;0,"See Tab B","")</f>
      </c>
      <c r="D51" s="259">
        <f>IF(D48&lt;0,"See Tab D","")</f>
      </c>
      <c r="E51" s="49"/>
    </row>
    <row r="52" spans="2:5" ht="15">
      <c r="B52" s="49"/>
      <c r="C52" s="49"/>
      <c r="D52" s="49"/>
      <c r="E52" s="49"/>
    </row>
    <row r="53" spans="2:5" ht="15">
      <c r="B53" s="151" t="s">
        <v>122</v>
      </c>
      <c r="C53" s="264">
        <v>16</v>
      </c>
      <c r="D53" s="49"/>
      <c r="E53" s="49"/>
    </row>
  </sheetData>
  <sheetProtection sheet="1"/>
  <conditionalFormatting sqref="E17">
    <cfRule type="cellIs" priority="4" dxfId="328" operator="greaterThan" stopIfTrue="1">
      <formula>$E$19*0.1</formula>
    </cfRule>
  </conditionalFormatting>
  <conditionalFormatting sqref="E45">
    <cfRule type="cellIs" priority="5" dxfId="32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1">
      <selection activeCell="C53" sqref="C53"/>
    </sheetView>
  </sheetViews>
  <sheetFormatPr defaultColWidth="8.8984375" defaultRowHeight="15"/>
  <cols>
    <col min="1" max="1" width="2.3984375" style="87" customWidth="1"/>
    <col min="2" max="2" width="31.09765625" style="87" customWidth="1"/>
    <col min="3" max="4" width="15.69921875" style="87" customWidth="1"/>
    <col min="5" max="5" width="16.59765625" style="87" customWidth="1"/>
    <col min="6" max="16384" width="8.8984375" style="87" customWidth="1"/>
  </cols>
  <sheetData>
    <row r="1" spans="2:5" ht="15">
      <c r="B1" s="176" t="str">
        <f>(inputPrYr!D2)</f>
        <v>City of Russell</v>
      </c>
      <c r="C1" s="32"/>
      <c r="D1" s="32"/>
      <c r="E1" s="199">
        <f>inputPrYr!$C$5</f>
        <v>2015</v>
      </c>
    </row>
    <row r="2" spans="2:5" ht="15">
      <c r="B2" s="32"/>
      <c r="C2" s="32"/>
      <c r="D2" s="32"/>
      <c r="E2" s="151"/>
    </row>
    <row r="3" spans="2:5" ht="15">
      <c r="B3" s="229" t="s">
        <v>172</v>
      </c>
      <c r="C3" s="279"/>
      <c r="D3" s="279"/>
      <c r="E3" s="280"/>
    </row>
    <row r="4" spans="2:5" ht="15">
      <c r="B4" s="33" t="s">
        <v>103</v>
      </c>
      <c r="C4" s="405" t="s">
        <v>806</v>
      </c>
      <c r="D4" s="404" t="s">
        <v>807</v>
      </c>
      <c r="E4" s="383" t="s">
        <v>808</v>
      </c>
    </row>
    <row r="5" spans="2:5" ht="15">
      <c r="B5" s="531" t="str">
        <f>(inputPrYr!B56)</f>
        <v>Wastewater</v>
      </c>
      <c r="C5" s="406" t="str">
        <f>CONCATENATE("Actual for ",E1-2,"")</f>
        <v>Actual for 2013</v>
      </c>
      <c r="D5" s="406" t="str">
        <f>CONCATENATE("Estimate for ",E1-1,"")</f>
        <v>Estimate for 2014</v>
      </c>
      <c r="E5" s="391" t="str">
        <f>CONCATENATE("Year for ",E1,"")</f>
        <v>Year for 2015</v>
      </c>
    </row>
    <row r="6" spans="2:5" ht="15">
      <c r="B6" s="133" t="s">
        <v>214</v>
      </c>
      <c r="C6" s="239">
        <v>346494</v>
      </c>
      <c r="D6" s="237">
        <f>C48</f>
        <v>567484</v>
      </c>
      <c r="E6" s="208">
        <f>D48</f>
        <v>714684</v>
      </c>
    </row>
    <row r="7" spans="2:5" ht="15">
      <c r="B7" s="267" t="s">
        <v>216</v>
      </c>
      <c r="C7" s="142"/>
      <c r="D7" s="142"/>
      <c r="E7" s="68"/>
    </row>
    <row r="8" spans="2:5" ht="15">
      <c r="B8" s="255" t="s">
        <v>1119</v>
      </c>
      <c r="C8" s="239">
        <v>508804</v>
      </c>
      <c r="D8" s="239">
        <v>550000</v>
      </c>
      <c r="E8" s="242">
        <v>510000</v>
      </c>
    </row>
    <row r="9" spans="2:5" ht="15">
      <c r="B9" s="255" t="s">
        <v>1117</v>
      </c>
      <c r="C9" s="239">
        <v>1817</v>
      </c>
      <c r="D9" s="239">
        <v>1600</v>
      </c>
      <c r="E9" s="242">
        <v>1600</v>
      </c>
    </row>
    <row r="10" spans="2:5" ht="15">
      <c r="B10" s="255" t="s">
        <v>1120</v>
      </c>
      <c r="C10" s="239">
        <v>2665</v>
      </c>
      <c r="D10" s="239">
        <v>900</v>
      </c>
      <c r="E10" s="242">
        <v>500</v>
      </c>
    </row>
    <row r="11" spans="2:5" ht="15">
      <c r="B11" s="255"/>
      <c r="C11" s="239"/>
      <c r="D11" s="239"/>
      <c r="E11" s="242"/>
    </row>
    <row r="12" spans="2:5" ht="15">
      <c r="B12" s="255"/>
      <c r="C12" s="239"/>
      <c r="D12" s="239"/>
      <c r="E12" s="242"/>
    </row>
    <row r="13" spans="2:5" ht="15">
      <c r="B13" s="255"/>
      <c r="C13" s="239"/>
      <c r="D13" s="239"/>
      <c r="E13" s="242"/>
    </row>
    <row r="14" spans="2:5" ht="15">
      <c r="B14" s="274"/>
      <c r="C14" s="239"/>
      <c r="D14" s="239"/>
      <c r="E14" s="89"/>
    </row>
    <row r="15" spans="2:5" ht="15">
      <c r="B15" s="255"/>
      <c r="C15" s="239"/>
      <c r="D15" s="239"/>
      <c r="E15" s="242"/>
    </row>
    <row r="16" spans="2:5" ht="15">
      <c r="B16" s="281" t="s">
        <v>111</v>
      </c>
      <c r="C16" s="239">
        <v>633</v>
      </c>
      <c r="D16" s="239">
        <v>700</v>
      </c>
      <c r="E16" s="242">
        <v>600</v>
      </c>
    </row>
    <row r="17" spans="2:5" ht="15">
      <c r="B17" s="142" t="s">
        <v>13</v>
      </c>
      <c r="C17" s="239">
        <v>10013</v>
      </c>
      <c r="D17" s="239"/>
      <c r="E17" s="242">
        <v>2000</v>
      </c>
    </row>
    <row r="18" spans="2:5" ht="15">
      <c r="B18" s="234" t="s">
        <v>785</v>
      </c>
      <c r="C18" s="244">
        <f>IF(C19*0.1&lt;C17,"Exceed 10% Rule","")</f>
      </c>
      <c r="D18" s="244">
        <f>IF(D19*0.1&lt;D17,"Exceed 10% Rule","")</f>
      </c>
      <c r="E18" s="282">
        <f>IF(E19*0.1&lt;E17,"Exceed 10% Rule","")</f>
      </c>
    </row>
    <row r="19" spans="2:5" ht="15">
      <c r="B19" s="246" t="s">
        <v>112</v>
      </c>
      <c r="C19" s="248">
        <f>SUM(C8:C17)</f>
        <v>523932</v>
      </c>
      <c r="D19" s="248">
        <f>SUM(D8:D17)</f>
        <v>553200</v>
      </c>
      <c r="E19" s="249">
        <f>SUM(E8:E17)</f>
        <v>514700</v>
      </c>
    </row>
    <row r="20" spans="2:5" ht="15">
      <c r="B20" s="246" t="s">
        <v>113</v>
      </c>
      <c r="C20" s="248">
        <f>C6+C19</f>
        <v>870426</v>
      </c>
      <c r="D20" s="248">
        <f>D6+D19</f>
        <v>1120684</v>
      </c>
      <c r="E20" s="249">
        <f>E6+E19</f>
        <v>1229384</v>
      </c>
    </row>
    <row r="21" spans="2:5" ht="15">
      <c r="B21" s="133" t="s">
        <v>115</v>
      </c>
      <c r="C21" s="142"/>
      <c r="D21" s="142"/>
      <c r="E21" s="68"/>
    </row>
    <row r="22" spans="2:5" ht="15">
      <c r="B22" s="255" t="s">
        <v>1118</v>
      </c>
      <c r="C22" s="239">
        <v>87486</v>
      </c>
      <c r="D22" s="239">
        <v>95750</v>
      </c>
      <c r="E22" s="242">
        <v>104800</v>
      </c>
    </row>
    <row r="23" spans="2:5" ht="15">
      <c r="B23" s="255" t="s">
        <v>1077</v>
      </c>
      <c r="C23" s="239">
        <v>9615</v>
      </c>
      <c r="D23" s="239">
        <v>20250</v>
      </c>
      <c r="E23" s="242">
        <v>19450</v>
      </c>
    </row>
    <row r="24" spans="2:5" ht="15">
      <c r="B24" s="255" t="s">
        <v>1078</v>
      </c>
      <c r="C24" s="239">
        <v>42841</v>
      </c>
      <c r="D24" s="239">
        <v>38000</v>
      </c>
      <c r="E24" s="89">
        <v>45750</v>
      </c>
    </row>
    <row r="25" spans="2:5" ht="15">
      <c r="B25" s="255" t="s">
        <v>1101</v>
      </c>
      <c r="C25" s="239">
        <v>43000</v>
      </c>
      <c r="D25" s="239">
        <v>45000</v>
      </c>
      <c r="E25" s="89">
        <v>250000</v>
      </c>
    </row>
    <row r="26" spans="2:5" ht="15">
      <c r="B26" s="255" t="s">
        <v>1102</v>
      </c>
      <c r="C26" s="239">
        <v>70000</v>
      </c>
      <c r="D26" s="239">
        <v>75000</v>
      </c>
      <c r="E26" s="89">
        <v>80000</v>
      </c>
    </row>
    <row r="27" spans="2:5" ht="15">
      <c r="B27" s="255" t="s">
        <v>1141</v>
      </c>
      <c r="C27" s="239">
        <v>50000</v>
      </c>
      <c r="D27" s="239">
        <v>75000</v>
      </c>
      <c r="E27" s="89">
        <v>546000</v>
      </c>
    </row>
    <row r="28" spans="2:5" ht="15">
      <c r="B28" s="255" t="s">
        <v>1079</v>
      </c>
      <c r="C28" s="239"/>
      <c r="D28" s="239">
        <v>57000</v>
      </c>
      <c r="E28" s="89"/>
    </row>
    <row r="29" spans="2:5" ht="15">
      <c r="B29" s="255"/>
      <c r="C29" s="239"/>
      <c r="D29" s="239"/>
      <c r="E29" s="89"/>
    </row>
    <row r="30" spans="2:5" ht="15">
      <c r="B30" s="255"/>
      <c r="C30" s="239"/>
      <c r="D30" s="239"/>
      <c r="E30" s="89"/>
    </row>
    <row r="31" spans="2:5" ht="15">
      <c r="B31" s="255"/>
      <c r="C31" s="239"/>
      <c r="D31" s="239"/>
      <c r="E31" s="89"/>
    </row>
    <row r="32" spans="2:5" ht="15">
      <c r="B32" s="255"/>
      <c r="C32" s="239"/>
      <c r="D32" s="239"/>
      <c r="E32" s="89"/>
    </row>
    <row r="33" spans="2:5" ht="15">
      <c r="B33" s="255"/>
      <c r="C33" s="239"/>
      <c r="D33" s="239"/>
      <c r="E33" s="89"/>
    </row>
    <row r="34" spans="2:5" ht="15">
      <c r="B34" s="255"/>
      <c r="C34" s="239"/>
      <c r="D34" s="239"/>
      <c r="E34" s="89"/>
    </row>
    <row r="35" spans="2:5" ht="15">
      <c r="B35" s="255"/>
      <c r="C35" s="239"/>
      <c r="D35" s="239"/>
      <c r="E35" s="242"/>
    </row>
    <row r="36" spans="2:5" ht="15">
      <c r="B36" s="255"/>
      <c r="C36" s="239"/>
      <c r="D36" s="239"/>
      <c r="E36" s="242"/>
    </row>
    <row r="37" spans="2:5" ht="15">
      <c r="B37" s="255"/>
      <c r="C37" s="239"/>
      <c r="D37" s="239"/>
      <c r="E37" s="242"/>
    </row>
    <row r="38" spans="2:5" ht="15">
      <c r="B38" s="255"/>
      <c r="C38" s="239"/>
      <c r="D38" s="239"/>
      <c r="E38" s="242"/>
    </row>
    <row r="39" spans="2:5" ht="15">
      <c r="B39" s="255"/>
      <c r="C39" s="239"/>
      <c r="D39" s="239"/>
      <c r="E39" s="242"/>
    </row>
    <row r="40" spans="2:5" ht="15">
      <c r="B40" s="255"/>
      <c r="C40" s="239"/>
      <c r="D40" s="239"/>
      <c r="E40" s="242"/>
    </row>
    <row r="41" spans="2:5" ht="15">
      <c r="B41" s="255"/>
      <c r="C41" s="239"/>
      <c r="D41" s="239"/>
      <c r="E41" s="242"/>
    </row>
    <row r="42" spans="2:5" ht="15">
      <c r="B42" s="255"/>
      <c r="C42" s="239"/>
      <c r="D42" s="239"/>
      <c r="E42" s="242"/>
    </row>
    <row r="43" spans="2:5" ht="15">
      <c r="B43" s="255"/>
      <c r="C43" s="239"/>
      <c r="D43" s="239"/>
      <c r="E43" s="242"/>
    </row>
    <row r="44" spans="2:5" ht="15">
      <c r="B44" s="255"/>
      <c r="C44" s="239"/>
      <c r="D44" s="239"/>
      <c r="E44" s="242"/>
    </row>
    <row r="45" spans="2:5" ht="15">
      <c r="B45" s="256" t="s">
        <v>13</v>
      </c>
      <c r="C45" s="239"/>
      <c r="D45" s="239"/>
      <c r="E45" s="242"/>
    </row>
    <row r="46" spans="2:5" ht="15">
      <c r="B46" s="256" t="s">
        <v>786</v>
      </c>
      <c r="C46" s="244">
        <f>IF(C47*0.1&lt;C45,"Exceed 10% Rule","")</f>
      </c>
      <c r="D46" s="244">
        <f>IF(D47*0.1&lt;D45,"Exceed 10% Rule","")</f>
      </c>
      <c r="E46" s="282">
        <f>IF(E47*0.1&lt;E45,"Exceed 10% Rule","")</f>
      </c>
    </row>
    <row r="47" spans="2:5" ht="15">
      <c r="B47" s="246" t="s">
        <v>119</v>
      </c>
      <c r="C47" s="248">
        <f>SUM(C22:C45)</f>
        <v>302942</v>
      </c>
      <c r="D47" s="248">
        <f>SUM(D22:D45)</f>
        <v>406000</v>
      </c>
      <c r="E47" s="249">
        <f>SUM(E22:E45)</f>
        <v>1046000</v>
      </c>
    </row>
    <row r="48" spans="2:5" ht="15">
      <c r="B48" s="133" t="s">
        <v>215</v>
      </c>
      <c r="C48" s="252">
        <f>C20-C47</f>
        <v>567484</v>
      </c>
      <c r="D48" s="252">
        <f>D20-D47</f>
        <v>714684</v>
      </c>
      <c r="E48" s="63">
        <f>E20-E47</f>
        <v>183384</v>
      </c>
    </row>
    <row r="49" spans="2:5" ht="15">
      <c r="B49" s="153" t="str">
        <f>CONCATENATE("",E1-2,"/",E1-1,"/",E1," Budget Authority Amount:")</f>
        <v>2013/2014/2015 Budget Authority Amount:</v>
      </c>
      <c r="C49" s="837">
        <f>inputOth!B96</f>
        <v>373000</v>
      </c>
      <c r="D49" s="837">
        <f>inputPrYr!D56</f>
        <v>406000</v>
      </c>
      <c r="E49" s="911">
        <f>E47</f>
        <v>1046000</v>
      </c>
    </row>
    <row r="50" spans="2:5" ht="15">
      <c r="B50" s="119"/>
      <c r="C50" s="259">
        <f>IF(C47&gt;C49,"See Tab A","")</f>
      </c>
      <c r="D50" s="259">
        <f>IF(D47&gt;D49,"See Tab C","")</f>
      </c>
      <c r="E50" s="912">
        <f>IF(E48&lt;0,"See Tab E","")</f>
      </c>
    </row>
    <row r="51" spans="2:5" ht="15">
      <c r="B51" s="119"/>
      <c r="C51" s="259">
        <f>IF(C48&lt;0,"See Tab B","")</f>
      </c>
      <c r="D51" s="259">
        <f>IF(D48&lt;0,"See Tab D","")</f>
      </c>
      <c r="E51" s="49"/>
    </row>
    <row r="52" spans="2:5" ht="15">
      <c r="B52" s="49"/>
      <c r="C52" s="49"/>
      <c r="D52" s="49"/>
      <c r="E52" s="49"/>
    </row>
    <row r="53" spans="2:5" ht="15">
      <c r="B53" s="151" t="s">
        <v>122</v>
      </c>
      <c r="C53" s="264">
        <v>17</v>
      </c>
      <c r="D53" s="49"/>
      <c r="E53" s="49"/>
    </row>
  </sheetData>
  <sheetProtection sheet="1"/>
  <conditionalFormatting sqref="E17">
    <cfRule type="cellIs" priority="4" dxfId="328" operator="greaterThan" stopIfTrue="1">
      <formula>$E$19*0.1</formula>
    </cfRule>
  </conditionalFormatting>
  <conditionalFormatting sqref="E45">
    <cfRule type="cellIs" priority="5" dxfId="32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
      <c r="A1" s="156" t="str">
        <f>inputPrYr!$D$2</f>
        <v>City of Russell</v>
      </c>
      <c r="B1" s="283"/>
      <c r="C1" s="155"/>
      <c r="D1" s="155"/>
      <c r="E1" s="155"/>
      <c r="F1" s="157" t="s">
        <v>230</v>
      </c>
      <c r="G1" s="155"/>
      <c r="H1" s="155"/>
      <c r="I1" s="155"/>
      <c r="J1" s="155"/>
      <c r="K1" s="155">
        <f>inputPrYr!$C$5</f>
        <v>2015</v>
      </c>
    </row>
    <row r="2" spans="1:11" ht="15">
      <c r="A2" s="155"/>
      <c r="B2" s="155"/>
      <c r="C2" s="155"/>
      <c r="D2" s="155"/>
      <c r="E2" s="155"/>
      <c r="F2" s="284" t="str">
        <f>CONCATENATE("(Only the actual budget year for ",K1-2," is to be shown)")</f>
        <v>(Only the actual budget year for 2013 is to be shown)</v>
      </c>
      <c r="G2" s="155"/>
      <c r="H2" s="155"/>
      <c r="I2" s="155"/>
      <c r="J2" s="155"/>
      <c r="K2" s="155"/>
    </row>
    <row r="3" spans="1:11" ht="15">
      <c r="A3" s="155" t="s">
        <v>274</v>
      </c>
      <c r="B3" s="155"/>
      <c r="C3" s="155"/>
      <c r="D3" s="155"/>
      <c r="E3" s="155"/>
      <c r="F3" s="285"/>
      <c r="G3" s="155"/>
      <c r="H3" s="155"/>
      <c r="I3" s="155"/>
      <c r="J3" s="155"/>
      <c r="K3" s="155"/>
    </row>
    <row r="4" spans="1:11" ht="15">
      <c r="A4" s="155" t="s">
        <v>231</v>
      </c>
      <c r="B4" s="155"/>
      <c r="C4" s="155" t="s">
        <v>232</v>
      </c>
      <c r="D4" s="155"/>
      <c r="E4" s="155" t="s">
        <v>233</v>
      </c>
      <c r="F4" s="283"/>
      <c r="G4" s="155" t="s">
        <v>234</v>
      </c>
      <c r="H4" s="155"/>
      <c r="I4" s="155" t="s">
        <v>235</v>
      </c>
      <c r="J4" s="155"/>
      <c r="K4" s="155"/>
    </row>
    <row r="5" spans="1:11" ht="15">
      <c r="A5" s="1042" t="str">
        <f>IF(inputPrYr!B59&gt;" ",(inputPrYr!B59)," ")</f>
        <v>Electric Depreciation</v>
      </c>
      <c r="B5" s="1043"/>
      <c r="C5" s="1042" t="str">
        <f>IF(inputPrYr!B60&gt;" ",(inputPrYr!B60)," ")</f>
        <v>Water Improvement</v>
      </c>
      <c r="D5" s="1043"/>
      <c r="E5" s="1042" t="str">
        <f>IF(inputPrYr!B61&gt;" ",(inputPrYr!B61)," ")</f>
        <v>Wastewater Replacement</v>
      </c>
      <c r="F5" s="1043"/>
      <c r="G5" s="1042" t="str">
        <f>IF(inputPrYr!B62&gt;" ",(inputPrYr!B62)," ")</f>
        <v>Capital Improvements</v>
      </c>
      <c r="H5" s="1043"/>
      <c r="I5" s="1042" t="str">
        <f>IF(inputPrYr!B63&gt;" ",(inputPrYr!B63)," ")</f>
        <v>Equipment Reserve</v>
      </c>
      <c r="J5" s="1043"/>
      <c r="K5" s="107"/>
    </row>
    <row r="6" spans="1:11" ht="15">
      <c r="A6" s="287" t="s">
        <v>236</v>
      </c>
      <c r="B6" s="288"/>
      <c r="C6" s="289" t="s">
        <v>236</v>
      </c>
      <c r="D6" s="290"/>
      <c r="E6" s="289" t="s">
        <v>236</v>
      </c>
      <c r="F6" s="286"/>
      <c r="G6" s="289" t="s">
        <v>236</v>
      </c>
      <c r="H6" s="291"/>
      <c r="I6" s="289" t="s">
        <v>236</v>
      </c>
      <c r="J6" s="155"/>
      <c r="K6" s="292" t="s">
        <v>75</v>
      </c>
    </row>
    <row r="7" spans="1:11" ht="15">
      <c r="A7" s="293" t="s">
        <v>20</v>
      </c>
      <c r="B7" s="294">
        <v>3253481</v>
      </c>
      <c r="C7" s="295" t="s">
        <v>20</v>
      </c>
      <c r="D7" s="294">
        <v>-274364</v>
      </c>
      <c r="E7" s="295" t="s">
        <v>20</v>
      </c>
      <c r="F7" s="294">
        <v>277283</v>
      </c>
      <c r="G7" s="295" t="s">
        <v>20</v>
      </c>
      <c r="H7" s="294">
        <v>1299850</v>
      </c>
      <c r="I7" s="295" t="s">
        <v>20</v>
      </c>
      <c r="J7" s="294">
        <v>341392</v>
      </c>
      <c r="K7" s="296">
        <f>SUM(B7+D7+F7+H7+J7)</f>
        <v>4897642</v>
      </c>
    </row>
    <row r="8" spans="1:11" ht="15">
      <c r="A8" s="297" t="s">
        <v>216</v>
      </c>
      <c r="B8" s="298"/>
      <c r="C8" s="297" t="s">
        <v>216</v>
      </c>
      <c r="D8" s="299"/>
      <c r="E8" s="297" t="s">
        <v>216</v>
      </c>
      <c r="F8" s="283"/>
      <c r="G8" s="297" t="s">
        <v>216</v>
      </c>
      <c r="H8" s="155"/>
      <c r="I8" s="297" t="s">
        <v>216</v>
      </c>
      <c r="J8" s="155"/>
      <c r="K8" s="283"/>
    </row>
    <row r="9" spans="1:11" ht="15">
      <c r="A9" s="300" t="s">
        <v>1121</v>
      </c>
      <c r="B9" s="294">
        <v>250000</v>
      </c>
      <c r="C9" s="300" t="s">
        <v>1122</v>
      </c>
      <c r="D9" s="294">
        <v>388000</v>
      </c>
      <c r="E9" s="300" t="s">
        <v>155</v>
      </c>
      <c r="F9" s="294">
        <v>333</v>
      </c>
      <c r="G9" s="300" t="s">
        <v>155</v>
      </c>
      <c r="H9" s="294">
        <v>1668</v>
      </c>
      <c r="I9" s="300" t="s">
        <v>155</v>
      </c>
      <c r="J9" s="294">
        <v>450</v>
      </c>
      <c r="K9" s="283"/>
    </row>
    <row r="10" spans="1:11" ht="15">
      <c r="A10" s="300" t="s">
        <v>155</v>
      </c>
      <c r="B10" s="294">
        <v>3885</v>
      </c>
      <c r="C10" s="300" t="s">
        <v>1123</v>
      </c>
      <c r="D10" s="294">
        <v>748224</v>
      </c>
      <c r="E10" s="300" t="s">
        <v>262</v>
      </c>
      <c r="F10" s="294">
        <v>50000</v>
      </c>
      <c r="G10" s="300" t="s">
        <v>1128</v>
      </c>
      <c r="H10" s="294">
        <v>9450</v>
      </c>
      <c r="I10" s="300" t="s">
        <v>262</v>
      </c>
      <c r="J10" s="294">
        <v>152883</v>
      </c>
      <c r="K10" s="283"/>
    </row>
    <row r="11" spans="1:11" ht="15">
      <c r="A11" s="300"/>
      <c r="B11" s="294"/>
      <c r="C11" s="301" t="s">
        <v>155</v>
      </c>
      <c r="D11" s="294">
        <v>479</v>
      </c>
      <c r="E11" s="301"/>
      <c r="F11" s="294"/>
      <c r="G11" s="301" t="s">
        <v>262</v>
      </c>
      <c r="H11" s="294">
        <v>182795</v>
      </c>
      <c r="I11" s="302"/>
      <c r="J11" s="294"/>
      <c r="K11" s="283"/>
    </row>
    <row r="12" spans="1:11" ht="15">
      <c r="A12" s="300"/>
      <c r="B12" s="294"/>
      <c r="C12" s="300" t="s">
        <v>262</v>
      </c>
      <c r="D12" s="294">
        <v>75000</v>
      </c>
      <c r="E12" s="303"/>
      <c r="F12" s="294"/>
      <c r="G12" s="303"/>
      <c r="H12" s="294"/>
      <c r="I12" s="303"/>
      <c r="J12" s="294"/>
      <c r="K12" s="283"/>
    </row>
    <row r="13" spans="1:11" ht="15">
      <c r="A13" s="304"/>
      <c r="B13" s="294"/>
      <c r="C13" s="305"/>
      <c r="D13" s="294"/>
      <c r="E13" s="305"/>
      <c r="F13" s="294"/>
      <c r="G13" s="305"/>
      <c r="H13" s="294"/>
      <c r="I13" s="302"/>
      <c r="J13" s="294"/>
      <c r="K13" s="283"/>
    </row>
    <row r="14" spans="1:11" ht="15">
      <c r="A14" s="300"/>
      <c r="B14" s="294"/>
      <c r="C14" s="303"/>
      <c r="D14" s="294"/>
      <c r="E14" s="303"/>
      <c r="F14" s="294"/>
      <c r="G14" s="303"/>
      <c r="H14" s="294"/>
      <c r="I14" s="303"/>
      <c r="J14" s="294"/>
      <c r="K14" s="283"/>
    </row>
    <row r="15" spans="1:11" ht="15">
      <c r="A15" s="300"/>
      <c r="B15" s="294"/>
      <c r="C15" s="303"/>
      <c r="D15" s="294"/>
      <c r="E15" s="303"/>
      <c r="F15" s="294"/>
      <c r="G15" s="303"/>
      <c r="H15" s="294"/>
      <c r="I15" s="303"/>
      <c r="J15" s="294"/>
      <c r="K15" s="283"/>
    </row>
    <row r="16" spans="1:11" ht="15">
      <c r="A16" s="300"/>
      <c r="B16" s="294"/>
      <c r="C16" s="300"/>
      <c r="D16" s="294"/>
      <c r="E16" s="300"/>
      <c r="F16" s="294"/>
      <c r="G16" s="303"/>
      <c r="H16" s="294"/>
      <c r="I16" s="300"/>
      <c r="J16" s="294"/>
      <c r="K16" s="283"/>
    </row>
    <row r="17" spans="1:11" ht="15">
      <c r="A17" s="297" t="s">
        <v>112</v>
      </c>
      <c r="B17" s="296">
        <f>SUM(B9:B16)</f>
        <v>253885</v>
      </c>
      <c r="C17" s="297" t="s">
        <v>112</v>
      </c>
      <c r="D17" s="296">
        <f>SUM(D9:D16)</f>
        <v>1211703</v>
      </c>
      <c r="E17" s="297" t="s">
        <v>112</v>
      </c>
      <c r="F17" s="361">
        <f>SUM(F9:F16)</f>
        <v>50333</v>
      </c>
      <c r="G17" s="297" t="s">
        <v>112</v>
      </c>
      <c r="H17" s="296">
        <f>SUM(H9:H16)</f>
        <v>193913</v>
      </c>
      <c r="I17" s="297" t="s">
        <v>112</v>
      </c>
      <c r="J17" s="296">
        <f>SUM(J9:J16)</f>
        <v>153333</v>
      </c>
      <c r="K17" s="296">
        <f>SUM(B17+D17+F17+H17+J17)</f>
        <v>1863167</v>
      </c>
    </row>
    <row r="18" spans="1:11" ht="15">
      <c r="A18" s="297" t="s">
        <v>113</v>
      </c>
      <c r="B18" s="296">
        <f>SUM(B7+B17)</f>
        <v>3507366</v>
      </c>
      <c r="C18" s="297" t="s">
        <v>113</v>
      </c>
      <c r="D18" s="296">
        <f>SUM(D7+D17)</f>
        <v>937339</v>
      </c>
      <c r="E18" s="297" t="s">
        <v>113</v>
      </c>
      <c r="F18" s="296">
        <f>SUM(F7+F17)</f>
        <v>327616</v>
      </c>
      <c r="G18" s="297" t="s">
        <v>113</v>
      </c>
      <c r="H18" s="296">
        <f>SUM(H7+H17)</f>
        <v>1493763</v>
      </c>
      <c r="I18" s="297" t="s">
        <v>113</v>
      </c>
      <c r="J18" s="296">
        <f>SUM(J7+J17)</f>
        <v>494725</v>
      </c>
      <c r="K18" s="296">
        <f>SUM(B18+D18+F18+H18+J18)</f>
        <v>6760809</v>
      </c>
    </row>
    <row r="19" spans="1:11" ht="15">
      <c r="A19" s="297" t="s">
        <v>115</v>
      </c>
      <c r="B19" s="298"/>
      <c r="C19" s="297" t="s">
        <v>115</v>
      </c>
      <c r="D19" s="299"/>
      <c r="E19" s="297" t="s">
        <v>115</v>
      </c>
      <c r="F19" s="283"/>
      <c r="G19" s="297" t="s">
        <v>115</v>
      </c>
      <c r="H19" s="155"/>
      <c r="I19" s="297" t="s">
        <v>115</v>
      </c>
      <c r="J19" s="155"/>
      <c r="K19" s="283"/>
    </row>
    <row r="20" spans="1:11" ht="15">
      <c r="A20" s="300" t="s">
        <v>1079</v>
      </c>
      <c r="B20" s="294">
        <v>1570486</v>
      </c>
      <c r="C20" s="303" t="s">
        <v>1124</v>
      </c>
      <c r="D20" s="294">
        <v>39008</v>
      </c>
      <c r="E20" s="303" t="s">
        <v>1127</v>
      </c>
      <c r="F20" s="294">
        <v>215</v>
      </c>
      <c r="G20" s="303" t="s">
        <v>1124</v>
      </c>
      <c r="H20" s="294">
        <v>12305</v>
      </c>
      <c r="I20" s="303" t="s">
        <v>1062</v>
      </c>
      <c r="J20" s="294">
        <v>4769</v>
      </c>
      <c r="K20" s="283"/>
    </row>
    <row r="21" spans="1:11" ht="15">
      <c r="A21" s="300"/>
      <c r="B21" s="294"/>
      <c r="C21" s="303" t="s">
        <v>1125</v>
      </c>
      <c r="D21" s="294">
        <v>1720</v>
      </c>
      <c r="E21" s="303" t="s">
        <v>1079</v>
      </c>
      <c r="F21" s="294">
        <v>24775</v>
      </c>
      <c r="G21" s="303" t="s">
        <v>1129</v>
      </c>
      <c r="H21" s="294">
        <v>31761</v>
      </c>
      <c r="I21" s="303" t="s">
        <v>1042</v>
      </c>
      <c r="J21" s="294">
        <v>59002</v>
      </c>
      <c r="K21" s="283"/>
    </row>
    <row r="22" spans="1:11" ht="15">
      <c r="A22" s="300"/>
      <c r="B22" s="294"/>
      <c r="C22" s="305" t="s">
        <v>1126</v>
      </c>
      <c r="D22" s="294">
        <v>721872</v>
      </c>
      <c r="E22" s="305"/>
      <c r="F22" s="294"/>
      <c r="G22" s="305" t="s">
        <v>1062</v>
      </c>
      <c r="H22" s="294">
        <v>5296</v>
      </c>
      <c r="I22" s="302" t="s">
        <v>1064</v>
      </c>
      <c r="J22" s="294">
        <v>87243</v>
      </c>
      <c r="K22" s="283"/>
    </row>
    <row r="23" spans="1:11" ht="15">
      <c r="A23" s="300"/>
      <c r="B23" s="294"/>
      <c r="C23" s="303"/>
      <c r="D23" s="294"/>
      <c r="E23" s="303"/>
      <c r="F23" s="294"/>
      <c r="G23" s="303" t="s">
        <v>1130</v>
      </c>
      <c r="H23" s="294">
        <v>480170</v>
      </c>
      <c r="I23" s="303" t="s">
        <v>1132</v>
      </c>
      <c r="J23" s="294">
        <v>4345</v>
      </c>
      <c r="K23" s="283"/>
    </row>
    <row r="24" spans="1:11" ht="15">
      <c r="A24" s="300"/>
      <c r="B24" s="294"/>
      <c r="C24" s="305"/>
      <c r="D24" s="294"/>
      <c r="E24" s="305"/>
      <c r="F24" s="294"/>
      <c r="G24" s="305" t="s">
        <v>1042</v>
      </c>
      <c r="H24" s="294">
        <v>8722</v>
      </c>
      <c r="I24" s="302" t="s">
        <v>1131</v>
      </c>
      <c r="J24" s="294">
        <v>19822</v>
      </c>
      <c r="K24" s="283"/>
    </row>
    <row r="25" spans="1:11" ht="15">
      <c r="A25" s="300"/>
      <c r="B25" s="294"/>
      <c r="C25" s="303"/>
      <c r="D25" s="294"/>
      <c r="E25" s="303"/>
      <c r="F25" s="294"/>
      <c r="G25" s="303" t="s">
        <v>1131</v>
      </c>
      <c r="H25" s="294">
        <v>8550</v>
      </c>
      <c r="I25" s="303"/>
      <c r="J25" s="294"/>
      <c r="K25" s="283"/>
    </row>
    <row r="26" spans="1:11" ht="15">
      <c r="A26" s="300"/>
      <c r="B26" s="294"/>
      <c r="C26" s="303"/>
      <c r="D26" s="294"/>
      <c r="E26" s="303"/>
      <c r="F26" s="294"/>
      <c r="G26" s="303"/>
      <c r="H26" s="294"/>
      <c r="I26" s="303"/>
      <c r="J26" s="294"/>
      <c r="K26" s="283"/>
    </row>
    <row r="27" spans="1:11" ht="15">
      <c r="A27" s="300"/>
      <c r="B27" s="294"/>
      <c r="C27" s="300"/>
      <c r="D27" s="294"/>
      <c r="E27" s="300"/>
      <c r="F27" s="294"/>
      <c r="G27" s="303"/>
      <c r="H27" s="294"/>
      <c r="I27" s="303"/>
      <c r="J27" s="294"/>
      <c r="K27" s="283"/>
    </row>
    <row r="28" spans="1:11" ht="15">
      <c r="A28" s="297" t="s">
        <v>119</v>
      </c>
      <c r="B28" s="296">
        <f>SUM(B20:B27)</f>
        <v>1570486</v>
      </c>
      <c r="C28" s="297" t="s">
        <v>119</v>
      </c>
      <c r="D28" s="296">
        <f>SUM(D20:D27)</f>
        <v>762600</v>
      </c>
      <c r="E28" s="297" t="s">
        <v>119</v>
      </c>
      <c r="F28" s="361">
        <f>SUM(F20:F27)</f>
        <v>24990</v>
      </c>
      <c r="G28" s="297" t="s">
        <v>119</v>
      </c>
      <c r="H28" s="361">
        <f>SUM(H20:H27)</f>
        <v>546804</v>
      </c>
      <c r="I28" s="297" t="s">
        <v>119</v>
      </c>
      <c r="J28" s="296">
        <f>SUM(J20:J27)</f>
        <v>175181</v>
      </c>
      <c r="K28" s="296">
        <f>SUM(B28+D28+F28+H28+J28)</f>
        <v>3080061</v>
      </c>
    </row>
    <row r="29" spans="1:12" ht="15">
      <c r="A29" s="297" t="s">
        <v>237</v>
      </c>
      <c r="B29" s="296">
        <f>SUM(B18-B28)</f>
        <v>1936880</v>
      </c>
      <c r="C29" s="297" t="s">
        <v>237</v>
      </c>
      <c r="D29" s="296">
        <f>SUM(D18-D28)</f>
        <v>174739</v>
      </c>
      <c r="E29" s="297" t="s">
        <v>237</v>
      </c>
      <c r="F29" s="296">
        <f>SUM(F18-F28)</f>
        <v>302626</v>
      </c>
      <c r="G29" s="297" t="s">
        <v>237</v>
      </c>
      <c r="H29" s="296">
        <f>SUM(H18-H28)</f>
        <v>946959</v>
      </c>
      <c r="I29" s="297" t="s">
        <v>237</v>
      </c>
      <c r="J29" s="296">
        <f>SUM(J18-J28)</f>
        <v>319544</v>
      </c>
      <c r="K29" s="306">
        <f>SUM(B29+D29+F29+H29+J29)</f>
        <v>3680748</v>
      </c>
      <c r="L29" s="18" t="s">
        <v>306</v>
      </c>
    </row>
    <row r="30" spans="1:12" ht="15">
      <c r="A30" s="297"/>
      <c r="B30" s="330">
        <f>IF(B29&lt;0,"See Tab B","")</f>
      </c>
      <c r="C30" s="297"/>
      <c r="D30" s="330">
        <f>IF(D29&lt;0,"See Tab B","")</f>
      </c>
      <c r="E30" s="297"/>
      <c r="F30" s="330">
        <f>IF(F29&lt;0,"See Tab B","")</f>
      </c>
      <c r="G30" s="155"/>
      <c r="H30" s="330">
        <f>IF(H29&lt;0,"See Tab B","")</f>
      </c>
      <c r="I30" s="155"/>
      <c r="J30" s="330">
        <f>IF(J29&lt;0,"See Tab B","")</f>
      </c>
      <c r="K30" s="306">
        <f>SUM(K7+K17-K28)</f>
        <v>3680748</v>
      </c>
      <c r="L30" s="18" t="s">
        <v>306</v>
      </c>
    </row>
    <row r="31" spans="1:11" ht="15">
      <c r="A31" s="155"/>
      <c r="B31" s="160"/>
      <c r="C31" s="155"/>
      <c r="D31" s="283"/>
      <c r="E31" s="155"/>
      <c r="F31" s="155"/>
      <c r="G31" s="28" t="s">
        <v>308</v>
      </c>
      <c r="H31" s="28"/>
      <c r="I31" s="28"/>
      <c r="J31" s="28"/>
      <c r="K31" s="155"/>
    </row>
    <row r="32" spans="1:11" ht="15">
      <c r="A32" s="155"/>
      <c r="B32" s="160"/>
      <c r="C32" s="155"/>
      <c r="D32" s="155"/>
      <c r="E32" s="155"/>
      <c r="F32" s="155"/>
      <c r="G32" s="155"/>
      <c r="H32" s="155"/>
      <c r="I32" s="155"/>
      <c r="J32" s="155"/>
      <c r="K32" s="155"/>
    </row>
    <row r="33" spans="1:11" ht="15">
      <c r="A33" s="155"/>
      <c r="B33" s="160"/>
      <c r="C33" s="155"/>
      <c r="D33" s="155"/>
      <c r="E33" s="168" t="s">
        <v>122</v>
      </c>
      <c r="F33" s="264">
        <v>18</v>
      </c>
      <c r="G33" s="155"/>
      <c r="H33" s="155"/>
      <c r="I33" s="155"/>
      <c r="J33" s="155"/>
      <c r="K33" s="155"/>
    </row>
    <row r="34" ht="15">
      <c r="B34" s="307"/>
    </row>
    <row r="35" ht="15">
      <c r="B35" s="307"/>
    </row>
    <row r="36" ht="15">
      <c r="B36" s="307"/>
    </row>
    <row r="37" ht="15">
      <c r="B37" s="307"/>
    </row>
    <row r="38" ht="15">
      <c r="B38" s="307"/>
    </row>
    <row r="39" ht="15">
      <c r="B39" s="307"/>
    </row>
    <row r="40" ht="15">
      <c r="B40" s="307"/>
    </row>
    <row r="41" ht="15">
      <c r="B41" s="30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
      <c r="A1" s="156" t="str">
        <f>inputPrYr!$D$2</f>
        <v>City of Russell</v>
      </c>
      <c r="B1" s="283"/>
      <c r="C1" s="155"/>
      <c r="D1" s="155"/>
      <c r="E1" s="155"/>
      <c r="F1" s="157" t="s">
        <v>238</v>
      </c>
      <c r="G1" s="155"/>
      <c r="H1" s="155"/>
      <c r="I1" s="155"/>
      <c r="J1" s="155"/>
      <c r="K1" s="155">
        <f>inputPrYr!$C$5</f>
        <v>2015</v>
      </c>
    </row>
    <row r="2" spans="1:11" ht="15">
      <c r="A2" s="155"/>
      <c r="B2" s="155"/>
      <c r="C2" s="155"/>
      <c r="D2" s="155"/>
      <c r="E2" s="155"/>
      <c r="F2" s="284" t="str">
        <f>CONCATENATE("(Only the actual budget year for ",K1-2," is to be shown)")</f>
        <v>(Only the actual budget year for 2013 is to be shown)</v>
      </c>
      <c r="G2" s="155"/>
      <c r="H2" s="155"/>
      <c r="I2" s="155"/>
      <c r="J2" s="155"/>
      <c r="K2" s="155"/>
    </row>
    <row r="3" spans="1:11" ht="15">
      <c r="A3" s="155" t="s">
        <v>273</v>
      </c>
      <c r="B3" s="155"/>
      <c r="C3" s="155"/>
      <c r="D3" s="155"/>
      <c r="E3" s="155"/>
      <c r="F3" s="283"/>
      <c r="G3" s="155"/>
      <c r="H3" s="155"/>
      <c r="I3" s="155"/>
      <c r="J3" s="155"/>
      <c r="K3" s="155"/>
    </row>
    <row r="4" spans="1:11" ht="15">
      <c r="A4" s="155" t="s">
        <v>231</v>
      </c>
      <c r="B4" s="155"/>
      <c r="C4" s="155" t="s">
        <v>232</v>
      </c>
      <c r="D4" s="155"/>
      <c r="E4" s="155" t="s">
        <v>233</v>
      </c>
      <c r="F4" s="283"/>
      <c r="G4" s="155" t="s">
        <v>234</v>
      </c>
      <c r="H4" s="155"/>
      <c r="I4" s="155" t="s">
        <v>235</v>
      </c>
      <c r="J4" s="155"/>
      <c r="K4" s="155"/>
    </row>
    <row r="5" spans="1:11" ht="15">
      <c r="A5" s="1042" t="str">
        <f>IF(inputPrYr!B65&gt;" ",(inputPrYr!B65)," ")</f>
        <v>Johnson Trust Fund</v>
      </c>
      <c r="B5" s="1043"/>
      <c r="C5" s="1042" t="str">
        <f>IF(inputPrYr!B66&gt;" ",(inputPrYr!B66)," ")</f>
        <v>Deines Center Trust</v>
      </c>
      <c r="D5" s="1043"/>
      <c r="E5" s="1042" t="str">
        <f>IF(inputPrYr!B67&gt;" ",(inputPrYr!B67)," ")</f>
        <v>Donations</v>
      </c>
      <c r="F5" s="1043"/>
      <c r="G5" s="1042" t="str">
        <f>IF(inputPrYr!B68&gt;" ",(inputPrYr!B68)," ")</f>
        <v>Airport Capital Projects</v>
      </c>
      <c r="H5" s="1043"/>
      <c r="I5" s="1042" t="str">
        <f>IF(inputPrYr!B69&gt;" ",(inputPrYr!B69)," ")</f>
        <v>Pfeifer Well Expansion</v>
      </c>
      <c r="J5" s="1043"/>
      <c r="K5" s="107"/>
    </row>
    <row r="6" spans="1:11" ht="15">
      <c r="A6" s="287" t="s">
        <v>236</v>
      </c>
      <c r="B6" s="288"/>
      <c r="C6" s="289" t="s">
        <v>236</v>
      </c>
      <c r="D6" s="290"/>
      <c r="E6" s="289" t="s">
        <v>236</v>
      </c>
      <c r="F6" s="286"/>
      <c r="G6" s="289" t="s">
        <v>236</v>
      </c>
      <c r="H6" s="291"/>
      <c r="I6" s="289" t="s">
        <v>236</v>
      </c>
      <c r="J6" s="155"/>
      <c r="K6" s="292" t="s">
        <v>75</v>
      </c>
    </row>
    <row r="7" spans="1:11" ht="15">
      <c r="A7" s="293" t="s">
        <v>20</v>
      </c>
      <c r="B7" s="294">
        <v>777303</v>
      </c>
      <c r="C7" s="295" t="s">
        <v>20</v>
      </c>
      <c r="D7" s="294">
        <v>1472</v>
      </c>
      <c r="E7" s="295" t="s">
        <v>20</v>
      </c>
      <c r="F7" s="294">
        <v>1531</v>
      </c>
      <c r="G7" s="295" t="s">
        <v>20</v>
      </c>
      <c r="H7" s="294">
        <v>-76920</v>
      </c>
      <c r="I7" s="295" t="s">
        <v>20</v>
      </c>
      <c r="J7" s="294">
        <v>0</v>
      </c>
      <c r="K7" s="296">
        <f>SUM(B7+D7+F7+H7+J7)</f>
        <v>703386</v>
      </c>
    </row>
    <row r="8" spans="1:11" ht="15">
      <c r="A8" s="297" t="s">
        <v>216</v>
      </c>
      <c r="B8" s="298"/>
      <c r="C8" s="297" t="s">
        <v>216</v>
      </c>
      <c r="D8" s="299"/>
      <c r="E8" s="297" t="s">
        <v>216</v>
      </c>
      <c r="F8" s="283"/>
      <c r="G8" s="297" t="s">
        <v>216</v>
      </c>
      <c r="H8" s="155"/>
      <c r="I8" s="297" t="s">
        <v>216</v>
      </c>
      <c r="J8" s="155"/>
      <c r="K8" s="283"/>
    </row>
    <row r="9" spans="1:11" ht="15">
      <c r="A9" s="300" t="s">
        <v>1133</v>
      </c>
      <c r="B9" s="294">
        <v>122262</v>
      </c>
      <c r="C9" s="300" t="s">
        <v>155</v>
      </c>
      <c r="D9" s="294">
        <v>17</v>
      </c>
      <c r="E9" s="300" t="s">
        <v>1135</v>
      </c>
      <c r="F9" s="294">
        <v>500</v>
      </c>
      <c r="G9" s="300" t="s">
        <v>1137</v>
      </c>
      <c r="H9" s="294">
        <v>48007</v>
      </c>
      <c r="I9" s="300" t="s">
        <v>1138</v>
      </c>
      <c r="J9" s="294">
        <v>1000000</v>
      </c>
      <c r="K9" s="283"/>
    </row>
    <row r="10" spans="1:11" ht="15">
      <c r="A10" s="300" t="s">
        <v>155</v>
      </c>
      <c r="B10" s="294">
        <v>1042</v>
      </c>
      <c r="C10" s="300"/>
      <c r="D10" s="294"/>
      <c r="E10" s="300"/>
      <c r="F10" s="294"/>
      <c r="G10" s="300" t="s">
        <v>155</v>
      </c>
      <c r="H10" s="294">
        <v>1</v>
      </c>
      <c r="I10" s="300" t="s">
        <v>155</v>
      </c>
      <c r="J10" s="294">
        <v>85</v>
      </c>
      <c r="K10" s="283"/>
    </row>
    <row r="11" spans="1:11" ht="15">
      <c r="A11" s="300"/>
      <c r="B11" s="294"/>
      <c r="C11" s="301"/>
      <c r="D11" s="294"/>
      <c r="E11" s="301"/>
      <c r="F11" s="294"/>
      <c r="G11" s="301"/>
      <c r="H11" s="294"/>
      <c r="I11" s="302"/>
      <c r="J11" s="294"/>
      <c r="K11" s="283"/>
    </row>
    <row r="12" spans="1:11" ht="15">
      <c r="A12" s="300"/>
      <c r="B12" s="294"/>
      <c r="C12" s="300"/>
      <c r="D12" s="294"/>
      <c r="E12" s="303"/>
      <c r="F12" s="294"/>
      <c r="G12" s="303"/>
      <c r="H12" s="294"/>
      <c r="I12" s="303"/>
      <c r="J12" s="294"/>
      <c r="K12" s="283"/>
    </row>
    <row r="13" spans="1:11" ht="15">
      <c r="A13" s="304"/>
      <c r="B13" s="294"/>
      <c r="C13" s="305"/>
      <c r="D13" s="294"/>
      <c r="E13" s="305"/>
      <c r="F13" s="294"/>
      <c r="G13" s="305"/>
      <c r="H13" s="294"/>
      <c r="I13" s="302"/>
      <c r="J13" s="294"/>
      <c r="K13" s="283"/>
    </row>
    <row r="14" spans="1:11" ht="15">
      <c r="A14" s="300"/>
      <c r="B14" s="294"/>
      <c r="C14" s="303"/>
      <c r="D14" s="294"/>
      <c r="E14" s="303"/>
      <c r="F14" s="294"/>
      <c r="G14" s="303"/>
      <c r="H14" s="294"/>
      <c r="I14" s="303"/>
      <c r="J14" s="294"/>
      <c r="K14" s="283"/>
    </row>
    <row r="15" spans="1:11" ht="15">
      <c r="A15" s="300"/>
      <c r="B15" s="294"/>
      <c r="C15" s="303"/>
      <c r="D15" s="294"/>
      <c r="E15" s="303"/>
      <c r="F15" s="294"/>
      <c r="G15" s="303"/>
      <c r="H15" s="294"/>
      <c r="I15" s="303"/>
      <c r="J15" s="294"/>
      <c r="K15" s="283"/>
    </row>
    <row r="16" spans="1:11" ht="15">
      <c r="A16" s="300"/>
      <c r="B16" s="294"/>
      <c r="C16" s="300"/>
      <c r="D16" s="294"/>
      <c r="E16" s="300"/>
      <c r="F16" s="294"/>
      <c r="G16" s="303"/>
      <c r="H16" s="294"/>
      <c r="I16" s="300"/>
      <c r="J16" s="294"/>
      <c r="K16" s="283"/>
    </row>
    <row r="17" spans="1:11" ht="15">
      <c r="A17" s="297" t="s">
        <v>112</v>
      </c>
      <c r="B17" s="296">
        <f>SUM(B9:B16)</f>
        <v>123304</v>
      </c>
      <c r="C17" s="297" t="s">
        <v>112</v>
      </c>
      <c r="D17" s="296">
        <f>SUM(D9:D16)</f>
        <v>17</v>
      </c>
      <c r="E17" s="297" t="s">
        <v>112</v>
      </c>
      <c r="F17" s="361">
        <f>SUM(F9:F16)</f>
        <v>500</v>
      </c>
      <c r="G17" s="297" t="s">
        <v>112</v>
      </c>
      <c r="H17" s="296">
        <f>SUM(H9:H16)</f>
        <v>48008</v>
      </c>
      <c r="I17" s="297" t="s">
        <v>112</v>
      </c>
      <c r="J17" s="296">
        <f>SUM(J9:J16)</f>
        <v>1000085</v>
      </c>
      <c r="K17" s="296">
        <f>SUM(B17+D17+F17+H17+J17)</f>
        <v>1171914</v>
      </c>
    </row>
    <row r="18" spans="1:11" ht="15">
      <c r="A18" s="297" t="s">
        <v>113</v>
      </c>
      <c r="B18" s="296">
        <f>SUM(B7+B17)</f>
        <v>900607</v>
      </c>
      <c r="C18" s="297" t="s">
        <v>113</v>
      </c>
      <c r="D18" s="296">
        <f>SUM(D7+D17)</f>
        <v>1489</v>
      </c>
      <c r="E18" s="297" t="s">
        <v>113</v>
      </c>
      <c r="F18" s="296">
        <f>SUM(F7+F17)</f>
        <v>2031</v>
      </c>
      <c r="G18" s="297" t="s">
        <v>113</v>
      </c>
      <c r="H18" s="296">
        <f>SUM(H7+H17)</f>
        <v>-28912</v>
      </c>
      <c r="I18" s="297" t="s">
        <v>113</v>
      </c>
      <c r="J18" s="296">
        <f>SUM(J7+J17)</f>
        <v>1000085</v>
      </c>
      <c r="K18" s="296">
        <f>SUM(B18+D18+F18+H18+J18)</f>
        <v>1875300</v>
      </c>
    </row>
    <row r="19" spans="1:11" ht="15">
      <c r="A19" s="297" t="s">
        <v>115</v>
      </c>
      <c r="B19" s="298"/>
      <c r="C19" s="297" t="s">
        <v>115</v>
      </c>
      <c r="D19" s="299"/>
      <c r="E19" s="297" t="s">
        <v>115</v>
      </c>
      <c r="F19" s="283"/>
      <c r="G19" s="297" t="s">
        <v>115</v>
      </c>
      <c r="H19" s="155"/>
      <c r="I19" s="297" t="s">
        <v>115</v>
      </c>
      <c r="J19" s="155"/>
      <c r="K19" s="283"/>
    </row>
    <row r="20" spans="1:11" ht="15">
      <c r="A20" s="300" t="s">
        <v>1124</v>
      </c>
      <c r="B20" s="294">
        <v>10500</v>
      </c>
      <c r="C20" s="303"/>
      <c r="D20" s="294"/>
      <c r="E20" s="303" t="s">
        <v>1136</v>
      </c>
      <c r="F20" s="294">
        <v>362</v>
      </c>
      <c r="G20" s="303" t="s">
        <v>1124</v>
      </c>
      <c r="H20" s="294">
        <v>1673</v>
      </c>
      <c r="I20" s="303" t="s">
        <v>1079</v>
      </c>
      <c r="J20" s="294">
        <v>456382</v>
      </c>
      <c r="K20" s="283"/>
    </row>
    <row r="21" spans="1:11" ht="15">
      <c r="A21" s="300" t="s">
        <v>1167</v>
      </c>
      <c r="B21" s="294">
        <v>1805</v>
      </c>
      <c r="C21" s="303"/>
      <c r="D21" s="294"/>
      <c r="E21" s="303"/>
      <c r="F21" s="294"/>
      <c r="G21" s="303"/>
      <c r="H21" s="294"/>
      <c r="I21" s="303" t="s">
        <v>1127</v>
      </c>
      <c r="J21" s="294">
        <v>270</v>
      </c>
      <c r="K21" s="283"/>
    </row>
    <row r="22" spans="1:11" ht="15">
      <c r="A22" s="300" t="s">
        <v>1134</v>
      </c>
      <c r="B22" s="294">
        <v>250000</v>
      </c>
      <c r="C22" s="305"/>
      <c r="D22" s="294"/>
      <c r="E22" s="305"/>
      <c r="F22" s="294"/>
      <c r="G22" s="305"/>
      <c r="H22" s="294"/>
      <c r="I22" s="302" t="s">
        <v>1124</v>
      </c>
      <c r="J22" s="294">
        <v>10780</v>
      </c>
      <c r="K22" s="283"/>
    </row>
    <row r="23" spans="1:11" ht="15">
      <c r="A23" s="300" t="s">
        <v>1079</v>
      </c>
      <c r="B23" s="294">
        <v>8557</v>
      </c>
      <c r="C23" s="303"/>
      <c r="D23" s="294"/>
      <c r="E23" s="303"/>
      <c r="F23" s="294"/>
      <c r="G23" s="303"/>
      <c r="H23" s="294"/>
      <c r="I23" s="303"/>
      <c r="J23" s="294"/>
      <c r="K23" s="283"/>
    </row>
    <row r="24" spans="1:11" ht="15">
      <c r="A24" s="300"/>
      <c r="B24" s="294"/>
      <c r="C24" s="305"/>
      <c r="D24" s="294"/>
      <c r="E24" s="305"/>
      <c r="F24" s="294"/>
      <c r="G24" s="305"/>
      <c r="H24" s="294"/>
      <c r="I24" s="302"/>
      <c r="J24" s="294"/>
      <c r="K24" s="283"/>
    </row>
    <row r="25" spans="1:11" ht="15">
      <c r="A25" s="300"/>
      <c r="B25" s="294"/>
      <c r="C25" s="303"/>
      <c r="D25" s="294"/>
      <c r="E25" s="303"/>
      <c r="F25" s="294"/>
      <c r="G25" s="303"/>
      <c r="H25" s="294"/>
      <c r="I25" s="303"/>
      <c r="J25" s="294"/>
      <c r="K25" s="283"/>
    </row>
    <row r="26" spans="1:11" ht="15">
      <c r="A26" s="300"/>
      <c r="B26" s="294"/>
      <c r="C26" s="303"/>
      <c r="D26" s="294"/>
      <c r="E26" s="303"/>
      <c r="F26" s="294"/>
      <c r="G26" s="303"/>
      <c r="H26" s="294"/>
      <c r="I26" s="303"/>
      <c r="J26" s="294"/>
      <c r="K26" s="283"/>
    </row>
    <row r="27" spans="1:11" ht="15">
      <c r="A27" s="300"/>
      <c r="B27" s="294"/>
      <c r="C27" s="300"/>
      <c r="D27" s="294"/>
      <c r="E27" s="300"/>
      <c r="F27" s="294"/>
      <c r="G27" s="303"/>
      <c r="H27" s="294"/>
      <c r="I27" s="303"/>
      <c r="J27" s="294"/>
      <c r="K27" s="283"/>
    </row>
    <row r="28" spans="1:11" ht="15">
      <c r="A28" s="297" t="s">
        <v>119</v>
      </c>
      <c r="B28" s="296">
        <f>SUM(B20:B27)</f>
        <v>270862</v>
      </c>
      <c r="C28" s="297" t="s">
        <v>119</v>
      </c>
      <c r="D28" s="296">
        <f>SUM(D20:D27)</f>
        <v>0</v>
      </c>
      <c r="E28" s="297" t="s">
        <v>119</v>
      </c>
      <c r="F28" s="361">
        <f>SUM(F20:F27)</f>
        <v>362</v>
      </c>
      <c r="G28" s="297" t="s">
        <v>119</v>
      </c>
      <c r="H28" s="361">
        <f>SUM(H20:H27)</f>
        <v>1673</v>
      </c>
      <c r="I28" s="297" t="s">
        <v>119</v>
      </c>
      <c r="J28" s="296">
        <f>SUM(J20:J27)</f>
        <v>467432</v>
      </c>
      <c r="K28" s="296">
        <f>SUM(B28+D28+F28+H28+J28)</f>
        <v>740329</v>
      </c>
    </row>
    <row r="29" spans="1:12" ht="15">
      <c r="A29" s="297" t="s">
        <v>237</v>
      </c>
      <c r="B29" s="296">
        <f>SUM(B18-B28)</f>
        <v>629745</v>
      </c>
      <c r="C29" s="297" t="s">
        <v>237</v>
      </c>
      <c r="D29" s="296">
        <f>SUM(D18-D28)</f>
        <v>1489</v>
      </c>
      <c r="E29" s="297" t="s">
        <v>237</v>
      </c>
      <c r="F29" s="296">
        <f>SUM(F18-F28)</f>
        <v>1669</v>
      </c>
      <c r="G29" s="297" t="s">
        <v>237</v>
      </c>
      <c r="H29" s="296">
        <f>SUM(H18-H28)</f>
        <v>-30585</v>
      </c>
      <c r="I29" s="297" t="s">
        <v>237</v>
      </c>
      <c r="J29" s="296">
        <f>SUM(J18-J28)</f>
        <v>532653</v>
      </c>
      <c r="K29" s="306">
        <f>SUM(B29+D29+F29+H29+J29)</f>
        <v>1134971</v>
      </c>
      <c r="L29" s="18" t="s">
        <v>306</v>
      </c>
    </row>
    <row r="30" spans="1:12" ht="15">
      <c r="A30" s="297"/>
      <c r="B30" s="330">
        <f>IF(B29&lt;0,"See Tab B","")</f>
      </c>
      <c r="C30" s="297"/>
      <c r="D30" s="330">
        <f>IF(D29&lt;0,"See Tab B","")</f>
      </c>
      <c r="E30" s="297"/>
      <c r="F30" s="330">
        <f>IF(F29&lt;0,"See Tab B","")</f>
      </c>
      <c r="G30" s="155"/>
      <c r="H30" s="330" t="str">
        <f>IF(H29&lt;0,"See Tab B","")</f>
        <v>See Tab B</v>
      </c>
      <c r="I30" s="155"/>
      <c r="J30" s="330">
        <f>IF(J29&lt;0,"See Tab B","")</f>
      </c>
      <c r="K30" s="306">
        <f>SUM(K7+K17-K28)</f>
        <v>1134971</v>
      </c>
      <c r="L30" s="18" t="s">
        <v>306</v>
      </c>
    </row>
    <row r="31" spans="1:11" ht="15">
      <c r="A31" s="155"/>
      <c r="B31" s="160"/>
      <c r="C31" s="155"/>
      <c r="D31" s="283"/>
      <c r="E31" s="155"/>
      <c r="F31" s="155"/>
      <c r="G31" s="28" t="s">
        <v>308</v>
      </c>
      <c r="H31" s="28"/>
      <c r="I31" s="28"/>
      <c r="J31" s="28"/>
      <c r="K31" s="155"/>
    </row>
    <row r="32" spans="1:11" ht="15">
      <c r="A32" s="155"/>
      <c r="B32" s="160"/>
      <c r="C32" s="155"/>
      <c r="D32" s="155"/>
      <c r="E32" s="155"/>
      <c r="F32" s="155"/>
      <c r="G32" s="155"/>
      <c r="H32" s="155"/>
      <c r="I32" s="155"/>
      <c r="J32" s="155"/>
      <c r="K32" s="155"/>
    </row>
    <row r="33" spans="1:11" ht="15">
      <c r="A33" s="155"/>
      <c r="B33" s="160"/>
      <c r="C33" s="155"/>
      <c r="D33" s="155"/>
      <c r="E33" s="168" t="s">
        <v>122</v>
      </c>
      <c r="F33" s="264">
        <v>19</v>
      </c>
      <c r="G33" s="155"/>
      <c r="H33" s="155"/>
      <c r="I33" s="155"/>
      <c r="J33" s="155"/>
      <c r="K33" s="155"/>
    </row>
    <row r="34" ht="15">
      <c r="B34" s="307"/>
    </row>
    <row r="35" ht="15">
      <c r="B35" s="307"/>
    </row>
    <row r="36" ht="15">
      <c r="B36" s="307"/>
    </row>
    <row r="37" ht="15">
      <c r="B37" s="307"/>
    </row>
    <row r="38" ht="15">
      <c r="B38" s="307"/>
    </row>
    <row r="39" ht="15">
      <c r="B39" s="307"/>
    </row>
    <row r="40" ht="15">
      <c r="B40" s="307"/>
    </row>
    <row r="41" ht="15">
      <c r="B41" s="30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
      <c r="A1" s="156" t="str">
        <f>inputPrYr!$D$2</f>
        <v>City of Russell</v>
      </c>
      <c r="B1" s="283"/>
      <c r="C1" s="155"/>
      <c r="D1" s="155"/>
      <c r="E1" s="155"/>
      <c r="F1" s="157" t="s">
        <v>239</v>
      </c>
      <c r="G1" s="155"/>
      <c r="H1" s="155"/>
      <c r="I1" s="155"/>
      <c r="J1" s="155"/>
      <c r="K1" s="155">
        <f>inputPrYr!$C$5</f>
        <v>2015</v>
      </c>
    </row>
    <row r="2" spans="1:11" ht="15">
      <c r="A2" s="155"/>
      <c r="B2" s="155"/>
      <c r="C2" s="155"/>
      <c r="D2" s="155"/>
      <c r="E2" s="155"/>
      <c r="F2" s="284" t="str">
        <f>CONCATENATE("(Only the actual budget year for ",K1-2," is to be shown)")</f>
        <v>(Only the actual budget year for 2013 is to be shown)</v>
      </c>
      <c r="G2" s="155"/>
      <c r="H2" s="155"/>
      <c r="I2" s="155"/>
      <c r="J2" s="155"/>
      <c r="K2" s="155"/>
    </row>
    <row r="3" spans="1:11" ht="15">
      <c r="A3" s="155" t="s">
        <v>271</v>
      </c>
      <c r="B3" s="155"/>
      <c r="C3" s="155"/>
      <c r="D3" s="155"/>
      <c r="E3" s="155"/>
      <c r="F3" s="283"/>
      <c r="G3" s="155"/>
      <c r="H3" s="155"/>
      <c r="I3" s="155"/>
      <c r="J3" s="155"/>
      <c r="K3" s="155"/>
    </row>
    <row r="4" spans="1:11" ht="15">
      <c r="A4" s="155" t="s">
        <v>231</v>
      </c>
      <c r="B4" s="155"/>
      <c r="C4" s="155" t="s">
        <v>232</v>
      </c>
      <c r="D4" s="155"/>
      <c r="E4" s="155" t="s">
        <v>233</v>
      </c>
      <c r="F4" s="283"/>
      <c r="G4" s="155" t="s">
        <v>234</v>
      </c>
      <c r="H4" s="155"/>
      <c r="I4" s="155" t="s">
        <v>235</v>
      </c>
      <c r="J4" s="155"/>
      <c r="K4" s="155"/>
    </row>
    <row r="5" spans="1:11" ht="15">
      <c r="A5" s="1042" t="str">
        <f>IF(inputPrYr!B71&gt;" ",(inputPrYr!B71)," ")</f>
        <v>Agency</v>
      </c>
      <c r="B5" s="1043"/>
      <c r="C5" s="1042" t="str">
        <f>IF(inputPrYr!B72&gt;" ",(inputPrYr!B72)," ")</f>
        <v>Risk Management Reserve</v>
      </c>
      <c r="D5" s="1043"/>
      <c r="E5" s="1042" t="str">
        <f>IF(inputPrYr!B73&gt;" ",(inputPrYr!B73)," ")</f>
        <v> </v>
      </c>
      <c r="F5" s="1043"/>
      <c r="G5" s="1042" t="str">
        <f>IF(inputPrYr!B74&gt;" ",(inputPrYr!B74)," ")</f>
        <v> </v>
      </c>
      <c r="H5" s="1043"/>
      <c r="I5" s="1042" t="str">
        <f>IF(inputPrYr!B75&gt;" ",(inputPrYr!B75)," ")</f>
        <v> </v>
      </c>
      <c r="J5" s="1043"/>
      <c r="K5" s="107"/>
    </row>
    <row r="6" spans="1:11" ht="15">
      <c r="A6" s="287" t="s">
        <v>236</v>
      </c>
      <c r="B6" s="288"/>
      <c r="C6" s="289" t="s">
        <v>236</v>
      </c>
      <c r="D6" s="290"/>
      <c r="E6" s="289" t="s">
        <v>236</v>
      </c>
      <c r="F6" s="286"/>
      <c r="G6" s="289" t="s">
        <v>236</v>
      </c>
      <c r="H6" s="291"/>
      <c r="I6" s="289" t="s">
        <v>236</v>
      </c>
      <c r="J6" s="155"/>
      <c r="K6" s="292" t="s">
        <v>75</v>
      </c>
    </row>
    <row r="7" spans="1:11" ht="15">
      <c r="A7" s="293" t="s">
        <v>20</v>
      </c>
      <c r="B7" s="294">
        <v>15373</v>
      </c>
      <c r="C7" s="295" t="s">
        <v>20</v>
      </c>
      <c r="D7" s="294">
        <v>5004</v>
      </c>
      <c r="E7" s="295" t="s">
        <v>20</v>
      </c>
      <c r="F7" s="294"/>
      <c r="G7" s="295" t="s">
        <v>20</v>
      </c>
      <c r="H7" s="294"/>
      <c r="I7" s="295" t="s">
        <v>20</v>
      </c>
      <c r="J7" s="294"/>
      <c r="K7" s="296">
        <f>SUM(B7+D7+F7+H7+J7)</f>
        <v>20377</v>
      </c>
    </row>
    <row r="8" spans="1:11" ht="15">
      <c r="A8" s="297" t="s">
        <v>216</v>
      </c>
      <c r="B8" s="298"/>
      <c r="C8" s="297" t="s">
        <v>216</v>
      </c>
      <c r="D8" s="299"/>
      <c r="E8" s="297" t="s">
        <v>216</v>
      </c>
      <c r="F8" s="283"/>
      <c r="G8" s="297" t="s">
        <v>216</v>
      </c>
      <c r="H8" s="155"/>
      <c r="I8" s="297" t="s">
        <v>216</v>
      </c>
      <c r="J8" s="155"/>
      <c r="K8" s="283"/>
    </row>
    <row r="9" spans="1:11" ht="15">
      <c r="A9" s="300" t="s">
        <v>1168</v>
      </c>
      <c r="B9" s="294">
        <v>7</v>
      </c>
      <c r="C9" s="300" t="s">
        <v>1121</v>
      </c>
      <c r="D9" s="294">
        <v>5000</v>
      </c>
      <c r="E9" s="300"/>
      <c r="F9" s="294"/>
      <c r="G9" s="300"/>
      <c r="H9" s="294"/>
      <c r="I9" s="300"/>
      <c r="J9" s="294"/>
      <c r="K9" s="283"/>
    </row>
    <row r="10" spans="1:11" ht="15">
      <c r="A10" s="300" t="s">
        <v>1065</v>
      </c>
      <c r="B10" s="294">
        <v>47235</v>
      </c>
      <c r="C10" s="300"/>
      <c r="D10" s="294"/>
      <c r="E10" s="300"/>
      <c r="F10" s="294"/>
      <c r="G10" s="300"/>
      <c r="H10" s="294"/>
      <c r="I10" s="300"/>
      <c r="J10" s="294"/>
      <c r="K10" s="283"/>
    </row>
    <row r="11" spans="1:11" ht="15">
      <c r="A11" s="300" t="s">
        <v>1139</v>
      </c>
      <c r="B11" s="294">
        <v>1303</v>
      </c>
      <c r="C11" s="301"/>
      <c r="D11" s="294"/>
      <c r="E11" s="301"/>
      <c r="F11" s="294"/>
      <c r="G11" s="301"/>
      <c r="H11" s="294"/>
      <c r="I11" s="302"/>
      <c r="J11" s="294"/>
      <c r="K11" s="283"/>
    </row>
    <row r="12" spans="1:11" ht="15">
      <c r="A12" s="300" t="s">
        <v>1140</v>
      </c>
      <c r="B12" s="294">
        <v>6951</v>
      </c>
      <c r="C12" s="300"/>
      <c r="D12" s="294"/>
      <c r="E12" s="303"/>
      <c r="F12" s="294"/>
      <c r="G12" s="303"/>
      <c r="H12" s="294"/>
      <c r="I12" s="303"/>
      <c r="J12" s="294"/>
      <c r="K12" s="283"/>
    </row>
    <row r="13" spans="1:11" ht="15">
      <c r="A13" s="304"/>
      <c r="B13" s="294"/>
      <c r="C13" s="305"/>
      <c r="D13" s="294"/>
      <c r="E13" s="305"/>
      <c r="F13" s="294"/>
      <c r="G13" s="305"/>
      <c r="H13" s="294"/>
      <c r="I13" s="302"/>
      <c r="J13" s="294"/>
      <c r="K13" s="283"/>
    </row>
    <row r="14" spans="1:11" ht="15">
      <c r="A14" s="300"/>
      <c r="B14" s="294"/>
      <c r="C14" s="303"/>
      <c r="D14" s="294"/>
      <c r="E14" s="303"/>
      <c r="F14" s="294"/>
      <c r="G14" s="303"/>
      <c r="H14" s="294"/>
      <c r="I14" s="303"/>
      <c r="J14" s="294"/>
      <c r="K14" s="283"/>
    </row>
    <row r="15" spans="1:11" ht="15">
      <c r="A15" s="300"/>
      <c r="B15" s="294"/>
      <c r="C15" s="303"/>
      <c r="D15" s="294"/>
      <c r="E15" s="303"/>
      <c r="F15" s="294"/>
      <c r="G15" s="303"/>
      <c r="H15" s="294"/>
      <c r="I15" s="303"/>
      <c r="J15" s="294"/>
      <c r="K15" s="283"/>
    </row>
    <row r="16" spans="1:11" ht="15">
      <c r="A16" s="300"/>
      <c r="B16" s="294"/>
      <c r="C16" s="300"/>
      <c r="D16" s="294"/>
      <c r="E16" s="300"/>
      <c r="F16" s="294"/>
      <c r="G16" s="303"/>
      <c r="H16" s="294"/>
      <c r="I16" s="300"/>
      <c r="J16" s="294"/>
      <c r="K16" s="283"/>
    </row>
    <row r="17" spans="1:11" ht="15">
      <c r="A17" s="297" t="s">
        <v>112</v>
      </c>
      <c r="B17" s="296">
        <f>SUM(B9:B16)</f>
        <v>55496</v>
      </c>
      <c r="C17" s="297" t="s">
        <v>112</v>
      </c>
      <c r="D17" s="296">
        <f>SUM(D9:D16)</f>
        <v>5000</v>
      </c>
      <c r="E17" s="297" t="s">
        <v>112</v>
      </c>
      <c r="F17" s="361">
        <f>SUM(F9:F16)</f>
        <v>0</v>
      </c>
      <c r="G17" s="297" t="s">
        <v>112</v>
      </c>
      <c r="H17" s="296">
        <f>SUM(H9:H16)</f>
        <v>0</v>
      </c>
      <c r="I17" s="297" t="s">
        <v>112</v>
      </c>
      <c r="J17" s="296">
        <f>SUM(J9:J16)</f>
        <v>0</v>
      </c>
      <c r="K17" s="296">
        <f>SUM(B17+D17+F17+H17+J17)</f>
        <v>60496</v>
      </c>
    </row>
    <row r="18" spans="1:11" ht="15">
      <c r="A18" s="297" t="s">
        <v>113</v>
      </c>
      <c r="B18" s="296">
        <f>SUM(B7+B17)</f>
        <v>70869</v>
      </c>
      <c r="C18" s="297" t="s">
        <v>113</v>
      </c>
      <c r="D18" s="296">
        <f>SUM(D7+D17)</f>
        <v>10004</v>
      </c>
      <c r="E18" s="297" t="s">
        <v>113</v>
      </c>
      <c r="F18" s="296">
        <f>SUM(F7+F17)</f>
        <v>0</v>
      </c>
      <c r="G18" s="297" t="s">
        <v>113</v>
      </c>
      <c r="H18" s="296">
        <f>SUM(H7+H17)</f>
        <v>0</v>
      </c>
      <c r="I18" s="297" t="s">
        <v>113</v>
      </c>
      <c r="J18" s="296">
        <f>SUM(J7+J17)</f>
        <v>0</v>
      </c>
      <c r="K18" s="296">
        <f>SUM(B18+D18+F18+H18+J18)</f>
        <v>80873</v>
      </c>
    </row>
    <row r="19" spans="1:11" ht="15">
      <c r="A19" s="297" t="s">
        <v>115</v>
      </c>
      <c r="B19" s="298"/>
      <c r="C19" s="297" t="s">
        <v>115</v>
      </c>
      <c r="D19" s="299"/>
      <c r="E19" s="297" t="s">
        <v>115</v>
      </c>
      <c r="F19" s="283"/>
      <c r="G19" s="297" t="s">
        <v>115</v>
      </c>
      <c r="H19" s="155"/>
      <c r="I19" s="297" t="s">
        <v>115</v>
      </c>
      <c r="J19" s="155"/>
      <c r="K19" s="283"/>
    </row>
    <row r="20" spans="1:11" ht="15">
      <c r="A20" s="300" t="s">
        <v>1168</v>
      </c>
      <c r="B20" s="294">
        <v>1420</v>
      </c>
      <c r="C20" s="303" t="s">
        <v>1042</v>
      </c>
      <c r="D20" s="294">
        <v>909</v>
      </c>
      <c r="E20" s="303"/>
      <c r="F20" s="294"/>
      <c r="G20" s="303"/>
      <c r="H20" s="294"/>
      <c r="I20" s="303"/>
      <c r="J20" s="294"/>
      <c r="K20" s="283"/>
    </row>
    <row r="21" spans="1:11" ht="15">
      <c r="A21" s="300" t="s">
        <v>1065</v>
      </c>
      <c r="B21" s="294">
        <v>46211</v>
      </c>
      <c r="C21" s="303"/>
      <c r="D21" s="294"/>
      <c r="E21" s="303"/>
      <c r="F21" s="294"/>
      <c r="G21" s="303"/>
      <c r="H21" s="294"/>
      <c r="I21" s="303"/>
      <c r="J21" s="294"/>
      <c r="K21" s="283"/>
    </row>
    <row r="22" spans="1:11" ht="15">
      <c r="A22" s="300" t="s">
        <v>1139</v>
      </c>
      <c r="B22" s="294">
        <v>711</v>
      </c>
      <c r="C22" s="305"/>
      <c r="D22" s="294"/>
      <c r="E22" s="305"/>
      <c r="F22" s="294"/>
      <c r="G22" s="305"/>
      <c r="H22" s="294"/>
      <c r="I22" s="302"/>
      <c r="J22" s="294"/>
      <c r="K22" s="283"/>
    </row>
    <row r="23" spans="1:11" ht="15">
      <c r="A23" s="300"/>
      <c r="B23" s="294"/>
      <c r="C23" s="303"/>
      <c r="D23" s="294"/>
      <c r="E23" s="303"/>
      <c r="F23" s="294"/>
      <c r="G23" s="303"/>
      <c r="H23" s="294"/>
      <c r="I23" s="303"/>
      <c r="J23" s="294"/>
      <c r="K23" s="283"/>
    </row>
    <row r="24" spans="1:11" ht="15">
      <c r="A24" s="300"/>
      <c r="B24" s="294"/>
      <c r="C24" s="305"/>
      <c r="D24" s="294"/>
      <c r="E24" s="305"/>
      <c r="F24" s="294"/>
      <c r="G24" s="305"/>
      <c r="H24" s="294"/>
      <c r="I24" s="302"/>
      <c r="J24" s="294"/>
      <c r="K24" s="283"/>
    </row>
    <row r="25" spans="1:11" ht="15">
      <c r="A25" s="300"/>
      <c r="B25" s="294"/>
      <c r="C25" s="303"/>
      <c r="D25" s="294"/>
      <c r="E25" s="303"/>
      <c r="F25" s="294"/>
      <c r="G25" s="303"/>
      <c r="H25" s="294"/>
      <c r="I25" s="303"/>
      <c r="J25" s="294"/>
      <c r="K25" s="283"/>
    </row>
    <row r="26" spans="1:11" ht="15">
      <c r="A26" s="300"/>
      <c r="B26" s="294"/>
      <c r="C26" s="303"/>
      <c r="D26" s="294"/>
      <c r="E26" s="303"/>
      <c r="F26" s="294"/>
      <c r="G26" s="303"/>
      <c r="H26" s="294"/>
      <c r="I26" s="303"/>
      <c r="J26" s="294"/>
      <c r="K26" s="283"/>
    </row>
    <row r="27" spans="1:11" ht="15">
      <c r="A27" s="300"/>
      <c r="B27" s="294"/>
      <c r="C27" s="300"/>
      <c r="D27" s="294"/>
      <c r="E27" s="300"/>
      <c r="F27" s="294"/>
      <c r="G27" s="303"/>
      <c r="H27" s="294"/>
      <c r="I27" s="303"/>
      <c r="J27" s="294"/>
      <c r="K27" s="283"/>
    </row>
    <row r="28" spans="1:11" ht="15">
      <c r="A28" s="297" t="s">
        <v>119</v>
      </c>
      <c r="B28" s="296">
        <f>SUM(B20:B27)</f>
        <v>48342</v>
      </c>
      <c r="C28" s="297" t="s">
        <v>119</v>
      </c>
      <c r="D28" s="296">
        <f>SUM(D20:D27)</f>
        <v>909</v>
      </c>
      <c r="E28" s="297" t="s">
        <v>119</v>
      </c>
      <c r="F28" s="361">
        <f>SUM(F20:F27)</f>
        <v>0</v>
      </c>
      <c r="G28" s="297" t="s">
        <v>119</v>
      </c>
      <c r="H28" s="361">
        <f>SUM(H20:H27)</f>
        <v>0</v>
      </c>
      <c r="I28" s="297" t="s">
        <v>119</v>
      </c>
      <c r="J28" s="296">
        <f>SUM(J20:J27)</f>
        <v>0</v>
      </c>
      <c r="K28" s="296">
        <f>SUM(B28+D28+F28+H28+J28)</f>
        <v>49251</v>
      </c>
    </row>
    <row r="29" spans="1:12" ht="15">
      <c r="A29" s="297" t="s">
        <v>237</v>
      </c>
      <c r="B29" s="296">
        <f>SUM(B18-B28)</f>
        <v>22527</v>
      </c>
      <c r="C29" s="297" t="s">
        <v>237</v>
      </c>
      <c r="D29" s="296">
        <f>SUM(D18-D28)</f>
        <v>9095</v>
      </c>
      <c r="E29" s="297" t="s">
        <v>237</v>
      </c>
      <c r="F29" s="296">
        <f>SUM(F18-F28)</f>
        <v>0</v>
      </c>
      <c r="G29" s="297" t="s">
        <v>237</v>
      </c>
      <c r="H29" s="296">
        <f>SUM(H18-H28)</f>
        <v>0</v>
      </c>
      <c r="I29" s="297" t="s">
        <v>237</v>
      </c>
      <c r="J29" s="296">
        <f>SUM(J18-J28)</f>
        <v>0</v>
      </c>
      <c r="K29" s="306">
        <f>SUM(B29+D29+F29+H29+J29)</f>
        <v>31622</v>
      </c>
      <c r="L29" s="18" t="s">
        <v>306</v>
      </c>
    </row>
    <row r="30" spans="1:12" ht="15">
      <c r="A30" s="297"/>
      <c r="B30" s="330">
        <f>IF(B29&lt;0,"See Tab B","")</f>
      </c>
      <c r="C30" s="297"/>
      <c r="D30" s="330">
        <f>IF(D29&lt;0,"See Tab B","")</f>
      </c>
      <c r="E30" s="297"/>
      <c r="F30" s="330">
        <f>IF(F29&lt;0,"See Tab B","")</f>
      </c>
      <c r="G30" s="155"/>
      <c r="H30" s="330">
        <f>IF(H29&lt;0,"See Tab B","")</f>
      </c>
      <c r="I30" s="155"/>
      <c r="J30" s="330">
        <f>IF(J29&lt;0,"See Tab B","")</f>
      </c>
      <c r="K30" s="306">
        <f>SUM(K7+K17-K28)</f>
        <v>31622</v>
      </c>
      <c r="L30" s="18" t="s">
        <v>306</v>
      </c>
    </row>
    <row r="31" spans="1:11" ht="15">
      <c r="A31" s="155"/>
      <c r="B31" s="160"/>
      <c r="C31" s="155"/>
      <c r="D31" s="283"/>
      <c r="E31" s="155"/>
      <c r="F31" s="155"/>
      <c r="G31" s="28" t="s">
        <v>308</v>
      </c>
      <c r="H31" s="28"/>
      <c r="I31" s="28"/>
      <c r="J31" s="28"/>
      <c r="K31" s="155"/>
    </row>
    <row r="32" spans="1:11" ht="15">
      <c r="A32" s="155"/>
      <c r="B32" s="160"/>
      <c r="C32" s="155"/>
      <c r="D32" s="155"/>
      <c r="E32" s="155"/>
      <c r="F32" s="155"/>
      <c r="G32" s="308"/>
      <c r="H32" s="155"/>
      <c r="I32" s="155"/>
      <c r="J32" s="155"/>
      <c r="K32" s="155"/>
    </row>
    <row r="33" spans="1:11" ht="15">
      <c r="A33" s="155"/>
      <c r="B33" s="160"/>
      <c r="C33" s="155"/>
      <c r="D33" s="155"/>
      <c r="E33" s="168" t="s">
        <v>122</v>
      </c>
      <c r="F33" s="264">
        <v>20</v>
      </c>
      <c r="G33" s="155"/>
      <c r="H33" s="155"/>
      <c r="I33" s="155"/>
      <c r="J33" s="155"/>
      <c r="K33" s="155"/>
    </row>
    <row r="34" ht="15">
      <c r="B34" s="307"/>
    </row>
    <row r="35" ht="15">
      <c r="B35" s="307"/>
    </row>
    <row r="36" ht="15">
      <c r="B36" s="307"/>
    </row>
    <row r="37" ht="15">
      <c r="B37" s="307"/>
    </row>
    <row r="38" ht="15">
      <c r="B38" s="307"/>
    </row>
    <row r="39" ht="15">
      <c r="B39" s="307"/>
    </row>
    <row r="40" ht="15">
      <c r="B40" s="307"/>
    </row>
    <row r="41" ht="15">
      <c r="B41" s="30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3" sqref="K23"/>
    </sheetView>
  </sheetViews>
  <sheetFormatPr defaultColWidth="8.89843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
      <c r="A1" s="156" t="str">
        <f>inputPrYr!$D$2</f>
        <v>City of Russell</v>
      </c>
      <c r="B1" s="283"/>
      <c r="C1" s="155"/>
      <c r="D1" s="155"/>
      <c r="E1" s="155"/>
      <c r="F1" s="157" t="s">
        <v>240</v>
      </c>
      <c r="G1" s="155"/>
      <c r="H1" s="155"/>
      <c r="I1" s="155"/>
      <c r="J1" s="155"/>
      <c r="K1" s="155">
        <f>inputPrYr!$C$5</f>
        <v>2015</v>
      </c>
    </row>
    <row r="2" spans="1:11" ht="15">
      <c r="A2" s="155"/>
      <c r="B2" s="155"/>
      <c r="C2" s="155"/>
      <c r="D2" s="155"/>
      <c r="E2" s="155"/>
      <c r="F2" s="284" t="str">
        <f>CONCATENATE("(Only the actual budget year for ",K1-2," is to be shown)")</f>
        <v>(Only the actual budget year for 2013 is to be shown)</v>
      </c>
      <c r="G2" s="155"/>
      <c r="H2" s="155"/>
      <c r="I2" s="155"/>
      <c r="J2" s="155"/>
      <c r="K2" s="155"/>
    </row>
    <row r="3" spans="1:11" ht="15">
      <c r="A3" s="155" t="s">
        <v>272</v>
      </c>
      <c r="B3" s="155"/>
      <c r="C3" s="155"/>
      <c r="D3" s="155"/>
      <c r="E3" s="155"/>
      <c r="F3" s="283"/>
      <c r="G3" s="155"/>
      <c r="H3" s="155"/>
      <c r="I3" s="155"/>
      <c r="J3" s="155"/>
      <c r="K3" s="155"/>
    </row>
    <row r="4" spans="1:11" ht="15">
      <c r="A4" s="155" t="s">
        <v>231</v>
      </c>
      <c r="B4" s="155"/>
      <c r="C4" s="155" t="s">
        <v>232</v>
      </c>
      <c r="D4" s="155"/>
      <c r="E4" s="155" t="s">
        <v>233</v>
      </c>
      <c r="F4" s="283"/>
      <c r="G4" s="155" t="s">
        <v>234</v>
      </c>
      <c r="H4" s="155"/>
      <c r="I4" s="155" t="s">
        <v>235</v>
      </c>
      <c r="J4" s="155"/>
      <c r="K4" s="155"/>
    </row>
    <row r="5" spans="1:11" ht="15">
      <c r="A5" s="1042" t="str">
        <f>IF(inputPrYr!B77&gt;" ",(inputPrYr!B77)," ")</f>
        <v> </v>
      </c>
      <c r="B5" s="1043"/>
      <c r="C5" s="1042" t="str">
        <f>IF(inputPrYr!B78&gt;" ",(inputPrYr!B78)," ")</f>
        <v> </v>
      </c>
      <c r="D5" s="1043"/>
      <c r="E5" s="1042" t="str">
        <f>IF(inputPrYr!B79&gt;" ",(inputPrYr!B79)," ")</f>
        <v> </v>
      </c>
      <c r="F5" s="1043"/>
      <c r="G5" s="1042" t="str">
        <f>IF(inputPrYr!B80&gt;" ",(inputPrYr!B80)," ")</f>
        <v> </v>
      </c>
      <c r="H5" s="1043"/>
      <c r="I5" s="1042" t="str">
        <f>IF(inputPrYr!B81&gt;" ",(inputPrYr!B81)," ")</f>
        <v> </v>
      </c>
      <c r="J5" s="1043"/>
      <c r="K5" s="107"/>
    </row>
    <row r="6" spans="1:11" ht="15">
      <c r="A6" s="287" t="s">
        <v>236</v>
      </c>
      <c r="B6" s="288"/>
      <c r="C6" s="289" t="s">
        <v>236</v>
      </c>
      <c r="D6" s="290"/>
      <c r="E6" s="289" t="s">
        <v>236</v>
      </c>
      <c r="F6" s="286"/>
      <c r="G6" s="289" t="s">
        <v>236</v>
      </c>
      <c r="H6" s="291"/>
      <c r="I6" s="289" t="s">
        <v>236</v>
      </c>
      <c r="J6" s="155"/>
      <c r="K6" s="292" t="s">
        <v>75</v>
      </c>
    </row>
    <row r="7" spans="1:11" ht="15">
      <c r="A7" s="293" t="s">
        <v>20</v>
      </c>
      <c r="B7" s="294"/>
      <c r="C7" s="295" t="s">
        <v>20</v>
      </c>
      <c r="D7" s="294"/>
      <c r="E7" s="295" t="s">
        <v>20</v>
      </c>
      <c r="F7" s="294"/>
      <c r="G7" s="295" t="s">
        <v>20</v>
      </c>
      <c r="H7" s="294"/>
      <c r="I7" s="295" t="s">
        <v>20</v>
      </c>
      <c r="J7" s="294"/>
      <c r="K7" s="296">
        <f>SUM(B7+D7+F7+H7+J7)</f>
        <v>0</v>
      </c>
    </row>
    <row r="8" spans="1:11" ht="15">
      <c r="A8" s="297" t="s">
        <v>216</v>
      </c>
      <c r="B8" s="298"/>
      <c r="C8" s="297" t="s">
        <v>216</v>
      </c>
      <c r="D8" s="299"/>
      <c r="E8" s="297" t="s">
        <v>216</v>
      </c>
      <c r="F8" s="283"/>
      <c r="G8" s="297" t="s">
        <v>216</v>
      </c>
      <c r="H8" s="155"/>
      <c r="I8" s="297" t="s">
        <v>216</v>
      </c>
      <c r="J8" s="155"/>
      <c r="K8" s="283"/>
    </row>
    <row r="9" spans="1:11" ht="15">
      <c r="A9" s="300"/>
      <c r="B9" s="294"/>
      <c r="C9" s="300"/>
      <c r="D9" s="294"/>
      <c r="E9" s="300"/>
      <c r="F9" s="294"/>
      <c r="G9" s="300"/>
      <c r="H9" s="294"/>
      <c r="I9" s="300"/>
      <c r="J9" s="294"/>
      <c r="K9" s="283"/>
    </row>
    <row r="10" spans="1:11" ht="15">
      <c r="A10" s="300"/>
      <c r="B10" s="294"/>
      <c r="C10" s="300"/>
      <c r="D10" s="294"/>
      <c r="E10" s="300"/>
      <c r="F10" s="294"/>
      <c r="G10" s="300"/>
      <c r="H10" s="294"/>
      <c r="I10" s="300"/>
      <c r="J10" s="294"/>
      <c r="K10" s="283"/>
    </row>
    <row r="11" spans="1:11" ht="15">
      <c r="A11" s="300"/>
      <c r="B11" s="294"/>
      <c r="C11" s="301"/>
      <c r="D11" s="294"/>
      <c r="E11" s="301"/>
      <c r="F11" s="294"/>
      <c r="G11" s="301"/>
      <c r="H11" s="294"/>
      <c r="I11" s="302"/>
      <c r="J11" s="294"/>
      <c r="K11" s="283"/>
    </row>
    <row r="12" spans="1:11" ht="15">
      <c r="A12" s="300"/>
      <c r="B12" s="294"/>
      <c r="C12" s="300"/>
      <c r="D12" s="294"/>
      <c r="E12" s="303"/>
      <c r="F12" s="294"/>
      <c r="G12" s="303"/>
      <c r="H12" s="294"/>
      <c r="I12" s="303"/>
      <c r="J12" s="294"/>
      <c r="K12" s="283"/>
    </row>
    <row r="13" spans="1:11" ht="15">
      <c r="A13" s="304"/>
      <c r="B13" s="294"/>
      <c r="C13" s="305"/>
      <c r="D13" s="294"/>
      <c r="E13" s="305"/>
      <c r="F13" s="294"/>
      <c r="G13" s="305"/>
      <c r="H13" s="294"/>
      <c r="I13" s="302"/>
      <c r="J13" s="294"/>
      <c r="K13" s="283"/>
    </row>
    <row r="14" spans="1:11" ht="15">
      <c r="A14" s="300"/>
      <c r="B14" s="294"/>
      <c r="C14" s="303"/>
      <c r="D14" s="294"/>
      <c r="E14" s="303"/>
      <c r="F14" s="294"/>
      <c r="G14" s="303"/>
      <c r="H14" s="294"/>
      <c r="I14" s="303"/>
      <c r="J14" s="294"/>
      <c r="K14" s="283"/>
    </row>
    <row r="15" spans="1:11" ht="15">
      <c r="A15" s="300"/>
      <c r="B15" s="294"/>
      <c r="C15" s="303"/>
      <c r="D15" s="294"/>
      <c r="E15" s="303"/>
      <c r="F15" s="294"/>
      <c r="G15" s="303"/>
      <c r="H15" s="294"/>
      <c r="I15" s="303"/>
      <c r="J15" s="294"/>
      <c r="K15" s="283"/>
    </row>
    <row r="16" spans="1:11" ht="15">
      <c r="A16" s="300"/>
      <c r="B16" s="294"/>
      <c r="C16" s="300"/>
      <c r="D16" s="294"/>
      <c r="E16" s="300"/>
      <c r="F16" s="294"/>
      <c r="G16" s="303"/>
      <c r="H16" s="294"/>
      <c r="I16" s="300"/>
      <c r="J16" s="294"/>
      <c r="K16" s="283"/>
    </row>
    <row r="17" spans="1:11" ht="15">
      <c r="A17" s="297" t="s">
        <v>112</v>
      </c>
      <c r="B17" s="296">
        <f>SUM(B9:B16)</f>
        <v>0</v>
      </c>
      <c r="C17" s="297" t="s">
        <v>112</v>
      </c>
      <c r="D17" s="296">
        <f>SUM(D9:D16)</f>
        <v>0</v>
      </c>
      <c r="E17" s="297" t="s">
        <v>112</v>
      </c>
      <c r="F17" s="361">
        <f>SUM(F9:F16)</f>
        <v>0</v>
      </c>
      <c r="G17" s="297" t="s">
        <v>112</v>
      </c>
      <c r="H17" s="296">
        <f>SUM(H9:H16)</f>
        <v>0</v>
      </c>
      <c r="I17" s="297" t="s">
        <v>112</v>
      </c>
      <c r="J17" s="296">
        <f>SUM(J9:J16)</f>
        <v>0</v>
      </c>
      <c r="K17" s="296">
        <f>SUM(B17+D17+F17+H17+J17)</f>
        <v>0</v>
      </c>
    </row>
    <row r="18" spans="1:11" ht="15">
      <c r="A18" s="297" t="s">
        <v>113</v>
      </c>
      <c r="B18" s="296">
        <f>SUM(B7+B17)</f>
        <v>0</v>
      </c>
      <c r="C18" s="297" t="s">
        <v>113</v>
      </c>
      <c r="D18" s="296">
        <f>SUM(D7+D17)</f>
        <v>0</v>
      </c>
      <c r="E18" s="297" t="s">
        <v>113</v>
      </c>
      <c r="F18" s="296">
        <f>SUM(F7+F17)</f>
        <v>0</v>
      </c>
      <c r="G18" s="297" t="s">
        <v>113</v>
      </c>
      <c r="H18" s="296">
        <f>SUM(H7+H17)</f>
        <v>0</v>
      </c>
      <c r="I18" s="297" t="s">
        <v>113</v>
      </c>
      <c r="J18" s="296">
        <f>SUM(J7+J17)</f>
        <v>0</v>
      </c>
      <c r="K18" s="296">
        <f>SUM(B18+D18+F18+H18+J18)</f>
        <v>0</v>
      </c>
    </row>
    <row r="19" spans="1:11" ht="15">
      <c r="A19" s="297" t="s">
        <v>115</v>
      </c>
      <c r="B19" s="298"/>
      <c r="C19" s="297" t="s">
        <v>115</v>
      </c>
      <c r="D19" s="299"/>
      <c r="E19" s="297" t="s">
        <v>115</v>
      </c>
      <c r="F19" s="283"/>
      <c r="G19" s="297" t="s">
        <v>115</v>
      </c>
      <c r="H19" s="155"/>
      <c r="I19" s="297" t="s">
        <v>115</v>
      </c>
      <c r="J19" s="155"/>
      <c r="K19" s="283"/>
    </row>
    <row r="20" spans="1:11" ht="15">
      <c r="A20" s="300"/>
      <c r="B20" s="294"/>
      <c r="C20" s="303"/>
      <c r="D20" s="294"/>
      <c r="E20" s="303"/>
      <c r="F20" s="294"/>
      <c r="G20" s="303"/>
      <c r="H20" s="294"/>
      <c r="I20" s="303"/>
      <c r="J20" s="294"/>
      <c r="K20" s="283"/>
    </row>
    <row r="21" spans="1:11" ht="15">
      <c r="A21" s="300"/>
      <c r="B21" s="294"/>
      <c r="C21" s="303"/>
      <c r="D21" s="294"/>
      <c r="E21" s="303"/>
      <c r="F21" s="294"/>
      <c r="G21" s="303"/>
      <c r="H21" s="294"/>
      <c r="I21" s="303"/>
      <c r="J21" s="294"/>
      <c r="K21" s="283"/>
    </row>
    <row r="22" spans="1:11" ht="15">
      <c r="A22" s="300"/>
      <c r="B22" s="294"/>
      <c r="C22" s="305"/>
      <c r="D22" s="294"/>
      <c r="E22" s="305"/>
      <c r="F22" s="294"/>
      <c r="G22" s="305"/>
      <c r="H22" s="294"/>
      <c r="I22" s="302"/>
      <c r="J22" s="294"/>
      <c r="K22" s="283"/>
    </row>
    <row r="23" spans="1:11" ht="15">
      <c r="A23" s="300"/>
      <c r="B23" s="294"/>
      <c r="C23" s="303"/>
      <c r="D23" s="294"/>
      <c r="E23" s="303"/>
      <c r="F23" s="294"/>
      <c r="G23" s="303"/>
      <c r="H23" s="294"/>
      <c r="I23" s="303"/>
      <c r="J23" s="294"/>
      <c r="K23" s="283"/>
    </row>
    <row r="24" spans="1:11" ht="15">
      <c r="A24" s="300"/>
      <c r="B24" s="294"/>
      <c r="C24" s="305"/>
      <c r="D24" s="294"/>
      <c r="E24" s="305"/>
      <c r="F24" s="294"/>
      <c r="G24" s="305"/>
      <c r="H24" s="294"/>
      <c r="I24" s="302"/>
      <c r="J24" s="294"/>
      <c r="K24" s="283"/>
    </row>
    <row r="25" spans="1:11" ht="15">
      <c r="A25" s="300"/>
      <c r="B25" s="294"/>
      <c r="C25" s="303"/>
      <c r="D25" s="294"/>
      <c r="E25" s="303"/>
      <c r="F25" s="294"/>
      <c r="G25" s="303"/>
      <c r="H25" s="294"/>
      <c r="I25" s="303"/>
      <c r="J25" s="294"/>
      <c r="K25" s="283"/>
    </row>
    <row r="26" spans="1:11" ht="15">
      <c r="A26" s="300"/>
      <c r="B26" s="294"/>
      <c r="C26" s="303"/>
      <c r="D26" s="294"/>
      <c r="E26" s="303"/>
      <c r="F26" s="294"/>
      <c r="G26" s="303"/>
      <c r="H26" s="294"/>
      <c r="I26" s="303"/>
      <c r="J26" s="294"/>
      <c r="K26" s="283"/>
    </row>
    <row r="27" spans="1:11" ht="15">
      <c r="A27" s="300"/>
      <c r="B27" s="294"/>
      <c r="C27" s="300"/>
      <c r="D27" s="294"/>
      <c r="E27" s="300"/>
      <c r="F27" s="294"/>
      <c r="G27" s="303"/>
      <c r="H27" s="294"/>
      <c r="I27" s="303"/>
      <c r="J27" s="294"/>
      <c r="K27" s="283"/>
    </row>
    <row r="28" spans="1:11" ht="15">
      <c r="A28" s="297" t="s">
        <v>119</v>
      </c>
      <c r="B28" s="296">
        <f>SUM(B20:B27)</f>
        <v>0</v>
      </c>
      <c r="C28" s="297" t="s">
        <v>119</v>
      </c>
      <c r="D28" s="296">
        <f>SUM(D20:D27)</f>
        <v>0</v>
      </c>
      <c r="E28" s="297" t="s">
        <v>119</v>
      </c>
      <c r="F28" s="361">
        <f>SUM(F20:F27)</f>
        <v>0</v>
      </c>
      <c r="G28" s="297" t="s">
        <v>119</v>
      </c>
      <c r="H28" s="361">
        <f>SUM(H20:H27)</f>
        <v>0</v>
      </c>
      <c r="I28" s="297" t="s">
        <v>119</v>
      </c>
      <c r="J28" s="296">
        <f>SUM(J20:J27)</f>
        <v>0</v>
      </c>
      <c r="K28" s="296">
        <f>SUM(B28+D28+F28+H28+J28)</f>
        <v>0</v>
      </c>
    </row>
    <row r="29" spans="1:12" ht="15">
      <c r="A29" s="297" t="s">
        <v>237</v>
      </c>
      <c r="B29" s="296">
        <f>SUM(B18-B28)</f>
        <v>0</v>
      </c>
      <c r="C29" s="297" t="s">
        <v>237</v>
      </c>
      <c r="D29" s="296">
        <f>SUM(D18-D28)</f>
        <v>0</v>
      </c>
      <c r="E29" s="297" t="s">
        <v>237</v>
      </c>
      <c r="F29" s="296">
        <f>SUM(F18-F28)</f>
        <v>0</v>
      </c>
      <c r="G29" s="297" t="s">
        <v>237</v>
      </c>
      <c r="H29" s="296">
        <f>SUM(H18-H28)</f>
        <v>0</v>
      </c>
      <c r="I29" s="297" t="s">
        <v>237</v>
      </c>
      <c r="J29" s="296">
        <f>SUM(J18-J28)</f>
        <v>0</v>
      </c>
      <c r="K29" s="306">
        <f>SUM(B29+D29+F29+H29+J29)</f>
        <v>0</v>
      </c>
      <c r="L29" s="18" t="s">
        <v>306</v>
      </c>
    </row>
    <row r="30" spans="1:12" ht="15">
      <c r="A30" s="297"/>
      <c r="B30" s="330">
        <f>IF(B29&lt;0,"See Tab B","")</f>
      </c>
      <c r="C30" s="297"/>
      <c r="D30" s="330">
        <f>IF(D29&lt;0,"See Tab B","")</f>
      </c>
      <c r="E30" s="297"/>
      <c r="F30" s="330">
        <f>IF(F29&lt;0,"See Tab B","")</f>
      </c>
      <c r="G30" s="155"/>
      <c r="H30" s="330">
        <f>IF(H29&lt;0,"See Tab B","")</f>
      </c>
      <c r="I30" s="155"/>
      <c r="J30" s="330">
        <f>IF(J29&lt;0,"See Tab B","")</f>
      </c>
      <c r="K30" s="306">
        <f>SUM(K7+K17-K28)</f>
        <v>0</v>
      </c>
      <c r="L30" s="18" t="s">
        <v>306</v>
      </c>
    </row>
    <row r="31" spans="1:11" ht="15">
      <c r="A31" s="155"/>
      <c r="B31" s="160"/>
      <c r="C31" s="155"/>
      <c r="D31" s="283"/>
      <c r="E31" s="155"/>
      <c r="F31" s="155"/>
      <c r="G31" s="28" t="s">
        <v>307</v>
      </c>
      <c r="H31" s="28"/>
      <c r="I31" s="28"/>
      <c r="J31" s="28"/>
      <c r="K31" s="155"/>
    </row>
    <row r="32" spans="1:11" ht="15">
      <c r="A32" s="155"/>
      <c r="B32" s="160"/>
      <c r="C32" s="155"/>
      <c r="D32" s="155"/>
      <c r="E32" s="155"/>
      <c r="F32" s="155"/>
      <c r="G32" s="155"/>
      <c r="H32" s="155"/>
      <c r="I32" s="155"/>
      <c r="J32" s="155"/>
      <c r="K32" s="155"/>
    </row>
    <row r="33" spans="1:11" ht="15">
      <c r="A33" s="155"/>
      <c r="B33" s="160"/>
      <c r="C33" s="155"/>
      <c r="D33" s="155"/>
      <c r="E33" s="168" t="s">
        <v>122</v>
      </c>
      <c r="F33" s="264"/>
      <c r="G33" s="155"/>
      <c r="H33" s="155"/>
      <c r="I33" s="155"/>
      <c r="J33" s="155"/>
      <c r="K33" s="155"/>
    </row>
    <row r="34" ht="15">
      <c r="B34" s="307"/>
    </row>
    <row r="35" ht="15">
      <c r="B35" s="307"/>
    </row>
    <row r="36" ht="15">
      <c r="B36" s="307"/>
    </row>
    <row r="37" ht="15">
      <c r="B37" s="307"/>
    </row>
    <row r="38" ht="15">
      <c r="B38" s="307"/>
    </row>
    <row r="39" ht="15">
      <c r="B39" s="307"/>
    </row>
    <row r="40" ht="15">
      <c r="B40" s="307"/>
    </row>
    <row r="41" ht="15">
      <c r="B41" s="30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A66"/>
  <sheetViews>
    <sheetView zoomScalePageLayoutView="0" workbookViewId="0" topLeftCell="A16">
      <selection activeCell="A2" sqref="A2"/>
    </sheetView>
  </sheetViews>
  <sheetFormatPr defaultColWidth="8.8984375" defaultRowHeight="15"/>
  <cols>
    <col min="1" max="1" width="70.59765625" style="87" customWidth="1"/>
    <col min="2" max="16384" width="8.8984375" style="87" customWidth="1"/>
  </cols>
  <sheetData>
    <row r="1" ht="17.25">
      <c r="A1" s="493" t="s">
        <v>328</v>
      </c>
    </row>
    <row r="2" ht="15">
      <c r="A2" s="1"/>
    </row>
    <row r="3" ht="57" customHeight="1">
      <c r="A3" s="494" t="s">
        <v>329</v>
      </c>
    </row>
    <row r="4" ht="15">
      <c r="A4" s="492"/>
    </row>
    <row r="5" ht="15">
      <c r="A5" s="1"/>
    </row>
    <row r="6" ht="44.25" customHeight="1">
      <c r="A6" s="494" t="s">
        <v>330</v>
      </c>
    </row>
    <row r="7" ht="15">
      <c r="A7" s="1"/>
    </row>
    <row r="8" ht="15">
      <c r="A8" s="492"/>
    </row>
    <row r="9" ht="46.5" customHeight="1">
      <c r="A9" s="494" t="s">
        <v>331</v>
      </c>
    </row>
    <row r="10" ht="15">
      <c r="A10" s="1"/>
    </row>
    <row r="11" ht="15">
      <c r="A11" s="492"/>
    </row>
    <row r="12" ht="60" customHeight="1">
      <c r="A12" s="494" t="s">
        <v>332</v>
      </c>
    </row>
    <row r="13" ht="15">
      <c r="A13" s="1"/>
    </row>
    <row r="14" ht="15">
      <c r="A14" s="1"/>
    </row>
    <row r="15" ht="61.5" customHeight="1">
      <c r="A15" s="494" t="s">
        <v>333</v>
      </c>
    </row>
    <row r="16" ht="15">
      <c r="A16" s="1"/>
    </row>
    <row r="17" ht="15">
      <c r="A17" s="1"/>
    </row>
    <row r="18" ht="59.25" customHeight="1">
      <c r="A18" s="494" t="s">
        <v>334</v>
      </c>
    </row>
    <row r="19" ht="15">
      <c r="A19" s="1"/>
    </row>
    <row r="20" ht="15">
      <c r="A20" s="1"/>
    </row>
    <row r="21" ht="61.5" customHeight="1">
      <c r="A21" s="494" t="s">
        <v>335</v>
      </c>
    </row>
    <row r="22" ht="15">
      <c r="A22" s="492"/>
    </row>
    <row r="23" ht="15">
      <c r="A23" s="492"/>
    </row>
    <row r="24" ht="63" customHeight="1">
      <c r="A24" s="494" t="s">
        <v>336</v>
      </c>
    </row>
    <row r="25" ht="15">
      <c r="A25" s="1"/>
    </row>
    <row r="26" ht="15">
      <c r="A26" s="1"/>
    </row>
    <row r="27" ht="52.5" customHeight="1">
      <c r="A27" s="505" t="s">
        <v>756</v>
      </c>
    </row>
    <row r="28" ht="15">
      <c r="A28" s="1"/>
    </row>
    <row r="29" ht="15">
      <c r="A29" s="1"/>
    </row>
    <row r="30" ht="44.25" customHeight="1">
      <c r="A30" s="494" t="s">
        <v>337</v>
      </c>
    </row>
    <row r="31" ht="15">
      <c r="A31" s="1"/>
    </row>
    <row r="32" ht="15">
      <c r="A32" s="1"/>
    </row>
    <row r="33" ht="42.75" customHeight="1">
      <c r="A33" s="494" t="s">
        <v>338</v>
      </c>
    </row>
    <row r="34" ht="15">
      <c r="A34" s="492"/>
    </row>
    <row r="35" ht="15">
      <c r="A35" s="492"/>
    </row>
    <row r="36" ht="38.25" customHeight="1">
      <c r="A36" s="494" t="s">
        <v>339</v>
      </c>
    </row>
    <row r="37" ht="15">
      <c r="A37" s="492"/>
    </row>
    <row r="38" ht="15">
      <c r="A38" s="1"/>
    </row>
    <row r="39" ht="75.75" customHeight="1">
      <c r="A39" s="494" t="s">
        <v>340</v>
      </c>
    </row>
    <row r="40" ht="15">
      <c r="A40" s="1"/>
    </row>
    <row r="41" ht="15">
      <c r="A41" s="1"/>
    </row>
    <row r="42" ht="57.75" customHeight="1">
      <c r="A42" s="494" t="s">
        <v>341</v>
      </c>
    </row>
    <row r="43" ht="15">
      <c r="A43" s="492"/>
    </row>
    <row r="44" ht="15">
      <c r="A44" s="1"/>
    </row>
    <row r="45" ht="57.75" customHeight="1">
      <c r="A45" s="494" t="s">
        <v>342</v>
      </c>
    </row>
    <row r="46" ht="15">
      <c r="A46" s="1"/>
    </row>
    <row r="47" ht="15">
      <c r="A47" s="1"/>
    </row>
    <row r="48" ht="41.25" customHeight="1">
      <c r="A48" s="494" t="s">
        <v>343</v>
      </c>
    </row>
    <row r="49" ht="15">
      <c r="A49" s="1"/>
    </row>
    <row r="50" ht="15">
      <c r="A50" s="1"/>
    </row>
    <row r="51" ht="75" customHeight="1">
      <c r="A51" s="494" t="s">
        <v>344</v>
      </c>
    </row>
    <row r="52" ht="15">
      <c r="A52" s="492"/>
    </row>
    <row r="53" ht="15">
      <c r="A53" s="492"/>
    </row>
    <row r="54" ht="57.75" customHeight="1">
      <c r="A54" s="494" t="s">
        <v>345</v>
      </c>
    </row>
    <row r="55" ht="15">
      <c r="A55" s="1"/>
    </row>
    <row r="56" ht="15">
      <c r="A56" s="1"/>
    </row>
    <row r="57" ht="44.25" customHeight="1">
      <c r="A57" s="494" t="s">
        <v>346</v>
      </c>
    </row>
    <row r="58" ht="15">
      <c r="A58" s="1"/>
    </row>
    <row r="59" ht="15">
      <c r="A59" s="1"/>
    </row>
    <row r="60" ht="60" customHeight="1">
      <c r="A60" s="494" t="s">
        <v>347</v>
      </c>
    </row>
    <row r="61" ht="15">
      <c r="A61" s="492"/>
    </row>
    <row r="62" ht="15">
      <c r="A62" s="492"/>
    </row>
    <row r="63" ht="57.75" customHeight="1">
      <c r="A63" s="494" t="s">
        <v>348</v>
      </c>
    </row>
    <row r="64" ht="15">
      <c r="A64" s="1"/>
    </row>
    <row r="65" ht="15">
      <c r="A65" s="1"/>
    </row>
    <row r="66" ht="60" customHeight="1">
      <c r="A66" s="494" t="s">
        <v>349</v>
      </c>
    </row>
  </sheetData>
  <sheetProtection sheet="1" objects="1" scenarios="1"/>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D73" sqref="D73"/>
    </sheetView>
  </sheetViews>
  <sheetFormatPr defaultColWidth="8.8984375" defaultRowHeight="15"/>
  <cols>
    <col min="1" max="1" width="20.69921875" style="18" customWidth="1"/>
    <col min="2" max="2" width="15.69921875" style="18" customWidth="1"/>
    <col min="3" max="3" width="10.69921875" style="18" customWidth="1"/>
    <col min="4" max="4" width="15.69921875" style="18" customWidth="1"/>
    <col min="5" max="5" width="10.69921875" style="18" customWidth="1"/>
    <col min="6" max="6" width="15.69921875" style="18" customWidth="1"/>
    <col min="7" max="7" width="12.69921875" style="18" customWidth="1"/>
    <col min="8" max="8" width="10.69921875" style="18" customWidth="1"/>
    <col min="9" max="9" width="8.8984375" style="18" customWidth="1"/>
    <col min="10" max="10" width="12.3984375" style="18" customWidth="1"/>
    <col min="11" max="11" width="12.296875" style="18" customWidth="1"/>
    <col min="12" max="12" width="10.59765625" style="18" customWidth="1"/>
    <col min="13" max="13" width="12.09765625" style="18" customWidth="1"/>
    <col min="14" max="16384" width="8.8984375" style="18" customWidth="1"/>
  </cols>
  <sheetData>
    <row r="1" spans="1:9" ht="15">
      <c r="A1" s="996" t="s">
        <v>168</v>
      </c>
      <c r="B1" s="996"/>
      <c r="C1" s="996"/>
      <c r="D1" s="996"/>
      <c r="E1" s="996"/>
      <c r="F1" s="996"/>
      <c r="G1" s="996"/>
      <c r="H1" s="996"/>
      <c r="I1" s="309"/>
    </row>
    <row r="2" spans="1:8" ht="18" customHeight="1">
      <c r="A2" s="32"/>
      <c r="B2" s="32"/>
      <c r="C2" s="32"/>
      <c r="D2" s="32"/>
      <c r="E2" s="32"/>
      <c r="F2" s="32"/>
      <c r="G2" s="32"/>
      <c r="H2" s="32">
        <f>inputPrYr!$C$5</f>
        <v>2015</v>
      </c>
    </row>
    <row r="3" spans="1:8" ht="18" customHeight="1">
      <c r="A3" s="987" t="s">
        <v>124</v>
      </c>
      <c r="B3" s="987"/>
      <c r="C3" s="987"/>
      <c r="D3" s="987"/>
      <c r="E3" s="987"/>
      <c r="F3" s="987"/>
      <c r="G3" s="987"/>
      <c r="H3" s="987"/>
    </row>
    <row r="4" spans="1:8" ht="15">
      <c r="A4" s="985" t="str">
        <f>inputPrYr!D2</f>
        <v>City of Russell</v>
      </c>
      <c r="B4" s="985"/>
      <c r="C4" s="985"/>
      <c r="D4" s="985"/>
      <c r="E4" s="985"/>
      <c r="F4" s="985"/>
      <c r="G4" s="985"/>
      <c r="H4" s="985"/>
    </row>
    <row r="5" spans="1:8" ht="18" customHeight="1">
      <c r="A5" s="1045" t="str">
        <f>CONCATENATE("will meet on ",inputBudSum!B7," at ",inputBudSum!B9," at ",inputBudSum!B11," for the purpose of hearing and")</f>
        <v>will meet on 08/05/2014 at 4:30 pm at City Hall for the purpose of hearing and</v>
      </c>
      <c r="B5" s="1045"/>
      <c r="C5" s="1045"/>
      <c r="D5" s="1045"/>
      <c r="E5" s="1045"/>
      <c r="F5" s="1045"/>
      <c r="G5" s="1045"/>
      <c r="H5" s="1045"/>
    </row>
    <row r="6" spans="1:8" ht="16.5" customHeight="1">
      <c r="A6" s="987" t="s">
        <v>614</v>
      </c>
      <c r="B6" s="987"/>
      <c r="C6" s="987"/>
      <c r="D6" s="987"/>
      <c r="E6" s="987"/>
      <c r="F6" s="987"/>
      <c r="G6" s="987"/>
      <c r="H6" s="987"/>
    </row>
    <row r="7" spans="1:8" ht="16.5" customHeight="1">
      <c r="A7" s="1054" t="str">
        <f>CONCATENATE("Detailed budget information is available at ",inputBudSum!B14," and will be available at this hearing.")</f>
        <v>Detailed budget information is available at City Hall and will be available at this hearing.</v>
      </c>
      <c r="B7" s="1054"/>
      <c r="C7" s="1054"/>
      <c r="D7" s="1054"/>
      <c r="E7" s="1054"/>
      <c r="F7" s="1054"/>
      <c r="G7" s="1054"/>
      <c r="H7" s="1054"/>
    </row>
    <row r="8" spans="1:8" ht="15">
      <c r="A8" s="36" t="s">
        <v>169</v>
      </c>
      <c r="B8" s="37"/>
      <c r="C8" s="37"/>
      <c r="D8" s="37"/>
      <c r="E8" s="37"/>
      <c r="F8" s="37"/>
      <c r="G8" s="37"/>
      <c r="H8" s="37"/>
    </row>
    <row r="9" spans="1:8" ht="15">
      <c r="A9" s="121" t="str">
        <f>CONCATENATE("Proposed Budget ",H2," Expenditures and Amount of ",H2-1," Ad Valorem Tax establish the maximum limits of the ",H2," budget.")</f>
        <v>Proposed Budget 2015 Expenditures and Amount of 2014 Ad Valorem Tax establish the maximum limits of the 2015 budget.</v>
      </c>
      <c r="B9" s="37"/>
      <c r="C9" s="37"/>
      <c r="D9" s="37"/>
      <c r="E9" s="37"/>
      <c r="F9" s="37"/>
      <c r="G9" s="37"/>
      <c r="H9" s="37"/>
    </row>
    <row r="10" spans="1:8" ht="15">
      <c r="A10" s="121" t="s">
        <v>221</v>
      </c>
      <c r="B10" s="37"/>
      <c r="C10" s="37"/>
      <c r="D10" s="37"/>
      <c r="E10" s="37"/>
      <c r="F10" s="37"/>
      <c r="G10" s="37"/>
      <c r="H10" s="37"/>
    </row>
    <row r="11" spans="1:8" ht="15">
      <c r="A11" s="32"/>
      <c r="B11" s="271"/>
      <c r="C11" s="271"/>
      <c r="D11" s="271"/>
      <c r="E11" s="271"/>
      <c r="F11" s="271"/>
      <c r="G11" s="271"/>
      <c r="H11" s="271"/>
    </row>
    <row r="12" spans="1:8" ht="15">
      <c r="A12" s="32"/>
      <c r="B12" s="310" t="str">
        <f>CONCATENATE("Prior Year Actual for ",H2-2,"")</f>
        <v>Prior Year Actual for 2013</v>
      </c>
      <c r="C12" s="124"/>
      <c r="D12" s="310" t="str">
        <f>CONCATENATE("Current Year Estimate for ",H2-1,"")</f>
        <v>Current Year Estimate for 2014</v>
      </c>
      <c r="E12" s="124"/>
      <c r="F12" s="122" t="str">
        <f>CONCATENATE("Proposed Budget for ",H2,"")</f>
        <v>Proposed Budget for 2015</v>
      </c>
      <c r="G12" s="123"/>
      <c r="H12" s="124"/>
    </row>
    <row r="13" spans="1:8" ht="21" customHeight="1">
      <c r="A13" s="32"/>
      <c r="B13" s="261"/>
      <c r="C13" s="127" t="s">
        <v>126</v>
      </c>
      <c r="D13" s="127"/>
      <c r="E13" s="127" t="s">
        <v>126</v>
      </c>
      <c r="F13" s="534" t="s">
        <v>9</v>
      </c>
      <c r="G13" s="127" t="str">
        <f>CONCATENATE("Amount of ",H2-1,"")</f>
        <v>Amount of 2014</v>
      </c>
      <c r="H13" s="127" t="s">
        <v>275</v>
      </c>
    </row>
    <row r="14" spans="1:8" ht="15">
      <c r="A14" s="45" t="s">
        <v>127</v>
      </c>
      <c r="B14" s="131" t="s">
        <v>128</v>
      </c>
      <c r="C14" s="131" t="s">
        <v>129</v>
      </c>
      <c r="D14" s="131" t="s">
        <v>128</v>
      </c>
      <c r="E14" s="131" t="s">
        <v>129</v>
      </c>
      <c r="F14" s="535" t="s">
        <v>644</v>
      </c>
      <c r="G14" s="132" t="s">
        <v>104</v>
      </c>
      <c r="H14" s="131" t="s">
        <v>129</v>
      </c>
    </row>
    <row r="15" spans="1:8" ht="15">
      <c r="A15" s="68" t="str">
        <f>inputPrYr!B17</f>
        <v>General</v>
      </c>
      <c r="B15" s="68">
        <f>IF(general!$C$111&lt;&gt;0,general!$C$111,"  ")</f>
        <v>2962661</v>
      </c>
      <c r="C15" s="311">
        <f>IF(inputPrYr!D86&gt;0,inputPrYr!D86,"  ")</f>
        <v>31.478</v>
      </c>
      <c r="D15" s="68">
        <f>IF(general!$D$111&lt;&gt;0,general!$D$111,"  ")</f>
        <v>2975306</v>
      </c>
      <c r="E15" s="311">
        <f>IF(inputOth!D23&gt;0,inputOth!D23,"  ")</f>
        <v>25.087</v>
      </c>
      <c r="F15" s="68">
        <f>IF(general!$E$111&lt;&gt;0,general!$E$111,"  ")</f>
        <v>4510598</v>
      </c>
      <c r="G15" s="68">
        <f>IF(general!$E$118&lt;&gt;0,general!$E$118,"  ")</f>
        <v>1069007</v>
      </c>
      <c r="H15" s="311">
        <f>IF(general!E118&gt;0,ROUND(G15/$F$59*1000,3),"  ")</f>
        <v>36.854</v>
      </c>
    </row>
    <row r="16" spans="1:8" ht="15">
      <c r="A16" s="68" t="str">
        <f>inputPrYr!B18</f>
        <v>Debt Service</v>
      </c>
      <c r="B16" s="68">
        <f>IF(DebtService!C56&lt;&gt;0,DebtService!C56,"  ")</f>
        <v>486143</v>
      </c>
      <c r="C16" s="311">
        <f>IF(inputPrYr!D87&gt;0,inputPrYr!D87,"  ")</f>
        <v>2.214</v>
      </c>
      <c r="D16" s="68">
        <f>IF(DebtService!D56&lt;&gt;0,DebtService!D56,"  ")</f>
        <v>480393</v>
      </c>
      <c r="E16" s="311">
        <f>IF(inputOth!D24&gt;0,inputOth!D24,"  ")</f>
        <v>0.525</v>
      </c>
      <c r="F16" s="68">
        <f>IF(DebtService!E56&lt;&gt;0,DebtService!E56,"  ")</f>
        <v>475501</v>
      </c>
      <c r="G16" s="68" t="str">
        <f>IF(DebtService!E63&lt;&gt;0,DebtService!E63,"  ")</f>
        <v>  </v>
      </c>
      <c r="H16" s="311" t="str">
        <f>IF(DebtService!E63&gt;0,ROUND(G16/$F$59*1000,3),"  ")</f>
        <v>  </v>
      </c>
    </row>
    <row r="17" spans="1:8" ht="15">
      <c r="A17" s="68" t="str">
        <f>inputPrYr!B19</f>
        <v>Library</v>
      </c>
      <c r="B17" s="840">
        <f>IF(('Library-Rec'!C33)&lt;&gt;0,('Library-Rec'!C33),"  ")</f>
        <v>146720</v>
      </c>
      <c r="C17" s="311">
        <f>IF(inputPrYr!D88&gt;0,inputPrYr!D88,"  ")</f>
        <v>4.909</v>
      </c>
      <c r="D17" s="840">
        <f>IF(('Library-Rec'!D33)&lt;&gt;0,('Library-Rec'!D33),"  ")</f>
        <v>150931</v>
      </c>
      <c r="E17" s="311">
        <f>IF(inputOth!D25&gt;0,inputOth!D25,"  ")</f>
        <v>4.41</v>
      </c>
      <c r="F17" s="840">
        <f>IF(('Library-Rec'!E33)&lt;&gt;0,('Library-Rec'!E33),"  ")</f>
        <v>156689</v>
      </c>
      <c r="G17" s="841">
        <f>IF('Library-Rec'!E40&lt;&gt;0,'Library-Rec'!E40,"  ")</f>
        <v>130884</v>
      </c>
      <c r="H17" s="842">
        <f>IF('Library-Rec'!E40&gt;0,ROUND(G17/$F$59*1000,3),"")</f>
        <v>4.512</v>
      </c>
    </row>
    <row r="18" spans="1:8" ht="15">
      <c r="A18" s="68" t="str">
        <f>IF(inputPrYr!$B21&gt;"  ",(inputPrYr!$B21),"  ")</f>
        <v>Airport</v>
      </c>
      <c r="B18" s="68">
        <f>IF('Airport-Indust'!$C$33&gt;0,'Airport-Indust'!$C$33,"  ")</f>
        <v>25592</v>
      </c>
      <c r="C18" s="311">
        <f>IF(inputPrYr!D89&gt;0,inputPrYr!D89,"  ")</f>
        <v>0.981</v>
      </c>
      <c r="D18" s="68">
        <f>IF('Airport-Indust'!$D$33&gt;0,'Airport-Indust'!$D$33,"  ")</f>
        <v>62416</v>
      </c>
      <c r="E18" s="311">
        <f>IF(inputOth!D26&gt;0,inputOth!D26,"  ")</f>
        <v>0.018</v>
      </c>
      <c r="F18" s="68">
        <f>IF('Airport-Indust'!$E$33&gt;0,'Airport-Indust'!$E$33,"  ")</f>
        <v>48597</v>
      </c>
      <c r="G18" s="68">
        <f>IF('Airport-Indust'!$E$40&lt;&gt;0,'Airport-Indust'!$E$40,"  ")</f>
        <v>17628</v>
      </c>
      <c r="H18" s="311">
        <f>IF('Airport-Indust'!E40&lt;&gt;0,ROUND(G18/$F$59*1000,3),"  ")</f>
        <v>0.608</v>
      </c>
    </row>
    <row r="19" spans="1:8" ht="15">
      <c r="A19" s="68" t="str">
        <f>IF(inputPrYr!$B22&gt;"  ",(inputPrYr!$B22),"  ")</f>
        <v>Industrial</v>
      </c>
      <c r="B19" s="68">
        <f>IF('Airport-Indust'!$C$73&gt;0,'Airport-Indust'!$C$73,"  ")</f>
        <v>75227</v>
      </c>
      <c r="C19" s="311">
        <f>IF(inputPrYr!D90&gt;0,inputPrYr!D90,"  ")</f>
        <v>1.013</v>
      </c>
      <c r="D19" s="68">
        <f>IF('Airport-Indust'!$D$73&gt;0,'Airport-Indust'!$D$73,"  ")</f>
        <v>112825</v>
      </c>
      <c r="E19" s="311">
        <f>IF(inputOth!D27&gt;0,inputOth!D27,"  ")</f>
        <v>0.814</v>
      </c>
      <c r="F19" s="68">
        <f>IF('Airport-Indust'!$E$73&gt;0,'Airport-Indust'!$E$73,"  ")</f>
        <v>113131</v>
      </c>
      <c r="G19" s="68">
        <f>IF('Airport-Indust'!$E$80&lt;&gt;0,'Airport-Indust'!$E$80,"  ")</f>
        <v>36569</v>
      </c>
      <c r="H19" s="311">
        <f>IF('Airport-Indust'!E80&lt;&gt;0,ROUND(G19/$F$59*1000,3),"  ")</f>
        <v>1.261</v>
      </c>
    </row>
    <row r="20" spans="1:8" ht="15">
      <c r="A20" s="68" t="str">
        <f>IF(inputPrYr!$B23&gt;"  ",(inputPrYr!$B23),"  ")</f>
        <v>Fire Equipment</v>
      </c>
      <c r="B20" s="68">
        <f>IF('Fire-Personel'!$C$33&gt;0,'Fire-Personel'!$C$33,"  ")</f>
        <v>204198</v>
      </c>
      <c r="C20" s="311">
        <f>IF(inputPrYr!D91&gt;0,inputPrYr!D91,"  ")</f>
        <v>0.987</v>
      </c>
      <c r="D20" s="68">
        <f>IF('Fire-Personel'!$D$33&gt;0,'Fire-Personel'!$D$33,"  ")</f>
        <v>25124</v>
      </c>
      <c r="E20" s="311">
        <f>IF(inputOth!D28&gt;0,inputOth!D28,"  ")</f>
        <v>0.139</v>
      </c>
      <c r="F20" s="68">
        <f>IF('Fire-Personel'!$E$33&gt;0,'Fire-Personel'!$E$33,"  ")</f>
        <v>171778</v>
      </c>
      <c r="G20" s="68">
        <f>IF('Fire-Personel'!$E$40&lt;&gt;0,'Fire-Personel'!$E$40,"  ")</f>
        <v>145038</v>
      </c>
      <c r="H20" s="311">
        <f>IF('Fire-Personel'!E40&lt;&gt;0,ROUND(G20/$F$59*1000,3),"  ")</f>
        <v>5</v>
      </c>
    </row>
    <row r="21" spans="1:8" ht="15">
      <c r="A21" s="68" t="str">
        <f>IF(inputPrYr!$B24&gt;"  ",(inputPrYr!$B24),"  ")</f>
        <v>Personnel Benefits</v>
      </c>
      <c r="B21" s="68">
        <f>IF('Fire-Personel'!$C$73&gt;0,'Fire-Personel'!$C$73,"  ")</f>
        <v>1658488</v>
      </c>
      <c r="C21" s="311">
        <f>IF(inputPrYr!D92&gt;0,inputPrYr!D92,"  ")</f>
        <v>16.718</v>
      </c>
      <c r="D21" s="68">
        <f>IF('Fire-Personel'!$D$73&gt;0,'Fire-Personel'!$D$73,"  ")</f>
        <v>1629028</v>
      </c>
      <c r="E21" s="311">
        <f>IF(inputOth!D29&gt;0,inputOth!D29,"  ")</f>
        <v>29.651</v>
      </c>
      <c r="F21" s="68">
        <f>IF('Fire-Personel'!$E$73&gt;0,'Fire-Personel'!$E$73,"  ")</f>
        <v>1861798</v>
      </c>
      <c r="G21" s="68">
        <f>IF('Fire-Personel'!$E$80&lt;&gt;0,'Fire-Personel'!$E$80,"  ")</f>
        <v>324827</v>
      </c>
      <c r="H21" s="311">
        <f>IF('Fire-Personel'!E80&lt;&gt;0,ROUND(G21/$F$59*1000,3),"  ")</f>
        <v>11.198</v>
      </c>
    </row>
    <row r="22" spans="1:8" ht="15">
      <c r="A22" s="68" t="str">
        <f>IF(inputPrYr!$B25&gt;"  ",(inputPrYr!$B25),"  ")</f>
        <v>  </v>
      </c>
      <c r="B22" s="68" t="str">
        <f>IF('levy page11'!$C$33&gt;0,'levy page11'!$C$33,"  ")</f>
        <v>  </v>
      </c>
      <c r="C22" s="311" t="str">
        <f>IF(inputPrYr!D93&gt;0,inputPrYr!D93,"  ")</f>
        <v>  </v>
      </c>
      <c r="D22" s="68" t="str">
        <f>IF('levy page11'!$D$33&gt;0,'levy page11'!$D$33,"  ")</f>
        <v>  </v>
      </c>
      <c r="E22" s="311" t="str">
        <f>IF(inputOth!D30&gt;0,inputOth!D30,"  ")</f>
        <v>  </v>
      </c>
      <c r="F22" s="68" t="str">
        <f>IF('levy page11'!$E$33&gt;0,'levy page11'!$E$33,"  ")</f>
        <v>  </v>
      </c>
      <c r="G22" s="68" t="str">
        <f>IF('levy page11'!$E$40&lt;&gt;0,'levy page11'!$E$40,"  ")</f>
        <v>  </v>
      </c>
      <c r="H22" s="311" t="str">
        <f>IF('levy page11'!E40&lt;&gt;0,ROUND(G22/$F$59*1000,3),"  ")</f>
        <v>  </v>
      </c>
    </row>
    <row r="23" spans="1:8" ht="15">
      <c r="A23" s="68" t="str">
        <f>IF(inputPrYr!$B26&gt;"  ",(inputPrYr!$B26),"  ")</f>
        <v>  </v>
      </c>
      <c r="B23" s="68" t="str">
        <f>IF('levy page11'!$C$73&gt;0,'levy page11'!$C$73,"  ")</f>
        <v>  </v>
      </c>
      <c r="C23" s="311" t="str">
        <f>IF(inputPrYr!D94&gt;0,inputPrYr!D94,"  ")</f>
        <v>  </v>
      </c>
      <c r="D23" s="68" t="str">
        <f>IF('levy page11'!$D$73&gt;0,'levy page11'!$D$73,"  ")</f>
        <v>  </v>
      </c>
      <c r="E23" s="311" t="str">
        <f>IF(inputOth!D31&gt;0,inputOth!D31,"  ")</f>
        <v>  </v>
      </c>
      <c r="F23" s="68" t="str">
        <f>IF('levy page11'!$E$73&gt;0,'levy page11'!$E$73,"  ")</f>
        <v>  </v>
      </c>
      <c r="G23" s="68" t="str">
        <f>IF('levy page11'!$E$80&lt;&gt;0,'levy page11'!$E$80,"  ")</f>
        <v>  </v>
      </c>
      <c r="H23" s="311" t="str">
        <f>IF('levy page11'!E80&lt;&gt;0,ROUND(G23/$F$59*1000,3),"  ")</f>
        <v>  </v>
      </c>
    </row>
    <row r="24" spans="1:8" ht="15">
      <c r="A24" s="68" t="str">
        <f>IF(inputPrYr!$B27&gt;"  ",(inputPrYr!$B27),"  ")</f>
        <v>  </v>
      </c>
      <c r="B24" s="68" t="str">
        <f>IF('levy page12'!$C$33&gt;0,'levy page12'!$C$33,"  ")</f>
        <v>  </v>
      </c>
      <c r="C24" s="311" t="str">
        <f>IF(inputPrYr!D95&gt;0,inputPrYr!D95,"  ")</f>
        <v>  </v>
      </c>
      <c r="D24" s="68" t="str">
        <f>IF('levy page12'!$D$33&gt;0,'levy page12'!$D$33,"  ")</f>
        <v>  </v>
      </c>
      <c r="E24" s="311" t="str">
        <f>IF(inputOth!D32&gt;0,inputOth!D32,"  ")</f>
        <v>  </v>
      </c>
      <c r="F24" s="68" t="str">
        <f>IF('levy page12'!$E$33&gt;0,'levy page12'!$E$33,"  ")</f>
        <v>  </v>
      </c>
      <c r="G24" s="68" t="str">
        <f>IF('levy page12'!$E$40&lt;&gt;0,'levy page12'!$E$40,"  ")</f>
        <v>  </v>
      </c>
      <c r="H24" s="311" t="str">
        <f>IF('levy page12'!E40&lt;&gt;0,ROUND(G24/$F$59*1000,3),"  ")</f>
        <v>  </v>
      </c>
    </row>
    <row r="25" spans="1:8" ht="15">
      <c r="A25" s="68" t="str">
        <f>IF(inputPrYr!$B28&gt;"  ",(inputPrYr!$B28),"  ")</f>
        <v>  </v>
      </c>
      <c r="B25" s="68" t="str">
        <f>IF('levy page12'!$C$73&gt;0,'levy page12'!$C$73,"  ")</f>
        <v>  </v>
      </c>
      <c r="C25" s="311" t="str">
        <f>IF(inputPrYr!D96&gt;0,inputPrYr!D96,"  ")</f>
        <v>  </v>
      </c>
      <c r="D25" s="68" t="str">
        <f>IF('levy page12'!$D$73&gt;0,'levy page12'!$D$73,"  ")</f>
        <v>  </v>
      </c>
      <c r="E25" s="311" t="str">
        <f>IF(inputOth!D33&gt;0,inputOth!D33,"  ")</f>
        <v>  </v>
      </c>
      <c r="F25" s="68" t="str">
        <f>IF('levy page12'!$E$73&gt;0,'levy page12'!$E$73,"  ")</f>
        <v>  </v>
      </c>
      <c r="G25" s="68" t="str">
        <f>IF('levy page12'!$E$80&lt;&gt;0,'levy page12'!$E$80,"  ")</f>
        <v>  </v>
      </c>
      <c r="H25" s="311" t="str">
        <f>IF('levy page12'!E80&lt;&gt;0,ROUND(G25/$F$59*1000,3),"  ")</f>
        <v>  </v>
      </c>
    </row>
    <row r="26" spans="1:8" ht="15">
      <c r="A26" s="68" t="str">
        <f>IF(inputPrYr!$B29&gt;"  ",(inputPrYr!$B29),"  ")</f>
        <v>  </v>
      </c>
      <c r="B26" s="68" t="str">
        <f>IF('levy page13'!$C$33&gt;0,'levy page13'!$C$33,"  ")</f>
        <v>  </v>
      </c>
      <c r="C26" s="311" t="str">
        <f>IF(inputPrYr!D97&gt;0,inputPrYr!D97,"  ")</f>
        <v>  </v>
      </c>
      <c r="D26" s="68" t="str">
        <f>IF('levy page13'!$D$33&gt;0,'levy page13'!$D$33,"  ")</f>
        <v>  </v>
      </c>
      <c r="E26" s="311" t="str">
        <f>IF(inputOth!D34&gt;0,inputOth!D34,"  ")</f>
        <v>  </v>
      </c>
      <c r="F26" s="68" t="str">
        <f>IF('levy page13'!$E$33&gt;0,'levy page13'!$E$33,"  ")</f>
        <v>  </v>
      </c>
      <c r="G26" s="68" t="str">
        <f>IF('levy page13'!$E$40&lt;&gt;0,'levy page13'!$E$40,"  ")</f>
        <v>  </v>
      </c>
      <c r="H26" s="311" t="str">
        <f>IF('levy page13'!E40&lt;&gt;0,ROUND(G26/$F$59*1000,3),"  ")</f>
        <v>  </v>
      </c>
    </row>
    <row r="27" spans="1:8" ht="15">
      <c r="A27" s="68" t="str">
        <f>IF(inputPrYr!$B30&gt;"  ",(inputPrYr!$B30),"  ")</f>
        <v>  </v>
      </c>
      <c r="B27" s="68" t="str">
        <f>IF('levy page13'!$C$73&gt;0,'levy page13'!$C$73,"  ")</f>
        <v>  </v>
      </c>
      <c r="C27" s="311" t="str">
        <f>IF(inputPrYr!D98&gt;0,inputPrYr!D98,"  ")</f>
        <v>  </v>
      </c>
      <c r="D27" s="68" t="str">
        <f>IF('levy page13'!$D$73&gt;0,'levy page13'!$D$73,"  ")</f>
        <v>  </v>
      </c>
      <c r="E27" s="311" t="str">
        <f>IF(inputOth!D35&gt;0,inputOth!D35,"  ")</f>
        <v>  </v>
      </c>
      <c r="F27" s="68" t="str">
        <f>IF('levy page13'!$E$73&gt;0,'levy page13'!$E$73,"  ")</f>
        <v>  </v>
      </c>
      <c r="G27" s="68" t="str">
        <f>IF('levy page13'!$E$80&lt;&gt;0,'levy page13'!$E$80,"  ")</f>
        <v>  </v>
      </c>
      <c r="H27" s="311" t="str">
        <f>IF('levy page13'!E80&lt;&gt;0,ROUND(G27/$F$59*1000,3),"  ")</f>
        <v>  </v>
      </c>
    </row>
    <row r="28" spans="1:8" ht="15">
      <c r="A28" s="68" t="str">
        <f>IF(inputPrYr!$B36&gt;"  ",(inputPrYr!$B36),"  ")</f>
        <v>Special Highway</v>
      </c>
      <c r="B28" s="68">
        <f>IF('Sp Hiway'!$C$30&gt;0,'Sp Hiway'!$C$30,"  ")</f>
        <v>3368</v>
      </c>
      <c r="C28" s="46"/>
      <c r="D28" s="68">
        <f>IF('Sp Hiway'!$D$30&gt;0,'Sp Hiway'!$D$30,"  ")</f>
        <v>30000</v>
      </c>
      <c r="E28" s="46"/>
      <c r="F28" s="68">
        <f>IF('Sp Hiway'!$E$30&gt;0,'Sp Hiway'!$E$30,"  ")</f>
        <v>725000</v>
      </c>
      <c r="G28" s="68"/>
      <c r="H28" s="311"/>
    </row>
    <row r="29" spans="1:8" ht="15">
      <c r="A29" s="68" t="str">
        <f>IF(inputPrYr!$B37&gt;"  ",(inputPrYr!$B37),"  ")</f>
        <v>Special Parks &amp; Recreation</v>
      </c>
      <c r="B29" s="68" t="str">
        <f>IF('Sp Hiway'!$C$61&gt;0,'Sp Hiway'!$C$61,"  ")</f>
        <v>  </v>
      </c>
      <c r="C29" s="46"/>
      <c r="D29" s="68">
        <f>IF('Sp Hiway'!$D$61&gt;0,'Sp Hiway'!$D$61,"  ")</f>
        <v>25000</v>
      </c>
      <c r="E29" s="46"/>
      <c r="F29" s="68">
        <f>IF('Sp Hiway'!$E$61&gt;0,'Sp Hiway'!$E$61,"  ")</f>
        <v>70000</v>
      </c>
      <c r="G29" s="68"/>
      <c r="H29" s="311"/>
    </row>
    <row r="30" spans="1:8" ht="15">
      <c r="A30" s="68" t="str">
        <f>IF(inputPrYr!$B38&gt;"  ",(inputPrYr!$B38),"  ")</f>
        <v>  </v>
      </c>
      <c r="B30" s="68" t="str">
        <f>IF('no levy page15'!$C$30&gt;0,'no levy page15'!$C$30,"  ")</f>
        <v>  </v>
      </c>
      <c r="C30" s="46"/>
      <c r="D30" s="68" t="str">
        <f>IF('no levy page15'!$D$30&gt;0,'no levy page15'!$D$30,"  ")</f>
        <v>  </v>
      </c>
      <c r="E30" s="46"/>
      <c r="F30" s="68" t="str">
        <f>IF('no levy page15'!$E$30&gt;0,'no levy page15'!$E$30,"  ")</f>
        <v>  </v>
      </c>
      <c r="G30" s="68"/>
      <c r="H30" s="311"/>
    </row>
    <row r="31" spans="1:8" ht="15">
      <c r="A31" s="68" t="str">
        <f>IF(inputPrYr!$B39&gt;"  ",(inputPrYr!$B39),"  ")</f>
        <v>  </v>
      </c>
      <c r="B31" s="68" t="str">
        <f>IF('no levy page15'!$C$61&gt;0,'no levy page15'!$C$61,"  ")</f>
        <v>  </v>
      </c>
      <c r="C31" s="46"/>
      <c r="D31" s="68" t="str">
        <f>IF('no levy page15'!$D$61&gt;0,'no levy page15'!$D$61,"  ")</f>
        <v>  </v>
      </c>
      <c r="E31" s="46"/>
      <c r="F31" s="68" t="str">
        <f>IF('no levy page15'!$E$61&gt;0,'no levy page15'!$E$61,"  ")</f>
        <v>  </v>
      </c>
      <c r="G31" s="68"/>
      <c r="H31" s="311"/>
    </row>
    <row r="32" spans="1:8" ht="15">
      <c r="A32" s="68" t="str">
        <f>IF(inputPrYr!$B40&gt;"  ",(inputPrYr!$B40),"  ")</f>
        <v>  </v>
      </c>
      <c r="B32" s="68" t="str">
        <f>IF('no levy page16'!$C$30&gt;0,'no levy page16'!$C$30,"  ")</f>
        <v>  </v>
      </c>
      <c r="C32" s="46"/>
      <c r="D32" s="68" t="str">
        <f>IF('no levy page16'!$D$30&gt;0,'no levy page16'!$D$30,"  ")</f>
        <v>  </v>
      </c>
      <c r="E32" s="46"/>
      <c r="F32" s="68" t="str">
        <f>IF('no levy page16'!$E$30&gt;0,'no levy page16'!$E$30,"  ")</f>
        <v>  </v>
      </c>
      <c r="G32" s="46"/>
      <c r="H32" s="46"/>
    </row>
    <row r="33" spans="1:8" ht="15">
      <c r="A33" s="68" t="str">
        <f>IF(inputPrYr!$B41&gt;"  ",(inputPrYr!$B41),"  ")</f>
        <v>  </v>
      </c>
      <c r="B33" s="68" t="str">
        <f>IF('no levy page16'!$C$61&gt;0,'no levy page16'!$C$61,"  ")</f>
        <v>  </v>
      </c>
      <c r="C33" s="46"/>
      <c r="D33" s="68" t="str">
        <f>IF('no levy page16'!$D$61&gt;0,'no levy page16'!$D$61,"  ")</f>
        <v>  </v>
      </c>
      <c r="E33" s="46"/>
      <c r="F33" s="68" t="str">
        <f>IF('no levy page16'!$E$61&gt;0,'no levy page16'!$E$61,"  ")</f>
        <v>  </v>
      </c>
      <c r="G33" s="46"/>
      <c r="H33" s="46"/>
    </row>
    <row r="34" spans="1:8" ht="15">
      <c r="A34" s="68" t="str">
        <f>IF(inputPrYr!$B42&gt;"  ",(inputPrYr!$B42),"  ")</f>
        <v>  </v>
      </c>
      <c r="B34" s="68" t="str">
        <f>IF('no levy page17'!$C$30&gt;0,'no levy page17'!$C$30,"  ")</f>
        <v>  </v>
      </c>
      <c r="C34" s="46"/>
      <c r="D34" s="68" t="str">
        <f>IF('no levy page17'!$D$30&gt;0,'no levy page17'!$D$30,"  ")</f>
        <v>  </v>
      </c>
      <c r="E34" s="46"/>
      <c r="F34" s="68" t="str">
        <f>IF('no levy page17'!$E$30&gt;0,'no levy page17'!$E$30,"  ")</f>
        <v>  </v>
      </c>
      <c r="G34" s="46"/>
      <c r="H34" s="46"/>
    </row>
    <row r="35" spans="1:8" ht="15">
      <c r="A35" s="68" t="str">
        <f>IF(inputPrYr!$B43&gt;"  ",(inputPrYr!$B43),"  ")</f>
        <v>  </v>
      </c>
      <c r="B35" s="68" t="str">
        <f>IF('no levy page17'!$C$61&gt;0,'no levy page17'!$C$61,"  ")</f>
        <v>  </v>
      </c>
      <c r="C35" s="46"/>
      <c r="D35" s="68" t="str">
        <f>IF('no levy page17'!$D$61&gt;0,'no levy page17'!$D$61,"  ")</f>
        <v>  </v>
      </c>
      <c r="E35" s="46"/>
      <c r="F35" s="68" t="str">
        <f>IF('no levy page17'!$E$61&gt;0,'no levy page17'!$E$61,"  ")</f>
        <v>  </v>
      </c>
      <c r="G35" s="46"/>
      <c r="H35" s="46"/>
    </row>
    <row r="36" spans="1:8" ht="15">
      <c r="A36" s="68" t="str">
        <f>IF(inputPrYr!$B44&gt;"  ",(inputPrYr!$B44),"  ")</f>
        <v>  </v>
      </c>
      <c r="B36" s="68" t="str">
        <f>IF('no levy page18'!$C$30&gt;0,'no levy page18'!$C$30,"  ")</f>
        <v>  </v>
      </c>
      <c r="C36" s="46"/>
      <c r="D36" s="68" t="str">
        <f>IF('no levy page18'!$D$30&gt;0,'no levy page18'!$D$30,"  ")</f>
        <v>  </v>
      </c>
      <c r="E36" s="46"/>
      <c r="F36" s="68" t="str">
        <f>IF('no levy page18'!$E$30&gt;0,'no levy page18'!$E$30,"  ")</f>
        <v>  </v>
      </c>
      <c r="G36" s="46"/>
      <c r="H36" s="46"/>
    </row>
    <row r="37" spans="1:8" ht="15">
      <c r="A37" s="68" t="str">
        <f>IF(inputPrYr!$B45&gt;"  ",(inputPrYr!$B45),"  ")</f>
        <v>  </v>
      </c>
      <c r="B37" s="68" t="str">
        <f>IF('no levy page18'!$C$61&gt;0,'no levy page18'!$C$61,"  ")</f>
        <v>  </v>
      </c>
      <c r="C37" s="46"/>
      <c r="D37" s="68" t="str">
        <f>IF('no levy page18'!$D$61&gt;0,'no levy page18'!$D$61,"  ")</f>
        <v>  </v>
      </c>
      <c r="E37" s="46"/>
      <c r="F37" s="68" t="str">
        <f>IF('no levy page18'!$E$61&gt;0,'no levy page18'!$E$61,"  ")</f>
        <v>  </v>
      </c>
      <c r="G37" s="46"/>
      <c r="H37" s="46"/>
    </row>
    <row r="38" spans="1:8" ht="15">
      <c r="A38" s="68" t="str">
        <f>IF(inputPrYr!$B46&gt;"  ",(inputPrYr!$B46),"  ")</f>
        <v>  </v>
      </c>
      <c r="B38" s="68" t="str">
        <f>IF('no levy page19'!$C$30&gt;0,'no levy page19'!$C$30,"  ")</f>
        <v>  </v>
      </c>
      <c r="C38" s="46"/>
      <c r="D38" s="68" t="str">
        <f>IF('no levy page19'!$D$30&gt;0,'no levy page19'!$D$30,"  ")</f>
        <v>  </v>
      </c>
      <c r="E38" s="46"/>
      <c r="F38" s="68" t="str">
        <f>IF('no levy page19'!$E$30&gt;0,'no levy page19'!$E$30,"  ")</f>
        <v>  </v>
      </c>
      <c r="G38" s="46"/>
      <c r="H38" s="46"/>
    </row>
    <row r="39" spans="1:8" ht="15">
      <c r="A39" s="68" t="str">
        <f>IF(inputPrYr!$B47&gt;"  ",(inputPrYr!$B47),"  ")</f>
        <v>  </v>
      </c>
      <c r="B39" s="68" t="str">
        <f>IF('no levy page19'!$C$61&gt;0,'no levy page19'!$C$61,"  ")</f>
        <v>  </v>
      </c>
      <c r="C39" s="46"/>
      <c r="D39" s="68" t="str">
        <f>IF('no levy page19'!$D$61&gt;0,'no levy page19'!$D$61,"  ")</f>
        <v>  </v>
      </c>
      <c r="E39" s="46"/>
      <c r="F39" s="68" t="str">
        <f>IF('no levy page19'!$E$61&gt;0,'no levy page19'!$E$61,"  ")</f>
        <v>  </v>
      </c>
      <c r="G39" s="46"/>
      <c r="H39" s="46"/>
    </row>
    <row r="40" spans="1:8" ht="15">
      <c r="A40" s="68" t="str">
        <f>IF(inputPrYr!$B48&gt;"  ",(inputPrYr!$B48),"  ")</f>
        <v>  </v>
      </c>
      <c r="B40" s="68" t="str">
        <f>IF('no levy page20'!$C$30&gt;0,'no levy page20'!$C$30,"  ")</f>
        <v>  </v>
      </c>
      <c r="C40" s="46"/>
      <c r="D40" s="68" t="str">
        <f>IF('no levy page20'!$D$30&gt;0,'no levy page20'!$D$30,"  ")</f>
        <v>  </v>
      </c>
      <c r="E40" s="46"/>
      <c r="F40" s="68" t="str">
        <f>IF('no levy page20'!$E$30&gt;0,'no levy page20'!$E$30,"  ")</f>
        <v>  </v>
      </c>
      <c r="G40" s="46"/>
      <c r="H40" s="46"/>
    </row>
    <row r="41" spans="1:13" ht="15">
      <c r="A41" s="68" t="str">
        <f>IF(inputPrYr!$B49&gt;"  ",(inputPrYr!$B49),"  ")</f>
        <v>  </v>
      </c>
      <c r="B41" s="68" t="str">
        <f>IF('no levy page20'!$C$61&gt;0,'no levy page20'!$C$61,"  ")</f>
        <v>  </v>
      </c>
      <c r="C41" s="46"/>
      <c r="D41" s="68" t="str">
        <f>IF('no levy page20'!$D$61&gt;0,'no levy page20'!$D$61,"  ")</f>
        <v>  </v>
      </c>
      <c r="E41" s="46"/>
      <c r="F41" s="68" t="str">
        <f>IF('no levy page20'!$E$61&gt;0,'no levy page20'!$E$61,"  ")</f>
        <v>  </v>
      </c>
      <c r="G41" s="46"/>
      <c r="H41" s="46"/>
      <c r="J41" s="1047" t="str">
        <f>CONCATENATE("Estimated Value Of One Mill For ",H2,"")</f>
        <v>Estimated Value Of One Mill For 2015</v>
      </c>
      <c r="K41" s="1052"/>
      <c r="L41" s="1052"/>
      <c r="M41" s="1053"/>
    </row>
    <row r="42" spans="1:13" ht="15">
      <c r="A42" s="68" t="str">
        <f>IF(inputPrYr!$B50&gt;"  ",(inputPrYr!$B50),"  ")</f>
        <v>  </v>
      </c>
      <c r="B42" s="68" t="str">
        <f>IF('no levy page21'!$C$30&gt;0,'no levy page21'!$C$30,"  ")</f>
        <v>  </v>
      </c>
      <c r="C42" s="46"/>
      <c r="D42" s="68" t="str">
        <f>IF('no levy page21'!$D$30&gt;0,'no levy page21'!$D$30,"  ")</f>
        <v>  </v>
      </c>
      <c r="E42" s="46"/>
      <c r="F42" s="68" t="str">
        <f>IF('no levy page21'!$E$30&gt;0,'no levy page21'!$E$30,"  ")</f>
        <v>  </v>
      </c>
      <c r="G42" s="46"/>
      <c r="H42" s="46"/>
      <c r="J42" s="508"/>
      <c r="K42" s="509"/>
      <c r="L42" s="509"/>
      <c r="M42" s="510"/>
    </row>
    <row r="43" spans="1:13" ht="15">
      <c r="A43" s="68" t="str">
        <f>IF(inputPrYr!$B51&gt;"  ",(inputPrYr!$B51),"  ")</f>
        <v>  </v>
      </c>
      <c r="B43" s="68" t="str">
        <f>IF('no levy page21'!$C$61&gt;0,'no levy page21'!$C$61,"  ")</f>
        <v>  </v>
      </c>
      <c r="C43" s="46"/>
      <c r="D43" s="68" t="str">
        <f>IF('no levy page21'!$D$61&gt;0,'no levy page21'!$D$61,"  ")</f>
        <v>  </v>
      </c>
      <c r="E43" s="46"/>
      <c r="F43" s="68" t="str">
        <f>IF('no levy page21'!$E$61&gt;0,'no levy page21'!$E$61,"  ")</f>
        <v>  </v>
      </c>
      <c r="G43" s="46"/>
      <c r="H43" s="46"/>
      <c r="J43" s="511" t="s">
        <v>764</v>
      </c>
      <c r="K43" s="512"/>
      <c r="L43" s="512"/>
      <c r="M43" s="513">
        <f>ROUND(F59/1000,0)</f>
        <v>29007</v>
      </c>
    </row>
    <row r="44" spans="1:8" ht="15">
      <c r="A44" s="68" t="str">
        <f>IF(inputPrYr!$B53&gt;"  ",(inputPrYr!$B53),"  ")</f>
        <v>Electric</v>
      </c>
      <c r="B44" s="68">
        <f>IF(Electric!$C$47&gt;0,Electric!$C$47,"  ")</f>
        <v>10664209</v>
      </c>
      <c r="C44" s="46"/>
      <c r="D44" s="68">
        <f>IF(Electric!$D$47&gt;0,Electric!$D$47,"  ")</f>
        <v>11007296</v>
      </c>
      <c r="E44" s="46"/>
      <c r="F44" s="68">
        <f>IF(Electric!$E$47&gt;0,Electric!$E$47,"  ")</f>
        <v>10989908</v>
      </c>
      <c r="G44" s="46"/>
      <c r="H44" s="46"/>
    </row>
    <row r="45" spans="1:13" ht="15">
      <c r="A45" s="68" t="str">
        <f>IF(inputPrYr!$B54&gt;"  ",(inputPrYr!$B54),"  ")</f>
        <v>Water</v>
      </c>
      <c r="B45" s="68">
        <f>IF(Water!$C$47&gt;0,Water!$C$47,"  ")</f>
        <v>1741028</v>
      </c>
      <c r="C45" s="46"/>
      <c r="D45" s="68">
        <f>IF(Water!$D$47&gt;0,Water!$D$47,"  ")</f>
        <v>2152047.01</v>
      </c>
      <c r="E45" s="46"/>
      <c r="F45" s="68">
        <f>IF(Water!$E$47&gt;0,Water!$E$47,"  ")</f>
        <v>2281297</v>
      </c>
      <c r="G45" s="46"/>
      <c r="H45" s="46"/>
      <c r="J45" s="1047" t="str">
        <f>CONCATENATE("Want The Mill Rate The Same As For ",H2-1,"?")</f>
        <v>Want The Mill Rate The Same As For 2014?</v>
      </c>
      <c r="K45" s="1052"/>
      <c r="L45" s="1052"/>
      <c r="M45" s="1053"/>
    </row>
    <row r="46" spans="1:13" ht="15">
      <c r="A46" s="68" t="str">
        <f>IF(inputPrYr!$B55&gt;"  ",(inputPrYr!$B55),"  ")</f>
        <v>Sanitation</v>
      </c>
      <c r="B46" s="68">
        <f>IF(Sanitation!$C$47&gt;0,Sanitation!$C$47,"  ")</f>
        <v>419404</v>
      </c>
      <c r="C46" s="46"/>
      <c r="D46" s="68">
        <f>IF(Sanitation!$D$47&gt;0,Sanitation!$D$47,"  ")</f>
        <v>421900</v>
      </c>
      <c r="E46" s="46"/>
      <c r="F46" s="68">
        <f>IF(Sanitation!$E$47&gt;0,Sanitation!$E$47,"  ")</f>
        <v>593600</v>
      </c>
      <c r="G46" s="46"/>
      <c r="H46" s="46"/>
      <c r="J46" s="515"/>
      <c r="K46" s="509"/>
      <c r="L46" s="509"/>
      <c r="M46" s="516"/>
    </row>
    <row r="47" spans="1:13" ht="15">
      <c r="A47" s="68" t="str">
        <f>IF(inputPrYr!$B56&gt;"  ",(inputPrYr!$B56),"  ")</f>
        <v>Wastewater</v>
      </c>
      <c r="B47" s="68">
        <f>IF(Wastewater!$C$47&gt;0,Wastewater!$C$47,"  ")</f>
        <v>302942</v>
      </c>
      <c r="C47" s="46"/>
      <c r="D47" s="68">
        <f>IF(Wastewater!$D$47&gt;0,Wastewater!$D$47,"  ")</f>
        <v>406000</v>
      </c>
      <c r="E47" s="46"/>
      <c r="F47" s="68">
        <f>IF(Wastewater!$E$47&gt;0,Wastewater!$E$47,"  ")</f>
        <v>1046000</v>
      </c>
      <c r="G47" s="46"/>
      <c r="H47" s="46"/>
      <c r="J47" s="515" t="str">
        <f>CONCATENATE("",H2-1," Mill Rate Was:")</f>
        <v>2014 Mill Rate Was:</v>
      </c>
      <c r="K47" s="509"/>
      <c r="L47" s="509"/>
      <c r="M47" s="517">
        <f>E52</f>
        <v>60.644</v>
      </c>
    </row>
    <row r="48" spans="1:13" ht="15">
      <c r="A48" s="68" t="str">
        <f>IF(inputPrYr!$B59&gt;"  ",(NonBudA!$A3),"  ")</f>
        <v>Non-Budgeted Funds-A</v>
      </c>
      <c r="B48" s="68">
        <f>IF(NonBudA!$K$28&gt;0,NonBudA!$K$28,"  ")</f>
        <v>3080061</v>
      </c>
      <c r="C48" s="46"/>
      <c r="D48" s="68"/>
      <c r="E48" s="46"/>
      <c r="F48" s="68"/>
      <c r="G48" s="46"/>
      <c r="H48" s="46"/>
      <c r="J48" s="518" t="str">
        <f>CONCATENATE("",H2," Tax Levy Fund Expenditures Must Be")</f>
        <v>2015 Tax Levy Fund Expenditures Must Be</v>
      </c>
      <c r="K48" s="519"/>
      <c r="L48" s="519"/>
      <c r="M48" s="516"/>
    </row>
    <row r="49" spans="1:13" ht="15">
      <c r="A49" s="68" t="str">
        <f>IF(inputPrYr!$B65&gt;"  ",(NonBudB!$A3),"  ")</f>
        <v>Non-Budgeted Funds-B</v>
      </c>
      <c r="B49" s="68">
        <f>IF(NonBudB!$K$28&gt;0,NonBudB!$K$28,"  ")</f>
        <v>740329</v>
      </c>
      <c r="C49" s="46"/>
      <c r="D49" s="68"/>
      <c r="E49" s="46"/>
      <c r="F49" s="68"/>
      <c r="G49" s="46"/>
      <c r="H49" s="46"/>
      <c r="J49" s="518" t="str">
        <f>IF(M49&gt;0,"Increased By:","")</f>
        <v>Increased By:</v>
      </c>
      <c r="K49" s="519"/>
      <c r="L49" s="519"/>
      <c r="M49" s="558">
        <f>IF(M56&lt;0,M56*-1,0)</f>
        <v>35131</v>
      </c>
    </row>
    <row r="50" spans="1:13" ht="15">
      <c r="A50" s="68" t="str">
        <f>IF(inputPrYr!$B71&gt;"  ",(NonBudC!$A3),"  ")</f>
        <v>Non-Budgeted Funds-C</v>
      </c>
      <c r="B50" s="68">
        <f>IF(NonBudC!$K$28&gt;0,NonBudC!$K$28,"  ")</f>
        <v>49251</v>
      </c>
      <c r="C50" s="46"/>
      <c r="D50" s="68"/>
      <c r="E50" s="46"/>
      <c r="F50" s="68"/>
      <c r="G50" s="46"/>
      <c r="H50" s="46"/>
      <c r="J50" s="559">
        <f>IF(M50&lt;0,"Reduced By:","")</f>
      </c>
      <c r="K50" s="560"/>
      <c r="L50" s="560"/>
      <c r="M50" s="561">
        <f>IF(M56&gt;0,M56*-1,0)</f>
        <v>0</v>
      </c>
    </row>
    <row r="51" spans="1:13" ht="15.75" thickBot="1">
      <c r="A51" s="68" t="str">
        <f>IF(inputPrYr!$B77&gt;"  ",(NonBudD!$A3),"  ")</f>
        <v>  </v>
      </c>
      <c r="B51" s="528" t="str">
        <f>IF(NonBudD!$K$28&gt;0,NonBudD!$K$28,"  ")</f>
        <v>  </v>
      </c>
      <c r="C51" s="529"/>
      <c r="D51" s="528"/>
      <c r="E51" s="529"/>
      <c r="F51" s="528"/>
      <c r="G51" s="529"/>
      <c r="H51" s="529"/>
      <c r="J51" s="522"/>
      <c r="K51" s="522"/>
      <c r="L51" s="522"/>
      <c r="M51" s="522"/>
    </row>
    <row r="52" spans="1:13" ht="15">
      <c r="A52" s="45" t="s">
        <v>638</v>
      </c>
      <c r="B52" s="843">
        <f>SUM(B15:B51)</f>
        <v>22559621</v>
      </c>
      <c r="C52" s="844">
        <f>SUM(C15:C27)</f>
        <v>58.3</v>
      </c>
      <c r="D52" s="843">
        <f>SUM(D15:D51)</f>
        <v>19478266.009999998</v>
      </c>
      <c r="E52" s="844">
        <f>SUM(E15:E27)</f>
        <v>60.644</v>
      </c>
      <c r="F52" s="843">
        <f>SUM(F15:F51)</f>
        <v>23043897</v>
      </c>
      <c r="G52" s="843">
        <f>SUM(G15:G51)</f>
        <v>1723953</v>
      </c>
      <c r="H52" s="844">
        <f>SUM(H15:H27)</f>
        <v>59.433</v>
      </c>
      <c r="J52" s="1047" t="str">
        <f>CONCATENATE("Impact On Keeping The Same Mill Rate As For ",H2-1,"")</f>
        <v>Impact On Keeping The Same Mill Rate As For 2014</v>
      </c>
      <c r="K52" s="1050"/>
      <c r="L52" s="1050"/>
      <c r="M52" s="1051"/>
    </row>
    <row r="53" spans="1:13" ht="15">
      <c r="A53" s="491" t="str">
        <f>IF((inputPrYr!B33&gt;""),(inputPrYr!B33),"")</f>
        <v>Recreation</v>
      </c>
      <c r="B53" s="836">
        <f>IF(('Library-Rec'!C73)&lt;&gt;0,('Library-Rec'!C73),"  ")</f>
        <v>118317</v>
      </c>
      <c r="C53" s="839">
        <f>IF(inputPrYr!D99&gt;0,inputPrYr!D99,"  ")</f>
        <v>3.971</v>
      </c>
      <c r="D53" s="836">
        <f>IF(('Library-Rec'!D73)&lt;&gt;0,('Library-Rec'!D73),"  ")</f>
        <v>117524</v>
      </c>
      <c r="E53" s="838">
        <f>IF(inputOth!D36&gt;0,inputOth!D36,"  ")</f>
        <v>3.393</v>
      </c>
      <c r="F53" s="836">
        <f>IF(('Library-Rec'!E73)&lt;&gt;0,('Library-Rec'!E73),"  ")</f>
        <v>135511</v>
      </c>
      <c r="G53" s="837">
        <f>IF('Library-Rec'!E80&lt;&gt;0,'Library-Rec'!E80,"  ")</f>
        <v>116033</v>
      </c>
      <c r="H53" s="838">
        <f>IF('Library-Rec'!E80&gt;0,ROUND(G53/$F$59*1000,3),0)</f>
        <v>4</v>
      </c>
      <c r="I53" s="525">
        <f>IF(H53&gt;inputOth!E6,"Exceed Limit","")</f>
      </c>
      <c r="J53" s="515"/>
      <c r="K53" s="509"/>
      <c r="L53" s="509"/>
      <c r="M53" s="516"/>
    </row>
    <row r="54" spans="1:13" ht="15">
      <c r="A54" s="490" t="s">
        <v>750</v>
      </c>
      <c r="B54" s="845">
        <f aca="true" t="shared" si="0" ref="B54:H54">SUM(B52:B53)</f>
        <v>22677938</v>
      </c>
      <c r="C54" s="846">
        <f t="shared" si="0"/>
        <v>62.271</v>
      </c>
      <c r="D54" s="845">
        <f t="shared" si="0"/>
        <v>19595790.009999998</v>
      </c>
      <c r="E54" s="846">
        <f t="shared" si="0"/>
        <v>64.03699999999999</v>
      </c>
      <c r="F54" s="845">
        <f t="shared" si="0"/>
        <v>23179408</v>
      </c>
      <c r="G54" s="845">
        <f t="shared" si="0"/>
        <v>1839986</v>
      </c>
      <c r="H54" s="846">
        <f t="shared" si="0"/>
        <v>63.433</v>
      </c>
      <c r="J54" s="515" t="str">
        <f>CONCATENATE("",H2," Ad Valorem Tax Revenue:")</f>
        <v>2015 Ad Valorem Tax Revenue:</v>
      </c>
      <c r="K54" s="509"/>
      <c r="L54" s="509"/>
      <c r="M54" s="510">
        <f>G52</f>
        <v>1723953</v>
      </c>
    </row>
    <row r="55" spans="1:13" ht="15">
      <c r="A55" s="33" t="s">
        <v>130</v>
      </c>
      <c r="B55" s="843">
        <f>transfers!C29</f>
        <v>2596217</v>
      </c>
      <c r="C55" s="176"/>
      <c r="D55" s="843">
        <f>transfers!D29</f>
        <v>2708096</v>
      </c>
      <c r="E55" s="176"/>
      <c r="F55" s="843">
        <f>transfers!E29</f>
        <v>4162500</v>
      </c>
      <c r="G55" s="32"/>
      <c r="H55" s="32"/>
      <c r="J55" s="515" t="str">
        <f>CONCATENATE("",H2-1," Ad Valorem Tax Revenue:")</f>
        <v>2014 Ad Valorem Tax Revenue:</v>
      </c>
      <c r="K55" s="509"/>
      <c r="L55" s="509"/>
      <c r="M55" s="523">
        <f>ROUND(F59*M47/1000,0)</f>
        <v>1759084</v>
      </c>
    </row>
    <row r="56" spans="1:13" ht="15.75" thickBot="1">
      <c r="A56" s="33" t="s">
        <v>131</v>
      </c>
      <c r="B56" s="847">
        <f>B54-B55</f>
        <v>20081721</v>
      </c>
      <c r="C56" s="32"/>
      <c r="D56" s="847">
        <f>D54-D55</f>
        <v>16887694.009999998</v>
      </c>
      <c r="E56" s="182"/>
      <c r="F56" s="847">
        <f>F54-F55</f>
        <v>19016908</v>
      </c>
      <c r="G56" s="32"/>
      <c r="H56" s="32"/>
      <c r="J56" s="520" t="s">
        <v>765</v>
      </c>
      <c r="K56" s="521"/>
      <c r="L56" s="521"/>
      <c r="M56" s="513">
        <f>SUM(M54-M55)</f>
        <v>-35131</v>
      </c>
    </row>
    <row r="57" spans="1:13" ht="15.75" thickTop="1">
      <c r="A57" s="33" t="s">
        <v>132</v>
      </c>
      <c r="B57" s="843">
        <f>inputPrYr!E102</f>
        <v>1463657</v>
      </c>
      <c r="C57" s="57"/>
      <c r="D57" s="843">
        <f>inputPrYr!E31</f>
        <v>1683506</v>
      </c>
      <c r="E57" s="57"/>
      <c r="F57" s="312" t="s">
        <v>92</v>
      </c>
      <c r="G57" s="32"/>
      <c r="H57" s="32"/>
      <c r="J57" s="514"/>
      <c r="K57" s="514"/>
      <c r="L57" s="514"/>
      <c r="M57" s="522"/>
    </row>
    <row r="58" spans="1:13" ht="15">
      <c r="A58" s="33" t="s">
        <v>133</v>
      </c>
      <c r="B58" s="848"/>
      <c r="C58" s="32"/>
      <c r="D58" s="849"/>
      <c r="E58" s="32"/>
      <c r="F58" s="848"/>
      <c r="G58" s="32"/>
      <c r="H58" s="32"/>
      <c r="J58" s="1047" t="s">
        <v>766</v>
      </c>
      <c r="K58" s="1048"/>
      <c r="L58" s="1048"/>
      <c r="M58" s="1049"/>
    </row>
    <row r="59" spans="1:13" ht="15">
      <c r="A59" s="33" t="s">
        <v>134</v>
      </c>
      <c r="B59" s="843">
        <f>inputPrYr!E103</f>
        <v>26184170</v>
      </c>
      <c r="C59" s="32"/>
      <c r="D59" s="843">
        <f>inputOth!E39</f>
        <v>28677204</v>
      </c>
      <c r="E59" s="32"/>
      <c r="F59" s="843">
        <f>inputOth!E9</f>
        <v>29006726</v>
      </c>
      <c r="G59" s="32"/>
      <c r="H59" s="32"/>
      <c r="J59" s="515"/>
      <c r="K59" s="509"/>
      <c r="L59" s="509"/>
      <c r="M59" s="516"/>
    </row>
    <row r="60" spans="1:13" ht="13.5" customHeight="1">
      <c r="A60" s="32"/>
      <c r="B60" s="32"/>
      <c r="C60" s="32"/>
      <c r="D60" s="32"/>
      <c r="E60" s="32"/>
      <c r="F60" s="32"/>
      <c r="G60" s="32"/>
      <c r="H60" s="32"/>
      <c r="J60" s="515" t="str">
        <f>CONCATENATE("Current ",H2," Estimated Mill Rate:")</f>
        <v>Current 2015 Estimated Mill Rate:</v>
      </c>
      <c r="K60" s="509"/>
      <c r="L60" s="509"/>
      <c r="M60" s="517">
        <f>H52</f>
        <v>59.433</v>
      </c>
    </row>
    <row r="61" spans="1:13" ht="15">
      <c r="A61" s="33" t="s">
        <v>135</v>
      </c>
      <c r="B61" s="32"/>
      <c r="C61" s="32"/>
      <c r="D61" s="32"/>
      <c r="E61" s="32"/>
      <c r="F61" s="32"/>
      <c r="G61" s="32"/>
      <c r="H61" s="32"/>
      <c r="J61" s="515" t="str">
        <f>CONCATENATE("Desired ",H2," Mill Rate:")</f>
        <v>Desired 2015 Mill Rate:</v>
      </c>
      <c r="K61" s="509"/>
      <c r="L61" s="509"/>
      <c r="M61" s="507">
        <v>64.037</v>
      </c>
    </row>
    <row r="62" spans="1:13" ht="18.75" customHeight="1">
      <c r="A62" s="33" t="s">
        <v>136</v>
      </c>
      <c r="B62" s="313">
        <f>H2-3</f>
        <v>2012</v>
      </c>
      <c r="C62" s="32"/>
      <c r="D62" s="313">
        <f>H2-2</f>
        <v>2013</v>
      </c>
      <c r="E62" s="32"/>
      <c r="F62" s="313">
        <f>H2-1</f>
        <v>2014</v>
      </c>
      <c r="G62" s="32"/>
      <c r="H62" s="32"/>
      <c r="J62" s="515" t="str">
        <f>CONCATENATE("",H2," Ad Valorem Tax:")</f>
        <v>2015 Ad Valorem Tax:</v>
      </c>
      <c r="K62" s="509"/>
      <c r="L62" s="509"/>
      <c r="M62" s="523">
        <f>ROUND(F59*M61/1000,0)</f>
        <v>1857504</v>
      </c>
    </row>
    <row r="63" spans="1:13" ht="18.75" customHeight="1">
      <c r="A63" s="33" t="s">
        <v>137</v>
      </c>
      <c r="B63" s="221">
        <f>inputPrYr!D107</f>
        <v>5415000</v>
      </c>
      <c r="C63" s="154"/>
      <c r="D63" s="221">
        <f>inputPrYr!E107</f>
        <v>0</v>
      </c>
      <c r="E63" s="154"/>
      <c r="F63" s="221">
        <f>debt!G20</f>
        <v>4570000</v>
      </c>
      <c r="G63" s="32"/>
      <c r="H63" s="32"/>
      <c r="J63" s="520" t="str">
        <f>CONCATENATE("",H2," Tax Levy Fund Exp. Changed By:")</f>
        <v>2015 Tax Levy Fund Exp. Changed By:</v>
      </c>
      <c r="K63" s="521"/>
      <c r="L63" s="521"/>
      <c r="M63" s="513">
        <f>M62-G52</f>
        <v>133551</v>
      </c>
    </row>
    <row r="64" spans="1:8" ht="18.75" customHeight="1">
      <c r="A64" s="33" t="s">
        <v>138</v>
      </c>
      <c r="B64" s="483">
        <f>inputPrYr!D108</f>
        <v>0</v>
      </c>
      <c r="C64" s="154"/>
      <c r="D64" s="483">
        <f>inputPrYr!E108</f>
        <v>0</v>
      </c>
      <c r="E64" s="154"/>
      <c r="F64" s="221">
        <f>debt!G32</f>
        <v>0</v>
      </c>
      <c r="G64" s="32"/>
      <c r="H64" s="32"/>
    </row>
    <row r="65" spans="1:8" ht="18.75" customHeight="1">
      <c r="A65" s="32" t="s">
        <v>156</v>
      </c>
      <c r="B65" s="483">
        <f>inputPrYr!D109</f>
        <v>0</v>
      </c>
      <c r="C65" s="154"/>
      <c r="D65" s="483">
        <f>inputPrYr!E109</f>
        <v>0</v>
      </c>
      <c r="E65" s="154"/>
      <c r="F65" s="221">
        <f>debt!G42</f>
        <v>1732183</v>
      </c>
      <c r="G65" s="32"/>
      <c r="H65" s="32"/>
    </row>
    <row r="66" spans="1:8" ht="18" customHeight="1">
      <c r="A66" s="33" t="s">
        <v>222</v>
      </c>
      <c r="B66" s="483">
        <f>inputPrYr!D110</f>
        <v>0</v>
      </c>
      <c r="C66" s="154"/>
      <c r="D66" s="483">
        <f>inputPrYr!E110</f>
        <v>0</v>
      </c>
      <c r="E66" s="154"/>
      <c r="F66" s="221">
        <f>lpform!G28</f>
        <v>0</v>
      </c>
      <c r="G66" s="32"/>
      <c r="H66" s="32"/>
    </row>
    <row r="67" spans="1:8" ht="19.5" customHeight="1" thickBot="1">
      <c r="A67" s="33" t="s">
        <v>139</v>
      </c>
      <c r="B67" s="321">
        <f>SUM(B63:B66)</f>
        <v>5415000</v>
      </c>
      <c r="C67" s="154"/>
      <c r="D67" s="321">
        <f>SUM(D63:D66)</f>
        <v>0</v>
      </c>
      <c r="E67" s="154"/>
      <c r="F67" s="321">
        <f>SUM(F63:F66)</f>
        <v>6302183</v>
      </c>
      <c r="G67" s="32"/>
      <c r="H67" s="32"/>
    </row>
    <row r="68" spans="1:8" ht="18.75" customHeight="1" thickTop="1">
      <c r="A68" s="33" t="s">
        <v>140</v>
      </c>
      <c r="B68" s="32"/>
      <c r="C68" s="32"/>
      <c r="D68" s="32"/>
      <c r="E68" s="32"/>
      <c r="F68" s="32"/>
      <c r="G68" s="32"/>
      <c r="H68" s="32"/>
    </row>
    <row r="69" spans="1:8" ht="15">
      <c r="A69" s="32"/>
      <c r="B69" s="32"/>
      <c r="C69" s="32"/>
      <c r="D69" s="32"/>
      <c r="E69" s="32"/>
      <c r="F69" s="32"/>
      <c r="G69" s="32"/>
      <c r="H69" s="32"/>
    </row>
    <row r="70" spans="1:8" ht="15">
      <c r="A70" s="1046" t="str">
        <f>inputBudSum!B3</f>
        <v>Katrina Woelk</v>
      </c>
      <c r="B70" s="1046"/>
      <c r="C70" s="57"/>
      <c r="D70" s="32"/>
      <c r="E70" s="32"/>
      <c r="F70" s="32"/>
      <c r="G70" s="32"/>
      <c r="H70" s="32"/>
    </row>
    <row r="71" spans="1:8" ht="15">
      <c r="A71" s="1044" t="str">
        <f>CONCATENATE("City Official Title: ",inputBudSum!B5,"")</f>
        <v>City Official Title: Clerk/Treasurer</v>
      </c>
      <c r="B71" s="1041"/>
      <c r="C71" s="32"/>
      <c r="D71" s="32"/>
      <c r="E71" s="32"/>
      <c r="F71" s="32"/>
      <c r="G71" s="32"/>
      <c r="H71" s="32"/>
    </row>
    <row r="72" spans="1:8" ht="15">
      <c r="A72" s="32"/>
      <c r="B72" s="32"/>
      <c r="C72" s="32"/>
      <c r="D72" s="32"/>
      <c r="E72" s="32"/>
      <c r="F72" s="32"/>
      <c r="G72" s="32"/>
      <c r="H72" s="32"/>
    </row>
    <row r="73" spans="1:8" ht="15">
      <c r="A73" s="32"/>
      <c r="B73" s="32"/>
      <c r="C73" s="119" t="s">
        <v>114</v>
      </c>
      <c r="D73" s="264">
        <v>21</v>
      </c>
      <c r="E73" s="32"/>
      <c r="F73" s="32"/>
      <c r="G73" s="32"/>
      <c r="H73" s="32"/>
    </row>
  </sheetData>
  <sheetProtection sheet="1"/>
  <mergeCells count="12">
    <mergeCell ref="A1:H1"/>
    <mergeCell ref="A4:H4"/>
    <mergeCell ref="A6:H6"/>
    <mergeCell ref="A7:H7"/>
    <mergeCell ref="A3:H3"/>
    <mergeCell ref="A71:B71"/>
    <mergeCell ref="A5:H5"/>
    <mergeCell ref="A70:B70"/>
    <mergeCell ref="J58:M58"/>
    <mergeCell ref="J52:M52"/>
    <mergeCell ref="J41:M41"/>
    <mergeCell ref="J45:M45"/>
  </mergeCells>
  <printOptions/>
  <pageMargins left="0.5" right="0.5" top="1" bottom="0.5" header="0.5" footer="0.5"/>
  <pageSetup blackAndWhite="1" fitToHeight="1" fitToWidth="1" horizontalDpi="120" verticalDpi="120" orientation="portrait" scale="58"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14" sqref="B14"/>
    </sheetView>
  </sheetViews>
  <sheetFormatPr defaultColWidth="8.796875" defaultRowHeight="15"/>
  <cols>
    <col min="1" max="1" width="13.69921875" style="0" customWidth="1"/>
    <col min="2" max="2" width="16.09765625" style="0" customWidth="1"/>
  </cols>
  <sheetData>
    <row r="1" ht="15">
      <c r="J1" s="576" t="s">
        <v>792</v>
      </c>
    </row>
    <row r="2" spans="1:10" ht="54" customHeight="1">
      <c r="A2" s="982" t="s">
        <v>1162</v>
      </c>
      <c r="B2" s="983"/>
      <c r="C2" s="983"/>
      <c r="D2" s="983"/>
      <c r="E2" s="983"/>
      <c r="F2" s="983"/>
      <c r="J2" s="576" t="s">
        <v>793</v>
      </c>
    </row>
    <row r="3" spans="1:10" ht="15">
      <c r="A3" s="1" t="s">
        <v>794</v>
      </c>
      <c r="B3" s="916" t="s">
        <v>1033</v>
      </c>
      <c r="C3" s="917"/>
      <c r="J3" s="576" t="s">
        <v>795</v>
      </c>
    </row>
    <row r="4" spans="1:10" ht="15">
      <c r="A4" s="1"/>
      <c r="B4" s="575"/>
      <c r="J4" s="576" t="s">
        <v>796</v>
      </c>
    </row>
    <row r="5" spans="1:10" ht="15">
      <c r="A5" s="1" t="s">
        <v>767</v>
      </c>
      <c r="B5" s="918" t="s">
        <v>1034</v>
      </c>
      <c r="J5" s="576" t="s">
        <v>797</v>
      </c>
    </row>
    <row r="6" spans="1:10" ht="15">
      <c r="A6" s="337"/>
      <c r="B6" s="337"/>
      <c r="C6" s="337"/>
      <c r="D6" s="338" t="s">
        <v>798</v>
      </c>
      <c r="E6" s="337"/>
      <c r="F6" s="337"/>
      <c r="J6" s="576" t="s">
        <v>799</v>
      </c>
    </row>
    <row r="7" spans="1:10" ht="15">
      <c r="A7" s="338" t="s">
        <v>388</v>
      </c>
      <c r="B7" s="918" t="s">
        <v>1170</v>
      </c>
      <c r="C7" s="339"/>
      <c r="D7" s="338" t="str">
        <f>IF(B7="","",CONCATENATE("Latest date for notice to be published in your newspaper: ",G18," ",G22,", ",G23))</f>
        <v>Latest date for notice to be published in your newspaper: July 26, 2014</v>
      </c>
      <c r="E7" s="337"/>
      <c r="F7" s="337"/>
      <c r="J7" s="576" t="s">
        <v>800</v>
      </c>
    </row>
    <row r="8" spans="1:10" ht="15">
      <c r="A8" s="338"/>
      <c r="B8" s="340"/>
      <c r="C8" s="341"/>
      <c r="D8" s="338"/>
      <c r="E8" s="337"/>
      <c r="F8" s="337"/>
      <c r="J8" s="576" t="s">
        <v>801</v>
      </c>
    </row>
    <row r="9" spans="1:10" ht="15">
      <c r="A9" s="338" t="s">
        <v>389</v>
      </c>
      <c r="B9" s="918" t="s">
        <v>1171</v>
      </c>
      <c r="C9" s="342"/>
      <c r="D9" s="338"/>
      <c r="E9" s="337"/>
      <c r="F9" s="337"/>
      <c r="J9" s="576" t="s">
        <v>802</v>
      </c>
    </row>
    <row r="10" spans="1:10" ht="15">
      <c r="A10" s="338"/>
      <c r="B10" s="338"/>
      <c r="C10" s="338"/>
      <c r="D10" s="338"/>
      <c r="E10" s="337"/>
      <c r="F10" s="337"/>
      <c r="J10" s="576" t="s">
        <v>803</v>
      </c>
    </row>
    <row r="11" spans="1:10" ht="15">
      <c r="A11" s="338" t="s">
        <v>390</v>
      </c>
      <c r="B11" s="919" t="s">
        <v>395</v>
      </c>
      <c r="C11" s="920"/>
      <c r="D11" s="920"/>
      <c r="E11" s="921"/>
      <c r="F11" s="337"/>
      <c r="J11" s="576" t="s">
        <v>804</v>
      </c>
    </row>
    <row r="12" spans="1:10" ht="15">
      <c r="A12" s="338"/>
      <c r="B12" s="338"/>
      <c r="C12" s="338"/>
      <c r="D12" s="338"/>
      <c r="E12" s="337"/>
      <c r="F12" s="337"/>
      <c r="J12" s="576" t="s">
        <v>805</v>
      </c>
    </row>
    <row r="13" spans="1:6" ht="15">
      <c r="A13" s="338"/>
      <c r="B13" s="338"/>
      <c r="C13" s="338"/>
      <c r="D13" s="338"/>
      <c r="E13" s="337"/>
      <c r="F13" s="337"/>
    </row>
    <row r="14" spans="1:6" ht="15">
      <c r="A14" s="338" t="s">
        <v>391</v>
      </c>
      <c r="B14" s="919" t="s">
        <v>395</v>
      </c>
      <c r="C14" s="920"/>
      <c r="D14" s="920"/>
      <c r="E14" s="921"/>
      <c r="F14" s="337"/>
    </row>
    <row r="17" spans="1:6" ht="15">
      <c r="A17" s="984" t="s">
        <v>392</v>
      </c>
      <c r="B17" s="984"/>
      <c r="C17" s="338"/>
      <c r="D17" s="338"/>
      <c r="E17" s="338"/>
      <c r="F17" s="337"/>
    </row>
    <row r="18" spans="1:7" ht="15">
      <c r="A18" s="338"/>
      <c r="B18" s="338"/>
      <c r="C18" s="338"/>
      <c r="D18" s="338"/>
      <c r="E18" s="338"/>
      <c r="F18" s="337"/>
      <c r="G18" s="576" t="str">
        <f ca="1">IF(B7="","",INDIRECT(G19))</f>
        <v>July</v>
      </c>
    </row>
    <row r="19" spans="1:7" ht="15">
      <c r="A19" s="338" t="s">
        <v>767</v>
      </c>
      <c r="B19" s="338" t="s">
        <v>768</v>
      </c>
      <c r="C19" s="338"/>
      <c r="D19" s="338"/>
      <c r="E19" s="338"/>
      <c r="F19" s="337"/>
      <c r="G19" s="577" t="str">
        <f>IF(B7="","",CONCATENATE("J",G21))</f>
        <v>J7</v>
      </c>
    </row>
    <row r="20" spans="1:7" ht="15">
      <c r="A20" s="338"/>
      <c r="B20" s="338"/>
      <c r="C20" s="338"/>
      <c r="D20" s="338"/>
      <c r="E20" s="338"/>
      <c r="F20" s="337"/>
      <c r="G20" s="578">
        <f>B7-10</f>
        <v>41846</v>
      </c>
    </row>
    <row r="21" spans="1:7" ht="15">
      <c r="A21" s="338" t="s">
        <v>388</v>
      </c>
      <c r="B21" s="340" t="s">
        <v>393</v>
      </c>
      <c r="C21" s="338"/>
      <c r="D21" s="338"/>
      <c r="E21" s="338"/>
      <c r="G21" s="579">
        <f>IF(B7="","",MONTH(G20))</f>
        <v>7</v>
      </c>
    </row>
    <row r="22" spans="1:7" ht="15">
      <c r="A22" s="338"/>
      <c r="B22" s="338"/>
      <c r="C22" s="338"/>
      <c r="D22" s="338"/>
      <c r="E22" s="338"/>
      <c r="G22" s="580">
        <f>IF(B7="","",DAY(G20))</f>
        <v>26</v>
      </c>
    </row>
    <row r="23" spans="1:7" ht="15">
      <c r="A23" s="338" t="s">
        <v>389</v>
      </c>
      <c r="B23" s="338" t="s">
        <v>394</v>
      </c>
      <c r="C23" s="338"/>
      <c r="D23" s="338"/>
      <c r="E23" s="338"/>
      <c r="G23" s="581">
        <f>IF(B7="","",YEAR(G20))</f>
        <v>2014</v>
      </c>
    </row>
    <row r="24" spans="1:5" ht="15">
      <c r="A24" s="338"/>
      <c r="B24" s="338"/>
      <c r="C24" s="338"/>
      <c r="D24" s="338"/>
      <c r="E24" s="338"/>
    </row>
    <row r="25" spans="1:5" ht="15">
      <c r="A25" s="338" t="s">
        <v>390</v>
      </c>
      <c r="B25" s="338" t="s">
        <v>395</v>
      </c>
      <c r="C25" s="338"/>
      <c r="D25" s="338"/>
      <c r="E25" s="338"/>
    </row>
    <row r="26" spans="1:5" ht="15">
      <c r="A26" s="338"/>
      <c r="B26" s="338"/>
      <c r="C26" s="338"/>
      <c r="D26" s="338"/>
      <c r="E26" s="338"/>
    </row>
    <row r="27" spans="1:5" ht="15">
      <c r="A27" s="338" t="s">
        <v>391</v>
      </c>
      <c r="B27" s="338" t="s">
        <v>395</v>
      </c>
      <c r="C27" s="338"/>
      <c r="D27" s="338"/>
      <c r="E27"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40" sqref="C40"/>
    </sheetView>
  </sheetViews>
  <sheetFormatPr defaultColWidth="8.8984375" defaultRowHeight="15"/>
  <cols>
    <col min="1" max="1" width="10.09765625" style="87" customWidth="1"/>
    <col min="2" max="2" width="16.296875" style="87" customWidth="1"/>
    <col min="3" max="3" width="11.69921875" style="87" customWidth="1"/>
    <col min="4" max="4" width="12.69921875" style="87" customWidth="1"/>
    <col min="5" max="5" width="11.69921875" style="87" customWidth="1"/>
    <col min="6" max="16384" width="8.8984375" style="87" customWidth="1"/>
  </cols>
  <sheetData>
    <row r="1" spans="1:6" ht="15">
      <c r="A1" s="176" t="str">
        <f>inputPrYr!D2</f>
        <v>City of Russell</v>
      </c>
      <c r="B1" s="32"/>
      <c r="C1" s="32"/>
      <c r="D1" s="32"/>
      <c r="E1" s="32"/>
      <c r="F1" s="32">
        <f>inputPrYr!C5</f>
        <v>2015</v>
      </c>
    </row>
    <row r="2" spans="1:6" ht="15">
      <c r="A2" s="32"/>
      <c r="B2" s="32"/>
      <c r="C2" s="32"/>
      <c r="D2" s="32"/>
      <c r="E2" s="32"/>
      <c r="F2" s="32"/>
    </row>
    <row r="3" spans="1:6" ht="15">
      <c r="A3" s="32"/>
      <c r="B3" s="1000" t="str">
        <f>CONCATENATE("",F1," Neighborhood Revitalization Rebate")</f>
        <v>2015 Neighborhood Revitalization Rebate</v>
      </c>
      <c r="C3" s="1056"/>
      <c r="D3" s="1056"/>
      <c r="E3" s="1056"/>
      <c r="F3" s="32"/>
    </row>
    <row r="4" spans="1:6" ht="15">
      <c r="A4" s="32"/>
      <c r="B4" s="32"/>
      <c r="C4" s="32"/>
      <c r="D4" s="32"/>
      <c r="E4" s="32"/>
      <c r="F4" s="32"/>
    </row>
    <row r="5" spans="1:6" ht="51.75" customHeight="1">
      <c r="A5" s="32"/>
      <c r="B5" s="315" t="str">
        <f>CONCATENATE("Budgeted Funds         for ",F1,"")</f>
        <v>Budgeted Funds         for 2015</v>
      </c>
      <c r="C5" s="315" t="str">
        <f>CONCATENATE("",F1-1," Ad Valorem before Rebate**")</f>
        <v>2014 Ad Valorem before Rebate**</v>
      </c>
      <c r="D5" s="316" t="str">
        <f>CONCATENATE("",F1-1," Mil Rate before Rebate")</f>
        <v>2014 Mil Rate before Rebate</v>
      </c>
      <c r="E5" s="317" t="str">
        <f>CONCATENATE("Estimate ",F1," NR Rebate")</f>
        <v>Estimate 2015 NR Rebate</v>
      </c>
      <c r="F5" s="79"/>
    </row>
    <row r="6" spans="1:6" ht="15">
      <c r="A6" s="32"/>
      <c r="B6" s="45" t="str">
        <f>inputPrYr!B17</f>
        <v>General</v>
      </c>
      <c r="C6" s="318">
        <v>1038482</v>
      </c>
      <c r="D6" s="319">
        <f>IF(C6&gt;0,C6/$D$25,"")</f>
        <v>35.80142067739737</v>
      </c>
      <c r="E6" s="221">
        <f aca="true" t="shared" si="0" ref="E6:E18">IF(C6&gt;0,ROUND(D6*$D$29,0),"")</f>
        <v>30133</v>
      </c>
      <c r="F6" s="79"/>
    </row>
    <row r="7" spans="1:6" ht="15">
      <c r="A7" s="32"/>
      <c r="B7" s="45" t="str">
        <f>inputPrYr!B18</f>
        <v>Debt Service</v>
      </c>
      <c r="C7" s="318"/>
      <c r="D7" s="319">
        <f aca="true" t="shared" si="1" ref="D7:D18">IF(C7&gt;0,C7/$D$25,"")</f>
      </c>
      <c r="E7" s="221">
        <f t="shared" si="0"/>
      </c>
      <c r="F7" s="79"/>
    </row>
    <row r="8" spans="1:6" ht="15">
      <c r="A8" s="32"/>
      <c r="B8" s="45" t="str">
        <f>inputPrYr!B19</f>
        <v>Library</v>
      </c>
      <c r="C8" s="318">
        <v>127147</v>
      </c>
      <c r="D8" s="319">
        <f>IF(C8&gt;0,C8/$D$25,"")</f>
        <v>4.38336267250568</v>
      </c>
      <c r="E8" s="221">
        <f>IF(C8&gt;0,ROUND(D8*$D$29,0),"")</f>
        <v>3689</v>
      </c>
      <c r="F8" s="79"/>
    </row>
    <row r="9" spans="1:6" ht="15">
      <c r="A9" s="32"/>
      <c r="B9" s="68" t="str">
        <f>inputPrYr!B21</f>
        <v>Airport</v>
      </c>
      <c r="C9" s="318">
        <v>17125</v>
      </c>
      <c r="D9" s="319">
        <f t="shared" si="1"/>
        <v>0.590380313862378</v>
      </c>
      <c r="E9" s="221">
        <f t="shared" si="0"/>
        <v>497</v>
      </c>
      <c r="F9" s="79"/>
    </row>
    <row r="10" spans="1:6" ht="15">
      <c r="A10" s="32"/>
      <c r="B10" s="68" t="str">
        <f>inputPrYr!B22</f>
        <v>Industrial</v>
      </c>
      <c r="C10" s="318">
        <v>35525</v>
      </c>
      <c r="D10" s="319">
        <f t="shared" si="1"/>
        <v>1.2247159503626848</v>
      </c>
      <c r="E10" s="221">
        <f t="shared" si="0"/>
        <v>1031</v>
      </c>
      <c r="F10" s="79"/>
    </row>
    <row r="11" spans="1:6" ht="15">
      <c r="A11" s="32"/>
      <c r="B11" s="68" t="str">
        <f>inputPrYr!B23</f>
        <v>Fire Equipment</v>
      </c>
      <c r="C11" s="318">
        <v>140897</v>
      </c>
      <c r="D11" s="319">
        <f t="shared" si="1"/>
        <v>4.857390661738246</v>
      </c>
      <c r="E11" s="221">
        <f t="shared" si="0"/>
        <v>4088</v>
      </c>
      <c r="F11" s="79"/>
    </row>
    <row r="12" spans="1:6" ht="15">
      <c r="A12" s="32"/>
      <c r="B12" s="68" t="str">
        <f>inputPrYr!B24</f>
        <v>Personnel Benefits</v>
      </c>
      <c r="C12" s="318">
        <v>315552</v>
      </c>
      <c r="D12" s="319">
        <f t="shared" si="1"/>
        <v>10.878580367877435</v>
      </c>
      <c r="E12" s="221">
        <f t="shared" si="0"/>
        <v>9156</v>
      </c>
      <c r="F12" s="79"/>
    </row>
    <row r="13" spans="1:6" ht="15">
      <c r="A13" s="32"/>
      <c r="B13" s="68">
        <f>inputPrYr!B25</f>
        <v>0</v>
      </c>
      <c r="C13" s="320"/>
      <c r="D13" s="319">
        <f t="shared" si="1"/>
      </c>
      <c r="E13" s="221">
        <f t="shared" si="0"/>
      </c>
      <c r="F13" s="79"/>
    </row>
    <row r="14" spans="1:6" ht="15">
      <c r="A14" s="32"/>
      <c r="B14" s="68">
        <f>inputPrYr!B26</f>
        <v>0</v>
      </c>
      <c r="C14" s="320"/>
      <c r="D14" s="319">
        <f t="shared" si="1"/>
      </c>
      <c r="E14" s="221">
        <f t="shared" si="0"/>
      </c>
      <c r="F14" s="79"/>
    </row>
    <row r="15" spans="1:6" ht="15">
      <c r="A15" s="32"/>
      <c r="B15" s="68">
        <f>inputPrYr!B27</f>
        <v>0</v>
      </c>
      <c r="C15" s="320"/>
      <c r="D15" s="319">
        <f t="shared" si="1"/>
      </c>
      <c r="E15" s="221">
        <f t="shared" si="0"/>
      </c>
      <c r="F15" s="79"/>
    </row>
    <row r="16" spans="1:6" ht="15">
      <c r="A16" s="32"/>
      <c r="B16" s="68">
        <f>inputPrYr!B28</f>
        <v>0</v>
      </c>
      <c r="C16" s="320"/>
      <c r="D16" s="319">
        <f t="shared" si="1"/>
      </c>
      <c r="E16" s="221">
        <f t="shared" si="0"/>
      </c>
      <c r="F16" s="79"/>
    </row>
    <row r="17" spans="1:6" ht="15">
      <c r="A17" s="32"/>
      <c r="B17" s="68">
        <f>inputPrYr!B29</f>
        <v>0</v>
      </c>
      <c r="C17" s="320"/>
      <c r="D17" s="319">
        <f t="shared" si="1"/>
      </c>
      <c r="E17" s="221">
        <f t="shared" si="0"/>
      </c>
      <c r="F17" s="79"/>
    </row>
    <row r="18" spans="1:6" ht="15">
      <c r="A18" s="32"/>
      <c r="B18" s="68">
        <f>inputPrYr!B30</f>
        <v>0</v>
      </c>
      <c r="C18" s="320"/>
      <c r="D18" s="319">
        <f t="shared" si="1"/>
      </c>
      <c r="E18" s="221">
        <f t="shared" si="0"/>
      </c>
      <c r="F18" s="79"/>
    </row>
    <row r="19" spans="1:6" ht="15">
      <c r="A19" s="32"/>
      <c r="B19" s="68" t="str">
        <f>inputPrYr!B33</f>
        <v>Recreation</v>
      </c>
      <c r="C19" s="320">
        <v>112720</v>
      </c>
      <c r="D19" s="319">
        <f>IF(C19&gt;0,C19/$D$25,"")</f>
        <v>3.8859952688214445</v>
      </c>
      <c r="E19" s="221">
        <f>IF(C19&gt;0,ROUND(D19*$D$29,0),"")</f>
        <v>3271</v>
      </c>
      <c r="F19" s="79"/>
    </row>
    <row r="20" spans="1:6" ht="15.75" thickBot="1">
      <c r="A20" s="32"/>
      <c r="B20" s="46" t="s">
        <v>98</v>
      </c>
      <c r="C20" s="321">
        <f>SUM(C6:C19)</f>
        <v>1787448</v>
      </c>
      <c r="D20" s="322">
        <f>SUM(D6:D18)</f>
        <v>57.73585064374378</v>
      </c>
      <c r="E20" s="321">
        <f>SUM(E6:E18)</f>
        <v>48594</v>
      </c>
      <c r="F20" s="79"/>
    </row>
    <row r="21" spans="1:6" ht="15.75" thickTop="1">
      <c r="A21" s="32"/>
      <c r="B21" s="32"/>
      <c r="C21" s="32"/>
      <c r="D21" s="32"/>
      <c r="E21" s="32"/>
      <c r="F21" s="79"/>
    </row>
    <row r="22" spans="1:6" ht="15">
      <c r="A22" s="32"/>
      <c r="B22" s="32"/>
      <c r="C22" s="32"/>
      <c r="D22" s="32"/>
      <c r="E22" s="32"/>
      <c r="F22" s="79"/>
    </row>
    <row r="23" spans="1:6" ht="15">
      <c r="A23" s="1057" t="str">
        <f>CONCATENATE("",F1-1," July 1 Valuation:")</f>
        <v>2014 July 1 Valuation:</v>
      </c>
      <c r="B23" s="1015"/>
      <c r="C23" s="1057"/>
      <c r="D23" s="314">
        <f>inputOth!E9</f>
        <v>29006726</v>
      </c>
      <c r="E23" s="32"/>
      <c r="F23" s="79"/>
    </row>
    <row r="24" spans="1:6" ht="15">
      <c r="A24" s="32"/>
      <c r="B24" s="32"/>
      <c r="C24" s="32"/>
      <c r="D24" s="32"/>
      <c r="E24" s="32"/>
      <c r="F24" s="79"/>
    </row>
    <row r="25" spans="1:6" ht="15">
      <c r="A25" s="32"/>
      <c r="B25" s="1057" t="s">
        <v>325</v>
      </c>
      <c r="C25" s="1057"/>
      <c r="D25" s="323">
        <f>IF(D23&gt;0,(D23*0.001),"")</f>
        <v>29006.726000000002</v>
      </c>
      <c r="E25" s="32"/>
      <c r="F25" s="79"/>
    </row>
    <row r="26" spans="1:6" ht="15">
      <c r="A26" s="32"/>
      <c r="B26" s="119"/>
      <c r="C26" s="119"/>
      <c r="D26" s="324"/>
      <c r="E26" s="32"/>
      <c r="F26" s="79"/>
    </row>
    <row r="27" spans="1:6" ht="15">
      <c r="A27" s="1055" t="s">
        <v>326</v>
      </c>
      <c r="B27" s="989"/>
      <c r="C27" s="989"/>
      <c r="D27" s="325">
        <f>inputOth!E19</f>
        <v>841661</v>
      </c>
      <c r="E27" s="49"/>
      <c r="F27" s="49"/>
    </row>
    <row r="28" spans="1:6" ht="15">
      <c r="A28" s="49"/>
      <c r="B28" s="49"/>
      <c r="C28" s="49"/>
      <c r="D28" s="326"/>
      <c r="E28" s="49"/>
      <c r="F28" s="49"/>
    </row>
    <row r="29" spans="1:6" ht="15">
      <c r="A29" s="49"/>
      <c r="B29" s="1055" t="s">
        <v>327</v>
      </c>
      <c r="C29" s="1015"/>
      <c r="D29" s="327">
        <f>IF(D27&gt;0,(D27*0.001),"")</f>
        <v>841.6610000000001</v>
      </c>
      <c r="E29" s="49"/>
      <c r="F29" s="49"/>
    </row>
    <row r="30" spans="1:6" ht="15">
      <c r="A30" s="49"/>
      <c r="B30" s="49"/>
      <c r="C30" s="49"/>
      <c r="D30" s="49"/>
      <c r="E30" s="49"/>
      <c r="F30" s="49"/>
    </row>
    <row r="31" spans="1:6" ht="15">
      <c r="A31" s="49"/>
      <c r="B31" s="49"/>
      <c r="C31" s="49"/>
      <c r="D31" s="49"/>
      <c r="E31" s="49"/>
      <c r="F31" s="49"/>
    </row>
    <row r="32" spans="1:6" ht="15">
      <c r="A32" s="49"/>
      <c r="B32" s="49"/>
      <c r="C32" s="49"/>
      <c r="D32" s="49"/>
      <c r="E32" s="49"/>
      <c r="F32" s="49"/>
    </row>
    <row r="33" spans="1:6" ht="15">
      <c r="A33" s="357" t="str">
        <f>CONCATENATE("**This information comes from the ",F1," Budget Summary page.  See instructions tab #13 for completing")</f>
        <v>**This information comes from the 2015 Budget Summary page.  See instructions tab #13 for completing</v>
      </c>
      <c r="B33" s="49"/>
      <c r="C33" s="49"/>
      <c r="D33" s="49"/>
      <c r="E33" s="49"/>
      <c r="F33" s="49"/>
    </row>
    <row r="34" spans="1:6" ht="15">
      <c r="A34" s="357" t="s">
        <v>616</v>
      </c>
      <c r="B34" s="49"/>
      <c r="C34" s="49"/>
      <c r="D34" s="49"/>
      <c r="E34" s="49"/>
      <c r="F34" s="49"/>
    </row>
    <row r="35" spans="1:6" ht="15">
      <c r="A35" s="357"/>
      <c r="B35" s="49"/>
      <c r="C35" s="49"/>
      <c r="D35" s="49"/>
      <c r="E35" s="49"/>
      <c r="F35" s="49"/>
    </row>
    <row r="36" spans="1:6" ht="15">
      <c r="A36" s="357"/>
      <c r="B36" s="49"/>
      <c r="C36" s="49"/>
      <c r="D36" s="49"/>
      <c r="E36" s="49"/>
      <c r="F36" s="49"/>
    </row>
    <row r="37" spans="1:6" ht="15">
      <c r="A37" s="357"/>
      <c r="B37" s="49"/>
      <c r="C37" s="49"/>
      <c r="D37" s="49"/>
      <c r="E37" s="49"/>
      <c r="F37" s="49"/>
    </row>
    <row r="38" spans="1:6" ht="15">
      <c r="A38" s="357"/>
      <c r="B38" s="49"/>
      <c r="C38" s="49"/>
      <c r="D38" s="49"/>
      <c r="E38" s="49"/>
      <c r="F38" s="49"/>
    </row>
    <row r="39" spans="1:6" ht="15">
      <c r="A39" s="49"/>
      <c r="B39" s="49"/>
      <c r="C39" s="49"/>
      <c r="D39" s="49"/>
      <c r="E39" s="49"/>
      <c r="F39" s="49"/>
    </row>
    <row r="40" spans="1:6" ht="15">
      <c r="A40" s="49"/>
      <c r="B40" s="168" t="s">
        <v>122</v>
      </c>
      <c r="C40" s="264">
        <v>22</v>
      </c>
      <c r="D40" s="49"/>
      <c r="E40" s="49"/>
      <c r="F40" s="49"/>
    </row>
    <row r="41" spans="1:6" ht="15">
      <c r="A41" s="79"/>
      <c r="B41" s="32"/>
      <c r="C41" s="32"/>
      <c r="D41" s="328"/>
      <c r="E41" s="79"/>
      <c r="F41" s="79"/>
    </row>
  </sheetData>
  <sheetProtection sheet="1"/>
  <mergeCells count="5">
    <mergeCell ref="B29:C29"/>
    <mergeCell ref="B3:E3"/>
    <mergeCell ref="A23:C23"/>
    <mergeCell ref="B25:C25"/>
    <mergeCell ref="A27:C27"/>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dimension ref="C2:I7"/>
  <sheetViews>
    <sheetView zoomScalePageLayoutView="0" workbookViewId="0" topLeftCell="A2">
      <selection activeCell="I13" sqref="I13"/>
    </sheetView>
  </sheetViews>
  <sheetFormatPr defaultColWidth="8.796875" defaultRowHeight="15"/>
  <sheetData>
    <row r="2" ht="15">
      <c r="I2" s="950">
        <f>inputPrYr!C5</f>
        <v>2015</v>
      </c>
    </row>
    <row r="3" ht="15" thickBot="1"/>
    <row r="4" spans="3:9" ht="18" thickBot="1">
      <c r="C4" s="1061"/>
      <c r="D4" s="1062"/>
      <c r="E4" s="1062"/>
      <c r="F4" s="1062"/>
      <c r="G4" s="1062"/>
      <c r="H4" s="1062"/>
      <c r="I4" s="1063"/>
    </row>
    <row r="5" spans="3:9" ht="15.75" thickBot="1">
      <c r="C5" s="947"/>
      <c r="D5" s="947"/>
      <c r="E5" s="948"/>
      <c r="F5" s="949"/>
      <c r="G5" s="947"/>
      <c r="H5" s="947"/>
      <c r="I5" s="947"/>
    </row>
    <row r="6" spans="3:9" ht="15">
      <c r="C6" s="1064" t="str">
        <f>CONCATENATE("Notice of Vote - ",inputPrYr!D2)</f>
        <v>Notice of Vote - City of Russell</v>
      </c>
      <c r="D6" s="1065"/>
      <c r="E6" s="1065"/>
      <c r="F6" s="1065"/>
      <c r="G6" s="1065"/>
      <c r="H6" s="1065"/>
      <c r="I6" s="1066"/>
    </row>
    <row r="7" spans="3:9" ht="60.75" customHeight="1" thickBot="1">
      <c r="C7" s="1058"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1059"/>
      <c r="E7" s="1059"/>
      <c r="F7" s="1059"/>
      <c r="G7" s="1059"/>
      <c r="H7" s="1059"/>
      <c r="I7" s="1060"/>
    </row>
  </sheetData>
  <sheetProtection/>
  <mergeCells count="3">
    <mergeCell ref="C7:I7"/>
    <mergeCell ref="C4:I4"/>
    <mergeCell ref="C6:I6"/>
  </mergeCells>
  <printOptions/>
  <pageMargins left="0.44" right="0.25" top="0.75" bottom="0.75" header="0.3" footer="0.3"/>
  <pageSetup orientation="portrait" r:id="rId1"/>
</worksheet>
</file>

<file path=xl/worksheets/sheet42.xml><?xml version="1.0" encoding="utf-8"?>
<worksheet xmlns="http://schemas.openxmlformats.org/spreadsheetml/2006/main" xmlns:r="http://schemas.openxmlformats.org/officeDocument/2006/relationships">
  <dimension ref="C2:H12"/>
  <sheetViews>
    <sheetView tabSelected="1" zoomScalePageLayoutView="0" workbookViewId="0" topLeftCell="A1">
      <selection activeCell="B18" sqref="B18"/>
    </sheetView>
  </sheetViews>
  <sheetFormatPr defaultColWidth="8.796875" defaultRowHeight="15"/>
  <cols>
    <col min="5" max="5" width="12.19921875" style="0" customWidth="1"/>
    <col min="7" max="7" width="3.296875" style="0" customWidth="1"/>
  </cols>
  <sheetData>
    <row r="2" ht="15">
      <c r="H2" s="950">
        <f>inputPrYr!C5</f>
        <v>2015</v>
      </c>
    </row>
    <row r="4" spans="3:8" ht="18">
      <c r="C4" s="1067"/>
      <c r="D4" s="1067"/>
      <c r="E4" s="1067"/>
      <c r="F4" s="1067"/>
      <c r="G4" s="1067"/>
      <c r="H4" s="1067"/>
    </row>
    <row r="5" spans="3:8" ht="15.75" thickBot="1">
      <c r="C5" s="951"/>
      <c r="D5" s="951"/>
      <c r="E5" s="951"/>
      <c r="F5" s="951"/>
      <c r="G5" s="951"/>
      <c r="H5" s="951"/>
    </row>
    <row r="6" spans="3:8" ht="15">
      <c r="C6" s="1064" t="str">
        <f>CONCATENATE("Notice of Vote - ",inputPrYr!D2)</f>
        <v>Notice of Vote - City of Russell</v>
      </c>
      <c r="D6" s="1065"/>
      <c r="E6" s="1065"/>
      <c r="F6" s="1065"/>
      <c r="G6" s="1065"/>
      <c r="H6" s="1066"/>
    </row>
    <row r="7" spans="3:8" ht="15">
      <c r="C7" s="1068" t="s">
        <v>991</v>
      </c>
      <c r="D7" s="1069"/>
      <c r="E7" s="1069"/>
      <c r="F7" s="1069"/>
      <c r="G7" s="1069"/>
      <c r="H7" s="1070"/>
    </row>
    <row r="8" spans="3:8" ht="15">
      <c r="C8" s="1068" t="s">
        <v>992</v>
      </c>
      <c r="D8" s="1069"/>
      <c r="E8" s="1069"/>
      <c r="F8" s="1069"/>
      <c r="G8" s="1069"/>
      <c r="H8" s="1070"/>
    </row>
    <row r="9" spans="3:8" ht="15">
      <c r="C9" s="954" t="str">
        <f>CONCATENATE(H2-1," Budget")</f>
        <v>2014 Budget</v>
      </c>
      <c r="D9" s="958" t="s">
        <v>182</v>
      </c>
      <c r="E9" s="960">
        <f>inputPrYr!E31</f>
        <v>1683506</v>
      </c>
      <c r="F9" s="952"/>
      <c r="G9" s="952"/>
      <c r="H9" s="953"/>
    </row>
    <row r="10" spans="3:8" ht="15">
      <c r="C10" s="954" t="str">
        <f>CONCATENATE(H2," Budget")</f>
        <v>2015 Budget</v>
      </c>
      <c r="D10" s="958" t="s">
        <v>182</v>
      </c>
      <c r="E10" s="961">
        <f>cert!F57</f>
        <v>1723953</v>
      </c>
      <c r="F10" s="952"/>
      <c r="G10" s="952"/>
      <c r="H10" s="953"/>
    </row>
    <row r="11" spans="3:8" ht="15">
      <c r="C11" s="954"/>
      <c r="D11" s="952"/>
      <c r="E11" s="952" t="s">
        <v>993</v>
      </c>
      <c r="F11" s="962"/>
      <c r="G11" s="957" t="s">
        <v>994</v>
      </c>
      <c r="H11" s="963"/>
    </row>
    <row r="12" spans="3:8" ht="15.75" thickBot="1">
      <c r="C12" s="955"/>
      <c r="D12" s="956"/>
      <c r="E12" s="956"/>
      <c r="F12" s="956"/>
      <c r="G12" s="956"/>
      <c r="H12" s="959"/>
    </row>
  </sheetData>
  <sheetProtection/>
  <mergeCells count="4">
    <mergeCell ref="C4:H4"/>
    <mergeCell ref="C6:H6"/>
    <mergeCell ref="C7:H7"/>
    <mergeCell ref="C8:H8"/>
  </mergeCells>
  <printOption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45" t="s">
        <v>399</v>
      </c>
      <c r="B3" s="345"/>
      <c r="C3" s="345"/>
      <c r="D3" s="345"/>
      <c r="E3" s="345"/>
      <c r="F3" s="345"/>
      <c r="G3" s="345"/>
      <c r="H3" s="345"/>
      <c r="I3" s="345"/>
      <c r="J3" s="345"/>
      <c r="K3" s="345"/>
      <c r="L3" s="345"/>
    </row>
    <row r="5" ht="15">
      <c r="A5" s="346" t="s">
        <v>400</v>
      </c>
    </row>
    <row r="6" ht="15">
      <c r="A6" s="346" t="str">
        <f>CONCATENATE(inputPrYr!C5-2," 'total expenditures' exceed your ",inputPrYr!C5-2," 'budget authority.'")</f>
        <v>2013 'total expenditures' exceed your 2013 'budget authority.'</v>
      </c>
    </row>
    <row r="7" ht="15">
      <c r="A7" s="346"/>
    </row>
    <row r="8" ht="15">
      <c r="A8" s="346" t="s">
        <v>401</v>
      </c>
    </row>
    <row r="9" ht="15">
      <c r="A9" s="346" t="s">
        <v>402</v>
      </c>
    </row>
    <row r="10" ht="15">
      <c r="A10" s="346" t="s">
        <v>403</v>
      </c>
    </row>
    <row r="11" ht="15">
      <c r="A11" s="346"/>
    </row>
    <row r="12" ht="15">
      <c r="A12" s="346"/>
    </row>
    <row r="13" ht="15">
      <c r="A13" s="347" t="s">
        <v>404</v>
      </c>
    </row>
    <row r="15" ht="15">
      <c r="A15" s="346" t="s">
        <v>405</v>
      </c>
    </row>
    <row r="16" ht="15">
      <c r="A16" s="346" t="str">
        <f>CONCATENATE("(i.e. an audit has not been completed, or the ",inputPrYr!C5," adopted")</f>
        <v>(i.e. an audit has not been completed, or the 2015 adopted</v>
      </c>
    </row>
    <row r="17" ht="15">
      <c r="A17" s="346" t="s">
        <v>406</v>
      </c>
    </row>
    <row r="18" ht="15">
      <c r="A18" s="346" t="s">
        <v>407</v>
      </c>
    </row>
    <row r="19" ht="15">
      <c r="A19" s="346" t="s">
        <v>408</v>
      </c>
    </row>
    <row r="21" ht="15">
      <c r="A21" s="347" t="s">
        <v>409</v>
      </c>
    </row>
    <row r="22" ht="15">
      <c r="A22" s="347"/>
    </row>
    <row r="23" ht="15">
      <c r="A23" s="346" t="s">
        <v>410</v>
      </c>
    </row>
    <row r="24" ht="15">
      <c r="A24" s="346" t="s">
        <v>411</v>
      </c>
    </row>
    <row r="25" ht="15">
      <c r="A25" s="346" t="str">
        <f>CONCATENATE("particular fund.  If your ",inputPrYr!C5-2," budget was amended, did you")</f>
        <v>particular fund.  If your 2013 budget was amended, did you</v>
      </c>
    </row>
    <row r="26" ht="15">
      <c r="A26" s="346" t="s">
        <v>412</v>
      </c>
    </row>
    <row r="27" ht="15">
      <c r="A27" s="346"/>
    </row>
    <row r="28" ht="15">
      <c r="A28" s="346" t="str">
        <f>CONCATENATE("Next, look to see if any of your ",inputPrYr!C5-2," expenditures can be")</f>
        <v>Next, look to see if any of your 2013 expenditures can be</v>
      </c>
    </row>
    <row r="29" ht="15">
      <c r="A29" s="346" t="s">
        <v>413</v>
      </c>
    </row>
    <row r="30" ht="15">
      <c r="A30" s="346" t="s">
        <v>414</v>
      </c>
    </row>
    <row r="31" ht="15">
      <c r="A31" s="346" t="s">
        <v>415</v>
      </c>
    </row>
    <row r="32" ht="15">
      <c r="A32" s="346"/>
    </row>
    <row r="33" ht="15">
      <c r="A33" s="346" t="str">
        <f>CONCATENATE("Additionally, do your ",inputPrYr!C5-2," receipts contain a reimbursement")</f>
        <v>Additionally, do your 2013 receipts contain a reimbursement</v>
      </c>
    </row>
    <row r="34" ht="15">
      <c r="A34" s="346" t="s">
        <v>416</v>
      </c>
    </row>
    <row r="35" ht="15">
      <c r="A35" s="346" t="s">
        <v>417</v>
      </c>
    </row>
    <row r="36" ht="15">
      <c r="A36" s="346"/>
    </row>
    <row r="37" ht="15">
      <c r="A37" s="346" t="s">
        <v>418</v>
      </c>
    </row>
    <row r="38" ht="15">
      <c r="A38" s="346" t="s">
        <v>419</v>
      </c>
    </row>
    <row r="39" ht="15">
      <c r="A39" s="346" t="s">
        <v>420</v>
      </c>
    </row>
    <row r="40" ht="15">
      <c r="A40" s="346" t="s">
        <v>421</v>
      </c>
    </row>
    <row r="41" ht="15">
      <c r="A41" s="346" t="s">
        <v>422</v>
      </c>
    </row>
    <row r="42" ht="15">
      <c r="A42" s="346" t="s">
        <v>423</v>
      </c>
    </row>
    <row r="43" ht="15">
      <c r="A43" s="346" t="s">
        <v>424</v>
      </c>
    </row>
    <row r="44" ht="15">
      <c r="A44" s="346" t="s">
        <v>425</v>
      </c>
    </row>
    <row r="45" ht="15">
      <c r="A45" s="346"/>
    </row>
    <row r="46" ht="15">
      <c r="A46" s="346" t="s">
        <v>426</v>
      </c>
    </row>
    <row r="47" ht="15">
      <c r="A47" s="346" t="s">
        <v>427</v>
      </c>
    </row>
    <row r="48" ht="15">
      <c r="A48" s="346" t="s">
        <v>428</v>
      </c>
    </row>
    <row r="49" ht="15">
      <c r="A49" s="346"/>
    </row>
    <row r="50" ht="15">
      <c r="A50" s="346" t="s">
        <v>429</v>
      </c>
    </row>
    <row r="51" ht="15">
      <c r="A51" s="346" t="s">
        <v>430</v>
      </c>
    </row>
    <row r="52" ht="15">
      <c r="A52" s="346" t="s">
        <v>431</v>
      </c>
    </row>
    <row r="53" ht="15">
      <c r="A53" s="346"/>
    </row>
    <row r="54" ht="15">
      <c r="A54" s="347" t="s">
        <v>432</v>
      </c>
    </row>
    <row r="55" ht="15">
      <c r="A55" s="346"/>
    </row>
    <row r="56" ht="15">
      <c r="A56" s="346" t="s">
        <v>433</v>
      </c>
    </row>
    <row r="57" ht="15">
      <c r="A57" s="346" t="s">
        <v>434</v>
      </c>
    </row>
    <row r="58" ht="15">
      <c r="A58" s="346" t="s">
        <v>435</v>
      </c>
    </row>
    <row r="59" ht="15">
      <c r="A59" s="346" t="s">
        <v>436</v>
      </c>
    </row>
    <row r="60" ht="15">
      <c r="A60" s="346" t="s">
        <v>437</v>
      </c>
    </row>
    <row r="61" ht="15">
      <c r="A61" s="346" t="s">
        <v>438</v>
      </c>
    </row>
    <row r="62" ht="15">
      <c r="A62" s="346" t="s">
        <v>439</v>
      </c>
    </row>
    <row r="63" ht="15">
      <c r="A63" s="346" t="s">
        <v>440</v>
      </c>
    </row>
    <row r="64" ht="15">
      <c r="A64" s="346" t="s">
        <v>441</v>
      </c>
    </row>
    <row r="65" ht="15">
      <c r="A65" s="346" t="s">
        <v>442</v>
      </c>
    </row>
    <row r="66" ht="15">
      <c r="A66" s="346" t="s">
        <v>443</v>
      </c>
    </row>
    <row r="67" ht="15">
      <c r="A67" s="346" t="s">
        <v>444</v>
      </c>
    </row>
    <row r="68" ht="15">
      <c r="A68" s="346" t="s">
        <v>445</v>
      </c>
    </row>
    <row r="69" ht="15">
      <c r="A69" s="346"/>
    </row>
    <row r="70" ht="15">
      <c r="A70" s="346" t="s">
        <v>446</v>
      </c>
    </row>
    <row r="71" ht="15">
      <c r="A71" s="346" t="s">
        <v>447</v>
      </c>
    </row>
    <row r="72" ht="15">
      <c r="A72" s="346" t="s">
        <v>448</v>
      </c>
    </row>
    <row r="73" ht="15">
      <c r="A73" s="346"/>
    </row>
    <row r="74" ht="15">
      <c r="A74" s="347" t="str">
        <f>CONCATENATE("What if the ",inputPrYr!C5-2," financial records have been closed?")</f>
        <v>What if the 2013 financial records have been closed?</v>
      </c>
    </row>
    <row r="76" ht="15">
      <c r="A76" s="346" t="s">
        <v>449</v>
      </c>
    </row>
    <row r="77" ht="15">
      <c r="A77" s="346" t="str">
        <f>CONCATENATE("(i.e. an audit for ",inputPrYr!C5-2," has been completed, or the ",inputPrYr!C5)</f>
        <v>(i.e. an audit for 2013 has been completed, or the 2015</v>
      </c>
    </row>
    <row r="78" ht="15">
      <c r="A78" s="346" t="s">
        <v>450</v>
      </c>
    </row>
    <row r="79" ht="15">
      <c r="A79" s="346" t="s">
        <v>451</v>
      </c>
    </row>
    <row r="80" ht="15">
      <c r="A80" s="346"/>
    </row>
    <row r="81" ht="15">
      <c r="A81" s="346" t="s">
        <v>452</v>
      </c>
    </row>
    <row r="82" ht="15">
      <c r="A82" s="346" t="s">
        <v>453</v>
      </c>
    </row>
    <row r="83" ht="15">
      <c r="A83" s="346" t="s">
        <v>454</v>
      </c>
    </row>
    <row r="84" ht="15">
      <c r="A84" s="346"/>
    </row>
    <row r="85" ht="15">
      <c r="A85" s="346" t="s">
        <v>455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45" t="s">
        <v>456</v>
      </c>
      <c r="B3" s="345"/>
      <c r="C3" s="345"/>
      <c r="D3" s="345"/>
      <c r="E3" s="345"/>
      <c r="F3" s="345"/>
      <c r="G3" s="345"/>
      <c r="H3" s="348"/>
      <c r="I3" s="348"/>
      <c r="J3" s="348"/>
    </row>
    <row r="5" ht="15">
      <c r="A5" s="346" t="s">
        <v>457</v>
      </c>
    </row>
    <row r="6" ht="15">
      <c r="A6" t="str">
        <f>CONCATENATE(inputPrYr!C5-2," expenditures show that you finished the year with a ")</f>
        <v>2013 expenditures show that you finished the year with a </v>
      </c>
    </row>
    <row r="7" ht="15">
      <c r="A7" t="s">
        <v>458</v>
      </c>
    </row>
    <row r="9" ht="15">
      <c r="A9" t="s">
        <v>459</v>
      </c>
    </row>
    <row r="10" ht="15">
      <c r="A10" t="s">
        <v>460</v>
      </c>
    </row>
    <row r="11" ht="15">
      <c r="A11" t="s">
        <v>461</v>
      </c>
    </row>
    <row r="13" ht="15">
      <c r="A13" s="347" t="s">
        <v>462</v>
      </c>
    </row>
    <row r="14" ht="15">
      <c r="A14" s="347"/>
    </row>
    <row r="15" ht="15">
      <c r="A15" s="346" t="s">
        <v>463</v>
      </c>
    </row>
    <row r="16" ht="15">
      <c r="A16" s="346" t="s">
        <v>464</v>
      </c>
    </row>
    <row r="17" ht="15">
      <c r="A17" s="346" t="s">
        <v>465</v>
      </c>
    </row>
    <row r="18" ht="15">
      <c r="A18" s="346"/>
    </row>
    <row r="19" ht="15">
      <c r="A19" s="347" t="s">
        <v>466</v>
      </c>
    </row>
    <row r="20" ht="15">
      <c r="A20" s="347"/>
    </row>
    <row r="21" ht="15">
      <c r="A21" s="346" t="s">
        <v>467</v>
      </c>
    </row>
    <row r="22" ht="15">
      <c r="A22" s="346" t="s">
        <v>468</v>
      </c>
    </row>
    <row r="23" ht="15">
      <c r="A23" s="346" t="s">
        <v>469</v>
      </c>
    </row>
    <row r="24" ht="15">
      <c r="A24" s="346"/>
    </row>
    <row r="25" ht="15">
      <c r="A25" s="347" t="s">
        <v>470</v>
      </c>
    </row>
    <row r="26" ht="15">
      <c r="A26" s="347"/>
    </row>
    <row r="27" ht="15">
      <c r="A27" s="346" t="s">
        <v>471</v>
      </c>
    </row>
    <row r="28" ht="15">
      <c r="A28" s="346" t="s">
        <v>472</v>
      </c>
    </row>
    <row r="29" ht="15">
      <c r="A29" s="346" t="s">
        <v>473</v>
      </c>
    </row>
    <row r="30" ht="15">
      <c r="A30" s="346"/>
    </row>
    <row r="31" ht="15">
      <c r="A31" s="347" t="s">
        <v>474</v>
      </c>
    </row>
    <row r="32" ht="15">
      <c r="A32" s="347"/>
    </row>
    <row r="33" spans="1:8" ht="15">
      <c r="A33" s="346" t="str">
        <f>CONCATENATE("If your financial records for ",inputPrYr!C5-2," are not closed")</f>
        <v>If your financial records for 2013 are not closed</v>
      </c>
      <c r="B33" s="346"/>
      <c r="C33" s="346"/>
      <c r="D33" s="346"/>
      <c r="E33" s="346"/>
      <c r="F33" s="346"/>
      <c r="G33" s="346"/>
      <c r="H33" s="346"/>
    </row>
    <row r="34" spans="1:8" ht="15">
      <c r="A34" s="346" t="str">
        <f>CONCATENATE("(i.e. an audit has not been completed, or the ",inputPrYr!C5," adopted ")</f>
        <v>(i.e. an audit has not been completed, or the 2015 adopted </v>
      </c>
      <c r="B34" s="346"/>
      <c r="C34" s="346"/>
      <c r="D34" s="346"/>
      <c r="E34" s="346"/>
      <c r="F34" s="346"/>
      <c r="G34" s="346"/>
      <c r="H34" s="346"/>
    </row>
    <row r="35" spans="1:8" ht="15">
      <c r="A35" s="346" t="s">
        <v>475</v>
      </c>
      <c r="B35" s="346"/>
      <c r="C35" s="346"/>
      <c r="D35" s="346"/>
      <c r="E35" s="346"/>
      <c r="F35" s="346"/>
      <c r="G35" s="346"/>
      <c r="H35" s="346"/>
    </row>
    <row r="36" spans="1:8" ht="15">
      <c r="A36" s="346" t="s">
        <v>476</v>
      </c>
      <c r="B36" s="346"/>
      <c r="C36" s="346"/>
      <c r="D36" s="346"/>
      <c r="E36" s="346"/>
      <c r="F36" s="346"/>
      <c r="G36" s="346"/>
      <c r="H36" s="346"/>
    </row>
    <row r="37" spans="1:8" ht="15">
      <c r="A37" s="346" t="s">
        <v>477</v>
      </c>
      <c r="B37" s="346"/>
      <c r="C37" s="346"/>
      <c r="D37" s="346"/>
      <c r="E37" s="346"/>
      <c r="F37" s="346"/>
      <c r="G37" s="346"/>
      <c r="H37" s="346"/>
    </row>
    <row r="38" spans="1:8" ht="15">
      <c r="A38" s="346" t="s">
        <v>478</v>
      </c>
      <c r="B38" s="346"/>
      <c r="C38" s="346"/>
      <c r="D38" s="346"/>
      <c r="E38" s="346"/>
      <c r="F38" s="346"/>
      <c r="G38" s="346"/>
      <c r="H38" s="346"/>
    </row>
    <row r="39" spans="1:8" ht="15">
      <c r="A39" s="346" t="s">
        <v>479</v>
      </c>
      <c r="B39" s="346"/>
      <c r="C39" s="346"/>
      <c r="D39" s="346"/>
      <c r="E39" s="346"/>
      <c r="F39" s="346"/>
      <c r="G39" s="346"/>
      <c r="H39" s="346"/>
    </row>
    <row r="40" spans="1:8" ht="15">
      <c r="A40" s="346"/>
      <c r="B40" s="346"/>
      <c r="C40" s="346"/>
      <c r="D40" s="346"/>
      <c r="E40" s="346"/>
      <c r="F40" s="346"/>
      <c r="G40" s="346"/>
      <c r="H40" s="346"/>
    </row>
    <row r="41" spans="1:8" ht="15">
      <c r="A41" s="346" t="s">
        <v>480</v>
      </c>
      <c r="B41" s="346"/>
      <c r="C41" s="346"/>
      <c r="D41" s="346"/>
      <c r="E41" s="346"/>
      <c r="F41" s="346"/>
      <c r="G41" s="346"/>
      <c r="H41" s="346"/>
    </row>
    <row r="42" spans="1:8" ht="15">
      <c r="A42" s="346" t="s">
        <v>481</v>
      </c>
      <c r="B42" s="346"/>
      <c r="C42" s="346"/>
      <c r="D42" s="346"/>
      <c r="E42" s="346"/>
      <c r="F42" s="346"/>
      <c r="G42" s="346"/>
      <c r="H42" s="346"/>
    </row>
    <row r="43" spans="1:8" ht="15">
      <c r="A43" s="346" t="s">
        <v>482</v>
      </c>
      <c r="B43" s="346"/>
      <c r="C43" s="346"/>
      <c r="D43" s="346"/>
      <c r="E43" s="346"/>
      <c r="F43" s="346"/>
      <c r="G43" s="346"/>
      <c r="H43" s="346"/>
    </row>
    <row r="44" spans="1:8" ht="15">
      <c r="A44" s="346" t="s">
        <v>483</v>
      </c>
      <c r="B44" s="346"/>
      <c r="C44" s="346"/>
      <c r="D44" s="346"/>
      <c r="E44" s="346"/>
      <c r="F44" s="346"/>
      <c r="G44" s="346"/>
      <c r="H44" s="346"/>
    </row>
    <row r="45" spans="1:8" ht="15">
      <c r="A45" s="346"/>
      <c r="B45" s="346"/>
      <c r="C45" s="346"/>
      <c r="D45" s="346"/>
      <c r="E45" s="346"/>
      <c r="F45" s="346"/>
      <c r="G45" s="346"/>
      <c r="H45" s="346"/>
    </row>
    <row r="46" spans="1:8" ht="15">
      <c r="A46" s="346" t="s">
        <v>484</v>
      </c>
      <c r="B46" s="346"/>
      <c r="C46" s="346"/>
      <c r="D46" s="346"/>
      <c r="E46" s="346"/>
      <c r="F46" s="346"/>
      <c r="G46" s="346"/>
      <c r="H46" s="346"/>
    </row>
    <row r="47" spans="1:8" ht="15">
      <c r="A47" s="346" t="s">
        <v>485</v>
      </c>
      <c r="B47" s="346"/>
      <c r="C47" s="346"/>
      <c r="D47" s="346"/>
      <c r="E47" s="346"/>
      <c r="F47" s="346"/>
      <c r="G47" s="346"/>
      <c r="H47" s="346"/>
    </row>
    <row r="48" spans="1:8" ht="15">
      <c r="A48" s="346" t="s">
        <v>486</v>
      </c>
      <c r="B48" s="346"/>
      <c r="C48" s="346"/>
      <c r="D48" s="346"/>
      <c r="E48" s="346"/>
      <c r="F48" s="346"/>
      <c r="G48" s="346"/>
      <c r="H48" s="346"/>
    </row>
    <row r="49" spans="1:8" ht="15">
      <c r="A49" s="346" t="s">
        <v>487</v>
      </c>
      <c r="B49" s="346"/>
      <c r="C49" s="346"/>
      <c r="D49" s="346"/>
      <c r="E49" s="346"/>
      <c r="F49" s="346"/>
      <c r="G49" s="346"/>
      <c r="H49" s="346"/>
    </row>
    <row r="50" spans="1:8" ht="15">
      <c r="A50" s="346" t="s">
        <v>488</v>
      </c>
      <c r="B50" s="346"/>
      <c r="C50" s="346"/>
      <c r="D50" s="346"/>
      <c r="E50" s="346"/>
      <c r="F50" s="346"/>
      <c r="G50" s="346"/>
      <c r="H50" s="346"/>
    </row>
    <row r="51" spans="1:8" ht="15">
      <c r="A51" s="346"/>
      <c r="B51" s="346"/>
      <c r="C51" s="346"/>
      <c r="D51" s="346"/>
      <c r="E51" s="346"/>
      <c r="F51" s="346"/>
      <c r="G51" s="346"/>
      <c r="H51" s="346"/>
    </row>
    <row r="52" spans="1:8" ht="15">
      <c r="A52" s="347" t="s">
        <v>489</v>
      </c>
      <c r="B52" s="347"/>
      <c r="C52" s="347"/>
      <c r="D52" s="347"/>
      <c r="E52" s="347"/>
      <c r="F52" s="347"/>
      <c r="G52" s="347"/>
      <c r="H52" s="346"/>
    </row>
    <row r="53" spans="1:8" ht="15">
      <c r="A53" s="347" t="s">
        <v>490</v>
      </c>
      <c r="B53" s="347"/>
      <c r="C53" s="347"/>
      <c r="D53" s="347"/>
      <c r="E53" s="347"/>
      <c r="F53" s="347"/>
      <c r="G53" s="347"/>
      <c r="H53" s="346"/>
    </row>
    <row r="54" spans="1:8" ht="15">
      <c r="A54" s="346"/>
      <c r="B54" s="346"/>
      <c r="C54" s="346"/>
      <c r="D54" s="346"/>
      <c r="E54" s="346"/>
      <c r="F54" s="346"/>
      <c r="G54" s="346"/>
      <c r="H54" s="346"/>
    </row>
    <row r="55" spans="1:8" ht="15">
      <c r="A55" s="346" t="s">
        <v>491</v>
      </c>
      <c r="B55" s="346"/>
      <c r="C55" s="346"/>
      <c r="D55" s="346"/>
      <c r="E55" s="346"/>
      <c r="F55" s="346"/>
      <c r="G55" s="346"/>
      <c r="H55" s="346"/>
    </row>
    <row r="56" spans="1:8" ht="15">
      <c r="A56" s="346" t="s">
        <v>492</v>
      </c>
      <c r="B56" s="346"/>
      <c r="C56" s="346"/>
      <c r="D56" s="346"/>
      <c r="E56" s="346"/>
      <c r="F56" s="346"/>
      <c r="G56" s="346"/>
      <c r="H56" s="346"/>
    </row>
    <row r="57" spans="1:8" ht="15">
      <c r="A57" s="346" t="s">
        <v>493</v>
      </c>
      <c r="B57" s="346"/>
      <c r="C57" s="346"/>
      <c r="D57" s="346"/>
      <c r="E57" s="346"/>
      <c r="F57" s="346"/>
      <c r="G57" s="346"/>
      <c r="H57" s="346"/>
    </row>
    <row r="58" spans="1:8" ht="15">
      <c r="A58" s="346" t="s">
        <v>494</v>
      </c>
      <c r="B58" s="346"/>
      <c r="C58" s="346"/>
      <c r="D58" s="346"/>
      <c r="E58" s="346"/>
      <c r="F58" s="346"/>
      <c r="G58" s="346"/>
      <c r="H58" s="346"/>
    </row>
    <row r="59" spans="1:8" ht="15">
      <c r="A59" s="346"/>
      <c r="B59" s="346"/>
      <c r="C59" s="346"/>
      <c r="D59" s="346"/>
      <c r="E59" s="346"/>
      <c r="F59" s="346"/>
      <c r="G59" s="346"/>
      <c r="H59" s="346"/>
    </row>
    <row r="60" spans="1:8" ht="15">
      <c r="A60" s="346" t="s">
        <v>495</v>
      </c>
      <c r="B60" s="346"/>
      <c r="C60" s="346"/>
      <c r="D60" s="346"/>
      <c r="E60" s="346"/>
      <c r="F60" s="346"/>
      <c r="G60" s="346"/>
      <c r="H60" s="346"/>
    </row>
    <row r="61" spans="1:8" ht="15">
      <c r="A61" s="346" t="s">
        <v>496</v>
      </c>
      <c r="B61" s="346"/>
      <c r="C61" s="346"/>
      <c r="D61" s="346"/>
      <c r="E61" s="346"/>
      <c r="F61" s="346"/>
      <c r="G61" s="346"/>
      <c r="H61" s="346"/>
    </row>
    <row r="62" spans="1:8" ht="15">
      <c r="A62" s="346" t="s">
        <v>497</v>
      </c>
      <c r="B62" s="346"/>
      <c r="C62" s="346"/>
      <c r="D62" s="346"/>
      <c r="E62" s="346"/>
      <c r="F62" s="346"/>
      <c r="G62" s="346"/>
      <c r="H62" s="346"/>
    </row>
    <row r="63" spans="1:8" ht="15">
      <c r="A63" s="346" t="s">
        <v>498</v>
      </c>
      <c r="B63" s="346"/>
      <c r="C63" s="346"/>
      <c r="D63" s="346"/>
      <c r="E63" s="346"/>
      <c r="F63" s="346"/>
      <c r="G63" s="346"/>
      <c r="H63" s="346"/>
    </row>
    <row r="64" spans="1:8" ht="15">
      <c r="A64" s="346" t="s">
        <v>499</v>
      </c>
      <c r="B64" s="346"/>
      <c r="C64" s="346"/>
      <c r="D64" s="346"/>
      <c r="E64" s="346"/>
      <c r="F64" s="346"/>
      <c r="G64" s="346"/>
      <c r="H64" s="346"/>
    </row>
    <row r="65" spans="1:8" ht="15">
      <c r="A65" s="346" t="s">
        <v>500</v>
      </c>
      <c r="B65" s="346"/>
      <c r="C65" s="346"/>
      <c r="D65" s="346"/>
      <c r="E65" s="346"/>
      <c r="F65" s="346"/>
      <c r="G65" s="346"/>
      <c r="H65" s="346"/>
    </row>
    <row r="66" spans="1:8" ht="15">
      <c r="A66" s="346"/>
      <c r="B66" s="346"/>
      <c r="C66" s="346"/>
      <c r="D66" s="346"/>
      <c r="E66" s="346"/>
      <c r="F66" s="346"/>
      <c r="G66" s="346"/>
      <c r="H66" s="346"/>
    </row>
    <row r="67" spans="1:8" ht="15">
      <c r="A67" s="346" t="s">
        <v>501</v>
      </c>
      <c r="B67" s="346"/>
      <c r="C67" s="346"/>
      <c r="D67" s="346"/>
      <c r="E67" s="346"/>
      <c r="F67" s="346"/>
      <c r="G67" s="346"/>
      <c r="H67" s="346"/>
    </row>
    <row r="68" spans="1:8" ht="15">
      <c r="A68" s="346" t="s">
        <v>502</v>
      </c>
      <c r="B68" s="346"/>
      <c r="C68" s="346"/>
      <c r="D68" s="346"/>
      <c r="E68" s="346"/>
      <c r="F68" s="346"/>
      <c r="G68" s="346"/>
      <c r="H68" s="346"/>
    </row>
    <row r="69" spans="1:8" ht="15">
      <c r="A69" s="346" t="s">
        <v>503</v>
      </c>
      <c r="B69" s="346"/>
      <c r="C69" s="346"/>
      <c r="D69" s="346"/>
      <c r="E69" s="346"/>
      <c r="F69" s="346"/>
      <c r="G69" s="346"/>
      <c r="H69" s="346"/>
    </row>
    <row r="70" spans="1:8" ht="15">
      <c r="A70" s="346" t="s">
        <v>504</v>
      </c>
      <c r="B70" s="346"/>
      <c r="C70" s="346"/>
      <c r="D70" s="346"/>
      <c r="E70" s="346"/>
      <c r="F70" s="346"/>
      <c r="G70" s="346"/>
      <c r="H70" s="346"/>
    </row>
    <row r="71" spans="1:8" ht="15">
      <c r="A71" s="346" t="s">
        <v>505</v>
      </c>
      <c r="B71" s="346"/>
      <c r="C71" s="346"/>
      <c r="D71" s="346"/>
      <c r="E71" s="346"/>
      <c r="F71" s="346"/>
      <c r="G71" s="346"/>
      <c r="H71" s="346"/>
    </row>
    <row r="72" spans="1:8" ht="15">
      <c r="A72" s="346" t="s">
        <v>506</v>
      </c>
      <c r="B72" s="346"/>
      <c r="C72" s="346"/>
      <c r="D72" s="346"/>
      <c r="E72" s="346"/>
      <c r="F72" s="346"/>
      <c r="G72" s="346"/>
      <c r="H72" s="346"/>
    </row>
    <row r="73" spans="1:8" ht="15">
      <c r="A73" s="346" t="s">
        <v>507</v>
      </c>
      <c r="B73" s="346"/>
      <c r="C73" s="346"/>
      <c r="D73" s="346"/>
      <c r="E73" s="346"/>
      <c r="F73" s="346"/>
      <c r="G73" s="346"/>
      <c r="H73" s="346"/>
    </row>
    <row r="74" spans="1:8" ht="15">
      <c r="A74" s="346"/>
      <c r="B74" s="346"/>
      <c r="C74" s="346"/>
      <c r="D74" s="346"/>
      <c r="E74" s="346"/>
      <c r="F74" s="346"/>
      <c r="G74" s="346"/>
      <c r="H74" s="346"/>
    </row>
    <row r="75" spans="1:8" ht="15">
      <c r="A75" s="346" t="s">
        <v>508</v>
      </c>
      <c r="B75" s="346"/>
      <c r="C75" s="346"/>
      <c r="D75" s="346"/>
      <c r="E75" s="346"/>
      <c r="F75" s="346"/>
      <c r="G75" s="346"/>
      <c r="H75" s="346"/>
    </row>
    <row r="76" spans="1:8" ht="15">
      <c r="A76" s="346" t="s">
        <v>509</v>
      </c>
      <c r="B76" s="346"/>
      <c r="C76" s="346"/>
      <c r="D76" s="346"/>
      <c r="E76" s="346"/>
      <c r="F76" s="346"/>
      <c r="G76" s="346"/>
      <c r="H76" s="346"/>
    </row>
    <row r="77" spans="1:8" ht="15">
      <c r="A77" s="346" t="s">
        <v>510</v>
      </c>
      <c r="B77" s="346"/>
      <c r="C77" s="346"/>
      <c r="D77" s="346"/>
      <c r="E77" s="346"/>
      <c r="F77" s="346"/>
      <c r="G77" s="346"/>
      <c r="H77" s="346"/>
    </row>
    <row r="78" spans="1:8" ht="15">
      <c r="A78" s="346"/>
      <c r="B78" s="346"/>
      <c r="C78" s="346"/>
      <c r="D78" s="346"/>
      <c r="E78" s="346"/>
      <c r="F78" s="346"/>
      <c r="G78" s="346"/>
      <c r="H78" s="346"/>
    </row>
    <row r="79" ht="15">
      <c r="A79" s="346" t="s">
        <v>455</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45" t="s">
        <v>511</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400</v>
      </c>
      <c r="I5" s="345"/>
      <c r="J5" s="345"/>
      <c r="K5" s="345"/>
      <c r="L5" s="345"/>
    </row>
    <row r="6" spans="1:12" ht="15">
      <c r="A6" s="346" t="str">
        <f>CONCATENATE("estimated ",inputPrYr!C5-1," 'total expenditures' exceed your ",inputPrYr!C5-1,"")</f>
        <v>estimated 2014 'total expenditures' exceed your 2014</v>
      </c>
      <c r="I6" s="345"/>
      <c r="J6" s="345"/>
      <c r="K6" s="345"/>
      <c r="L6" s="345"/>
    </row>
    <row r="7" spans="1:12" ht="15">
      <c r="A7" s="349" t="s">
        <v>512</v>
      </c>
      <c r="I7" s="345"/>
      <c r="J7" s="345"/>
      <c r="K7" s="345"/>
      <c r="L7" s="345"/>
    </row>
    <row r="8" spans="1:12" ht="15">
      <c r="A8" s="346"/>
      <c r="I8" s="345"/>
      <c r="J8" s="345"/>
      <c r="K8" s="345"/>
      <c r="L8" s="345"/>
    </row>
    <row r="9" spans="1:12" ht="15">
      <c r="A9" s="346" t="s">
        <v>513</v>
      </c>
      <c r="I9" s="345"/>
      <c r="J9" s="345"/>
      <c r="K9" s="345"/>
      <c r="L9" s="345"/>
    </row>
    <row r="10" spans="1:12" ht="15">
      <c r="A10" s="346" t="s">
        <v>514</v>
      </c>
      <c r="I10" s="345"/>
      <c r="J10" s="345"/>
      <c r="K10" s="345"/>
      <c r="L10" s="345"/>
    </row>
    <row r="11" spans="1:12" ht="15">
      <c r="A11" s="346" t="s">
        <v>515</v>
      </c>
      <c r="I11" s="345"/>
      <c r="J11" s="345"/>
      <c r="K11" s="345"/>
      <c r="L11" s="345"/>
    </row>
    <row r="12" spans="1:12" ht="15">
      <c r="A12" s="346" t="s">
        <v>516</v>
      </c>
      <c r="I12" s="345"/>
      <c r="J12" s="345"/>
      <c r="K12" s="345"/>
      <c r="L12" s="345"/>
    </row>
    <row r="13" spans="1:12" ht="15">
      <c r="A13" s="346" t="s">
        <v>517</v>
      </c>
      <c r="I13" s="345"/>
      <c r="J13" s="345"/>
      <c r="K13" s="345"/>
      <c r="L13" s="345"/>
    </row>
    <row r="14" spans="1:12" ht="15">
      <c r="A14" s="345"/>
      <c r="B14" s="345"/>
      <c r="C14" s="345"/>
      <c r="D14" s="345"/>
      <c r="E14" s="345"/>
      <c r="F14" s="345"/>
      <c r="G14" s="345"/>
      <c r="H14" s="345"/>
      <c r="I14" s="345"/>
      <c r="J14" s="345"/>
      <c r="K14" s="345"/>
      <c r="L14" s="345"/>
    </row>
    <row r="15" ht="15">
      <c r="A15" s="347" t="s">
        <v>518</v>
      </c>
    </row>
    <row r="16" ht="15">
      <c r="A16" s="347" t="s">
        <v>519</v>
      </c>
    </row>
    <row r="17" ht="15">
      <c r="A17" s="347"/>
    </row>
    <row r="18" spans="1:7" ht="15">
      <c r="A18" s="346" t="s">
        <v>520</v>
      </c>
      <c r="B18" s="346"/>
      <c r="C18" s="346"/>
      <c r="D18" s="346"/>
      <c r="E18" s="346"/>
      <c r="F18" s="346"/>
      <c r="G18" s="346"/>
    </row>
    <row r="19" spans="1:7" ht="15">
      <c r="A19" s="346" t="str">
        <f>CONCATENATE("your ",inputPrYr!C5-1," numbers to see what steps might be necessary to")</f>
        <v>your 2014 numbers to see what steps might be necessary to</v>
      </c>
      <c r="B19" s="346"/>
      <c r="C19" s="346"/>
      <c r="D19" s="346"/>
      <c r="E19" s="346"/>
      <c r="F19" s="346"/>
      <c r="G19" s="346"/>
    </row>
    <row r="20" spans="1:7" ht="15">
      <c r="A20" s="346" t="s">
        <v>521</v>
      </c>
      <c r="B20" s="346"/>
      <c r="C20" s="346"/>
      <c r="D20" s="346"/>
      <c r="E20" s="346"/>
      <c r="F20" s="346"/>
      <c r="G20" s="346"/>
    </row>
    <row r="21" spans="1:7" ht="15">
      <c r="A21" s="346" t="s">
        <v>522</v>
      </c>
      <c r="B21" s="346"/>
      <c r="C21" s="346"/>
      <c r="D21" s="346"/>
      <c r="E21" s="346"/>
      <c r="F21" s="346"/>
      <c r="G21" s="346"/>
    </row>
    <row r="22" ht="15">
      <c r="A22" s="346"/>
    </row>
    <row r="23" ht="15">
      <c r="A23" s="347" t="s">
        <v>523</v>
      </c>
    </row>
    <row r="24" ht="15">
      <c r="A24" s="347"/>
    </row>
    <row r="25" ht="15">
      <c r="A25" s="346" t="s">
        <v>524</v>
      </c>
    </row>
    <row r="26" spans="1:6" ht="15">
      <c r="A26" s="346" t="s">
        <v>525</v>
      </c>
      <c r="B26" s="346"/>
      <c r="C26" s="346"/>
      <c r="D26" s="346"/>
      <c r="E26" s="346"/>
      <c r="F26" s="346"/>
    </row>
    <row r="27" spans="1:6" ht="15">
      <c r="A27" s="346" t="s">
        <v>526</v>
      </c>
      <c r="B27" s="346"/>
      <c r="C27" s="346"/>
      <c r="D27" s="346"/>
      <c r="E27" s="346"/>
      <c r="F27" s="346"/>
    </row>
    <row r="28" spans="1:6" ht="15">
      <c r="A28" s="346" t="s">
        <v>527</v>
      </c>
      <c r="B28" s="346"/>
      <c r="C28" s="346"/>
      <c r="D28" s="346"/>
      <c r="E28" s="346"/>
      <c r="F28" s="346"/>
    </row>
    <row r="29" spans="1:6" ht="15">
      <c r="A29" s="346"/>
      <c r="B29" s="346"/>
      <c r="C29" s="346"/>
      <c r="D29" s="346"/>
      <c r="E29" s="346"/>
      <c r="F29" s="346"/>
    </row>
    <row r="30" spans="1:7" ht="15">
      <c r="A30" s="347" t="s">
        <v>528</v>
      </c>
      <c r="B30" s="347"/>
      <c r="C30" s="347"/>
      <c r="D30" s="347"/>
      <c r="E30" s="347"/>
      <c r="F30" s="347"/>
      <c r="G30" s="347"/>
    </row>
    <row r="31" spans="1:7" ht="15">
      <c r="A31" s="347" t="s">
        <v>529</v>
      </c>
      <c r="B31" s="347"/>
      <c r="C31" s="347"/>
      <c r="D31" s="347"/>
      <c r="E31" s="347"/>
      <c r="F31" s="347"/>
      <c r="G31" s="347"/>
    </row>
    <row r="32" spans="1:6" ht="15">
      <c r="A32" s="346"/>
      <c r="B32" s="346"/>
      <c r="C32" s="346"/>
      <c r="D32" s="346"/>
      <c r="E32" s="346"/>
      <c r="F32" s="346"/>
    </row>
    <row r="33" spans="1:6" ht="15">
      <c r="A33" s="344" t="str">
        <f>CONCATENATE("Well, let's look to see if any of your ",inputPrYr!C5-1," expenditures can")</f>
        <v>Well, let's look to see if any of your 2014 expenditures can</v>
      </c>
      <c r="B33" s="346"/>
      <c r="C33" s="346"/>
      <c r="D33" s="346"/>
      <c r="E33" s="346"/>
      <c r="F33" s="346"/>
    </row>
    <row r="34" spans="1:6" ht="15">
      <c r="A34" s="344" t="s">
        <v>530</v>
      </c>
      <c r="B34" s="346"/>
      <c r="C34" s="346"/>
      <c r="D34" s="346"/>
      <c r="E34" s="346"/>
      <c r="F34" s="346"/>
    </row>
    <row r="35" spans="1:6" ht="15">
      <c r="A35" s="344" t="s">
        <v>414</v>
      </c>
      <c r="B35" s="346"/>
      <c r="C35" s="346"/>
      <c r="D35" s="346"/>
      <c r="E35" s="346"/>
      <c r="F35" s="346"/>
    </row>
    <row r="36" spans="1:6" ht="15">
      <c r="A36" s="344" t="s">
        <v>415</v>
      </c>
      <c r="B36" s="346"/>
      <c r="C36" s="346"/>
      <c r="D36" s="346"/>
      <c r="E36" s="346"/>
      <c r="F36" s="346"/>
    </row>
    <row r="37" spans="1:6" ht="15">
      <c r="A37" s="344"/>
      <c r="B37" s="346"/>
      <c r="C37" s="346"/>
      <c r="D37" s="346"/>
      <c r="E37" s="346"/>
      <c r="F37" s="346"/>
    </row>
    <row r="38" spans="1:6" ht="15">
      <c r="A38" s="344" t="str">
        <f>CONCATENATE("Additionally, do your ",inputPrYr!C5-1," receipts contain a reimbursement")</f>
        <v>Additionally, do your 2014 receipts contain a reimbursement</v>
      </c>
      <c r="B38" s="346"/>
      <c r="C38" s="346"/>
      <c r="D38" s="346"/>
      <c r="E38" s="346"/>
      <c r="F38" s="346"/>
    </row>
    <row r="39" spans="1:6" ht="15">
      <c r="A39" s="344" t="s">
        <v>416</v>
      </c>
      <c r="B39" s="346"/>
      <c r="C39" s="346"/>
      <c r="D39" s="346"/>
      <c r="E39" s="346"/>
      <c r="F39" s="346"/>
    </row>
    <row r="40" spans="1:6" ht="15">
      <c r="A40" s="344" t="s">
        <v>417</v>
      </c>
      <c r="B40" s="346"/>
      <c r="C40" s="346"/>
      <c r="D40" s="346"/>
      <c r="E40" s="346"/>
      <c r="F40" s="346"/>
    </row>
    <row r="41" spans="1:6" ht="15">
      <c r="A41" s="344"/>
      <c r="B41" s="346"/>
      <c r="C41" s="346"/>
      <c r="D41" s="346"/>
      <c r="E41" s="346"/>
      <c r="F41" s="346"/>
    </row>
    <row r="42" spans="1:6" ht="15">
      <c r="A42" s="344" t="s">
        <v>418</v>
      </c>
      <c r="B42" s="346"/>
      <c r="C42" s="346"/>
      <c r="D42" s="346"/>
      <c r="E42" s="346"/>
      <c r="F42" s="346"/>
    </row>
    <row r="43" spans="1:6" ht="15">
      <c r="A43" s="344" t="s">
        <v>419</v>
      </c>
      <c r="B43" s="346"/>
      <c r="C43" s="346"/>
      <c r="D43" s="346"/>
      <c r="E43" s="346"/>
      <c r="F43" s="346"/>
    </row>
    <row r="44" spans="1:6" ht="15">
      <c r="A44" s="344" t="s">
        <v>420</v>
      </c>
      <c r="B44" s="346"/>
      <c r="C44" s="346"/>
      <c r="D44" s="346"/>
      <c r="E44" s="346"/>
      <c r="F44" s="346"/>
    </row>
    <row r="45" spans="1:6" ht="15">
      <c r="A45" s="344" t="s">
        <v>531</v>
      </c>
      <c r="B45" s="346"/>
      <c r="C45" s="346"/>
      <c r="D45" s="346"/>
      <c r="E45" s="346"/>
      <c r="F45" s="346"/>
    </row>
    <row r="46" spans="1:6" ht="15">
      <c r="A46" s="344" t="s">
        <v>422</v>
      </c>
      <c r="B46" s="346"/>
      <c r="C46" s="346"/>
      <c r="D46" s="346"/>
      <c r="E46" s="346"/>
      <c r="F46" s="346"/>
    </row>
    <row r="47" spans="1:6" ht="15">
      <c r="A47" s="344" t="s">
        <v>532</v>
      </c>
      <c r="B47" s="346"/>
      <c r="C47" s="346"/>
      <c r="D47" s="346"/>
      <c r="E47" s="346"/>
      <c r="F47" s="346"/>
    </row>
    <row r="48" spans="1:6" ht="15">
      <c r="A48" s="344" t="s">
        <v>533</v>
      </c>
      <c r="B48" s="346"/>
      <c r="C48" s="346"/>
      <c r="D48" s="346"/>
      <c r="E48" s="346"/>
      <c r="F48" s="346"/>
    </row>
    <row r="49" spans="1:6" ht="15">
      <c r="A49" s="344" t="s">
        <v>425</v>
      </c>
      <c r="B49" s="346"/>
      <c r="C49" s="346"/>
      <c r="D49" s="346"/>
      <c r="E49" s="346"/>
      <c r="F49" s="346"/>
    </row>
    <row r="50" spans="1:6" ht="15">
      <c r="A50" s="344"/>
      <c r="B50" s="346"/>
      <c r="C50" s="346"/>
      <c r="D50" s="346"/>
      <c r="E50" s="346"/>
      <c r="F50" s="346"/>
    </row>
    <row r="51" spans="1:6" ht="15">
      <c r="A51" s="344" t="s">
        <v>426</v>
      </c>
      <c r="B51" s="346"/>
      <c r="C51" s="346"/>
      <c r="D51" s="346"/>
      <c r="E51" s="346"/>
      <c r="F51" s="346"/>
    </row>
    <row r="52" spans="1:6" ht="15">
      <c r="A52" s="344" t="s">
        <v>427</v>
      </c>
      <c r="B52" s="346"/>
      <c r="C52" s="346"/>
      <c r="D52" s="346"/>
      <c r="E52" s="346"/>
      <c r="F52" s="346"/>
    </row>
    <row r="53" spans="1:6" ht="15">
      <c r="A53" s="344" t="s">
        <v>428</v>
      </c>
      <c r="B53" s="346"/>
      <c r="C53" s="346"/>
      <c r="D53" s="346"/>
      <c r="E53" s="346"/>
      <c r="F53" s="346"/>
    </row>
    <row r="54" spans="1:6" ht="15">
      <c r="A54" s="344"/>
      <c r="B54" s="346"/>
      <c r="C54" s="346"/>
      <c r="D54" s="346"/>
      <c r="E54" s="346"/>
      <c r="F54" s="346"/>
    </row>
    <row r="55" spans="1:6" ht="15">
      <c r="A55" s="344" t="s">
        <v>534</v>
      </c>
      <c r="B55" s="346"/>
      <c r="C55" s="346"/>
      <c r="D55" s="346"/>
      <c r="E55" s="346"/>
      <c r="F55" s="346"/>
    </row>
    <row r="56" spans="1:6" ht="15">
      <c r="A56" s="344" t="s">
        <v>535</v>
      </c>
      <c r="B56" s="346"/>
      <c r="C56" s="346"/>
      <c r="D56" s="346"/>
      <c r="E56" s="346"/>
      <c r="F56" s="346"/>
    </row>
    <row r="57" spans="1:6" ht="15">
      <c r="A57" s="344" t="s">
        <v>536</v>
      </c>
      <c r="B57" s="346"/>
      <c r="C57" s="346"/>
      <c r="D57" s="346"/>
      <c r="E57" s="346"/>
      <c r="F57" s="346"/>
    </row>
    <row r="58" spans="1:6" ht="15">
      <c r="A58" s="344" t="s">
        <v>537</v>
      </c>
      <c r="B58" s="346"/>
      <c r="C58" s="346"/>
      <c r="D58" s="346"/>
      <c r="E58" s="346"/>
      <c r="F58" s="346"/>
    </row>
    <row r="59" spans="1:6" ht="15">
      <c r="A59" s="344" t="s">
        <v>538</v>
      </c>
      <c r="B59" s="346"/>
      <c r="C59" s="346"/>
      <c r="D59" s="346"/>
      <c r="E59" s="346"/>
      <c r="F59" s="346"/>
    </row>
    <row r="60" spans="1:6" ht="15">
      <c r="A60" s="344"/>
      <c r="B60" s="346"/>
      <c r="C60" s="346"/>
      <c r="D60" s="346"/>
      <c r="E60" s="346"/>
      <c r="F60" s="346"/>
    </row>
    <row r="61" spans="1:6" ht="15">
      <c r="A61" s="343" t="s">
        <v>539</v>
      </c>
      <c r="B61" s="346"/>
      <c r="C61" s="346"/>
      <c r="D61" s="346"/>
      <c r="E61" s="346"/>
      <c r="F61" s="346"/>
    </row>
    <row r="62" spans="1:6" ht="15">
      <c r="A62" s="343" t="s">
        <v>540</v>
      </c>
      <c r="B62" s="346"/>
      <c r="C62" s="346"/>
      <c r="D62" s="346"/>
      <c r="E62" s="346"/>
      <c r="F62" s="346"/>
    </row>
    <row r="63" spans="1:6" ht="15">
      <c r="A63" s="343" t="s">
        <v>541</v>
      </c>
      <c r="B63" s="346"/>
      <c r="C63" s="346"/>
      <c r="D63" s="346"/>
      <c r="E63" s="346"/>
      <c r="F63" s="346"/>
    </row>
    <row r="64" ht="15">
      <c r="A64" s="343" t="s">
        <v>542</v>
      </c>
    </row>
    <row r="65" ht="15">
      <c r="A65" s="343" t="s">
        <v>543</v>
      </c>
    </row>
    <row r="66" ht="15">
      <c r="A66" s="343" t="s">
        <v>544</v>
      </c>
    </row>
    <row r="68" ht="15">
      <c r="A68" s="346" t="s">
        <v>545</v>
      </c>
    </row>
    <row r="69" ht="15">
      <c r="A69" s="346" t="s">
        <v>546</v>
      </c>
    </row>
    <row r="70" ht="15">
      <c r="A70" s="346" t="s">
        <v>547</v>
      </c>
    </row>
    <row r="71" ht="15">
      <c r="A71" s="346" t="s">
        <v>548</v>
      </c>
    </row>
    <row r="72" ht="15">
      <c r="A72" s="346" t="s">
        <v>549</v>
      </c>
    </row>
    <row r="73" ht="15">
      <c r="A73" s="346" t="s">
        <v>550</v>
      </c>
    </row>
    <row r="75" ht="15">
      <c r="A75" s="346" t="s">
        <v>455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45" t="s">
        <v>551</v>
      </c>
      <c r="B3" s="345"/>
      <c r="C3" s="345"/>
      <c r="D3" s="345"/>
      <c r="E3" s="345"/>
      <c r="F3" s="345"/>
      <c r="G3" s="345"/>
    </row>
    <row r="4" spans="1:7" ht="15">
      <c r="A4" s="345"/>
      <c r="B4" s="345"/>
      <c r="C4" s="345"/>
      <c r="D4" s="345"/>
      <c r="E4" s="345"/>
      <c r="F4" s="345"/>
      <c r="G4" s="345"/>
    </row>
    <row r="5" ht="15">
      <c r="A5" s="346" t="s">
        <v>457</v>
      </c>
    </row>
    <row r="6" ht="15">
      <c r="A6" s="346" t="str">
        <f>CONCATENATE(inputPrYr!C5," estimated expenditures show that at the end of this year")</f>
        <v>2015 estimated expenditures show that at the end of this year</v>
      </c>
    </row>
    <row r="7" ht="15">
      <c r="A7" s="346" t="s">
        <v>552</v>
      </c>
    </row>
    <row r="8" ht="15">
      <c r="A8" s="346" t="s">
        <v>553</v>
      </c>
    </row>
    <row r="10" ht="15">
      <c r="A10" t="s">
        <v>459</v>
      </c>
    </row>
    <row r="11" ht="15">
      <c r="A11" t="s">
        <v>460</v>
      </c>
    </row>
    <row r="12" ht="15">
      <c r="A12" t="s">
        <v>461</v>
      </c>
    </row>
    <row r="13" spans="1:7" ht="15">
      <c r="A13" s="345"/>
      <c r="B13" s="345"/>
      <c r="C13" s="345"/>
      <c r="D13" s="345"/>
      <c r="E13" s="345"/>
      <c r="F13" s="345"/>
      <c r="G13" s="345"/>
    </row>
    <row r="14" ht="15">
      <c r="A14" s="347" t="s">
        <v>554</v>
      </c>
    </row>
    <row r="15" ht="15">
      <c r="A15" s="346"/>
    </row>
    <row r="16" ht="15">
      <c r="A16" s="346" t="s">
        <v>555</v>
      </c>
    </row>
    <row r="17" ht="15">
      <c r="A17" s="346" t="s">
        <v>556</v>
      </c>
    </row>
    <row r="18" ht="15">
      <c r="A18" s="346" t="s">
        <v>557</v>
      </c>
    </row>
    <row r="19" ht="15">
      <c r="A19" s="346"/>
    </row>
    <row r="20" ht="15">
      <c r="A20" s="346" t="s">
        <v>558</v>
      </c>
    </row>
    <row r="21" ht="15">
      <c r="A21" s="346" t="s">
        <v>559</v>
      </c>
    </row>
    <row r="22" ht="15">
      <c r="A22" s="346" t="s">
        <v>560</v>
      </c>
    </row>
    <row r="23" ht="15">
      <c r="A23" s="346" t="s">
        <v>561</v>
      </c>
    </row>
    <row r="24" ht="15">
      <c r="A24" s="346"/>
    </row>
    <row r="25" ht="15">
      <c r="A25" s="347" t="s">
        <v>523</v>
      </c>
    </row>
    <row r="26" ht="15">
      <c r="A26" s="347"/>
    </row>
    <row r="27" ht="15">
      <c r="A27" s="346" t="s">
        <v>524</v>
      </c>
    </row>
    <row r="28" spans="1:6" ht="15">
      <c r="A28" s="346" t="s">
        <v>525</v>
      </c>
      <c r="B28" s="346"/>
      <c r="C28" s="346"/>
      <c r="D28" s="346"/>
      <c r="E28" s="346"/>
      <c r="F28" s="346"/>
    </row>
    <row r="29" spans="1:6" ht="15">
      <c r="A29" s="346" t="s">
        <v>526</v>
      </c>
      <c r="B29" s="346"/>
      <c r="C29" s="346"/>
      <c r="D29" s="346"/>
      <c r="E29" s="346"/>
      <c r="F29" s="346"/>
    </row>
    <row r="30" spans="1:6" ht="15">
      <c r="A30" s="346" t="s">
        <v>527</v>
      </c>
      <c r="B30" s="346"/>
      <c r="C30" s="346"/>
      <c r="D30" s="346"/>
      <c r="E30" s="346"/>
      <c r="F30" s="346"/>
    </row>
    <row r="31" ht="15">
      <c r="A31" s="346"/>
    </row>
    <row r="32" spans="1:7" ht="15">
      <c r="A32" s="347" t="s">
        <v>528</v>
      </c>
      <c r="B32" s="347"/>
      <c r="C32" s="347"/>
      <c r="D32" s="347"/>
      <c r="E32" s="347"/>
      <c r="F32" s="347"/>
      <c r="G32" s="347"/>
    </row>
    <row r="33" spans="1:7" ht="15">
      <c r="A33" s="347" t="s">
        <v>529</v>
      </c>
      <c r="B33" s="347"/>
      <c r="C33" s="347"/>
      <c r="D33" s="347"/>
      <c r="E33" s="347"/>
      <c r="F33" s="347"/>
      <c r="G33" s="347"/>
    </row>
    <row r="34" spans="1:7" ht="15">
      <c r="A34" s="347"/>
      <c r="B34" s="347"/>
      <c r="C34" s="347"/>
      <c r="D34" s="347"/>
      <c r="E34" s="347"/>
      <c r="F34" s="347"/>
      <c r="G34" s="347"/>
    </row>
    <row r="35" spans="1:7" ht="15">
      <c r="A35" s="346" t="s">
        <v>562</v>
      </c>
      <c r="B35" s="346"/>
      <c r="C35" s="346"/>
      <c r="D35" s="346"/>
      <c r="E35" s="346"/>
      <c r="F35" s="346"/>
      <c r="G35" s="346"/>
    </row>
    <row r="36" spans="1:7" ht="15">
      <c r="A36" s="346" t="s">
        <v>563</v>
      </c>
      <c r="B36" s="346"/>
      <c r="C36" s="346"/>
      <c r="D36" s="346"/>
      <c r="E36" s="346"/>
      <c r="F36" s="346"/>
      <c r="G36" s="346"/>
    </row>
    <row r="37" spans="1:7" ht="15">
      <c r="A37" s="346" t="s">
        <v>564</v>
      </c>
      <c r="B37" s="346"/>
      <c r="C37" s="346"/>
      <c r="D37" s="346"/>
      <c r="E37" s="346"/>
      <c r="F37" s="346"/>
      <c r="G37" s="346"/>
    </row>
    <row r="38" spans="1:7" ht="15">
      <c r="A38" s="346" t="s">
        <v>565</v>
      </c>
      <c r="B38" s="346"/>
      <c r="C38" s="346"/>
      <c r="D38" s="346"/>
      <c r="E38" s="346"/>
      <c r="F38" s="346"/>
      <c r="G38" s="346"/>
    </row>
    <row r="39" spans="1:7" ht="15">
      <c r="A39" s="346" t="s">
        <v>566</v>
      </c>
      <c r="B39" s="346"/>
      <c r="C39" s="346"/>
      <c r="D39" s="346"/>
      <c r="E39" s="346"/>
      <c r="F39" s="346"/>
      <c r="G39" s="346"/>
    </row>
    <row r="40" spans="1:7" ht="15">
      <c r="A40" s="347"/>
      <c r="B40" s="347"/>
      <c r="C40" s="347"/>
      <c r="D40" s="347"/>
      <c r="E40" s="347"/>
      <c r="F40" s="347"/>
      <c r="G40" s="347"/>
    </row>
    <row r="41" spans="1:6" ht="15">
      <c r="A41" s="344" t="str">
        <f>CONCATENATE("So, let's look to see if any of your ",inputPrYr!C5-1," expenditures can")</f>
        <v>So, let's look to see if any of your 2014 expenditures can</v>
      </c>
      <c r="B41" s="346"/>
      <c r="C41" s="346"/>
      <c r="D41" s="346"/>
      <c r="E41" s="346"/>
      <c r="F41" s="346"/>
    </row>
    <row r="42" spans="1:6" ht="15">
      <c r="A42" s="344" t="s">
        <v>530</v>
      </c>
      <c r="B42" s="346"/>
      <c r="C42" s="346"/>
      <c r="D42" s="346"/>
      <c r="E42" s="346"/>
      <c r="F42" s="346"/>
    </row>
    <row r="43" spans="1:6" ht="15">
      <c r="A43" s="344" t="s">
        <v>414</v>
      </c>
      <c r="B43" s="346"/>
      <c r="C43" s="346"/>
      <c r="D43" s="346"/>
      <c r="E43" s="346"/>
      <c r="F43" s="346"/>
    </row>
    <row r="44" spans="1:6" ht="15">
      <c r="A44" s="344" t="s">
        <v>415</v>
      </c>
      <c r="B44" s="346"/>
      <c r="C44" s="346"/>
      <c r="D44" s="346"/>
      <c r="E44" s="346"/>
      <c r="F44" s="346"/>
    </row>
    <row r="45" ht="15">
      <c r="A45" s="346"/>
    </row>
    <row r="46" spans="1:6" ht="15">
      <c r="A46" s="344" t="str">
        <f>CONCATENATE("Additionally, do your ",inputPrYr!C5-1," receipts contain a reimbursement")</f>
        <v>Additionally, do your 2014 receipts contain a reimbursement</v>
      </c>
      <c r="B46" s="346"/>
      <c r="C46" s="346"/>
      <c r="D46" s="346"/>
      <c r="E46" s="346"/>
      <c r="F46" s="346"/>
    </row>
    <row r="47" spans="1:6" ht="15">
      <c r="A47" s="344" t="s">
        <v>416</v>
      </c>
      <c r="B47" s="346"/>
      <c r="C47" s="346"/>
      <c r="D47" s="346"/>
      <c r="E47" s="346"/>
      <c r="F47" s="346"/>
    </row>
    <row r="48" spans="1:6" ht="15">
      <c r="A48" s="344" t="s">
        <v>417</v>
      </c>
      <c r="B48" s="346"/>
      <c r="C48" s="346"/>
      <c r="D48" s="346"/>
      <c r="E48" s="346"/>
      <c r="F48" s="346"/>
    </row>
    <row r="49" spans="1:7" ht="15">
      <c r="A49" s="346"/>
      <c r="B49" s="346"/>
      <c r="C49" s="346"/>
      <c r="D49" s="346"/>
      <c r="E49" s="346"/>
      <c r="F49" s="346"/>
      <c r="G49" s="346"/>
    </row>
    <row r="50" spans="1:7" ht="15">
      <c r="A50" s="346" t="s">
        <v>484</v>
      </c>
      <c r="B50" s="346"/>
      <c r="C50" s="346"/>
      <c r="D50" s="346"/>
      <c r="E50" s="346"/>
      <c r="F50" s="346"/>
      <c r="G50" s="346"/>
    </row>
    <row r="51" spans="1:7" ht="15">
      <c r="A51" s="346" t="s">
        <v>485</v>
      </c>
      <c r="B51" s="346"/>
      <c r="C51" s="346"/>
      <c r="D51" s="346"/>
      <c r="E51" s="346"/>
      <c r="F51" s="346"/>
      <c r="G51" s="346"/>
    </row>
    <row r="52" spans="1:7" ht="15">
      <c r="A52" s="346" t="s">
        <v>486</v>
      </c>
      <c r="B52" s="346"/>
      <c r="C52" s="346"/>
      <c r="D52" s="346"/>
      <c r="E52" s="346"/>
      <c r="F52" s="346"/>
      <c r="G52" s="346"/>
    </row>
    <row r="53" spans="1:7" ht="15">
      <c r="A53" s="346" t="s">
        <v>487</v>
      </c>
      <c r="B53" s="346"/>
      <c r="C53" s="346"/>
      <c r="D53" s="346"/>
      <c r="E53" s="346"/>
      <c r="F53" s="346"/>
      <c r="G53" s="346"/>
    </row>
    <row r="54" spans="1:7" ht="15">
      <c r="A54" s="346" t="s">
        <v>488</v>
      </c>
      <c r="B54" s="346"/>
      <c r="C54" s="346"/>
      <c r="D54" s="346"/>
      <c r="E54" s="346"/>
      <c r="F54" s="346"/>
      <c r="G54" s="346"/>
    </row>
    <row r="55" spans="1:7" ht="15">
      <c r="A55" s="346"/>
      <c r="B55" s="346"/>
      <c r="C55" s="346"/>
      <c r="D55" s="346"/>
      <c r="E55" s="346"/>
      <c r="F55" s="346"/>
      <c r="G55" s="346"/>
    </row>
    <row r="56" spans="1:6" ht="15">
      <c r="A56" s="344" t="s">
        <v>426</v>
      </c>
      <c r="B56" s="346"/>
      <c r="C56" s="346"/>
      <c r="D56" s="346"/>
      <c r="E56" s="346"/>
      <c r="F56" s="346"/>
    </row>
    <row r="57" spans="1:6" ht="15">
      <c r="A57" s="344" t="s">
        <v>427</v>
      </c>
      <c r="B57" s="346"/>
      <c r="C57" s="346"/>
      <c r="D57" s="346"/>
      <c r="E57" s="346"/>
      <c r="F57" s="346"/>
    </row>
    <row r="58" spans="1:6" ht="15">
      <c r="A58" s="344" t="s">
        <v>428</v>
      </c>
      <c r="B58" s="346"/>
      <c r="C58" s="346"/>
      <c r="D58" s="346"/>
      <c r="E58" s="346"/>
      <c r="F58" s="346"/>
    </row>
    <row r="59" spans="1:6" ht="15">
      <c r="A59" s="344"/>
      <c r="B59" s="346"/>
      <c r="C59" s="346"/>
      <c r="D59" s="346"/>
      <c r="E59" s="346"/>
      <c r="F59" s="346"/>
    </row>
    <row r="60" spans="1:7" ht="15">
      <c r="A60" s="346" t="s">
        <v>567</v>
      </c>
      <c r="B60" s="346"/>
      <c r="C60" s="346"/>
      <c r="D60" s="346"/>
      <c r="E60" s="346"/>
      <c r="F60" s="346"/>
      <c r="G60" s="346"/>
    </row>
    <row r="61" spans="1:7" ht="15">
      <c r="A61" s="346" t="s">
        <v>568</v>
      </c>
      <c r="B61" s="346"/>
      <c r="C61" s="346"/>
      <c r="D61" s="346"/>
      <c r="E61" s="346"/>
      <c r="F61" s="346"/>
      <c r="G61" s="346"/>
    </row>
    <row r="62" spans="1:7" ht="15">
      <c r="A62" s="346" t="s">
        <v>569</v>
      </c>
      <c r="B62" s="346"/>
      <c r="C62" s="346"/>
      <c r="D62" s="346"/>
      <c r="E62" s="346"/>
      <c r="F62" s="346"/>
      <c r="G62" s="346"/>
    </row>
    <row r="63" spans="1:7" ht="15">
      <c r="A63" s="346" t="s">
        <v>570</v>
      </c>
      <c r="B63" s="346"/>
      <c r="C63" s="346"/>
      <c r="D63" s="346"/>
      <c r="E63" s="346"/>
      <c r="F63" s="346"/>
      <c r="G63" s="346"/>
    </row>
    <row r="64" spans="1:7" ht="15">
      <c r="A64" s="346" t="s">
        <v>571</v>
      </c>
      <c r="B64" s="346"/>
      <c r="C64" s="346"/>
      <c r="D64" s="346"/>
      <c r="E64" s="346"/>
      <c r="F64" s="346"/>
      <c r="G64" s="346"/>
    </row>
    <row r="66" spans="1:6" ht="15">
      <c r="A66" s="344" t="s">
        <v>534</v>
      </c>
      <c r="B66" s="346"/>
      <c r="C66" s="346"/>
      <c r="D66" s="346"/>
      <c r="E66" s="346"/>
      <c r="F66" s="346"/>
    </row>
    <row r="67" spans="1:6" ht="15">
      <c r="A67" s="344" t="s">
        <v>535</v>
      </c>
      <c r="B67" s="346"/>
      <c r="C67" s="346"/>
      <c r="D67" s="346"/>
      <c r="E67" s="346"/>
      <c r="F67" s="346"/>
    </row>
    <row r="68" spans="1:6" ht="15">
      <c r="A68" s="344" t="s">
        <v>536</v>
      </c>
      <c r="B68" s="346"/>
      <c r="C68" s="346"/>
      <c r="D68" s="346"/>
      <c r="E68" s="346"/>
      <c r="F68" s="346"/>
    </row>
    <row r="69" spans="1:6" ht="15">
      <c r="A69" s="344" t="s">
        <v>537</v>
      </c>
      <c r="B69" s="346"/>
      <c r="C69" s="346"/>
      <c r="D69" s="346"/>
      <c r="E69" s="346"/>
      <c r="F69" s="346"/>
    </row>
    <row r="70" spans="1:6" ht="15">
      <c r="A70" s="344" t="s">
        <v>538</v>
      </c>
      <c r="B70" s="346"/>
      <c r="C70" s="346"/>
      <c r="D70" s="346"/>
      <c r="E70" s="346"/>
      <c r="F70" s="346"/>
    </row>
    <row r="71" ht="15">
      <c r="A71" s="346"/>
    </row>
    <row r="72" ht="15">
      <c r="A72" s="346" t="s">
        <v>455</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45" t="s">
        <v>572</v>
      </c>
      <c r="B3" s="345"/>
      <c r="C3" s="345"/>
      <c r="D3" s="345"/>
      <c r="E3" s="345"/>
      <c r="F3" s="345"/>
      <c r="G3" s="345"/>
    </row>
    <row r="4" spans="1:7" ht="15">
      <c r="A4" s="345" t="s">
        <v>573</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400</v>
      </c>
    </row>
    <row r="8" ht="15">
      <c r="A8" s="346" t="str">
        <f>CONCATENATE("estimated ",inputPrYr!C5," 'total expenditures' exceed your ",inputPrYr!C5,"")</f>
        <v>estimated 2015 'total expenditures' exceed your 2015</v>
      </c>
    </row>
    <row r="9" ht="15">
      <c r="A9" s="349" t="s">
        <v>574</v>
      </c>
    </row>
    <row r="10" ht="15">
      <c r="A10" s="346"/>
    </row>
    <row r="11" ht="15">
      <c r="A11" s="346" t="s">
        <v>575</v>
      </c>
    </row>
    <row r="12" ht="15">
      <c r="A12" s="346" t="s">
        <v>576</v>
      </c>
    </row>
    <row r="13" ht="15">
      <c r="A13" s="346" t="s">
        <v>577</v>
      </c>
    </row>
    <row r="14" ht="15">
      <c r="A14" s="346"/>
    </row>
    <row r="15" ht="15">
      <c r="A15" s="347" t="s">
        <v>578</v>
      </c>
    </row>
    <row r="16" spans="1:7" ht="15">
      <c r="A16" s="345"/>
      <c r="B16" s="345"/>
      <c r="C16" s="345"/>
      <c r="D16" s="345"/>
      <c r="E16" s="345"/>
      <c r="F16" s="345"/>
      <c r="G16" s="345"/>
    </row>
    <row r="17" spans="1:8" ht="15">
      <c r="A17" s="350" t="s">
        <v>579</v>
      </c>
      <c r="B17" s="351"/>
      <c r="C17" s="351"/>
      <c r="D17" s="351"/>
      <c r="E17" s="351"/>
      <c r="F17" s="351"/>
      <c r="G17" s="351"/>
      <c r="H17" s="351"/>
    </row>
    <row r="18" spans="1:7" ht="15">
      <c r="A18" s="346" t="s">
        <v>580</v>
      </c>
      <c r="B18" s="352"/>
      <c r="C18" s="352"/>
      <c r="D18" s="352"/>
      <c r="E18" s="352"/>
      <c r="F18" s="352"/>
      <c r="G18" s="352"/>
    </row>
    <row r="19" ht="15">
      <c r="A19" s="346" t="s">
        <v>581</v>
      </c>
    </row>
    <row r="20" ht="15">
      <c r="A20" s="346" t="s">
        <v>582</v>
      </c>
    </row>
    <row r="22" ht="15">
      <c r="A22" s="347" t="s">
        <v>583</v>
      </c>
    </row>
    <row r="24" ht="15">
      <c r="A24" s="346" t="s">
        <v>584</v>
      </c>
    </row>
    <row r="25" ht="15">
      <c r="A25" s="346" t="s">
        <v>585</v>
      </c>
    </row>
    <row r="26" ht="15">
      <c r="A26" s="346" t="s">
        <v>586</v>
      </c>
    </row>
    <row r="28" ht="15">
      <c r="A28" s="347" t="s">
        <v>587</v>
      </c>
    </row>
    <row r="30" ht="15">
      <c r="A30" t="s">
        <v>588</v>
      </c>
    </row>
    <row r="31" ht="15">
      <c r="A31" t="s">
        <v>589</v>
      </c>
    </row>
    <row r="32" ht="15">
      <c r="A32" t="s">
        <v>590</v>
      </c>
    </row>
    <row r="33" ht="15">
      <c r="A33" s="346" t="s">
        <v>591</v>
      </c>
    </row>
    <row r="35" ht="15">
      <c r="A35" t="s">
        <v>592</v>
      </c>
    </row>
    <row r="36" ht="15">
      <c r="A36" t="s">
        <v>593</v>
      </c>
    </row>
    <row r="37" ht="15">
      <c r="A37" t="s">
        <v>594</v>
      </c>
    </row>
    <row r="38" ht="15">
      <c r="A38" t="s">
        <v>595</v>
      </c>
    </row>
    <row r="40" ht="15">
      <c r="A40" t="s">
        <v>596</v>
      </c>
    </row>
    <row r="41" ht="15">
      <c r="A41" t="s">
        <v>597</v>
      </c>
    </row>
    <row r="42" ht="15">
      <c r="A42" t="s">
        <v>598</v>
      </c>
    </row>
    <row r="43" ht="15">
      <c r="A43" t="s">
        <v>599</v>
      </c>
    </row>
    <row r="44" ht="15">
      <c r="A44" t="s">
        <v>600</v>
      </c>
    </row>
    <row r="45" ht="15">
      <c r="A45" t="s">
        <v>601</v>
      </c>
    </row>
    <row r="47" ht="15">
      <c r="A47" t="s">
        <v>602</v>
      </c>
    </row>
    <row r="48" ht="15">
      <c r="A48" t="s">
        <v>603</v>
      </c>
    </row>
    <row r="49" ht="15">
      <c r="A49" s="346" t="s">
        <v>604</v>
      </c>
    </row>
    <row r="50" ht="15">
      <c r="A50" s="346" t="s">
        <v>605</v>
      </c>
    </row>
    <row r="52" ht="15">
      <c r="A52" t="s">
        <v>455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dimension ref="A1:X354"/>
  <sheetViews>
    <sheetView zoomScaleSheetLayoutView="100" workbookViewId="0" topLeftCell="A115">
      <selection activeCell="B28" sqref="B28"/>
    </sheetView>
  </sheetViews>
  <sheetFormatPr defaultColWidth="8.8984375" defaultRowHeight="15"/>
  <cols>
    <col min="1" max="1" width="7.59765625" style="431" customWidth="1"/>
    <col min="2" max="2" width="11.19921875" style="433" customWidth="1"/>
    <col min="3" max="3" width="7.3984375" style="433" customWidth="1"/>
    <col min="4" max="4" width="8.8984375" style="433" customWidth="1"/>
    <col min="5" max="5" width="1.59765625" style="433" customWidth="1"/>
    <col min="6" max="6" width="14.296875" style="433" customWidth="1"/>
    <col min="7" max="7" width="2.59765625" style="433" customWidth="1"/>
    <col min="8" max="8" width="9.69921875" style="433" customWidth="1"/>
    <col min="9" max="9" width="2" style="433" customWidth="1"/>
    <col min="10" max="10" width="8.59765625" style="433" customWidth="1"/>
    <col min="11" max="11" width="11.69921875" style="433" customWidth="1"/>
    <col min="12" max="12" width="7.59765625" style="431" customWidth="1"/>
    <col min="13" max="14" width="8.8984375" style="431" customWidth="1"/>
    <col min="15" max="15" width="9.8984375" style="431" bestFit="1" customWidth="1"/>
    <col min="16" max="16384" width="8.8984375" style="431" customWidth="1"/>
  </cols>
  <sheetData>
    <row r="1" spans="1:12" ht="13.5">
      <c r="A1" s="432"/>
      <c r="B1" s="432"/>
      <c r="C1" s="432"/>
      <c r="D1" s="432"/>
      <c r="E1" s="432"/>
      <c r="F1" s="432"/>
      <c r="G1" s="432"/>
      <c r="H1" s="432"/>
      <c r="I1" s="432"/>
      <c r="J1" s="432"/>
      <c r="K1" s="432"/>
      <c r="L1" s="432"/>
    </row>
    <row r="2" spans="1:12" ht="13.5">
      <c r="A2" s="432"/>
      <c r="B2" s="432"/>
      <c r="C2" s="432"/>
      <c r="D2" s="432"/>
      <c r="E2" s="432"/>
      <c r="F2" s="432"/>
      <c r="G2" s="432"/>
      <c r="H2" s="432"/>
      <c r="I2" s="432"/>
      <c r="J2" s="432"/>
      <c r="K2" s="432"/>
      <c r="L2" s="432"/>
    </row>
    <row r="3" spans="1:12" ht="13.5">
      <c r="A3" s="432"/>
      <c r="B3" s="432"/>
      <c r="C3" s="432"/>
      <c r="D3" s="432"/>
      <c r="E3" s="432"/>
      <c r="F3" s="432"/>
      <c r="G3" s="432"/>
      <c r="H3" s="432"/>
      <c r="I3" s="432"/>
      <c r="J3" s="432"/>
      <c r="K3" s="432"/>
      <c r="L3" s="432"/>
    </row>
    <row r="4" spans="1:12" ht="13.5">
      <c r="A4" s="432"/>
      <c r="L4" s="432"/>
    </row>
    <row r="5" spans="1:12" ht="15" customHeight="1">
      <c r="A5" s="432"/>
      <c r="L5" s="432"/>
    </row>
    <row r="6" spans="1:12" ht="33" customHeight="1">
      <c r="A6" s="432"/>
      <c r="B6" s="1080" t="s">
        <v>645</v>
      </c>
      <c r="C6" s="1084"/>
      <c r="D6" s="1084"/>
      <c r="E6" s="1084"/>
      <c r="F6" s="1084"/>
      <c r="G6" s="1084"/>
      <c r="H6" s="1084"/>
      <c r="I6" s="1084"/>
      <c r="J6" s="1084"/>
      <c r="K6" s="1084"/>
      <c r="L6" s="434"/>
    </row>
    <row r="7" spans="1:12" ht="40.5" customHeight="1">
      <c r="A7" s="432"/>
      <c r="B7" s="1097" t="s">
        <v>646</v>
      </c>
      <c r="C7" s="1098"/>
      <c r="D7" s="1098"/>
      <c r="E7" s="1098"/>
      <c r="F7" s="1098"/>
      <c r="G7" s="1098"/>
      <c r="H7" s="1098"/>
      <c r="I7" s="1098"/>
      <c r="J7" s="1098"/>
      <c r="K7" s="1098"/>
      <c r="L7" s="432"/>
    </row>
    <row r="8" spans="1:12" ht="13.5">
      <c r="A8" s="432"/>
      <c r="B8" s="1090" t="s">
        <v>647</v>
      </c>
      <c r="C8" s="1090"/>
      <c r="D8" s="1090"/>
      <c r="E8" s="1090"/>
      <c r="F8" s="1090"/>
      <c r="G8" s="1090"/>
      <c r="H8" s="1090"/>
      <c r="I8" s="1090"/>
      <c r="J8" s="1090"/>
      <c r="K8" s="1090"/>
      <c r="L8" s="432"/>
    </row>
    <row r="9" spans="1:12" ht="13.5">
      <c r="A9" s="432"/>
      <c r="L9" s="432"/>
    </row>
    <row r="10" spans="1:12" ht="13.5">
      <c r="A10" s="432"/>
      <c r="B10" s="1090" t="s">
        <v>648</v>
      </c>
      <c r="C10" s="1090"/>
      <c r="D10" s="1090"/>
      <c r="E10" s="1090"/>
      <c r="F10" s="1090"/>
      <c r="G10" s="1090"/>
      <c r="H10" s="1090"/>
      <c r="I10" s="1090"/>
      <c r="J10" s="1090"/>
      <c r="K10" s="1090"/>
      <c r="L10" s="432"/>
    </row>
    <row r="11" spans="1:12" ht="13.5">
      <c r="A11" s="432"/>
      <c r="B11" s="568"/>
      <c r="C11" s="568"/>
      <c r="D11" s="568"/>
      <c r="E11" s="568"/>
      <c r="F11" s="568"/>
      <c r="G11" s="568"/>
      <c r="H11" s="568"/>
      <c r="I11" s="568"/>
      <c r="J11" s="568"/>
      <c r="K11" s="568"/>
      <c r="L11" s="432"/>
    </row>
    <row r="12" spans="1:12" ht="32.25" customHeight="1">
      <c r="A12" s="432"/>
      <c r="B12" s="1082" t="s">
        <v>649</v>
      </c>
      <c r="C12" s="1082"/>
      <c r="D12" s="1082"/>
      <c r="E12" s="1082"/>
      <c r="F12" s="1082"/>
      <c r="G12" s="1082"/>
      <c r="H12" s="1082"/>
      <c r="I12" s="1082"/>
      <c r="J12" s="1082"/>
      <c r="K12" s="1082"/>
      <c r="L12" s="432"/>
    </row>
    <row r="13" spans="1:12" ht="13.5">
      <c r="A13" s="432"/>
      <c r="L13" s="432"/>
    </row>
    <row r="14" spans="1:12" ht="13.5">
      <c r="A14" s="432"/>
      <c r="B14" s="435" t="s">
        <v>650</v>
      </c>
      <c r="L14" s="432"/>
    </row>
    <row r="15" spans="1:12" ht="13.5">
      <c r="A15" s="432"/>
      <c r="L15" s="432"/>
    </row>
    <row r="16" spans="1:12" ht="13.5">
      <c r="A16" s="432"/>
      <c r="B16" s="433" t="s">
        <v>651</v>
      </c>
      <c r="L16" s="432"/>
    </row>
    <row r="17" spans="1:12" ht="13.5">
      <c r="A17" s="432"/>
      <c r="B17" s="433" t="s">
        <v>652</v>
      </c>
      <c r="L17" s="432"/>
    </row>
    <row r="18" spans="1:12" ht="13.5">
      <c r="A18" s="432"/>
      <c r="L18" s="432"/>
    </row>
    <row r="19" spans="1:12" ht="13.5">
      <c r="A19" s="432"/>
      <c r="B19" s="435" t="s">
        <v>863</v>
      </c>
      <c r="L19" s="432"/>
    </row>
    <row r="20" spans="1:12" ht="13.5">
      <c r="A20" s="432"/>
      <c r="B20" s="435"/>
      <c r="L20" s="432"/>
    </row>
    <row r="21" spans="1:12" ht="13.5">
      <c r="A21" s="432"/>
      <c r="B21" s="433" t="s">
        <v>864</v>
      </c>
      <c r="L21" s="432"/>
    </row>
    <row r="22" spans="1:12" ht="13.5">
      <c r="A22" s="432"/>
      <c r="L22" s="432"/>
    </row>
    <row r="23" spans="1:12" ht="13.5">
      <c r="A23" s="432"/>
      <c r="B23" s="433" t="s">
        <v>653</v>
      </c>
      <c r="E23" s="433" t="s">
        <v>654</v>
      </c>
      <c r="F23" s="1088">
        <v>312000000</v>
      </c>
      <c r="G23" s="1088"/>
      <c r="L23" s="432"/>
    </row>
    <row r="24" spans="1:12" ht="13.5">
      <c r="A24" s="432"/>
      <c r="L24" s="432"/>
    </row>
    <row r="25" spans="1:12" ht="13.5">
      <c r="A25" s="432"/>
      <c r="C25" s="1099">
        <f>F23</f>
        <v>312000000</v>
      </c>
      <c r="D25" s="1099"/>
      <c r="E25" s="433" t="s">
        <v>655</v>
      </c>
      <c r="F25" s="436">
        <v>1000</v>
      </c>
      <c r="G25" s="436" t="s">
        <v>654</v>
      </c>
      <c r="H25" s="569">
        <f>F23/F25</f>
        <v>312000</v>
      </c>
      <c r="L25" s="432"/>
    </row>
    <row r="26" spans="1:12" ht="14.25" thickBot="1">
      <c r="A26" s="432"/>
      <c r="L26" s="432"/>
    </row>
    <row r="27" spans="1:12" ht="13.5">
      <c r="A27" s="432"/>
      <c r="B27" s="437" t="s">
        <v>650</v>
      </c>
      <c r="C27" s="438"/>
      <c r="D27" s="438"/>
      <c r="E27" s="438"/>
      <c r="F27" s="438"/>
      <c r="G27" s="438"/>
      <c r="H27" s="438"/>
      <c r="I27" s="438"/>
      <c r="J27" s="438"/>
      <c r="K27" s="439"/>
      <c r="L27" s="432"/>
    </row>
    <row r="28" spans="1:12" ht="13.5">
      <c r="A28" s="432"/>
      <c r="B28" s="440">
        <f>F23</f>
        <v>312000000</v>
      </c>
      <c r="C28" s="441" t="s">
        <v>656</v>
      </c>
      <c r="D28" s="441"/>
      <c r="E28" s="441" t="s">
        <v>655</v>
      </c>
      <c r="F28" s="572">
        <v>1000</v>
      </c>
      <c r="G28" s="572" t="s">
        <v>654</v>
      </c>
      <c r="H28" s="442">
        <f>B28/F28</f>
        <v>312000</v>
      </c>
      <c r="I28" s="441" t="s">
        <v>657</v>
      </c>
      <c r="J28" s="441"/>
      <c r="K28" s="443"/>
      <c r="L28" s="432"/>
    </row>
    <row r="29" spans="1:12" ht="14.25" thickBot="1">
      <c r="A29" s="432"/>
      <c r="B29" s="444"/>
      <c r="C29" s="445"/>
      <c r="D29" s="445"/>
      <c r="E29" s="445"/>
      <c r="F29" s="445"/>
      <c r="G29" s="445"/>
      <c r="H29" s="445"/>
      <c r="I29" s="445"/>
      <c r="J29" s="445"/>
      <c r="K29" s="446"/>
      <c r="L29" s="432"/>
    </row>
    <row r="30" spans="1:12" ht="40.5" customHeight="1">
      <c r="A30" s="432"/>
      <c r="B30" s="1079" t="s">
        <v>646</v>
      </c>
      <c r="C30" s="1079"/>
      <c r="D30" s="1079"/>
      <c r="E30" s="1079"/>
      <c r="F30" s="1079"/>
      <c r="G30" s="1079"/>
      <c r="H30" s="1079"/>
      <c r="I30" s="1079"/>
      <c r="J30" s="1079"/>
      <c r="K30" s="1079"/>
      <c r="L30" s="432"/>
    </row>
    <row r="31" spans="1:12" ht="13.5">
      <c r="A31" s="432"/>
      <c r="B31" s="1090" t="s">
        <v>658</v>
      </c>
      <c r="C31" s="1090"/>
      <c r="D31" s="1090"/>
      <c r="E31" s="1090"/>
      <c r="F31" s="1090"/>
      <c r="G31" s="1090"/>
      <c r="H31" s="1090"/>
      <c r="I31" s="1090"/>
      <c r="J31" s="1090"/>
      <c r="K31" s="1090"/>
      <c r="L31" s="432"/>
    </row>
    <row r="32" spans="1:12" ht="13.5">
      <c r="A32" s="432"/>
      <c r="L32" s="432"/>
    </row>
    <row r="33" spans="1:12" ht="13.5">
      <c r="A33" s="432"/>
      <c r="B33" s="1090" t="s">
        <v>659</v>
      </c>
      <c r="C33" s="1090"/>
      <c r="D33" s="1090"/>
      <c r="E33" s="1090"/>
      <c r="F33" s="1090"/>
      <c r="G33" s="1090"/>
      <c r="H33" s="1090"/>
      <c r="I33" s="1090"/>
      <c r="J33" s="1090"/>
      <c r="K33" s="1090"/>
      <c r="L33" s="432"/>
    </row>
    <row r="34" spans="1:12" ht="13.5">
      <c r="A34" s="432"/>
      <c r="L34" s="432"/>
    </row>
    <row r="35" spans="1:12" ht="89.25" customHeight="1">
      <c r="A35" s="432"/>
      <c r="B35" s="1082" t="s">
        <v>660</v>
      </c>
      <c r="C35" s="1087"/>
      <c r="D35" s="1087"/>
      <c r="E35" s="1087"/>
      <c r="F35" s="1087"/>
      <c r="G35" s="1087"/>
      <c r="H35" s="1087"/>
      <c r="I35" s="1087"/>
      <c r="J35" s="1087"/>
      <c r="K35" s="1087"/>
      <c r="L35" s="432"/>
    </row>
    <row r="36" spans="1:12" ht="13.5">
      <c r="A36" s="432"/>
      <c r="L36" s="432"/>
    </row>
    <row r="37" spans="1:12" ht="13.5">
      <c r="A37" s="432"/>
      <c r="B37" s="435" t="s">
        <v>661</v>
      </c>
      <c r="L37" s="432"/>
    </row>
    <row r="38" spans="1:12" ht="13.5">
      <c r="A38" s="432"/>
      <c r="L38" s="432"/>
    </row>
    <row r="39" spans="1:12" ht="13.5">
      <c r="A39" s="432"/>
      <c r="B39" s="433" t="s">
        <v>662</v>
      </c>
      <c r="L39" s="432"/>
    </row>
    <row r="40" spans="1:12" ht="13.5">
      <c r="A40" s="432"/>
      <c r="L40" s="432"/>
    </row>
    <row r="41" spans="1:12" ht="13.5">
      <c r="A41" s="432"/>
      <c r="C41" s="1091">
        <v>312000000</v>
      </c>
      <c r="D41" s="1091"/>
      <c r="E41" s="433" t="s">
        <v>655</v>
      </c>
      <c r="F41" s="436">
        <v>1000</v>
      </c>
      <c r="G41" s="436" t="s">
        <v>654</v>
      </c>
      <c r="H41" s="447">
        <f>C41/F41</f>
        <v>312000</v>
      </c>
      <c r="L41" s="432"/>
    </row>
    <row r="42" spans="1:12" ht="13.5">
      <c r="A42" s="432"/>
      <c r="L42" s="432"/>
    </row>
    <row r="43" spans="1:12" ht="13.5">
      <c r="A43" s="432"/>
      <c r="B43" s="433" t="s">
        <v>663</v>
      </c>
      <c r="L43" s="432"/>
    </row>
    <row r="44" spans="1:12" ht="13.5">
      <c r="A44" s="432"/>
      <c r="L44" s="432"/>
    </row>
    <row r="45" spans="1:12" ht="13.5">
      <c r="A45" s="432"/>
      <c r="B45" s="433" t="s">
        <v>664</v>
      </c>
      <c r="L45" s="432"/>
    </row>
    <row r="46" spans="1:12" ht="14.25" thickBot="1">
      <c r="A46" s="432"/>
      <c r="L46" s="432"/>
    </row>
    <row r="47" spans="1:12" ht="13.5">
      <c r="A47" s="432"/>
      <c r="B47" s="448" t="s">
        <v>650</v>
      </c>
      <c r="C47" s="438"/>
      <c r="D47" s="438"/>
      <c r="E47" s="438"/>
      <c r="F47" s="438"/>
      <c r="G47" s="438"/>
      <c r="H47" s="438"/>
      <c r="I47" s="438"/>
      <c r="J47" s="438"/>
      <c r="K47" s="439"/>
      <c r="L47" s="432"/>
    </row>
    <row r="48" spans="1:12" ht="13.5">
      <c r="A48" s="432"/>
      <c r="B48" s="1092">
        <v>312000000</v>
      </c>
      <c r="C48" s="1088"/>
      <c r="D48" s="441" t="s">
        <v>665</v>
      </c>
      <c r="E48" s="441" t="s">
        <v>655</v>
      </c>
      <c r="F48" s="572">
        <v>1000</v>
      </c>
      <c r="G48" s="572" t="s">
        <v>654</v>
      </c>
      <c r="H48" s="442">
        <f>B48/F48</f>
        <v>312000</v>
      </c>
      <c r="I48" s="441" t="s">
        <v>666</v>
      </c>
      <c r="J48" s="441"/>
      <c r="K48" s="443"/>
      <c r="L48" s="432"/>
    </row>
    <row r="49" spans="1:12" ht="13.5">
      <c r="A49" s="432"/>
      <c r="B49" s="449"/>
      <c r="C49" s="441"/>
      <c r="D49" s="441"/>
      <c r="E49" s="441"/>
      <c r="F49" s="441"/>
      <c r="G49" s="441"/>
      <c r="H49" s="441"/>
      <c r="I49" s="441"/>
      <c r="J49" s="441"/>
      <c r="K49" s="443"/>
      <c r="L49" s="432"/>
    </row>
    <row r="50" spans="1:12" ht="13.5">
      <c r="A50" s="432"/>
      <c r="B50" s="450">
        <v>50000</v>
      </c>
      <c r="C50" s="441" t="s">
        <v>667</v>
      </c>
      <c r="D50" s="441"/>
      <c r="E50" s="441" t="s">
        <v>655</v>
      </c>
      <c r="F50" s="442">
        <f>H48</f>
        <v>312000</v>
      </c>
      <c r="G50" s="1093" t="s">
        <v>668</v>
      </c>
      <c r="H50" s="1094"/>
      <c r="I50" s="572" t="s">
        <v>654</v>
      </c>
      <c r="J50" s="451">
        <f>B50/F50</f>
        <v>0.16025641025641027</v>
      </c>
      <c r="K50" s="443"/>
      <c r="L50" s="432"/>
    </row>
    <row r="51" spans="1:15" ht="14.25" thickBot="1">
      <c r="A51" s="432"/>
      <c r="B51" s="444"/>
      <c r="C51" s="445"/>
      <c r="D51" s="445"/>
      <c r="E51" s="445"/>
      <c r="F51" s="445"/>
      <c r="G51" s="445"/>
      <c r="H51" s="445"/>
      <c r="I51" s="1095" t="s">
        <v>669</v>
      </c>
      <c r="J51" s="1095"/>
      <c r="K51" s="1096"/>
      <c r="L51" s="432"/>
      <c r="O51" s="548"/>
    </row>
    <row r="52" spans="1:12" ht="40.5" customHeight="1">
      <c r="A52" s="432"/>
      <c r="B52" s="1079" t="s">
        <v>646</v>
      </c>
      <c r="C52" s="1079"/>
      <c r="D52" s="1079"/>
      <c r="E52" s="1079"/>
      <c r="F52" s="1079"/>
      <c r="G52" s="1079"/>
      <c r="H52" s="1079"/>
      <c r="I52" s="1079"/>
      <c r="J52" s="1079"/>
      <c r="K52" s="1079"/>
      <c r="L52" s="432"/>
    </row>
    <row r="53" spans="1:12" ht="13.5">
      <c r="A53" s="432"/>
      <c r="B53" s="1090" t="s">
        <v>670</v>
      </c>
      <c r="C53" s="1090"/>
      <c r="D53" s="1090"/>
      <c r="E53" s="1090"/>
      <c r="F53" s="1090"/>
      <c r="G53" s="1090"/>
      <c r="H53" s="1090"/>
      <c r="I53" s="1090"/>
      <c r="J53" s="1090"/>
      <c r="K53" s="1090"/>
      <c r="L53" s="432"/>
    </row>
    <row r="54" spans="1:12" ht="13.5">
      <c r="A54" s="432"/>
      <c r="B54" s="568"/>
      <c r="C54" s="568"/>
      <c r="D54" s="568"/>
      <c r="E54" s="568"/>
      <c r="F54" s="568"/>
      <c r="G54" s="568"/>
      <c r="H54" s="568"/>
      <c r="I54" s="568"/>
      <c r="J54" s="568"/>
      <c r="K54" s="568"/>
      <c r="L54" s="432"/>
    </row>
    <row r="55" spans="1:12" ht="13.5">
      <c r="A55" s="432"/>
      <c r="B55" s="1080" t="s">
        <v>671</v>
      </c>
      <c r="C55" s="1080"/>
      <c r="D55" s="1080"/>
      <c r="E55" s="1080"/>
      <c r="F55" s="1080"/>
      <c r="G55" s="1080"/>
      <c r="H55" s="1080"/>
      <c r="I55" s="1080"/>
      <c r="J55" s="1080"/>
      <c r="K55" s="1080"/>
      <c r="L55" s="432"/>
    </row>
    <row r="56" spans="1:12" ht="15" customHeight="1">
      <c r="A56" s="432"/>
      <c r="L56" s="432"/>
    </row>
    <row r="57" spans="1:24" ht="74.25" customHeight="1">
      <c r="A57" s="432"/>
      <c r="B57" s="1082" t="s">
        <v>672</v>
      </c>
      <c r="C57" s="1087"/>
      <c r="D57" s="1087"/>
      <c r="E57" s="1087"/>
      <c r="F57" s="1087"/>
      <c r="G57" s="1087"/>
      <c r="H57" s="1087"/>
      <c r="I57" s="1087"/>
      <c r="J57" s="1087"/>
      <c r="K57" s="1087"/>
      <c r="L57" s="432"/>
      <c r="M57" s="452"/>
      <c r="N57" s="453"/>
      <c r="O57" s="453"/>
      <c r="P57" s="453"/>
      <c r="Q57" s="453"/>
      <c r="R57" s="453"/>
      <c r="S57" s="453"/>
      <c r="T57" s="453"/>
      <c r="U57" s="453"/>
      <c r="V57" s="453"/>
      <c r="W57" s="453"/>
      <c r="X57" s="453"/>
    </row>
    <row r="58" spans="1:24" ht="15" customHeight="1">
      <c r="A58" s="432"/>
      <c r="B58" s="1082"/>
      <c r="C58" s="1087"/>
      <c r="D58" s="1087"/>
      <c r="E58" s="1087"/>
      <c r="F58" s="1087"/>
      <c r="G58" s="1087"/>
      <c r="H58" s="1087"/>
      <c r="I58" s="1087"/>
      <c r="J58" s="1087"/>
      <c r="K58" s="1087"/>
      <c r="L58" s="432"/>
      <c r="M58" s="452"/>
      <c r="N58" s="453"/>
      <c r="O58" s="453"/>
      <c r="P58" s="453"/>
      <c r="Q58" s="453"/>
      <c r="R58" s="453"/>
      <c r="S58" s="453"/>
      <c r="T58" s="453"/>
      <c r="U58" s="453"/>
      <c r="V58" s="453"/>
      <c r="W58" s="453"/>
      <c r="X58" s="453"/>
    </row>
    <row r="59" spans="1:24" ht="13.5">
      <c r="A59" s="432"/>
      <c r="B59" s="435" t="s">
        <v>661</v>
      </c>
      <c r="L59" s="432"/>
      <c r="M59" s="453"/>
      <c r="N59" s="453"/>
      <c r="O59" s="453"/>
      <c r="P59" s="453"/>
      <c r="Q59" s="453"/>
      <c r="R59" s="453"/>
      <c r="S59" s="453"/>
      <c r="T59" s="453"/>
      <c r="U59" s="453"/>
      <c r="V59" s="453"/>
      <c r="W59" s="453"/>
      <c r="X59" s="453"/>
    </row>
    <row r="60" spans="1:24" ht="13.5">
      <c r="A60" s="432"/>
      <c r="L60" s="432"/>
      <c r="M60" s="453"/>
      <c r="N60" s="453"/>
      <c r="O60" s="453"/>
      <c r="P60" s="453"/>
      <c r="Q60" s="453"/>
      <c r="R60" s="453"/>
      <c r="S60" s="453"/>
      <c r="T60" s="453"/>
      <c r="U60" s="453"/>
      <c r="V60" s="453"/>
      <c r="W60" s="453"/>
      <c r="X60" s="453"/>
    </row>
    <row r="61" spans="1:24" ht="13.5">
      <c r="A61" s="432"/>
      <c r="B61" s="433" t="s">
        <v>673</v>
      </c>
      <c r="L61" s="432"/>
      <c r="M61" s="453"/>
      <c r="N61" s="453"/>
      <c r="O61" s="453"/>
      <c r="P61" s="453"/>
      <c r="Q61" s="453"/>
      <c r="R61" s="453"/>
      <c r="S61" s="453"/>
      <c r="T61" s="453"/>
      <c r="U61" s="453"/>
      <c r="V61" s="453"/>
      <c r="W61" s="453"/>
      <c r="X61" s="453"/>
    </row>
    <row r="62" spans="1:24" ht="13.5">
      <c r="A62" s="432"/>
      <c r="B62" s="433" t="s">
        <v>865</v>
      </c>
      <c r="L62" s="432"/>
      <c r="M62" s="453"/>
      <c r="N62" s="453"/>
      <c r="O62" s="453"/>
      <c r="P62" s="453"/>
      <c r="Q62" s="453"/>
      <c r="R62" s="453"/>
      <c r="S62" s="453"/>
      <c r="T62" s="453"/>
      <c r="U62" s="453"/>
      <c r="V62" s="453"/>
      <c r="W62" s="453"/>
      <c r="X62" s="453"/>
    </row>
    <row r="63" spans="1:24" ht="13.5">
      <c r="A63" s="432"/>
      <c r="B63" s="433" t="s">
        <v>866</v>
      </c>
      <c r="L63" s="432"/>
      <c r="M63" s="453"/>
      <c r="N63" s="453"/>
      <c r="O63" s="453"/>
      <c r="P63" s="453"/>
      <c r="Q63" s="453"/>
      <c r="R63" s="453"/>
      <c r="S63" s="453"/>
      <c r="T63" s="453"/>
      <c r="U63" s="453"/>
      <c r="V63" s="453"/>
      <c r="W63" s="453"/>
      <c r="X63" s="453"/>
    </row>
    <row r="64" spans="1:24" ht="13.5">
      <c r="A64" s="432"/>
      <c r="L64" s="432"/>
      <c r="M64" s="453"/>
      <c r="N64" s="453"/>
      <c r="O64" s="453"/>
      <c r="P64" s="453"/>
      <c r="Q64" s="453"/>
      <c r="R64" s="453"/>
      <c r="S64" s="453"/>
      <c r="T64" s="453"/>
      <c r="U64" s="453"/>
      <c r="V64" s="453"/>
      <c r="W64" s="453"/>
      <c r="X64" s="453"/>
    </row>
    <row r="65" spans="1:24" ht="13.5">
      <c r="A65" s="432"/>
      <c r="B65" s="433" t="s">
        <v>674</v>
      </c>
      <c r="L65" s="432"/>
      <c r="M65" s="453"/>
      <c r="N65" s="453"/>
      <c r="O65" s="453"/>
      <c r="P65" s="453"/>
      <c r="Q65" s="453"/>
      <c r="R65" s="453"/>
      <c r="S65" s="453"/>
      <c r="T65" s="453"/>
      <c r="U65" s="453"/>
      <c r="V65" s="453"/>
      <c r="W65" s="453"/>
      <c r="X65" s="453"/>
    </row>
    <row r="66" spans="1:24" ht="13.5">
      <c r="A66" s="432"/>
      <c r="B66" s="433" t="s">
        <v>675</v>
      </c>
      <c r="L66" s="432"/>
      <c r="M66" s="453"/>
      <c r="N66" s="453"/>
      <c r="O66" s="453"/>
      <c r="P66" s="453"/>
      <c r="Q66" s="453"/>
      <c r="R66" s="453"/>
      <c r="S66" s="453"/>
      <c r="T66" s="453"/>
      <c r="U66" s="453"/>
      <c r="V66" s="453"/>
      <c r="W66" s="453"/>
      <c r="X66" s="453"/>
    </row>
    <row r="67" spans="1:24" ht="13.5">
      <c r="A67" s="432"/>
      <c r="L67" s="432"/>
      <c r="M67" s="453"/>
      <c r="N67" s="453"/>
      <c r="O67" s="453"/>
      <c r="P67" s="453"/>
      <c r="Q67" s="453"/>
      <c r="R67" s="453"/>
      <c r="S67" s="453"/>
      <c r="T67" s="453"/>
      <c r="U67" s="453"/>
      <c r="V67" s="453"/>
      <c r="W67" s="453"/>
      <c r="X67" s="453"/>
    </row>
    <row r="68" spans="1:24" ht="13.5">
      <c r="A68" s="432"/>
      <c r="B68" s="433" t="s">
        <v>676</v>
      </c>
      <c r="L68" s="432"/>
      <c r="M68" s="454"/>
      <c r="N68" s="455"/>
      <c r="O68" s="455"/>
      <c r="P68" s="455"/>
      <c r="Q68" s="455"/>
      <c r="R68" s="455"/>
      <c r="S68" s="455"/>
      <c r="T68" s="455"/>
      <c r="U68" s="455"/>
      <c r="V68" s="455"/>
      <c r="W68" s="455"/>
      <c r="X68" s="453"/>
    </row>
    <row r="69" spans="1:24" ht="13.5">
      <c r="A69" s="432"/>
      <c r="B69" s="433" t="s">
        <v>867</v>
      </c>
      <c r="L69" s="432"/>
      <c r="M69" s="453"/>
      <c r="N69" s="453"/>
      <c r="O69" s="453"/>
      <c r="P69" s="453"/>
      <c r="Q69" s="453"/>
      <c r="R69" s="453"/>
      <c r="S69" s="453"/>
      <c r="T69" s="453"/>
      <c r="U69" s="453"/>
      <c r="V69" s="453"/>
      <c r="W69" s="453"/>
      <c r="X69" s="453"/>
    </row>
    <row r="70" spans="1:24" ht="13.5">
      <c r="A70" s="432"/>
      <c r="B70" s="433" t="s">
        <v>868</v>
      </c>
      <c r="L70" s="432"/>
      <c r="M70" s="453"/>
      <c r="N70" s="453"/>
      <c r="O70" s="453"/>
      <c r="P70" s="453"/>
      <c r="Q70" s="453"/>
      <c r="R70" s="453"/>
      <c r="S70" s="453"/>
      <c r="T70" s="453"/>
      <c r="U70" s="453"/>
      <c r="V70" s="453"/>
      <c r="W70" s="453"/>
      <c r="X70" s="453"/>
    </row>
    <row r="71" spans="1:12" ht="14.25" thickBot="1">
      <c r="A71" s="432"/>
      <c r="B71" s="441"/>
      <c r="C71" s="441"/>
      <c r="D71" s="441"/>
      <c r="E71" s="441"/>
      <c r="F71" s="441"/>
      <c r="G71" s="441"/>
      <c r="H71" s="441"/>
      <c r="I71" s="441"/>
      <c r="J71" s="441"/>
      <c r="K71" s="441"/>
      <c r="L71" s="432"/>
    </row>
    <row r="72" spans="1:12" ht="13.5">
      <c r="A72" s="432"/>
      <c r="B72" s="437" t="s">
        <v>650</v>
      </c>
      <c r="C72" s="438"/>
      <c r="D72" s="438"/>
      <c r="E72" s="438"/>
      <c r="F72" s="438"/>
      <c r="G72" s="438"/>
      <c r="H72" s="438"/>
      <c r="I72" s="438"/>
      <c r="J72" s="438"/>
      <c r="K72" s="439"/>
      <c r="L72" s="456"/>
    </row>
    <row r="73" spans="1:12" ht="13.5">
      <c r="A73" s="432"/>
      <c r="B73" s="449"/>
      <c r="C73" s="441" t="s">
        <v>656</v>
      </c>
      <c r="D73" s="441"/>
      <c r="E73" s="441"/>
      <c r="F73" s="441"/>
      <c r="G73" s="441"/>
      <c r="H73" s="441"/>
      <c r="I73" s="441"/>
      <c r="J73" s="441"/>
      <c r="K73" s="443"/>
      <c r="L73" s="456"/>
    </row>
    <row r="74" spans="1:12" ht="13.5">
      <c r="A74" s="432"/>
      <c r="B74" s="449" t="s">
        <v>677</v>
      </c>
      <c r="C74" s="1088">
        <v>312000000</v>
      </c>
      <c r="D74" s="1088"/>
      <c r="E74" s="572" t="s">
        <v>655</v>
      </c>
      <c r="F74" s="572">
        <v>1000</v>
      </c>
      <c r="G74" s="572" t="s">
        <v>654</v>
      </c>
      <c r="H74" s="565">
        <f>C74/F74</f>
        <v>312000</v>
      </c>
      <c r="I74" s="441" t="s">
        <v>678</v>
      </c>
      <c r="J74" s="441"/>
      <c r="K74" s="443"/>
      <c r="L74" s="456"/>
    </row>
    <row r="75" spans="1:12" ht="13.5">
      <c r="A75" s="432"/>
      <c r="B75" s="449"/>
      <c r="C75" s="441"/>
      <c r="D75" s="441"/>
      <c r="E75" s="572"/>
      <c r="F75" s="441"/>
      <c r="G75" s="441"/>
      <c r="H75" s="441"/>
      <c r="I75" s="441"/>
      <c r="J75" s="441"/>
      <c r="K75" s="443"/>
      <c r="L75" s="456"/>
    </row>
    <row r="76" spans="1:12" ht="13.5">
      <c r="A76" s="432"/>
      <c r="B76" s="449"/>
      <c r="C76" s="441" t="s">
        <v>679</v>
      </c>
      <c r="D76" s="441"/>
      <c r="E76" s="572"/>
      <c r="F76" s="441" t="s">
        <v>678</v>
      </c>
      <c r="G76" s="441"/>
      <c r="H76" s="441"/>
      <c r="I76" s="441"/>
      <c r="J76" s="441"/>
      <c r="K76" s="443"/>
      <c r="L76" s="456"/>
    </row>
    <row r="77" spans="1:12" ht="13.5">
      <c r="A77" s="432"/>
      <c r="B77" s="449" t="s">
        <v>682</v>
      </c>
      <c r="C77" s="1088">
        <v>50000</v>
      </c>
      <c r="D77" s="1088"/>
      <c r="E77" s="572" t="s">
        <v>655</v>
      </c>
      <c r="F77" s="565">
        <f>H74</f>
        <v>312000</v>
      </c>
      <c r="G77" s="572" t="s">
        <v>654</v>
      </c>
      <c r="H77" s="451">
        <f>C77/F77</f>
        <v>0.16025641025641027</v>
      </c>
      <c r="I77" s="441" t="s">
        <v>680</v>
      </c>
      <c r="J77" s="441"/>
      <c r="K77" s="443"/>
      <c r="L77" s="456"/>
    </row>
    <row r="78" spans="1:12" ht="13.5">
      <c r="A78" s="432"/>
      <c r="B78" s="449"/>
      <c r="C78" s="441"/>
      <c r="D78" s="441"/>
      <c r="E78" s="572"/>
      <c r="F78" s="441"/>
      <c r="G78" s="441"/>
      <c r="H78" s="441"/>
      <c r="I78" s="441"/>
      <c r="J78" s="441"/>
      <c r="K78" s="443"/>
      <c r="L78" s="456"/>
    </row>
    <row r="79" spans="1:12" ht="13.5">
      <c r="A79" s="432"/>
      <c r="B79" s="457"/>
      <c r="C79" s="458" t="s">
        <v>681</v>
      </c>
      <c r="D79" s="458"/>
      <c r="E79" s="566"/>
      <c r="F79" s="458"/>
      <c r="G79" s="458"/>
      <c r="H79" s="458"/>
      <c r="I79" s="458"/>
      <c r="J79" s="458"/>
      <c r="K79" s="459"/>
      <c r="L79" s="456"/>
    </row>
    <row r="80" spans="1:12" ht="13.5">
      <c r="A80" s="432"/>
      <c r="B80" s="449" t="s">
        <v>776</v>
      </c>
      <c r="C80" s="1088">
        <v>100000</v>
      </c>
      <c r="D80" s="1088"/>
      <c r="E80" s="572" t="s">
        <v>92</v>
      </c>
      <c r="F80" s="572">
        <v>0.115</v>
      </c>
      <c r="G80" s="572" t="s">
        <v>654</v>
      </c>
      <c r="H80" s="565">
        <f>C80*F80</f>
        <v>11500</v>
      </c>
      <c r="I80" s="441" t="s">
        <v>683</v>
      </c>
      <c r="J80" s="441"/>
      <c r="K80" s="443"/>
      <c r="L80" s="456"/>
    </row>
    <row r="81" spans="1:12" ht="13.5">
      <c r="A81" s="432"/>
      <c r="B81" s="449"/>
      <c r="C81" s="441"/>
      <c r="D81" s="441"/>
      <c r="E81" s="572"/>
      <c r="F81" s="441"/>
      <c r="G81" s="441"/>
      <c r="H81" s="441"/>
      <c r="I81" s="441"/>
      <c r="J81" s="441"/>
      <c r="K81" s="443"/>
      <c r="L81" s="456"/>
    </row>
    <row r="82" spans="1:12" ht="13.5">
      <c r="A82" s="432"/>
      <c r="B82" s="457"/>
      <c r="C82" s="458" t="s">
        <v>684</v>
      </c>
      <c r="D82" s="458"/>
      <c r="E82" s="566"/>
      <c r="F82" s="458" t="s">
        <v>680</v>
      </c>
      <c r="G82" s="458"/>
      <c r="H82" s="458"/>
      <c r="I82" s="458"/>
      <c r="J82" s="458" t="s">
        <v>685</v>
      </c>
      <c r="K82" s="459"/>
      <c r="L82" s="456"/>
    </row>
    <row r="83" spans="1:12" ht="13.5">
      <c r="A83" s="432"/>
      <c r="B83" s="449" t="s">
        <v>777</v>
      </c>
      <c r="C83" s="1089">
        <f>H80</f>
        <v>11500</v>
      </c>
      <c r="D83" s="1089"/>
      <c r="E83" s="572" t="s">
        <v>92</v>
      </c>
      <c r="F83" s="451">
        <f>H77</f>
        <v>0.16025641025641027</v>
      </c>
      <c r="G83" s="572" t="s">
        <v>655</v>
      </c>
      <c r="H83" s="572">
        <v>1000</v>
      </c>
      <c r="I83" s="572" t="s">
        <v>654</v>
      </c>
      <c r="J83" s="573">
        <f>C83*F83/H83</f>
        <v>1.842948717948718</v>
      </c>
      <c r="K83" s="443"/>
      <c r="L83" s="456"/>
    </row>
    <row r="84" spans="1:12" ht="14.25" thickBot="1">
      <c r="A84" s="432"/>
      <c r="B84" s="444"/>
      <c r="C84" s="460"/>
      <c r="D84" s="460"/>
      <c r="E84" s="461"/>
      <c r="F84" s="462"/>
      <c r="G84" s="461"/>
      <c r="H84" s="461"/>
      <c r="I84" s="461"/>
      <c r="J84" s="463"/>
      <c r="K84" s="446"/>
      <c r="L84" s="456"/>
    </row>
    <row r="85" spans="1:12" ht="40.5" customHeight="1">
      <c r="A85" s="432"/>
      <c r="B85" s="1079" t="s">
        <v>646</v>
      </c>
      <c r="C85" s="1079"/>
      <c r="D85" s="1079"/>
      <c r="E85" s="1079"/>
      <c r="F85" s="1079"/>
      <c r="G85" s="1079"/>
      <c r="H85" s="1079"/>
      <c r="I85" s="1079"/>
      <c r="J85" s="1079"/>
      <c r="K85" s="1079"/>
      <c r="L85" s="432"/>
    </row>
    <row r="86" spans="1:12" ht="13.5">
      <c r="A86" s="432"/>
      <c r="B86" s="1080" t="s">
        <v>686</v>
      </c>
      <c r="C86" s="1080"/>
      <c r="D86" s="1080"/>
      <c r="E86" s="1080"/>
      <c r="F86" s="1080"/>
      <c r="G86" s="1080"/>
      <c r="H86" s="1080"/>
      <c r="I86" s="1080"/>
      <c r="J86" s="1080"/>
      <c r="K86" s="1080"/>
      <c r="L86" s="432"/>
    </row>
    <row r="87" spans="1:12" ht="13.5">
      <c r="A87" s="432"/>
      <c r="B87" s="464"/>
      <c r="C87" s="464"/>
      <c r="D87" s="464"/>
      <c r="E87" s="464"/>
      <c r="F87" s="464"/>
      <c r="G87" s="464"/>
      <c r="H87" s="464"/>
      <c r="I87" s="464"/>
      <c r="J87" s="464"/>
      <c r="K87" s="464"/>
      <c r="L87" s="432"/>
    </row>
    <row r="88" spans="1:12" ht="13.5">
      <c r="A88" s="432"/>
      <c r="B88" s="1080" t="s">
        <v>687</v>
      </c>
      <c r="C88" s="1080"/>
      <c r="D88" s="1080"/>
      <c r="E88" s="1080"/>
      <c r="F88" s="1080"/>
      <c r="G88" s="1080"/>
      <c r="H88" s="1080"/>
      <c r="I88" s="1080"/>
      <c r="J88" s="1080"/>
      <c r="K88" s="1080"/>
      <c r="L88" s="432"/>
    </row>
    <row r="89" spans="1:12" ht="13.5">
      <c r="A89" s="432"/>
      <c r="B89" s="567"/>
      <c r="C89" s="567"/>
      <c r="D89" s="567"/>
      <c r="E89" s="567"/>
      <c r="F89" s="567"/>
      <c r="G89" s="567"/>
      <c r="H89" s="567"/>
      <c r="I89" s="567"/>
      <c r="J89" s="567"/>
      <c r="K89" s="567"/>
      <c r="L89" s="432"/>
    </row>
    <row r="90" spans="1:12" ht="45" customHeight="1">
      <c r="A90" s="432"/>
      <c r="B90" s="1082" t="s">
        <v>688</v>
      </c>
      <c r="C90" s="1082"/>
      <c r="D90" s="1082"/>
      <c r="E90" s="1082"/>
      <c r="F90" s="1082"/>
      <c r="G90" s="1082"/>
      <c r="H90" s="1082"/>
      <c r="I90" s="1082"/>
      <c r="J90" s="1082"/>
      <c r="K90" s="1082"/>
      <c r="L90" s="432"/>
    </row>
    <row r="91" spans="1:12" ht="15" customHeight="1" thickBot="1">
      <c r="A91" s="432"/>
      <c r="L91" s="432"/>
    </row>
    <row r="92" spans="1:12" ht="15" customHeight="1">
      <c r="A92" s="432"/>
      <c r="B92" s="465" t="s">
        <v>650</v>
      </c>
      <c r="C92" s="466"/>
      <c r="D92" s="466"/>
      <c r="E92" s="466"/>
      <c r="F92" s="466"/>
      <c r="G92" s="466"/>
      <c r="H92" s="466"/>
      <c r="I92" s="466"/>
      <c r="J92" s="466"/>
      <c r="K92" s="467"/>
      <c r="L92" s="432"/>
    </row>
    <row r="93" spans="1:12" ht="15" customHeight="1">
      <c r="A93" s="432"/>
      <c r="B93" s="468"/>
      <c r="C93" s="570" t="s">
        <v>656</v>
      </c>
      <c r="D93" s="570"/>
      <c r="E93" s="570"/>
      <c r="F93" s="570"/>
      <c r="G93" s="570"/>
      <c r="H93" s="570"/>
      <c r="I93" s="570"/>
      <c r="J93" s="570"/>
      <c r="K93" s="469"/>
      <c r="L93" s="432"/>
    </row>
    <row r="94" spans="1:12" ht="15" customHeight="1">
      <c r="A94" s="432"/>
      <c r="B94" s="468" t="s">
        <v>677</v>
      </c>
      <c r="C94" s="1088">
        <v>312000000</v>
      </c>
      <c r="D94" s="1088"/>
      <c r="E94" s="572" t="s">
        <v>655</v>
      </c>
      <c r="F94" s="572">
        <v>1000</v>
      </c>
      <c r="G94" s="572" t="s">
        <v>654</v>
      </c>
      <c r="H94" s="565">
        <f>C94/F94</f>
        <v>312000</v>
      </c>
      <c r="I94" s="570" t="s">
        <v>678</v>
      </c>
      <c r="J94" s="570"/>
      <c r="K94" s="469"/>
      <c r="L94" s="432"/>
    </row>
    <row r="95" spans="1:12" ht="15" customHeight="1">
      <c r="A95" s="432"/>
      <c r="B95" s="468"/>
      <c r="C95" s="570"/>
      <c r="D95" s="570"/>
      <c r="E95" s="572"/>
      <c r="F95" s="570"/>
      <c r="G95" s="570"/>
      <c r="H95" s="570"/>
      <c r="I95" s="570"/>
      <c r="J95" s="570"/>
      <c r="K95" s="469"/>
      <c r="L95" s="432"/>
    </row>
    <row r="96" spans="1:12" ht="15" customHeight="1">
      <c r="A96" s="432"/>
      <c r="B96" s="468"/>
      <c r="C96" s="570" t="s">
        <v>679</v>
      </c>
      <c r="D96" s="570"/>
      <c r="E96" s="572"/>
      <c r="F96" s="570" t="s">
        <v>678</v>
      </c>
      <c r="G96" s="570"/>
      <c r="H96" s="570"/>
      <c r="I96" s="570"/>
      <c r="J96" s="570"/>
      <c r="K96" s="469"/>
      <c r="L96" s="432"/>
    </row>
    <row r="97" spans="1:12" ht="15" customHeight="1">
      <c r="A97" s="432"/>
      <c r="B97" s="468" t="s">
        <v>682</v>
      </c>
      <c r="C97" s="1088">
        <v>50000</v>
      </c>
      <c r="D97" s="1088"/>
      <c r="E97" s="572" t="s">
        <v>655</v>
      </c>
      <c r="F97" s="565">
        <f>H94</f>
        <v>312000</v>
      </c>
      <c r="G97" s="572" t="s">
        <v>654</v>
      </c>
      <c r="H97" s="451">
        <f>C97/F97</f>
        <v>0.16025641025641027</v>
      </c>
      <c r="I97" s="570" t="s">
        <v>680</v>
      </c>
      <c r="J97" s="570"/>
      <c r="K97" s="469"/>
      <c r="L97" s="432"/>
    </row>
    <row r="98" spans="1:12" ht="15" customHeight="1">
      <c r="A98" s="432"/>
      <c r="B98" s="468"/>
      <c r="C98" s="570"/>
      <c r="D98" s="570"/>
      <c r="E98" s="572"/>
      <c r="F98" s="570"/>
      <c r="G98" s="570"/>
      <c r="H98" s="570"/>
      <c r="I98" s="570"/>
      <c r="J98" s="570"/>
      <c r="K98" s="469"/>
      <c r="L98" s="432"/>
    </row>
    <row r="99" spans="1:12" ht="15" customHeight="1">
      <c r="A99" s="432"/>
      <c r="B99" s="470"/>
      <c r="C99" s="471" t="s">
        <v>689</v>
      </c>
      <c r="D99" s="471"/>
      <c r="E99" s="566"/>
      <c r="F99" s="471"/>
      <c r="G99" s="471"/>
      <c r="H99" s="471"/>
      <c r="I99" s="471"/>
      <c r="J99" s="471"/>
      <c r="K99" s="472"/>
      <c r="L99" s="432"/>
    </row>
    <row r="100" spans="1:12" ht="15" customHeight="1">
      <c r="A100" s="432"/>
      <c r="B100" s="468" t="s">
        <v>776</v>
      </c>
      <c r="C100" s="1088">
        <v>2500000</v>
      </c>
      <c r="D100" s="1088"/>
      <c r="E100" s="572" t="s">
        <v>92</v>
      </c>
      <c r="F100" s="473">
        <v>0.3</v>
      </c>
      <c r="G100" s="572" t="s">
        <v>654</v>
      </c>
      <c r="H100" s="565">
        <f>C100*F100</f>
        <v>750000</v>
      </c>
      <c r="I100" s="570" t="s">
        <v>683</v>
      </c>
      <c r="J100" s="570"/>
      <c r="K100" s="469"/>
      <c r="L100" s="432"/>
    </row>
    <row r="101" spans="1:12" ht="15" customHeight="1">
      <c r="A101" s="432"/>
      <c r="B101" s="468"/>
      <c r="C101" s="570"/>
      <c r="D101" s="570"/>
      <c r="E101" s="572"/>
      <c r="F101" s="570"/>
      <c r="G101" s="570"/>
      <c r="H101" s="570"/>
      <c r="I101" s="570"/>
      <c r="J101" s="570"/>
      <c r="K101" s="469"/>
      <c r="L101" s="432"/>
    </row>
    <row r="102" spans="1:12" ht="15" customHeight="1">
      <c r="A102" s="432"/>
      <c r="B102" s="470"/>
      <c r="C102" s="471" t="s">
        <v>684</v>
      </c>
      <c r="D102" s="471"/>
      <c r="E102" s="566"/>
      <c r="F102" s="471" t="s">
        <v>680</v>
      </c>
      <c r="G102" s="471"/>
      <c r="H102" s="471"/>
      <c r="I102" s="471"/>
      <c r="J102" s="471" t="s">
        <v>685</v>
      </c>
      <c r="K102" s="472"/>
      <c r="L102" s="432"/>
    </row>
    <row r="103" spans="1:12" ht="15" customHeight="1">
      <c r="A103" s="432"/>
      <c r="B103" s="468" t="s">
        <v>777</v>
      </c>
      <c r="C103" s="1089">
        <f>H100</f>
        <v>750000</v>
      </c>
      <c r="D103" s="1089"/>
      <c r="E103" s="572" t="s">
        <v>92</v>
      </c>
      <c r="F103" s="451">
        <f>H97</f>
        <v>0.16025641025641027</v>
      </c>
      <c r="G103" s="572" t="s">
        <v>655</v>
      </c>
      <c r="H103" s="572">
        <v>1000</v>
      </c>
      <c r="I103" s="572" t="s">
        <v>654</v>
      </c>
      <c r="J103" s="573">
        <f>C103*F103/H103</f>
        <v>120.19230769230771</v>
      </c>
      <c r="K103" s="469"/>
      <c r="L103" s="432"/>
    </row>
    <row r="104" spans="1:12" ht="15" customHeight="1" thickBot="1">
      <c r="A104" s="432"/>
      <c r="B104" s="474"/>
      <c r="C104" s="460"/>
      <c r="D104" s="460"/>
      <c r="E104" s="461"/>
      <c r="F104" s="462"/>
      <c r="G104" s="461"/>
      <c r="H104" s="461"/>
      <c r="I104" s="461"/>
      <c r="J104" s="463"/>
      <c r="K104" s="571"/>
      <c r="L104" s="432"/>
    </row>
    <row r="105" spans="1:12" ht="40.5" customHeight="1">
      <c r="A105" s="432"/>
      <c r="B105" s="1079" t="s">
        <v>646</v>
      </c>
      <c r="C105" s="1101"/>
      <c r="D105" s="1101"/>
      <c r="E105" s="1101"/>
      <c r="F105" s="1101"/>
      <c r="G105" s="1101"/>
      <c r="H105" s="1101"/>
      <c r="I105" s="1101"/>
      <c r="J105" s="1101"/>
      <c r="K105" s="1101"/>
      <c r="L105" s="432"/>
    </row>
    <row r="106" spans="1:12" ht="15" customHeight="1">
      <c r="A106" s="432"/>
      <c r="B106" s="1083" t="s">
        <v>690</v>
      </c>
      <c r="C106" s="1084"/>
      <c r="D106" s="1084"/>
      <c r="E106" s="1084"/>
      <c r="F106" s="1084"/>
      <c r="G106" s="1084"/>
      <c r="H106" s="1084"/>
      <c r="I106" s="1084"/>
      <c r="J106" s="1084"/>
      <c r="K106" s="1084"/>
      <c r="L106" s="432"/>
    </row>
    <row r="107" spans="1:12" ht="15" customHeight="1">
      <c r="A107" s="432"/>
      <c r="B107" s="570"/>
      <c r="C107" s="475"/>
      <c r="D107" s="475"/>
      <c r="E107" s="572"/>
      <c r="F107" s="451"/>
      <c r="G107" s="572"/>
      <c r="H107" s="572"/>
      <c r="I107" s="572"/>
      <c r="J107" s="573"/>
      <c r="K107" s="570"/>
      <c r="L107" s="432"/>
    </row>
    <row r="108" spans="1:12" ht="15" customHeight="1">
      <c r="A108" s="432"/>
      <c r="B108" s="1083" t="s">
        <v>691</v>
      </c>
      <c r="C108" s="1085"/>
      <c r="D108" s="1085"/>
      <c r="E108" s="1085"/>
      <c r="F108" s="1085"/>
      <c r="G108" s="1085"/>
      <c r="H108" s="1085"/>
      <c r="I108" s="1085"/>
      <c r="J108" s="1085"/>
      <c r="K108" s="1085"/>
      <c r="L108" s="432"/>
    </row>
    <row r="109" spans="1:12" ht="15" customHeight="1">
      <c r="A109" s="432"/>
      <c r="B109" s="570"/>
      <c r="C109" s="475"/>
      <c r="D109" s="475"/>
      <c r="E109" s="572"/>
      <c r="F109" s="451"/>
      <c r="G109" s="572"/>
      <c r="H109" s="572"/>
      <c r="I109" s="572"/>
      <c r="J109" s="573"/>
      <c r="K109" s="570"/>
      <c r="L109" s="432"/>
    </row>
    <row r="110" spans="1:12" ht="59.25" customHeight="1">
      <c r="A110" s="432"/>
      <c r="B110" s="1086" t="s">
        <v>692</v>
      </c>
      <c r="C110" s="1087"/>
      <c r="D110" s="1087"/>
      <c r="E110" s="1087"/>
      <c r="F110" s="1087"/>
      <c r="G110" s="1087"/>
      <c r="H110" s="1087"/>
      <c r="I110" s="1087"/>
      <c r="J110" s="1087"/>
      <c r="K110" s="1087"/>
      <c r="L110" s="432"/>
    </row>
    <row r="111" spans="1:12" ht="14.25" thickBot="1">
      <c r="A111" s="432"/>
      <c r="B111" s="568"/>
      <c r="C111" s="568"/>
      <c r="D111" s="568"/>
      <c r="E111" s="568"/>
      <c r="F111" s="568"/>
      <c r="G111" s="568"/>
      <c r="H111" s="568"/>
      <c r="I111" s="568"/>
      <c r="J111" s="568"/>
      <c r="K111" s="568"/>
      <c r="L111" s="476"/>
    </row>
    <row r="112" spans="1:12" ht="13.5">
      <c r="A112" s="432"/>
      <c r="B112" s="437" t="s">
        <v>650</v>
      </c>
      <c r="C112" s="438"/>
      <c r="D112" s="438"/>
      <c r="E112" s="438"/>
      <c r="F112" s="438"/>
      <c r="G112" s="438"/>
      <c r="H112" s="438"/>
      <c r="I112" s="438"/>
      <c r="J112" s="438"/>
      <c r="K112" s="439"/>
      <c r="L112" s="432"/>
    </row>
    <row r="113" spans="1:12" ht="13.5">
      <c r="A113" s="432"/>
      <c r="B113" s="449"/>
      <c r="C113" s="441" t="s">
        <v>656</v>
      </c>
      <c r="D113" s="441"/>
      <c r="E113" s="441"/>
      <c r="F113" s="441"/>
      <c r="G113" s="441"/>
      <c r="H113" s="441"/>
      <c r="I113" s="441"/>
      <c r="J113" s="441"/>
      <c r="K113" s="443"/>
      <c r="L113" s="432"/>
    </row>
    <row r="114" spans="1:12" ht="13.5">
      <c r="A114" s="432"/>
      <c r="B114" s="449" t="s">
        <v>677</v>
      </c>
      <c r="C114" s="1088">
        <v>312000000</v>
      </c>
      <c r="D114" s="1088"/>
      <c r="E114" s="572" t="s">
        <v>655</v>
      </c>
      <c r="F114" s="572">
        <v>1000</v>
      </c>
      <c r="G114" s="572" t="s">
        <v>654</v>
      </c>
      <c r="H114" s="565">
        <f>C114/F114</f>
        <v>312000</v>
      </c>
      <c r="I114" s="441" t="s">
        <v>678</v>
      </c>
      <c r="J114" s="441"/>
      <c r="K114" s="443"/>
      <c r="L114" s="432"/>
    </row>
    <row r="115" spans="1:12" ht="13.5">
      <c r="A115" s="432"/>
      <c r="B115" s="449"/>
      <c r="C115" s="441"/>
      <c r="D115" s="441"/>
      <c r="E115" s="572"/>
      <c r="F115" s="441"/>
      <c r="G115" s="441"/>
      <c r="H115" s="441"/>
      <c r="I115" s="441"/>
      <c r="J115" s="441"/>
      <c r="K115" s="443"/>
      <c r="L115" s="432"/>
    </row>
    <row r="116" spans="1:12" ht="13.5">
      <c r="A116" s="432"/>
      <c r="B116" s="449"/>
      <c r="C116" s="441" t="s">
        <v>679</v>
      </c>
      <c r="D116" s="441"/>
      <c r="E116" s="572"/>
      <c r="F116" s="441" t="s">
        <v>678</v>
      </c>
      <c r="G116" s="441"/>
      <c r="H116" s="441"/>
      <c r="I116" s="441"/>
      <c r="J116" s="441"/>
      <c r="K116" s="443"/>
      <c r="L116" s="432"/>
    </row>
    <row r="117" spans="1:12" ht="13.5">
      <c r="A117" s="432"/>
      <c r="B117" s="449" t="s">
        <v>682</v>
      </c>
      <c r="C117" s="1088">
        <v>50000</v>
      </c>
      <c r="D117" s="1088"/>
      <c r="E117" s="572" t="s">
        <v>655</v>
      </c>
      <c r="F117" s="565">
        <f>H114</f>
        <v>312000</v>
      </c>
      <c r="G117" s="572" t="s">
        <v>654</v>
      </c>
      <c r="H117" s="451">
        <f>C117/F117</f>
        <v>0.16025641025641027</v>
      </c>
      <c r="I117" s="441" t="s">
        <v>680</v>
      </c>
      <c r="J117" s="441"/>
      <c r="K117" s="443"/>
      <c r="L117" s="432"/>
    </row>
    <row r="118" spans="1:12" ht="13.5">
      <c r="A118" s="432"/>
      <c r="B118" s="449"/>
      <c r="C118" s="441"/>
      <c r="D118" s="441"/>
      <c r="E118" s="572"/>
      <c r="F118" s="441"/>
      <c r="G118" s="441"/>
      <c r="H118" s="441"/>
      <c r="I118" s="441"/>
      <c r="J118" s="441"/>
      <c r="K118" s="443"/>
      <c r="L118" s="432"/>
    </row>
    <row r="119" spans="1:12" ht="13.5">
      <c r="A119" s="432"/>
      <c r="B119" s="457"/>
      <c r="C119" s="458" t="s">
        <v>689</v>
      </c>
      <c r="D119" s="458"/>
      <c r="E119" s="566"/>
      <c r="F119" s="458"/>
      <c r="G119" s="458"/>
      <c r="H119" s="458"/>
      <c r="I119" s="458"/>
      <c r="J119" s="458"/>
      <c r="K119" s="459"/>
      <c r="L119" s="432"/>
    </row>
    <row r="120" spans="1:12" ht="13.5">
      <c r="A120" s="432"/>
      <c r="B120" s="449" t="s">
        <v>776</v>
      </c>
      <c r="C120" s="1088">
        <v>2500000</v>
      </c>
      <c r="D120" s="1088"/>
      <c r="E120" s="572" t="s">
        <v>92</v>
      </c>
      <c r="F120" s="473">
        <v>0.25</v>
      </c>
      <c r="G120" s="572" t="s">
        <v>654</v>
      </c>
      <c r="H120" s="565">
        <f>C120*F120</f>
        <v>625000</v>
      </c>
      <c r="I120" s="441" t="s">
        <v>683</v>
      </c>
      <c r="J120" s="441"/>
      <c r="K120" s="443"/>
      <c r="L120" s="432"/>
    </row>
    <row r="121" spans="1:12" ht="13.5">
      <c r="A121" s="432"/>
      <c r="B121" s="449"/>
      <c r="C121" s="441"/>
      <c r="D121" s="441"/>
      <c r="E121" s="572"/>
      <c r="F121" s="441"/>
      <c r="G121" s="441"/>
      <c r="H121" s="441"/>
      <c r="I121" s="441"/>
      <c r="J121" s="441"/>
      <c r="K121" s="443"/>
      <c r="L121" s="432"/>
    </row>
    <row r="122" spans="1:12" ht="13.5">
      <c r="A122" s="432"/>
      <c r="B122" s="457"/>
      <c r="C122" s="458" t="s">
        <v>684</v>
      </c>
      <c r="D122" s="458"/>
      <c r="E122" s="566"/>
      <c r="F122" s="458" t="s">
        <v>680</v>
      </c>
      <c r="G122" s="458"/>
      <c r="H122" s="458"/>
      <c r="I122" s="458"/>
      <c r="J122" s="458" t="s">
        <v>685</v>
      </c>
      <c r="K122" s="459"/>
      <c r="L122" s="432"/>
    </row>
    <row r="123" spans="1:12" ht="13.5">
      <c r="A123" s="432"/>
      <c r="B123" s="449" t="s">
        <v>777</v>
      </c>
      <c r="C123" s="1089">
        <f>H120</f>
        <v>625000</v>
      </c>
      <c r="D123" s="1089"/>
      <c r="E123" s="572" t="s">
        <v>92</v>
      </c>
      <c r="F123" s="451">
        <f>H117</f>
        <v>0.16025641025641027</v>
      </c>
      <c r="G123" s="572" t="s">
        <v>655</v>
      </c>
      <c r="H123" s="572">
        <v>1000</v>
      </c>
      <c r="I123" s="572" t="s">
        <v>654</v>
      </c>
      <c r="J123" s="573">
        <f>C123*F123/H123</f>
        <v>100.16025641025642</v>
      </c>
      <c r="K123" s="443"/>
      <c r="L123" s="432"/>
    </row>
    <row r="124" spans="1:12" ht="14.25" thickBot="1">
      <c r="A124" s="432"/>
      <c r="B124" s="444"/>
      <c r="C124" s="460"/>
      <c r="D124" s="460"/>
      <c r="E124" s="461"/>
      <c r="F124" s="462"/>
      <c r="G124" s="461"/>
      <c r="H124" s="461"/>
      <c r="I124" s="461"/>
      <c r="J124" s="463"/>
      <c r="K124" s="446"/>
      <c r="L124" s="432"/>
    </row>
    <row r="125" spans="1:12" ht="40.5" customHeight="1">
      <c r="A125" s="432"/>
      <c r="B125" s="1079" t="s">
        <v>646</v>
      </c>
      <c r="C125" s="1079"/>
      <c r="D125" s="1079"/>
      <c r="E125" s="1079"/>
      <c r="F125" s="1079"/>
      <c r="G125" s="1079"/>
      <c r="H125" s="1079"/>
      <c r="I125" s="1079"/>
      <c r="J125" s="1079"/>
      <c r="K125" s="1079"/>
      <c r="L125" s="476"/>
    </row>
    <row r="126" spans="1:12" ht="13.5">
      <c r="A126" s="432"/>
      <c r="B126" s="1080" t="s">
        <v>693</v>
      </c>
      <c r="C126" s="1080"/>
      <c r="D126" s="1080"/>
      <c r="E126" s="1080"/>
      <c r="F126" s="1080"/>
      <c r="G126" s="1080"/>
      <c r="H126" s="1080"/>
      <c r="I126" s="1080"/>
      <c r="J126" s="1080"/>
      <c r="K126" s="1080"/>
      <c r="L126" s="476"/>
    </row>
    <row r="127" spans="1:12" ht="13.5">
      <c r="A127" s="432"/>
      <c r="B127" s="568"/>
      <c r="C127" s="568"/>
      <c r="D127" s="568"/>
      <c r="E127" s="568"/>
      <c r="F127" s="568"/>
      <c r="G127" s="568"/>
      <c r="H127" s="568"/>
      <c r="I127" s="568"/>
      <c r="J127" s="568"/>
      <c r="K127" s="568"/>
      <c r="L127" s="476"/>
    </row>
    <row r="128" spans="1:12" ht="13.5">
      <c r="A128" s="432"/>
      <c r="B128" s="1080" t="s">
        <v>694</v>
      </c>
      <c r="C128" s="1080"/>
      <c r="D128" s="1080"/>
      <c r="E128" s="1080"/>
      <c r="F128" s="1080"/>
      <c r="G128" s="1080"/>
      <c r="H128" s="1080"/>
      <c r="I128" s="1080"/>
      <c r="J128" s="1080"/>
      <c r="K128" s="1080"/>
      <c r="L128" s="476"/>
    </row>
    <row r="129" spans="1:12" ht="13.5">
      <c r="A129" s="432"/>
      <c r="B129" s="567"/>
      <c r="C129" s="567"/>
      <c r="D129" s="567"/>
      <c r="E129" s="567"/>
      <c r="F129" s="567"/>
      <c r="G129" s="567"/>
      <c r="H129" s="567"/>
      <c r="I129" s="567"/>
      <c r="J129" s="567"/>
      <c r="K129" s="567"/>
      <c r="L129" s="476"/>
    </row>
    <row r="130" spans="1:12" ht="74.25" customHeight="1">
      <c r="A130" s="432"/>
      <c r="B130" s="1082" t="s">
        <v>778</v>
      </c>
      <c r="C130" s="1082"/>
      <c r="D130" s="1082"/>
      <c r="E130" s="1082"/>
      <c r="F130" s="1082"/>
      <c r="G130" s="1082"/>
      <c r="H130" s="1082"/>
      <c r="I130" s="1082"/>
      <c r="J130" s="1082"/>
      <c r="K130" s="1082"/>
      <c r="L130" s="476"/>
    </row>
    <row r="131" spans="1:12" ht="14.25" thickBot="1">
      <c r="A131" s="432"/>
      <c r="L131" s="432"/>
    </row>
    <row r="132" spans="1:12" ht="13.5">
      <c r="A132" s="432"/>
      <c r="B132" s="437" t="s">
        <v>650</v>
      </c>
      <c r="C132" s="438"/>
      <c r="D132" s="438"/>
      <c r="E132" s="438"/>
      <c r="F132" s="438"/>
      <c r="G132" s="438"/>
      <c r="H132" s="438"/>
      <c r="I132" s="438"/>
      <c r="J132" s="438"/>
      <c r="K132" s="439"/>
      <c r="L132" s="432"/>
    </row>
    <row r="133" spans="1:12" ht="13.5">
      <c r="A133" s="432"/>
      <c r="B133" s="449"/>
      <c r="C133" s="1081" t="s">
        <v>695</v>
      </c>
      <c r="D133" s="1081"/>
      <c r="E133" s="441"/>
      <c r="F133" s="572" t="s">
        <v>696</v>
      </c>
      <c r="G133" s="441"/>
      <c r="H133" s="1081" t="s">
        <v>683</v>
      </c>
      <c r="I133" s="1081"/>
      <c r="J133" s="441"/>
      <c r="K133" s="443"/>
      <c r="L133" s="432"/>
    </row>
    <row r="134" spans="1:12" ht="13.5">
      <c r="A134" s="432"/>
      <c r="B134" s="449" t="s">
        <v>677</v>
      </c>
      <c r="C134" s="1088">
        <v>100000</v>
      </c>
      <c r="D134" s="1088"/>
      <c r="E134" s="572" t="s">
        <v>92</v>
      </c>
      <c r="F134" s="572">
        <v>0.115</v>
      </c>
      <c r="G134" s="572" t="s">
        <v>654</v>
      </c>
      <c r="H134" s="1071">
        <f>C134*F134</f>
        <v>11500</v>
      </c>
      <c r="I134" s="1071"/>
      <c r="J134" s="441"/>
      <c r="K134" s="443"/>
      <c r="L134" s="432"/>
    </row>
    <row r="135" spans="1:12" ht="13.5">
      <c r="A135" s="432"/>
      <c r="B135" s="449"/>
      <c r="C135" s="441"/>
      <c r="D135" s="441"/>
      <c r="E135" s="441"/>
      <c r="F135" s="441"/>
      <c r="G135" s="441"/>
      <c r="H135" s="441"/>
      <c r="I135" s="441"/>
      <c r="J135" s="441"/>
      <c r="K135" s="443"/>
      <c r="L135" s="432"/>
    </row>
    <row r="136" spans="1:12" ht="13.5">
      <c r="A136" s="432"/>
      <c r="B136" s="457"/>
      <c r="C136" s="1100" t="s">
        <v>683</v>
      </c>
      <c r="D136" s="1100"/>
      <c r="E136" s="458"/>
      <c r="F136" s="566" t="s">
        <v>697</v>
      </c>
      <c r="G136" s="566"/>
      <c r="H136" s="458"/>
      <c r="I136" s="458"/>
      <c r="J136" s="458" t="s">
        <v>698</v>
      </c>
      <c r="K136" s="459"/>
      <c r="L136" s="432"/>
    </row>
    <row r="137" spans="1:12" ht="13.5">
      <c r="A137" s="432"/>
      <c r="B137" s="449" t="s">
        <v>682</v>
      </c>
      <c r="C137" s="1071">
        <f>H134</f>
        <v>11500</v>
      </c>
      <c r="D137" s="1071"/>
      <c r="E137" s="572" t="s">
        <v>92</v>
      </c>
      <c r="F137" s="477">
        <v>52.869</v>
      </c>
      <c r="G137" s="572" t="s">
        <v>655</v>
      </c>
      <c r="H137" s="572">
        <v>1000</v>
      </c>
      <c r="I137" s="572" t="s">
        <v>654</v>
      </c>
      <c r="J137" s="478">
        <f>C137*F137/H137</f>
        <v>607.9935</v>
      </c>
      <c r="K137" s="443"/>
      <c r="L137" s="432"/>
    </row>
    <row r="138" spans="1:12" ht="14.25" thickBot="1">
      <c r="A138" s="432"/>
      <c r="B138" s="444"/>
      <c r="C138" s="549"/>
      <c r="D138" s="549"/>
      <c r="E138" s="461"/>
      <c r="F138" s="550"/>
      <c r="G138" s="461"/>
      <c r="H138" s="461"/>
      <c r="I138" s="461"/>
      <c r="J138" s="551"/>
      <c r="K138" s="446"/>
      <c r="L138" s="432"/>
    </row>
    <row r="139" spans="1:12" ht="40.5" customHeight="1">
      <c r="A139" s="432"/>
      <c r="B139" s="536" t="s">
        <v>646</v>
      </c>
      <c r="C139" s="537"/>
      <c r="D139" s="537"/>
      <c r="E139" s="538"/>
      <c r="F139" s="539"/>
      <c r="G139" s="538"/>
      <c r="H139" s="538"/>
      <c r="I139" s="538"/>
      <c r="J139" s="540"/>
      <c r="K139" s="541"/>
      <c r="L139" s="432"/>
    </row>
    <row r="140" spans="1:12" ht="13.5">
      <c r="A140" s="432"/>
      <c r="B140" s="542" t="s">
        <v>779</v>
      </c>
      <c r="C140" s="543"/>
      <c r="D140" s="543"/>
      <c r="E140" s="544"/>
      <c r="F140" s="545"/>
      <c r="G140" s="544"/>
      <c r="H140" s="544"/>
      <c r="I140" s="544"/>
      <c r="J140" s="546"/>
      <c r="K140" s="547"/>
      <c r="L140" s="432"/>
    </row>
    <row r="141" spans="1:12" ht="13.5">
      <c r="A141" s="432"/>
      <c r="B141" s="449"/>
      <c r="C141" s="565"/>
      <c r="D141" s="565"/>
      <c r="E141" s="572"/>
      <c r="F141" s="552"/>
      <c r="G141" s="572"/>
      <c r="H141" s="572"/>
      <c r="I141" s="572"/>
      <c r="J141" s="478"/>
      <c r="K141" s="443"/>
      <c r="L141" s="432"/>
    </row>
    <row r="142" spans="1:12" ht="13.5">
      <c r="A142" s="432"/>
      <c r="B142" s="542" t="s">
        <v>780</v>
      </c>
      <c r="C142" s="543"/>
      <c r="D142" s="543"/>
      <c r="E142" s="544"/>
      <c r="F142" s="545"/>
      <c r="G142" s="544"/>
      <c r="H142" s="544"/>
      <c r="I142" s="544"/>
      <c r="J142" s="546"/>
      <c r="K142" s="547"/>
      <c r="L142" s="432"/>
    </row>
    <row r="143" spans="1:12" ht="13.5">
      <c r="A143" s="432"/>
      <c r="B143" s="449"/>
      <c r="C143" s="565"/>
      <c r="D143" s="565"/>
      <c r="E143" s="572"/>
      <c r="F143" s="552"/>
      <c r="G143" s="572"/>
      <c r="H143" s="572"/>
      <c r="I143" s="572"/>
      <c r="J143" s="478"/>
      <c r="K143" s="443"/>
      <c r="L143" s="432"/>
    </row>
    <row r="144" spans="1:12" ht="76.5" customHeight="1">
      <c r="A144" s="432"/>
      <c r="B144" s="1072" t="s">
        <v>781</v>
      </c>
      <c r="C144" s="1073"/>
      <c r="D144" s="1073"/>
      <c r="E144" s="1073"/>
      <c r="F144" s="1073"/>
      <c r="G144" s="1073"/>
      <c r="H144" s="1073"/>
      <c r="I144" s="1073"/>
      <c r="J144" s="1073"/>
      <c r="K144" s="1074"/>
      <c r="L144" s="432"/>
    </row>
    <row r="145" spans="1:12" ht="14.25" thickBot="1">
      <c r="A145" s="432"/>
      <c r="B145" s="449"/>
      <c r="C145" s="565"/>
      <c r="D145" s="565"/>
      <c r="E145" s="572"/>
      <c r="F145" s="552"/>
      <c r="G145" s="572"/>
      <c r="H145" s="572"/>
      <c r="I145" s="572"/>
      <c r="J145" s="478"/>
      <c r="K145" s="443"/>
      <c r="L145" s="432"/>
    </row>
    <row r="146" spans="1:12" ht="13.5">
      <c r="A146" s="432"/>
      <c r="B146" s="437" t="s">
        <v>650</v>
      </c>
      <c r="C146" s="553"/>
      <c r="D146" s="553"/>
      <c r="E146" s="554"/>
      <c r="F146" s="555"/>
      <c r="G146" s="554"/>
      <c r="H146" s="554"/>
      <c r="I146" s="554"/>
      <c r="J146" s="556"/>
      <c r="K146" s="439"/>
      <c r="L146" s="432"/>
    </row>
    <row r="147" spans="1:12" ht="13.5">
      <c r="A147" s="432"/>
      <c r="B147" s="449"/>
      <c r="C147" s="1071" t="s">
        <v>782</v>
      </c>
      <c r="D147" s="1071"/>
      <c r="E147" s="572"/>
      <c r="F147" s="552" t="s">
        <v>783</v>
      </c>
      <c r="G147" s="572"/>
      <c r="H147" s="572"/>
      <c r="I147" s="572"/>
      <c r="J147" s="1075" t="s">
        <v>784</v>
      </c>
      <c r="K147" s="1076"/>
      <c r="L147" s="432"/>
    </row>
    <row r="148" spans="1:12" ht="13.5">
      <c r="A148" s="432"/>
      <c r="B148" s="449"/>
      <c r="C148" s="1077">
        <v>52.869</v>
      </c>
      <c r="D148" s="1077"/>
      <c r="E148" s="572" t="s">
        <v>92</v>
      </c>
      <c r="F148" s="564">
        <v>312000000</v>
      </c>
      <c r="G148" s="557" t="s">
        <v>655</v>
      </c>
      <c r="H148" s="572">
        <v>1000</v>
      </c>
      <c r="I148" s="572" t="s">
        <v>654</v>
      </c>
      <c r="J148" s="1075">
        <f>C148*(F148/1000)</f>
        <v>16495128</v>
      </c>
      <c r="K148" s="1078"/>
      <c r="L148" s="432"/>
    </row>
    <row r="149" spans="1:12" ht="14.25" thickBot="1">
      <c r="A149" s="432"/>
      <c r="B149" s="444"/>
      <c r="C149" s="549"/>
      <c r="D149" s="549"/>
      <c r="E149" s="461"/>
      <c r="F149" s="550"/>
      <c r="G149" s="461"/>
      <c r="H149" s="461"/>
      <c r="I149" s="461"/>
      <c r="J149" s="551"/>
      <c r="K149" s="446"/>
      <c r="L149" s="432"/>
    </row>
    <row r="150" spans="1:12" ht="14.25" thickBot="1">
      <c r="A150" s="432"/>
      <c r="B150" s="444"/>
      <c r="C150" s="445"/>
      <c r="D150" s="445"/>
      <c r="E150" s="445"/>
      <c r="F150" s="445"/>
      <c r="G150" s="445"/>
      <c r="H150" s="445"/>
      <c r="I150" s="445"/>
      <c r="J150" s="445"/>
      <c r="K150" s="446"/>
      <c r="L150" s="432"/>
    </row>
    <row r="151" spans="1:12" ht="13.5">
      <c r="A151" s="432"/>
      <c r="B151" s="432"/>
      <c r="C151" s="432"/>
      <c r="D151" s="432"/>
      <c r="E151" s="432"/>
      <c r="F151" s="432"/>
      <c r="G151" s="432"/>
      <c r="H151" s="432"/>
      <c r="I151" s="432"/>
      <c r="J151" s="432"/>
      <c r="K151" s="432"/>
      <c r="L151" s="432"/>
    </row>
    <row r="152" spans="1:12" ht="13.5">
      <c r="A152" s="432"/>
      <c r="B152" s="432"/>
      <c r="C152" s="432"/>
      <c r="D152" s="432"/>
      <c r="E152" s="432"/>
      <c r="F152" s="432"/>
      <c r="G152" s="432"/>
      <c r="H152" s="432"/>
      <c r="I152" s="432"/>
      <c r="J152" s="432"/>
      <c r="K152" s="432"/>
      <c r="L152" s="432"/>
    </row>
    <row r="153" spans="1:12" ht="13.5">
      <c r="A153" s="432"/>
      <c r="B153" s="432"/>
      <c r="C153" s="432"/>
      <c r="D153" s="432"/>
      <c r="E153" s="432"/>
      <c r="F153" s="432"/>
      <c r="G153" s="432"/>
      <c r="H153" s="432"/>
      <c r="I153" s="432"/>
      <c r="J153" s="432"/>
      <c r="K153" s="432"/>
      <c r="L153" s="432"/>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r:id="rId1"/>
  <rowBreaks count="4" manualBreakCount="4">
    <brk id="32" min="1" max="22" man="1"/>
    <brk id="54" min="1" max="22" man="1"/>
    <brk id="88" min="1" max="22" man="1"/>
    <brk id="109" min="1" max="22" man="1"/>
  </rowBreaks>
  <colBreaks count="1" manualBreakCount="1">
    <brk id="11" max="65535" man="1"/>
  </colBreaks>
</worksheet>
</file>

<file path=xl/worksheets/sheet49.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8984375" defaultRowHeight="15"/>
  <cols>
    <col min="1" max="1" width="71.19921875" style="1" customWidth="1"/>
    <col min="2" max="16384" width="8.8984375" style="1" customWidth="1"/>
  </cols>
  <sheetData>
    <row r="1" ht="16.5">
      <c r="A1" s="480" t="s">
        <v>699</v>
      </c>
    </row>
    <row r="3" ht="30.75">
      <c r="A3" s="481" t="s">
        <v>700</v>
      </c>
    </row>
    <row r="4" ht="15">
      <c r="A4" s="482" t="s">
        <v>701</v>
      </c>
    </row>
    <row r="7" ht="30.75">
      <c r="A7" s="481" t="s">
        <v>702</v>
      </c>
    </row>
    <row r="8" ht="15">
      <c r="A8" s="482" t="s">
        <v>703</v>
      </c>
    </row>
    <row r="11" ht="15">
      <c r="A11" s="1" t="s">
        <v>704</v>
      </c>
    </row>
    <row r="12" ht="15">
      <c r="A12" s="482" t="s">
        <v>705</v>
      </c>
    </row>
    <row r="15" ht="15">
      <c r="A15" s="1" t="s">
        <v>706</v>
      </c>
    </row>
    <row r="16" ht="15">
      <c r="A16" s="482" t="s">
        <v>707</v>
      </c>
    </row>
    <row r="19" ht="15">
      <c r="A19" s="1" t="s">
        <v>708</v>
      </c>
    </row>
    <row r="20" ht="15">
      <c r="A20" s="482" t="s">
        <v>709</v>
      </c>
    </row>
    <row r="23" ht="15">
      <c r="A23" s="1" t="s">
        <v>710</v>
      </c>
    </row>
    <row r="24" ht="15">
      <c r="A24" s="482" t="s">
        <v>711</v>
      </c>
    </row>
    <row r="27" ht="15">
      <c r="A27" s="1" t="s">
        <v>712</v>
      </c>
    </row>
    <row r="28" ht="15">
      <c r="A28" s="482" t="s">
        <v>713</v>
      </c>
    </row>
    <row r="31" ht="15">
      <c r="A31" s="1" t="s">
        <v>714</v>
      </c>
    </row>
    <row r="32" ht="15">
      <c r="A32" s="482" t="s">
        <v>715</v>
      </c>
    </row>
    <row r="35" ht="15">
      <c r="A35" s="1" t="s">
        <v>716</v>
      </c>
    </row>
    <row r="36" ht="15">
      <c r="A36" s="482" t="s">
        <v>717</v>
      </c>
    </row>
    <row r="39" ht="15">
      <c r="A39" s="1" t="s">
        <v>718</v>
      </c>
    </row>
    <row r="40" ht="15">
      <c r="A40" s="482" t="s">
        <v>719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5.xml><?xml version="1.0" encoding="utf-8"?>
<worksheet xmlns="http://schemas.openxmlformats.org/spreadsheetml/2006/main" xmlns:r="http://schemas.openxmlformats.org/officeDocument/2006/relationships">
  <sheetPr>
    <pageSetUpPr fitToPage="1"/>
  </sheetPr>
  <dimension ref="B1:I103"/>
  <sheetViews>
    <sheetView zoomScalePageLayoutView="0" workbookViewId="0" topLeftCell="A1">
      <selection activeCell="H20" sqref="H20"/>
    </sheetView>
  </sheetViews>
  <sheetFormatPr defaultColWidth="8.8984375" defaultRowHeight="15"/>
  <cols>
    <col min="1" max="1" width="8.8984375" style="87" customWidth="1"/>
    <col min="2" max="2" width="24.296875" style="30" customWidth="1"/>
    <col min="3" max="3" width="10.69921875" style="30" customWidth="1"/>
    <col min="4" max="4" width="5.69921875" style="30" customWidth="1"/>
    <col min="5" max="5" width="14" style="30" customWidth="1"/>
    <col min="6" max="6" width="13.296875" style="30" customWidth="1"/>
    <col min="7" max="7" width="12.296875" style="30" customWidth="1"/>
    <col min="8" max="16384" width="8.8984375" style="87" customWidth="1"/>
  </cols>
  <sheetData>
    <row r="1" spans="2:9" ht="15">
      <c r="B1" s="32"/>
      <c r="C1" s="32"/>
      <c r="D1" s="31" t="s">
        <v>166</v>
      </c>
      <c r="E1" s="32"/>
      <c r="F1" s="32"/>
      <c r="G1" s="119"/>
      <c r="I1" s="18">
        <f>inputPrYr!C5</f>
        <v>2015</v>
      </c>
    </row>
    <row r="2" spans="2:7" ht="15">
      <c r="B2" s="987" t="str">
        <f>CONCATENATE("To the Clerk of ",(inputPrYr!D3),", State of Kansas")</f>
        <v>To the Clerk of Russell, State of Kansas</v>
      </c>
      <c r="C2" s="975"/>
      <c r="D2" s="975"/>
      <c r="E2" s="975"/>
      <c r="F2" s="975"/>
      <c r="G2" s="975"/>
    </row>
    <row r="3" spans="2:7" ht="15">
      <c r="B3" s="121" t="s">
        <v>629</v>
      </c>
      <c r="C3" s="37"/>
      <c r="D3" s="37"/>
      <c r="E3" s="37"/>
      <c r="F3" s="37"/>
      <c r="G3" s="37"/>
    </row>
    <row r="4" spans="2:7" ht="15">
      <c r="B4" s="985" t="str">
        <f>(inputPrYr!D2)</f>
        <v>City of Russell</v>
      </c>
      <c r="C4" s="986"/>
      <c r="D4" s="986"/>
      <c r="E4" s="986"/>
      <c r="F4" s="986"/>
      <c r="G4" s="986"/>
    </row>
    <row r="5" spans="2:7" ht="15">
      <c r="B5" s="121" t="s">
        <v>78</v>
      </c>
      <c r="C5" s="37"/>
      <c r="D5" s="37"/>
      <c r="E5" s="37"/>
      <c r="F5" s="37"/>
      <c r="G5" s="37"/>
    </row>
    <row r="6" spans="2:7" ht="15">
      <c r="B6" s="121" t="s">
        <v>79</v>
      </c>
      <c r="C6" s="37"/>
      <c r="D6" s="37"/>
      <c r="E6" s="37"/>
      <c r="F6" s="37"/>
      <c r="G6" s="37"/>
    </row>
    <row r="7" spans="2:7" ht="15">
      <c r="B7" s="121" t="str">
        <f>CONCATENATE("maximum expenditures for the various funds for the year ",I1,"; and")</f>
        <v>maximum expenditures for the various funds for the year 2015; and</v>
      </c>
      <c r="C7" s="37"/>
      <c r="D7" s="37"/>
      <c r="E7" s="37"/>
      <c r="F7" s="37"/>
      <c r="G7" s="37"/>
    </row>
    <row r="8" spans="2:7" ht="15">
      <c r="B8" s="121" t="str">
        <f>CONCATENATE("(3) the Amounts(s) of ",I1-1," Ad Valorem Tax are within statutory limitations.")</f>
        <v>(3) the Amounts(s) of 2014 Ad Valorem Tax are within statutory limitations.</v>
      </c>
      <c r="C8" s="37"/>
      <c r="D8" s="37"/>
      <c r="E8" s="37"/>
      <c r="F8" s="37"/>
      <c r="G8" s="37"/>
    </row>
    <row r="9" spans="2:7" ht="15">
      <c r="B9" s="32"/>
      <c r="C9" s="32"/>
      <c r="D9" s="32"/>
      <c r="E9" s="122" t="str">
        <f>CONCATENATE("",I1," Adopted Budget")</f>
        <v>2015 Adopted Budget</v>
      </c>
      <c r="F9" s="123"/>
      <c r="G9" s="124"/>
    </row>
    <row r="10" spans="2:7" ht="21" customHeight="1">
      <c r="B10" s="32"/>
      <c r="C10" s="32"/>
      <c r="D10" s="125"/>
      <c r="E10" s="126" t="s">
        <v>80</v>
      </c>
      <c r="F10" s="127" t="str">
        <f>CONCATENATE("Amount of ",I1-1,"")</f>
        <v>Amount of 2014</v>
      </c>
      <c r="G10" s="127" t="s">
        <v>81</v>
      </c>
    </row>
    <row r="11" spans="2:7" ht="15">
      <c r="B11" s="33"/>
      <c r="C11" s="32"/>
      <c r="D11" s="127" t="s">
        <v>82</v>
      </c>
      <c r="E11" s="428" t="s">
        <v>9</v>
      </c>
      <c r="F11" s="129" t="s">
        <v>255</v>
      </c>
      <c r="G11" s="128" t="s">
        <v>83</v>
      </c>
    </row>
    <row r="12" spans="2:7" ht="15">
      <c r="B12" s="130" t="s">
        <v>84</v>
      </c>
      <c r="C12" s="52"/>
      <c r="D12" s="131" t="s">
        <v>85</v>
      </c>
      <c r="E12" s="429" t="s">
        <v>644</v>
      </c>
      <c r="F12" s="132" t="s">
        <v>256</v>
      </c>
      <c r="G12" s="131" t="s">
        <v>86</v>
      </c>
    </row>
    <row r="13" spans="2:7" ht="15">
      <c r="B13" s="133" t="str">
        <f>CONCATENATE("Computation to Determine Limit for ",I1,"")</f>
        <v>Computation to Determine Limit for 2015</v>
      </c>
      <c r="C13" s="74"/>
      <c r="D13" s="134">
        <v>2</v>
      </c>
      <c r="E13" s="135"/>
      <c r="F13" s="135"/>
      <c r="G13" s="135"/>
    </row>
    <row r="14" spans="2:7" ht="15">
      <c r="B14" s="133" t="s">
        <v>876</v>
      </c>
      <c r="C14" s="52"/>
      <c r="D14" s="131">
        <v>3</v>
      </c>
      <c r="E14" s="128"/>
      <c r="F14" s="128"/>
      <c r="G14" s="128"/>
    </row>
    <row r="15" spans="2:7" ht="15">
      <c r="B15" s="133" t="s">
        <v>219</v>
      </c>
      <c r="C15" s="52"/>
      <c r="D15" s="131">
        <v>4</v>
      </c>
      <c r="E15" s="128"/>
      <c r="F15" s="128"/>
      <c r="G15" s="128"/>
    </row>
    <row r="16" spans="2:7" ht="15">
      <c r="B16" s="133" t="s">
        <v>87</v>
      </c>
      <c r="C16" s="74"/>
      <c r="D16" s="134">
        <v>5</v>
      </c>
      <c r="E16" s="136"/>
      <c r="F16" s="136"/>
      <c r="G16" s="136"/>
    </row>
    <row r="17" spans="2:7" ht="15">
      <c r="B17" s="133" t="s">
        <v>88</v>
      </c>
      <c r="C17" s="74"/>
      <c r="D17" s="134">
        <v>6</v>
      </c>
      <c r="E17" s="136"/>
      <c r="F17" s="136"/>
      <c r="G17" s="136"/>
    </row>
    <row r="18" spans="2:7" ht="15">
      <c r="B18" s="267" t="str">
        <f>IF(inputPrYr!D19&gt;0,"Computation to Determine State Library Grant","")</f>
        <v>Computation to Determine State Library Grant</v>
      </c>
      <c r="C18" s="74"/>
      <c r="D18" s="134">
        <f>IF(inputPrYr!D19&gt;0,'Library Grant'!F40,"")</f>
        <v>7</v>
      </c>
      <c r="E18" s="136"/>
      <c r="F18" s="136"/>
      <c r="G18" s="136"/>
    </row>
    <row r="19" spans="2:7" ht="15">
      <c r="B19" s="137" t="s">
        <v>89</v>
      </c>
      <c r="C19" s="138" t="s">
        <v>90</v>
      </c>
      <c r="D19" s="139"/>
      <c r="E19" s="140"/>
      <c r="F19" s="140"/>
      <c r="G19" s="140"/>
    </row>
    <row r="20" spans="2:7" ht="15">
      <c r="B20" s="45" t="s">
        <v>73</v>
      </c>
      <c r="C20" s="141" t="str">
        <f>IF(inputPrYr!C17&gt;0,(inputPrYr!C17),"  ")</f>
        <v>12-101a</v>
      </c>
      <c r="D20" s="134">
        <f>general!C59</f>
        <v>8</v>
      </c>
      <c r="E20" s="837">
        <f>IF(general!$E$111&lt;&gt;0,general!$E$111,"  ")</f>
        <v>4510598</v>
      </c>
      <c r="F20" s="850">
        <f>IF(general!$E$118&lt;&gt;0,general!$E$118,0)</f>
        <v>1069007</v>
      </c>
      <c r="G20" s="839">
        <f>IF($G$61=0,"",ROUND(F20/$G$61*1000,3))</f>
      </c>
    </row>
    <row r="21" spans="2:7" ht="15">
      <c r="B21" s="45" t="s">
        <v>44</v>
      </c>
      <c r="C21" s="141" t="str">
        <f>IF(inputPrYr!C18&gt;0,(inputPrYr!C18),"  ")</f>
        <v>10-113</v>
      </c>
      <c r="D21" s="134">
        <f>IF(DebtService!C65&gt;0,DebtService!C65,"  ")</f>
        <v>9</v>
      </c>
      <c r="E21" s="837">
        <f>IF(DebtService!E56&lt;&gt;0,DebtService!E56,"  ")</f>
        <v>475501</v>
      </c>
      <c r="F21" s="850">
        <f>IF(DebtService!$E$63&lt;&gt;0,DebtService!$E$63,0)</f>
        <v>0</v>
      </c>
      <c r="G21" s="839">
        <f aca="true" t="shared" si="0" ref="G21:G32">IF($G$61=0,"",ROUND(F21/$G$61*1000,3))</f>
      </c>
    </row>
    <row r="22" spans="2:7" ht="15">
      <c r="B22" s="68" t="str">
        <f>IF(inputPrYr!$B19&gt;"  ",(inputPrYr!$B19),"  ")</f>
        <v>Library</v>
      </c>
      <c r="C22" s="141" t="str">
        <f>IF(inputPrYr!C19&gt;0,(inputPrYr!C19),"  ")</f>
        <v>12-1220</v>
      </c>
      <c r="D22" s="134">
        <f>IF('Library-Rec'!C82&gt;0,'Library-Rec'!C82,"  ")</f>
        <v>10</v>
      </c>
      <c r="E22" s="837">
        <f>IF('Library-Rec'!E33&lt;&gt;0,'Library-Rec'!E33,"  ")</f>
        <v>156689</v>
      </c>
      <c r="F22" s="850">
        <f>IF('Library-Rec'!$E$40&lt;&gt;0,'Library-Rec'!$E$40,0)</f>
        <v>130884</v>
      </c>
      <c r="G22" s="839">
        <f t="shared" si="0"/>
      </c>
    </row>
    <row r="23" spans="2:7" ht="15">
      <c r="B23" s="68" t="str">
        <f>IF(inputPrYr!$B21&gt;"  ",(inputPrYr!$B21),"  ")</f>
        <v>Airport</v>
      </c>
      <c r="C23" s="141" t="str">
        <f>IF(inputPrYr!C21&gt;0,(inputPrYr!C21),"  ")</f>
        <v>  </v>
      </c>
      <c r="D23" s="134">
        <f>IF('Airport-Indust'!C82&gt;0,'Airport-Indust'!C82,"  ")</f>
        <v>11</v>
      </c>
      <c r="E23" s="837">
        <f>IF('Airport-Indust'!$E$33&gt;0,'Airport-Indust'!$E$33,"  ")</f>
        <v>48597</v>
      </c>
      <c r="F23" s="850">
        <f>IF('Airport-Indust'!$E$40&lt;&gt;0,'Airport-Indust'!$E$40,0)</f>
        <v>17628</v>
      </c>
      <c r="G23" s="839">
        <f t="shared" si="0"/>
      </c>
    </row>
    <row r="24" spans="2:7" ht="15">
      <c r="B24" s="68" t="str">
        <f>IF(inputPrYr!$B22&gt;"  ",(inputPrYr!$B22),"  ")</f>
        <v>Industrial</v>
      </c>
      <c r="C24" s="141" t="str">
        <f>IF(inputPrYr!C22&gt;0,(inputPrYr!C22),"  ")</f>
        <v>  </v>
      </c>
      <c r="D24" s="134">
        <f>IF('Airport-Indust'!C82&gt;0,'Airport-Indust'!C82,"  ")</f>
        <v>11</v>
      </c>
      <c r="E24" s="837">
        <f>IF('Airport-Indust'!$E$73&gt;0,'Airport-Indust'!$E$73,"  ")</f>
        <v>113131</v>
      </c>
      <c r="F24" s="850">
        <f>IF('Airport-Indust'!$E$80&lt;&gt;0,'Airport-Indust'!$E$80,0)</f>
        <v>36569</v>
      </c>
      <c r="G24" s="839">
        <f t="shared" si="0"/>
      </c>
    </row>
    <row r="25" spans="2:7" ht="15">
      <c r="B25" s="68" t="str">
        <f>IF(inputPrYr!$B23&gt;"  ",(inputPrYr!$B23),"  ")</f>
        <v>Fire Equipment</v>
      </c>
      <c r="C25" s="141" t="str">
        <f>IF(inputPrYr!C23&gt;0,(inputPrYr!C23),"  ")</f>
        <v>  </v>
      </c>
      <c r="D25" s="134">
        <f>IF('Fire-Personel'!C82&gt;0,'Fire-Personel'!C82,"  ")</f>
        <v>12</v>
      </c>
      <c r="E25" s="837">
        <f>IF('Fire-Personel'!$E$33&gt;0,'Fire-Personel'!$E$33,"  ")</f>
        <v>171778</v>
      </c>
      <c r="F25" s="850">
        <f>IF('Fire-Personel'!$E$40&lt;&gt;0,'Fire-Personel'!$E$40,0)</f>
        <v>145038</v>
      </c>
      <c r="G25" s="839">
        <f t="shared" si="0"/>
      </c>
    </row>
    <row r="26" spans="2:7" ht="15">
      <c r="B26" s="68" t="str">
        <f>IF(inputPrYr!$B24&gt;"  ",(inputPrYr!$B24),"  ")</f>
        <v>Personnel Benefits</v>
      </c>
      <c r="C26" s="141" t="str">
        <f>IF(inputPrYr!C24&gt;0,(inputPrYr!C24),"  ")</f>
        <v>  </v>
      </c>
      <c r="D26" s="134">
        <f>IF('Fire-Personel'!C82&gt;0,'Fire-Personel'!C82,"  ")</f>
        <v>12</v>
      </c>
      <c r="E26" s="837">
        <f>IF('Fire-Personel'!$E$73&gt;0,'Fire-Personel'!$E$73,"  ")</f>
        <v>1861798</v>
      </c>
      <c r="F26" s="850">
        <f>IF('Fire-Personel'!$E$80&lt;&gt;0,'Fire-Personel'!$E$80,0)</f>
        <v>324827</v>
      </c>
      <c r="G26" s="839">
        <f t="shared" si="0"/>
      </c>
    </row>
    <row r="27" spans="2:7" ht="15">
      <c r="B27" s="68" t="str">
        <f>IF(inputPrYr!$B25&gt;"  ",(inputPrYr!$B25),"  ")</f>
        <v>  </v>
      </c>
      <c r="C27" s="141" t="str">
        <f>IF(inputPrYr!C25&gt;0,(inputPrYr!C25),"  ")</f>
        <v>  </v>
      </c>
      <c r="D27" s="134" t="str">
        <f>IF('levy page11'!C82&gt;0,'levy page11'!C82,"  ")</f>
        <v>  </v>
      </c>
      <c r="E27" s="837" t="str">
        <f>IF('levy page11'!$E$33&gt;0,'levy page11'!$E$33,"  ")</f>
        <v>  </v>
      </c>
      <c r="F27" s="850">
        <f>IF('levy page11'!$E$40&lt;&gt;0,'levy page11'!$E$40,0)</f>
        <v>0</v>
      </c>
      <c r="G27" s="839">
        <f t="shared" si="0"/>
      </c>
    </row>
    <row r="28" spans="2:7" ht="15">
      <c r="B28" s="68" t="str">
        <f>IF(inputPrYr!$B26&gt;"  ",(inputPrYr!$B26),"  ")</f>
        <v>  </v>
      </c>
      <c r="C28" s="141" t="str">
        <f>IF(inputPrYr!C26&gt;0,(inputPrYr!C26),"  ")</f>
        <v>  </v>
      </c>
      <c r="D28" s="134" t="str">
        <f>IF('levy page11'!C82&gt;0,'levy page11'!C82,"  ")</f>
        <v>  </v>
      </c>
      <c r="E28" s="837" t="str">
        <f>IF('levy page11'!$E$73&gt;0,'levy page11'!$E$73,"  ")</f>
        <v>  </v>
      </c>
      <c r="F28" s="850">
        <f>IF('levy page11'!$E$80&lt;&gt;0,'levy page11'!$E$80,0)</f>
        <v>0</v>
      </c>
      <c r="G28" s="839">
        <f t="shared" si="0"/>
      </c>
    </row>
    <row r="29" spans="2:7" ht="15">
      <c r="B29" s="68" t="str">
        <f>IF(inputPrYr!$B27&gt;"  ",(inputPrYr!$B27),"  ")</f>
        <v>  </v>
      </c>
      <c r="C29" s="141" t="str">
        <f>IF(inputPrYr!C27&gt;0,(inputPrYr!C27),"  ")</f>
        <v>  </v>
      </c>
      <c r="D29" s="134" t="str">
        <f>IF('levy page12'!C82&gt;0,'levy page12'!C82,"  ")</f>
        <v>  </v>
      </c>
      <c r="E29" s="837" t="str">
        <f>IF('levy page12'!$E$33&gt;0,'levy page12'!$E$33,"  ")</f>
        <v>  </v>
      </c>
      <c r="F29" s="850">
        <f>IF('levy page12'!$E$40&lt;&gt;0,'levy page12'!$E$40,0)</f>
        <v>0</v>
      </c>
      <c r="G29" s="839">
        <f t="shared" si="0"/>
      </c>
    </row>
    <row r="30" spans="2:7" ht="15">
      <c r="B30" s="68" t="str">
        <f>IF(inputPrYr!$B28&gt;"  ",(inputPrYr!$B28),"  ")</f>
        <v>  </v>
      </c>
      <c r="C30" s="141" t="str">
        <f>IF(inputPrYr!C28&gt;0,(inputPrYr!C28),"  ")</f>
        <v>  </v>
      </c>
      <c r="D30" s="134" t="str">
        <f>IF('levy page12'!C82&gt;0,'levy page12'!C82,"  ")</f>
        <v>  </v>
      </c>
      <c r="E30" s="837" t="str">
        <f>IF('levy page12'!$E$73&gt;0,'levy page12'!$E$73,"  ")</f>
        <v>  </v>
      </c>
      <c r="F30" s="850">
        <f>IF('levy page12'!$E$80&lt;&gt;0,'levy page12'!$E$80,0)</f>
        <v>0</v>
      </c>
      <c r="G30" s="839">
        <f t="shared" si="0"/>
      </c>
    </row>
    <row r="31" spans="2:7" ht="15">
      <c r="B31" s="68" t="str">
        <f>IF(inputPrYr!$B29&gt;"  ",(inputPrYr!$B29),"  ")</f>
        <v>  </v>
      </c>
      <c r="C31" s="141" t="str">
        <f>IF(inputPrYr!C29&gt;0,(inputPrYr!C29),"  ")</f>
        <v>  </v>
      </c>
      <c r="D31" s="134" t="str">
        <f>IF('levy page13'!C82&gt;0,'levy page13'!C82,"  ")</f>
        <v>  </v>
      </c>
      <c r="E31" s="837" t="str">
        <f>IF('levy page13'!$E$33&gt;0,'levy page13'!$E$33,"  ")</f>
        <v>  </v>
      </c>
      <c r="F31" s="850">
        <f>IF('levy page13'!$E$40&lt;&gt;0,'levy page13'!$E$40,0)</f>
        <v>0</v>
      </c>
      <c r="G31" s="839">
        <f t="shared" si="0"/>
      </c>
    </row>
    <row r="32" spans="2:7" ht="15">
      <c r="B32" s="68" t="str">
        <f>IF(inputPrYr!$B30&gt;"  ",(inputPrYr!$B30),"  ")</f>
        <v>  </v>
      </c>
      <c r="C32" s="141" t="str">
        <f>IF(inputPrYr!C30&gt;0,(inputPrYr!C30),"  ")</f>
        <v>  </v>
      </c>
      <c r="D32" s="134" t="str">
        <f>IF('levy page13'!C82&gt;0,'levy page13'!C82,"  ")</f>
        <v>  </v>
      </c>
      <c r="E32" s="837" t="str">
        <f>IF('levy page13'!$E$73&gt;0,'levy page13'!$E$73,"  ")</f>
        <v>  </v>
      </c>
      <c r="F32" s="850">
        <f>IF('levy page13'!$E$80&lt;&gt;0,'levy page13'!$E$80,0)</f>
        <v>0</v>
      </c>
      <c r="G32" s="839">
        <f t="shared" si="0"/>
      </c>
    </row>
    <row r="33" spans="2:7" ht="15">
      <c r="B33" s="142" t="str">
        <f>IF(inputPrYr!$B36&gt;"  ",(inputPrYr!$B36),"  ")</f>
        <v>Special Highway</v>
      </c>
      <c r="C33" s="143"/>
      <c r="D33" s="144">
        <f>IF('Sp Hiway'!C67&gt;0,'Sp Hiway'!C67,"  ")</f>
        <v>13</v>
      </c>
      <c r="E33" s="837">
        <f>IF('Sp Hiway'!$E$30&gt;0,'Sp Hiway'!$E$30,"  ")</f>
        <v>725000</v>
      </c>
      <c r="F33" s="837"/>
      <c r="G33" s="851"/>
    </row>
    <row r="34" spans="2:7" ht="15">
      <c r="B34" s="142" t="str">
        <f>IF(inputPrYr!$B37&gt;"  ",(inputPrYr!$B37),"  ")</f>
        <v>Special Parks &amp; Recreation</v>
      </c>
      <c r="C34" s="143"/>
      <c r="D34" s="144">
        <f>IF('Sp Hiway'!C67&gt;0,'Sp Hiway'!C67,"  ")</f>
        <v>13</v>
      </c>
      <c r="E34" s="837">
        <f>IF('Sp Hiway'!$E$61&gt;0,'Sp Hiway'!$E$61,"  ")</f>
        <v>70000</v>
      </c>
      <c r="F34" s="837"/>
      <c r="G34" s="851"/>
    </row>
    <row r="35" spans="2:7" ht="15">
      <c r="B35" s="142" t="str">
        <f>IF(inputPrYr!$B38&gt;"  ",(inputPrYr!$B38),"  ")</f>
        <v>  </v>
      </c>
      <c r="C35" s="145"/>
      <c r="D35" s="144" t="str">
        <f>IF('no levy page15'!C67&gt;0,'no levy page15'!C67,"  ")</f>
        <v>  </v>
      </c>
      <c r="E35" s="837" t="str">
        <f>IF('no levy page15'!$E$30&gt;0,'no levy page15'!$E$30,"  ")</f>
        <v>  </v>
      </c>
      <c r="F35" s="837"/>
      <c r="G35" s="851"/>
    </row>
    <row r="36" spans="2:7" ht="15">
      <c r="B36" s="142" t="str">
        <f>IF(inputPrYr!$B39&gt;"  ",(inputPrYr!$B39),"  ")</f>
        <v>  </v>
      </c>
      <c r="C36" s="143"/>
      <c r="D36" s="144" t="str">
        <f>IF('no levy page15'!C67&gt;0,'no levy page15'!C67,"  ")</f>
        <v>  </v>
      </c>
      <c r="E36" s="837" t="str">
        <f>IF('no levy page15'!$E$61&gt;0,'no levy page15'!$E$61,"  ")</f>
        <v>  </v>
      </c>
      <c r="F36" s="837"/>
      <c r="G36" s="851"/>
    </row>
    <row r="37" spans="2:7" ht="15">
      <c r="B37" s="142" t="str">
        <f>IF(inputPrYr!$B40&gt;"  ",(inputPrYr!$B40),"  ")</f>
        <v>  </v>
      </c>
      <c r="C37" s="145"/>
      <c r="D37" s="144" t="str">
        <f>IF('no levy page16'!C67&gt;0,'no levy page16'!C67,"  ")</f>
        <v>  </v>
      </c>
      <c r="E37" s="837" t="str">
        <f>IF('no levy page16'!$E$30&gt;0,'no levy page16'!$E$30,"  ")</f>
        <v>  </v>
      </c>
      <c r="F37" s="837"/>
      <c r="G37" s="851"/>
    </row>
    <row r="38" spans="2:7" ht="15">
      <c r="B38" s="142" t="str">
        <f>IF(inputPrYr!$B41&gt;"  ",(inputPrYr!$B41),"  ")</f>
        <v>  </v>
      </c>
      <c r="C38" s="146"/>
      <c r="D38" s="144" t="str">
        <f>IF('no levy page16'!C67&gt;0,'no levy page16'!C67,"  ")</f>
        <v>  </v>
      </c>
      <c r="E38" s="837" t="str">
        <f>IF('no levy page16'!$E$61&gt;0,'no levy page16'!$E$61,"  ")</f>
        <v>  </v>
      </c>
      <c r="F38" s="837"/>
      <c r="G38" s="851"/>
    </row>
    <row r="39" spans="2:7" ht="15">
      <c r="B39" s="142" t="str">
        <f>IF(inputPrYr!$B42&gt;"  ",(inputPrYr!$B42),"  ")</f>
        <v>  </v>
      </c>
      <c r="C39" s="146"/>
      <c r="D39" s="144" t="str">
        <f>IF('no levy page17'!C67&gt;0,'no levy page17'!C67,"  ")</f>
        <v>  </v>
      </c>
      <c r="E39" s="837" t="str">
        <f>IF('no levy page17'!$E$30&gt;0,'no levy page17'!$E$30,"  ")</f>
        <v>  </v>
      </c>
      <c r="F39" s="837"/>
      <c r="G39" s="851"/>
    </row>
    <row r="40" spans="2:7" ht="15">
      <c r="B40" s="142" t="str">
        <f>IF(inputPrYr!$B43&gt;"  ",(inputPrYr!$B43),"  ")</f>
        <v>  </v>
      </c>
      <c r="C40" s="146"/>
      <c r="D40" s="144" t="str">
        <f>IF('no levy page17'!C67&gt;0,'no levy page17'!C67,"  ")</f>
        <v>  </v>
      </c>
      <c r="E40" s="837" t="str">
        <f>IF('no levy page17'!$E$61&gt;0,'no levy page17'!$E$61,"  ")</f>
        <v>  </v>
      </c>
      <c r="F40" s="837"/>
      <c r="G40" s="851"/>
    </row>
    <row r="41" spans="2:7" ht="15">
      <c r="B41" s="142" t="str">
        <f>IF(inputPrYr!$B44&gt;"  ",(inputPrYr!$B44),"  ")</f>
        <v>  </v>
      </c>
      <c r="C41" s="143"/>
      <c r="D41" s="144" t="str">
        <f>IF('no levy page18'!C67&gt;0,'no levy page18'!C67,"  ")</f>
        <v>  </v>
      </c>
      <c r="E41" s="837" t="str">
        <f>IF('no levy page18'!$E$30&gt;0,'no levy page18'!$E$30,"  ")</f>
        <v>  </v>
      </c>
      <c r="F41" s="837"/>
      <c r="G41" s="851"/>
    </row>
    <row r="42" spans="2:7" ht="15">
      <c r="B42" s="142" t="str">
        <f>IF(inputPrYr!$B45&gt;"  ",(inputPrYr!$B45),"  ")</f>
        <v>  </v>
      </c>
      <c r="C42" s="143"/>
      <c r="D42" s="144" t="str">
        <f>IF('no levy page18'!C67&gt;0,'no levy page18'!C67,"  ")</f>
        <v>  </v>
      </c>
      <c r="E42" s="837" t="str">
        <f>IF('no levy page18'!$E$61&gt;0,'no levy page18'!$E$61,"  ")</f>
        <v>  </v>
      </c>
      <c r="F42" s="837"/>
      <c r="G42" s="851"/>
    </row>
    <row r="43" spans="2:7" ht="15">
      <c r="B43" s="142" t="str">
        <f>IF(inputPrYr!$B46&gt;"  ",(inputPrYr!$B46),"  ")</f>
        <v>  </v>
      </c>
      <c r="C43" s="143"/>
      <c r="D43" s="144" t="str">
        <f>IF('no levy page19'!C67&gt;0,'no levy page19'!C67,"  ")</f>
        <v>  </v>
      </c>
      <c r="E43" s="837" t="str">
        <f>IF('no levy page19'!$E$30&gt;0,'no levy page19'!$E$30,"  ")</f>
        <v>  </v>
      </c>
      <c r="F43" s="837"/>
      <c r="G43" s="851"/>
    </row>
    <row r="44" spans="2:7" ht="15">
      <c r="B44" s="142" t="str">
        <f>IF(inputPrYr!$B47&gt;"  ",(inputPrYr!$B47),"  ")</f>
        <v>  </v>
      </c>
      <c r="C44" s="143"/>
      <c r="D44" s="144" t="str">
        <f>IF('no levy page19'!C67&gt;0,'no levy page19'!C67,"  ")</f>
        <v>  </v>
      </c>
      <c r="E44" s="837" t="str">
        <f>IF('no levy page19'!$E$61&gt;0,'no levy page19'!$E$61,"  ")</f>
        <v>  </v>
      </c>
      <c r="F44" s="837"/>
      <c r="G44" s="851"/>
    </row>
    <row r="45" spans="2:7" ht="15">
      <c r="B45" s="142" t="str">
        <f>IF(inputPrYr!$B48&gt;"  ",(inputPrYr!$B48),"  ")</f>
        <v>  </v>
      </c>
      <c r="C45" s="143"/>
      <c r="D45" s="144" t="str">
        <f>IF('no levy page20'!C67&gt;0,'no levy page20'!C67,"  ")</f>
        <v>  </v>
      </c>
      <c r="E45" s="837" t="str">
        <f>IF('no levy page20'!$E$30&gt;0,'no levy page20'!$E$30,"  ")</f>
        <v>  </v>
      </c>
      <c r="F45" s="837"/>
      <c r="G45" s="851"/>
    </row>
    <row r="46" spans="2:7" ht="15">
      <c r="B46" s="142" t="str">
        <f>IF(inputPrYr!$B49&gt;"  ",(inputPrYr!$B49),"  ")</f>
        <v>  </v>
      </c>
      <c r="C46" s="143"/>
      <c r="D46" s="144" t="str">
        <f>IF('no levy page20'!C67&gt;0,'no levy page20'!C67,"  ")</f>
        <v>  </v>
      </c>
      <c r="E46" s="837" t="str">
        <f>IF('no levy page20'!$E$61&gt;0,'no levy page20'!$E$61,"  ")</f>
        <v>  </v>
      </c>
      <c r="F46" s="837"/>
      <c r="G46" s="851"/>
    </row>
    <row r="47" spans="2:7" ht="15">
      <c r="B47" s="142" t="str">
        <f>IF(inputPrYr!$B50&gt;"  ",(inputPrYr!$B50),"  ")</f>
        <v>  </v>
      </c>
      <c r="C47" s="145"/>
      <c r="D47" s="144" t="str">
        <f>IF('no levy page21'!C67&gt;0,'no levy page21'!C67,"  ")</f>
        <v>  </v>
      </c>
      <c r="E47" s="837" t="str">
        <f>IF('no levy page21'!$E$30&gt;0,'no levy page21'!$E$30,"  ")</f>
        <v>  </v>
      </c>
      <c r="F47" s="837"/>
      <c r="G47" s="851"/>
    </row>
    <row r="48" spans="2:7" ht="15">
      <c r="B48" s="142" t="str">
        <f>IF(inputPrYr!$B51&gt;"  ",(inputPrYr!$B51),"  ")</f>
        <v>  </v>
      </c>
      <c r="C48" s="146"/>
      <c r="D48" s="144" t="str">
        <f>IF('no levy page21'!C67&gt;0,'no levy page21'!C67,"  ")</f>
        <v>  </v>
      </c>
      <c r="E48" s="837" t="str">
        <f>IF('no levy page21'!$E$61&gt;0,'no levy page21'!$E$61,"  ")</f>
        <v>  </v>
      </c>
      <c r="F48" s="837"/>
      <c r="G48" s="851"/>
    </row>
    <row r="49" spans="2:7" ht="15">
      <c r="B49" s="142" t="str">
        <f>IF(inputPrYr!$B53&gt;"  ",(inputPrYr!$B53),"  ")</f>
        <v>Electric</v>
      </c>
      <c r="C49" s="143"/>
      <c r="D49" s="144">
        <f>IF(Electric!C53&gt;0,Electric!C53,"  ")</f>
        <v>14</v>
      </c>
      <c r="E49" s="837">
        <f>IF(Electric!$E$47&gt;0,Electric!$E$47,"  ")</f>
        <v>10989908</v>
      </c>
      <c r="F49" s="837"/>
      <c r="G49" s="851"/>
    </row>
    <row r="50" spans="2:7" ht="15">
      <c r="B50" s="142" t="str">
        <f>IF(inputPrYr!$B54&gt;"  ",(inputPrYr!$B54),"  ")</f>
        <v>Water</v>
      </c>
      <c r="C50" s="143"/>
      <c r="D50" s="144">
        <f>IF(Water!C53&gt;0,Water!C53,"  ")</f>
        <v>15</v>
      </c>
      <c r="E50" s="837">
        <f>IF(Water!$E$47&gt;0,Water!$E$47,"  ")</f>
        <v>2281297</v>
      </c>
      <c r="F50" s="837"/>
      <c r="G50" s="851"/>
    </row>
    <row r="51" spans="2:7" ht="15">
      <c r="B51" s="142" t="str">
        <f>IF(inputPrYr!$B55&gt;"  ",(inputPrYr!$B55),"  ")</f>
        <v>Sanitation</v>
      </c>
      <c r="C51" s="145"/>
      <c r="D51" s="144">
        <f>IF(Sanitation!C53&gt;0,Sanitation!C53,"  ")</f>
        <v>16</v>
      </c>
      <c r="E51" s="837">
        <f>IF(Sanitation!$E$47&gt;0,Sanitation!$E$47,"  ")</f>
        <v>593600</v>
      </c>
      <c r="F51" s="837"/>
      <c r="G51" s="851"/>
    </row>
    <row r="52" spans="2:7" ht="15">
      <c r="B52" s="142" t="str">
        <f>IF(inputPrYr!$B56&gt;"  ",(inputPrYr!$B56),"  ")</f>
        <v>Wastewater</v>
      </c>
      <c r="C52" s="146"/>
      <c r="D52" s="144">
        <f>IF(Wastewater!C53&gt;0,Wastewater!C53,"  ")</f>
        <v>17</v>
      </c>
      <c r="E52" s="837">
        <f>IF(Wastewater!$E$47&gt;0,Wastewater!$E$47,"  ")</f>
        <v>1046000</v>
      </c>
      <c r="F52" s="837"/>
      <c r="G52" s="851"/>
    </row>
    <row r="53" spans="2:7" ht="15">
      <c r="B53" s="142" t="str">
        <f>IF(inputPrYr!$B59&gt;"  ",(NonBudA!$A3),"  ")</f>
        <v>Non-Budgeted Funds-A</v>
      </c>
      <c r="C53" s="146"/>
      <c r="D53" s="144">
        <f>IF(NonBudA!F33&gt;0,NonBudA!F33,"  ")</f>
        <v>18</v>
      </c>
      <c r="E53" s="837"/>
      <c r="F53" s="837"/>
      <c r="G53" s="851"/>
    </row>
    <row r="54" spans="2:7" ht="15">
      <c r="B54" s="142" t="str">
        <f>IF(inputPrYr!$B65&gt;"  ",(NonBudB!$A3),"  ")</f>
        <v>Non-Budgeted Funds-B</v>
      </c>
      <c r="C54" s="146"/>
      <c r="D54" s="144">
        <f>IF(NonBudB!F33&gt;0,NonBudB!F33,"  ")</f>
        <v>19</v>
      </c>
      <c r="E54" s="837"/>
      <c r="F54" s="837"/>
      <c r="G54" s="851"/>
    </row>
    <row r="55" spans="2:7" ht="15">
      <c r="B55" s="142" t="str">
        <f>IF(inputPrYr!$B71&gt;"  ",(NonBudC!$A3),"  ")</f>
        <v>Non-Budgeted Funds-C</v>
      </c>
      <c r="C55" s="143"/>
      <c r="D55" s="144">
        <f>IF(NonBudC!F33&gt;0,NonBudC!F33,"  ")</f>
        <v>20</v>
      </c>
      <c r="E55" s="837"/>
      <c r="F55" s="837"/>
      <c r="G55" s="851"/>
    </row>
    <row r="56" spans="2:7" ht="15.75" thickBot="1">
      <c r="B56" s="142" t="str">
        <f>IF(inputPrYr!$B77&gt;"  ",(NonBudD!$A3),"  ")</f>
        <v>  </v>
      </c>
      <c r="C56" s="145"/>
      <c r="D56" s="144" t="str">
        <f>IF(NonBudD!F33&gt;0,NonBudD!F33,"  ")</f>
        <v>  </v>
      </c>
      <c r="E56" s="852"/>
      <c r="F56" s="852"/>
      <c r="G56" s="853"/>
    </row>
    <row r="57" spans="2:7" ht="15">
      <c r="B57" s="394" t="s">
        <v>638</v>
      </c>
      <c r="C57" s="74"/>
      <c r="D57" s="241" t="s">
        <v>92</v>
      </c>
      <c r="E57" s="854">
        <f>SUM(E20:E56)</f>
        <v>23043897</v>
      </c>
      <c r="F57" s="854">
        <f>SUM(F20:F56)</f>
        <v>1723953</v>
      </c>
      <c r="G57" s="855">
        <f>IF(SUM(G20:G56)=0,"",SUM(G20:G56))</f>
      </c>
    </row>
    <row r="58" spans="2:8" ht="15">
      <c r="B58" s="133" t="str">
        <f>inputPrYr!B33</f>
        <v>Recreation</v>
      </c>
      <c r="C58" s="367" t="s">
        <v>637</v>
      </c>
      <c r="D58" s="134">
        <f>IF('Library-Rec'!C82&gt;0,'Library-Rec'!C82,"  ")</f>
        <v>10</v>
      </c>
      <c r="E58" s="837">
        <f>IF('Library-Rec'!E73&lt;&gt;0,'Library-Rec'!E73,"  ")</f>
        <v>135511</v>
      </c>
      <c r="F58" s="850">
        <f>IF('Library-Rec'!E80&lt;&gt;0,'Library-Rec'!E80,0)</f>
        <v>116033</v>
      </c>
      <c r="G58" s="850">
        <f>IF($G$61=0,0,ROUND(F58/$G$61*1000,3))</f>
        <v>0</v>
      </c>
      <c r="H58" s="18">
        <f>IF(G58&gt;inputOth!E6,"Exceed Limit","")</f>
      </c>
    </row>
    <row r="59" spans="2:7" ht="15.75" thickBot="1">
      <c r="B59" s="421" t="s">
        <v>639</v>
      </c>
      <c r="C59" s="422"/>
      <c r="D59" s="241" t="s">
        <v>92</v>
      </c>
      <c r="E59" s="856">
        <f>SUM(E57:E58)</f>
        <v>23179408</v>
      </c>
      <c r="F59" s="856">
        <f>SUM(F57:F58)</f>
        <v>1839986</v>
      </c>
      <c r="G59" s="857" t="s">
        <v>634</v>
      </c>
    </row>
    <row r="60" spans="2:7" ht="15.75" thickTop="1">
      <c r="B60" s="932" t="s">
        <v>989</v>
      </c>
      <c r="C60" s="147"/>
      <c r="D60" s="148"/>
      <c r="E60" s="149"/>
      <c r="F60" s="150" t="str">
        <f>IF(F57&gt;1000,IF(F57&gt;computation!J47,"Yes","No"),"No")</f>
        <v>Yes</v>
      </c>
      <c r="G60" s="420" t="s">
        <v>223</v>
      </c>
    </row>
    <row r="61" spans="2:7" ht="15">
      <c r="B61" s="133" t="s">
        <v>305</v>
      </c>
      <c r="C61" s="74"/>
      <c r="D61" s="134">
        <f>summ!D73</f>
        <v>21</v>
      </c>
      <c r="E61" s="32"/>
      <c r="F61" s="32"/>
      <c r="G61" s="530"/>
    </row>
    <row r="62" spans="2:7" ht="15">
      <c r="B62" s="133" t="s">
        <v>12</v>
      </c>
      <c r="C62" s="74"/>
      <c r="D62" s="134">
        <f>IF(nhood!C40&gt;0,nhood!C40,"")</f>
        <v>22</v>
      </c>
      <c r="E62" s="32"/>
      <c r="F62" s="32"/>
      <c r="G62" s="990" t="str">
        <f>CONCATENATE("Nov 1, ",I1-1," Total Assessed Valuation")</f>
        <v>Nov 1, 2014 Total Assessed Valuation</v>
      </c>
    </row>
    <row r="63" spans="2:7" ht="15">
      <c r="B63" s="56" t="s">
        <v>93</v>
      </c>
      <c r="C63" s="57"/>
      <c r="D63" s="57"/>
      <c r="E63" s="57"/>
      <c r="F63" s="57"/>
      <c r="G63" s="991"/>
    </row>
    <row r="64" spans="2:7" ht="15">
      <c r="B64" s="335"/>
      <c r="C64" s="57"/>
      <c r="D64" s="32"/>
      <c r="E64" s="271"/>
      <c r="F64" s="57"/>
      <c r="G64" s="57"/>
    </row>
    <row r="65" spans="2:7" ht="15">
      <c r="B65" s="336"/>
      <c r="C65" s="57"/>
      <c r="D65" s="57" t="s">
        <v>875</v>
      </c>
      <c r="E65" s="271"/>
      <c r="F65" s="57"/>
      <c r="G65" s="57"/>
    </row>
    <row r="66" spans="2:7" ht="15">
      <c r="B66" s="56" t="s">
        <v>226</v>
      </c>
      <c r="C66" s="32"/>
      <c r="D66" s="56"/>
      <c r="E66" s="271"/>
      <c r="F66" s="57"/>
      <c r="G66" s="57"/>
    </row>
    <row r="67" spans="2:7" ht="15">
      <c r="B67" s="335"/>
      <c r="C67" s="57"/>
      <c r="D67" s="57" t="s">
        <v>875</v>
      </c>
      <c r="E67" s="271"/>
      <c r="F67" s="271"/>
      <c r="G67" s="271"/>
    </row>
    <row r="68" spans="2:7" ht="15">
      <c r="B68" s="336"/>
      <c r="C68" s="151"/>
      <c r="D68" s="57"/>
      <c r="E68" s="57"/>
      <c r="F68" s="738"/>
      <c r="G68" s="738"/>
    </row>
    <row r="69" spans="2:7" ht="15">
      <c r="B69" s="58" t="s">
        <v>874</v>
      </c>
      <c r="C69" s="151"/>
      <c r="D69" s="57" t="s">
        <v>875</v>
      </c>
      <c r="E69" s="57"/>
      <c r="F69" s="739"/>
      <c r="G69" s="739"/>
    </row>
    <row r="70" spans="2:7" ht="15">
      <c r="B70" s="335"/>
      <c r="C70" s="152"/>
      <c r="D70" s="57"/>
      <c r="E70" s="57"/>
      <c r="F70" s="738"/>
      <c r="G70" s="738"/>
    </row>
    <row r="71" spans="2:7" ht="15">
      <c r="B71" s="271"/>
      <c r="C71" s="152"/>
      <c r="D71" s="57" t="s">
        <v>875</v>
      </c>
      <c r="E71" s="57"/>
      <c r="F71" s="739"/>
      <c r="G71" s="739"/>
    </row>
    <row r="72" spans="2:7" ht="15">
      <c r="B72" s="33" t="s">
        <v>5</v>
      </c>
      <c r="C72" s="153">
        <f>I1-1</f>
        <v>2014</v>
      </c>
      <c r="D72" s="57"/>
      <c r="E72" s="57"/>
      <c r="F72" s="740"/>
      <c r="G72" s="57"/>
    </row>
    <row r="73" spans="2:7" ht="15">
      <c r="B73" s="125"/>
      <c r="C73" s="32"/>
      <c r="D73" s="57" t="s">
        <v>875</v>
      </c>
      <c r="E73" s="57"/>
      <c r="F73" s="57"/>
      <c r="G73" s="57"/>
    </row>
    <row r="74" spans="2:7" ht="15">
      <c r="B74" s="120" t="s">
        <v>95</v>
      </c>
      <c r="C74" s="32"/>
      <c r="D74" s="988" t="s">
        <v>94</v>
      </c>
      <c r="E74" s="989"/>
      <c r="F74" s="989"/>
      <c r="G74" s="989"/>
    </row>
    <row r="75" ht="15">
      <c r="B75" s="18"/>
    </row>
    <row r="85" spans="2:7" ht="15">
      <c r="B85" s="87"/>
      <c r="C85" s="87"/>
      <c r="D85" s="87"/>
      <c r="E85" s="87"/>
      <c r="F85" s="87"/>
      <c r="G85" s="87"/>
    </row>
    <row r="86" spans="2:7" ht="15">
      <c r="B86" s="87"/>
      <c r="C86" s="87"/>
      <c r="D86" s="87"/>
      <c r="E86" s="87"/>
      <c r="F86" s="87"/>
      <c r="G86" s="87"/>
    </row>
    <row r="87" spans="2:7" ht="15">
      <c r="B87" s="87"/>
      <c r="C87" s="87"/>
      <c r="D87" s="87"/>
      <c r="E87" s="87"/>
      <c r="F87" s="87"/>
      <c r="G87" s="87"/>
    </row>
    <row r="88" spans="2:7" ht="15">
      <c r="B88" s="87"/>
      <c r="C88" s="87"/>
      <c r="D88" s="87"/>
      <c r="E88" s="87"/>
      <c r="F88" s="87"/>
      <c r="G88" s="87"/>
    </row>
    <row r="89" spans="2:7" ht="15">
      <c r="B89" s="87"/>
      <c r="C89" s="87"/>
      <c r="D89" s="87"/>
      <c r="E89" s="87"/>
      <c r="F89" s="87"/>
      <c r="G89" s="87"/>
    </row>
    <row r="90" spans="2:7" ht="15">
      <c r="B90" s="87"/>
      <c r="C90" s="87"/>
      <c r="D90" s="87"/>
      <c r="E90" s="87"/>
      <c r="F90" s="87"/>
      <c r="G90" s="87"/>
    </row>
    <row r="91" spans="2:7" ht="15">
      <c r="B91" s="87"/>
      <c r="C91" s="87"/>
      <c r="D91" s="87"/>
      <c r="E91" s="87"/>
      <c r="F91" s="87"/>
      <c r="G91" s="87"/>
    </row>
    <row r="92" spans="2:7" ht="15">
      <c r="B92" s="87"/>
      <c r="C92" s="87"/>
      <c r="D92" s="87"/>
      <c r="E92" s="87"/>
      <c r="F92" s="87"/>
      <c r="G92" s="87"/>
    </row>
    <row r="93" spans="2:7" ht="15">
      <c r="B93" s="87"/>
      <c r="C93" s="87"/>
      <c r="D93" s="87"/>
      <c r="E93" s="87"/>
      <c r="F93" s="87"/>
      <c r="G93" s="87"/>
    </row>
    <row r="94" spans="2:7" ht="15">
      <c r="B94" s="87"/>
      <c r="C94" s="87"/>
      <c r="D94" s="87"/>
      <c r="E94" s="87"/>
      <c r="F94" s="87"/>
      <c r="G94" s="87"/>
    </row>
    <row r="95" spans="2:7" ht="15">
      <c r="B95" s="87"/>
      <c r="C95" s="87"/>
      <c r="D95" s="87"/>
      <c r="E95" s="87"/>
      <c r="F95" s="87"/>
      <c r="G95" s="87"/>
    </row>
    <row r="96" spans="2:7" ht="15">
      <c r="B96" s="87"/>
      <c r="C96" s="87"/>
      <c r="D96" s="87"/>
      <c r="E96" s="87"/>
      <c r="F96" s="87"/>
      <c r="G96" s="87"/>
    </row>
    <row r="97" spans="2:7" ht="15">
      <c r="B97" s="87"/>
      <c r="C97" s="87"/>
      <c r="D97" s="87"/>
      <c r="E97" s="87"/>
      <c r="F97" s="87"/>
      <c r="G97" s="87"/>
    </row>
    <row r="98" spans="2:7" ht="15">
      <c r="B98" s="87"/>
      <c r="C98" s="87"/>
      <c r="D98" s="87"/>
      <c r="E98" s="87"/>
      <c r="F98" s="87"/>
      <c r="G98" s="87"/>
    </row>
    <row r="99" spans="2:7" ht="15">
      <c r="B99" s="87"/>
      <c r="C99" s="87"/>
      <c r="D99" s="87"/>
      <c r="E99" s="87"/>
      <c r="F99" s="87"/>
      <c r="G99" s="87"/>
    </row>
    <row r="100" spans="2:7" ht="15">
      <c r="B100" s="87"/>
      <c r="C100" s="87"/>
      <c r="D100" s="87"/>
      <c r="E100" s="87"/>
      <c r="F100" s="87"/>
      <c r="G100" s="87"/>
    </row>
    <row r="103" spans="2:7" ht="15">
      <c r="B103" s="18"/>
      <c r="C103" s="18"/>
      <c r="D103" s="18"/>
      <c r="E103" s="18"/>
      <c r="F103" s="18"/>
      <c r="G103" s="18"/>
    </row>
  </sheetData>
  <sheetProtection sheet="1"/>
  <mergeCells count="4">
    <mergeCell ref="B4:G4"/>
    <mergeCell ref="B2:G2"/>
    <mergeCell ref="D74:G74"/>
    <mergeCell ref="G62:G63"/>
  </mergeCells>
  <printOptions/>
  <pageMargins left="0.82" right="0.5" top="1" bottom="0.5" header="0.5" footer="0.25"/>
  <pageSetup blackAndWhite="1" fitToHeight="1" fitToWidth="1" horizontalDpi="120" verticalDpi="120" orientation="portrait" scale="59" r:id="rId1"/>
  <headerFooter alignWithMargins="0">
    <oddHeader>&amp;RState of Kansas
City
</oddHeader>
    <oddFooter>&amp;C   Page No. 1</oddFooter>
  </headerFooter>
</worksheet>
</file>

<file path=xl/worksheets/sheet50.xml><?xml version="1.0" encoding="utf-8"?>
<worksheet xmlns="http://schemas.openxmlformats.org/spreadsheetml/2006/main" xmlns:r="http://schemas.openxmlformats.org/officeDocument/2006/relationships">
  <dimension ref="A1:A218"/>
  <sheetViews>
    <sheetView zoomScalePageLayoutView="0" workbookViewId="0" topLeftCell="A1">
      <selection activeCell="L143" sqref="L143"/>
    </sheetView>
  </sheetViews>
  <sheetFormatPr defaultColWidth="8.8984375" defaultRowHeight="15"/>
  <cols>
    <col min="1" max="1" width="84.19921875" style="18" customWidth="1"/>
    <col min="2" max="16384" width="8.8984375" style="18" customWidth="1"/>
  </cols>
  <sheetData>
    <row r="1" ht="15">
      <c r="A1" s="524" t="s">
        <v>996</v>
      </c>
    </row>
    <row r="2" ht="15">
      <c r="A2" s="18" t="s">
        <v>995</v>
      </c>
    </row>
    <row r="4" ht="15">
      <c r="A4" s="524" t="s">
        <v>997</v>
      </c>
    </row>
    <row r="5" ht="15">
      <c r="A5" s="913" t="s">
        <v>967</v>
      </c>
    </row>
    <row r="7" ht="15">
      <c r="A7" s="524" t="s">
        <v>998</v>
      </c>
    </row>
    <row r="8" ht="15">
      <c r="A8" s="18" t="s">
        <v>966</v>
      </c>
    </row>
    <row r="10" ht="15">
      <c r="A10" s="524" t="s">
        <v>999</v>
      </c>
    </row>
    <row r="11" ht="15">
      <c r="A11" s="18" t="s">
        <v>965</v>
      </c>
    </row>
    <row r="13" ht="15">
      <c r="A13" s="524" t="s">
        <v>1000</v>
      </c>
    </row>
    <row r="14" ht="15">
      <c r="A14" s="860" t="s">
        <v>963</v>
      </c>
    </row>
    <row r="16" ht="15">
      <c r="A16" s="524" t="s">
        <v>1001</v>
      </c>
    </row>
    <row r="17" ht="15">
      <c r="A17" s="18" t="s">
        <v>962</v>
      </c>
    </row>
    <row r="19" ht="15">
      <c r="A19" s="524" t="s">
        <v>1002</v>
      </c>
    </row>
    <row r="20" ht="15">
      <c r="A20" s="876" t="s">
        <v>961</v>
      </c>
    </row>
    <row r="22" ht="15">
      <c r="A22" s="524" t="s">
        <v>1003</v>
      </c>
    </row>
    <row r="23" ht="15">
      <c r="A23" s="18" t="s">
        <v>959</v>
      </c>
    </row>
    <row r="25" ht="15">
      <c r="A25" s="524" t="s">
        <v>1004</v>
      </c>
    </row>
    <row r="26" ht="15">
      <c r="A26" s="860" t="s">
        <v>885</v>
      </c>
    </row>
    <row r="27" ht="15">
      <c r="A27" s="18" t="s">
        <v>886</v>
      </c>
    </row>
    <row r="28" ht="15">
      <c r="A28" s="18" t="s">
        <v>887</v>
      </c>
    </row>
    <row r="29" ht="15">
      <c r="A29" s="18" t="s">
        <v>888</v>
      </c>
    </row>
    <row r="30" ht="15">
      <c r="A30" s="18" t="s">
        <v>889</v>
      </c>
    </row>
    <row r="31" ht="15">
      <c r="A31" s="18" t="s">
        <v>890</v>
      </c>
    </row>
    <row r="32" ht="15">
      <c r="A32" s="18" t="s">
        <v>891</v>
      </c>
    </row>
    <row r="33" ht="15">
      <c r="A33" s="18" t="s">
        <v>892</v>
      </c>
    </row>
    <row r="34" ht="15">
      <c r="A34" s="18" t="s">
        <v>893</v>
      </c>
    </row>
    <row r="35" ht="15">
      <c r="A35" s="18" t="s">
        <v>894</v>
      </c>
    </row>
    <row r="36" ht="15">
      <c r="A36" s="18" t="s">
        <v>895</v>
      </c>
    </row>
    <row r="37" ht="15">
      <c r="A37" s="18" t="s">
        <v>896</v>
      </c>
    </row>
    <row r="38" ht="15">
      <c r="A38" s="18" t="s">
        <v>897</v>
      </c>
    </row>
    <row r="39" ht="15">
      <c r="A39" s="18" t="s">
        <v>898</v>
      </c>
    </row>
    <row r="40" ht="15">
      <c r="A40" s="18" t="s">
        <v>899</v>
      </c>
    </row>
    <row r="41" ht="15">
      <c r="A41" s="18" t="s">
        <v>900</v>
      </c>
    </row>
    <row r="42" ht="46.5">
      <c r="A42" s="20" t="s">
        <v>901</v>
      </c>
    </row>
    <row r="43" ht="15">
      <c r="A43" s="19" t="s">
        <v>902</v>
      </c>
    </row>
    <row r="44" ht="30.75">
      <c r="A44" s="20" t="s">
        <v>903</v>
      </c>
    </row>
    <row r="45" ht="15">
      <c r="A45" s="18" t="s">
        <v>904</v>
      </c>
    </row>
    <row r="46" ht="15">
      <c r="A46" s="18" t="s">
        <v>905</v>
      </c>
    </row>
    <row r="47" ht="15">
      <c r="A47" s="18" t="s">
        <v>906</v>
      </c>
    </row>
    <row r="48" ht="15">
      <c r="A48" s="18" t="s">
        <v>907</v>
      </c>
    </row>
    <row r="49" ht="15">
      <c r="A49" s="18" t="s">
        <v>908</v>
      </c>
    </row>
    <row r="50" ht="15">
      <c r="A50" s="18" t="s">
        <v>909</v>
      </c>
    </row>
    <row r="51" ht="15">
      <c r="A51" s="18" t="s">
        <v>910</v>
      </c>
    </row>
    <row r="52" ht="15">
      <c r="A52" s="18" t="s">
        <v>911</v>
      </c>
    </row>
    <row r="53" ht="15">
      <c r="A53" s="18" t="s">
        <v>912</v>
      </c>
    </row>
    <row r="54" ht="15">
      <c r="A54" s="18" t="s">
        <v>913</v>
      </c>
    </row>
    <row r="55" ht="15">
      <c r="A55" s="18" t="s">
        <v>914</v>
      </c>
    </row>
    <row r="56" ht="15">
      <c r="A56" s="18" t="s">
        <v>915</v>
      </c>
    </row>
    <row r="57" ht="15">
      <c r="A57" s="18" t="s">
        <v>916</v>
      </c>
    </row>
    <row r="58" ht="15">
      <c r="A58" s="18" t="s">
        <v>917</v>
      </c>
    </row>
    <row r="59" ht="15">
      <c r="A59" s="18" t="s">
        <v>918</v>
      </c>
    </row>
    <row r="60" ht="15">
      <c r="A60" s="18" t="s">
        <v>919</v>
      </c>
    </row>
    <row r="61" ht="15">
      <c r="A61" s="18" t="s">
        <v>920</v>
      </c>
    </row>
    <row r="62" ht="15">
      <c r="A62" s="18" t="s">
        <v>921</v>
      </c>
    </row>
    <row r="63" ht="37.5" customHeight="1">
      <c r="A63" s="20" t="s">
        <v>955</v>
      </c>
    </row>
    <row r="65" ht="15">
      <c r="A65" s="524" t="s">
        <v>1005</v>
      </c>
    </row>
    <row r="66" ht="15">
      <c r="A66" s="504" t="s">
        <v>788</v>
      </c>
    </row>
    <row r="68" ht="15">
      <c r="A68" s="524" t="s">
        <v>1006</v>
      </c>
    </row>
    <row r="69" ht="15">
      <c r="A69" s="18" t="s">
        <v>787</v>
      </c>
    </row>
    <row r="71" ht="15">
      <c r="A71" s="524" t="s">
        <v>1007</v>
      </c>
    </row>
    <row r="72" ht="15">
      <c r="A72" s="504" t="s">
        <v>724</v>
      </c>
    </row>
    <row r="73" ht="15">
      <c r="A73" s="504" t="s">
        <v>725</v>
      </c>
    </row>
    <row r="74" ht="30.75">
      <c r="A74" s="487" t="s">
        <v>749</v>
      </c>
    </row>
    <row r="75" ht="15">
      <c r="A75" s="504" t="s">
        <v>726</v>
      </c>
    </row>
    <row r="76" ht="15">
      <c r="A76" s="504" t="s">
        <v>727</v>
      </c>
    </row>
    <row r="77" ht="15">
      <c r="A77" s="504" t="s">
        <v>728</v>
      </c>
    </row>
    <row r="78" ht="15">
      <c r="A78" s="504" t="s">
        <v>729</v>
      </c>
    </row>
    <row r="79" ht="15">
      <c r="A79" s="504" t="s">
        <v>730</v>
      </c>
    </row>
    <row r="80" ht="15">
      <c r="A80" s="504" t="s">
        <v>731</v>
      </c>
    </row>
    <row r="81" ht="15">
      <c r="A81" s="504" t="s">
        <v>732</v>
      </c>
    </row>
    <row r="82" ht="15">
      <c r="A82" s="504" t="s">
        <v>733</v>
      </c>
    </row>
    <row r="83" ht="15">
      <c r="A83" s="504" t="s">
        <v>734</v>
      </c>
    </row>
    <row r="84" ht="15">
      <c r="A84" s="504" t="s">
        <v>735</v>
      </c>
    </row>
    <row r="85" ht="15">
      <c r="A85" s="504" t="s">
        <v>736</v>
      </c>
    </row>
    <row r="86" ht="15">
      <c r="A86" s="504" t="s">
        <v>737</v>
      </c>
    </row>
    <row r="87" ht="15">
      <c r="A87" s="504" t="s">
        <v>738</v>
      </c>
    </row>
    <row r="88" ht="15">
      <c r="A88" s="504" t="s">
        <v>739</v>
      </c>
    </row>
    <row r="89" ht="15">
      <c r="A89" s="504" t="s">
        <v>740</v>
      </c>
    </row>
    <row r="90" ht="15">
      <c r="A90" s="504" t="s">
        <v>741</v>
      </c>
    </row>
    <row r="91" ht="15">
      <c r="A91" s="504" t="s">
        <v>742</v>
      </c>
    </row>
    <row r="92" ht="15">
      <c r="A92" s="504" t="s">
        <v>743</v>
      </c>
    </row>
    <row r="93" ht="15">
      <c r="A93" s="504" t="s">
        <v>744</v>
      </c>
    </row>
    <row r="94" ht="15">
      <c r="A94" s="504" t="s">
        <v>745</v>
      </c>
    </row>
    <row r="95" ht="15">
      <c r="A95" s="504" t="s">
        <v>746</v>
      </c>
    </row>
    <row r="96" ht="15">
      <c r="A96" s="504" t="s">
        <v>747</v>
      </c>
    </row>
    <row r="97" ht="15">
      <c r="A97" s="504" t="s">
        <v>748</v>
      </c>
    </row>
    <row r="98" ht="15">
      <c r="A98" s="504" t="s">
        <v>757</v>
      </c>
    </row>
    <row r="99" ht="15">
      <c r="A99" s="504" t="s">
        <v>758</v>
      </c>
    </row>
    <row r="100" ht="15">
      <c r="A100" s="504" t="s">
        <v>759</v>
      </c>
    </row>
    <row r="101" ht="15">
      <c r="A101" s="504" t="s">
        <v>760</v>
      </c>
    </row>
    <row r="102" ht="15">
      <c r="A102" s="504" t="s">
        <v>761</v>
      </c>
    </row>
    <row r="103" ht="15">
      <c r="A103" s="504" t="s">
        <v>762</v>
      </c>
    </row>
    <row r="104" ht="15">
      <c r="A104" s="504" t="s">
        <v>763</v>
      </c>
    </row>
    <row r="105" ht="15">
      <c r="A105" s="504" t="s">
        <v>769</v>
      </c>
    </row>
    <row r="106" ht="15">
      <c r="A106" s="504" t="s">
        <v>775</v>
      </c>
    </row>
    <row r="108" ht="15">
      <c r="A108" s="354" t="s">
        <v>1008</v>
      </c>
    </row>
    <row r="109" ht="15">
      <c r="A109" s="18" t="s">
        <v>626</v>
      </c>
    </row>
    <row r="110" ht="15">
      <c r="A110" s="18" t="s">
        <v>627</v>
      </c>
    </row>
    <row r="111" ht="15">
      <c r="A111" s="18" t="s">
        <v>628</v>
      </c>
    </row>
    <row r="113" ht="15">
      <c r="A113" s="354" t="s">
        <v>1009</v>
      </c>
    </row>
    <row r="114" ht="15">
      <c r="A114" s="18" t="s">
        <v>625</v>
      </c>
    </row>
    <row r="116" ht="15">
      <c r="A116" s="354" t="s">
        <v>1010</v>
      </c>
    </row>
    <row r="117" ht="15">
      <c r="A117" s="353" t="s">
        <v>396</v>
      </c>
    </row>
    <row r="118" ht="15">
      <c r="A118" s="353" t="s">
        <v>397</v>
      </c>
    </row>
    <row r="119" ht="15">
      <c r="A119" s="353" t="s">
        <v>398</v>
      </c>
    </row>
    <row r="120" ht="15">
      <c r="A120" s="18" t="s">
        <v>615</v>
      </c>
    </row>
    <row r="122" ht="15">
      <c r="A122" s="329" t="s">
        <v>1011</v>
      </c>
    </row>
    <row r="123" ht="15">
      <c r="A123" s="333" t="s">
        <v>377</v>
      </c>
    </row>
    <row r="124" ht="15">
      <c r="A124" s="18" t="s">
        <v>378</v>
      </c>
    </row>
    <row r="125" ht="15">
      <c r="A125" s="18" t="s">
        <v>379</v>
      </c>
    </row>
    <row r="126" ht="21.75" customHeight="1">
      <c r="A126" s="20" t="s">
        <v>380</v>
      </c>
    </row>
    <row r="127" ht="15">
      <c r="A127" s="18" t="s">
        <v>381</v>
      </c>
    </row>
    <row r="128" ht="15">
      <c r="A128" s="18" t="s">
        <v>382</v>
      </c>
    </row>
    <row r="129" ht="15">
      <c r="A129" s="18" t="s">
        <v>383</v>
      </c>
    </row>
    <row r="130" ht="15">
      <c r="A130" s="18" t="s">
        <v>384</v>
      </c>
    </row>
    <row r="131" ht="15">
      <c r="A131" s="18" t="s">
        <v>385</v>
      </c>
    </row>
    <row r="132" ht="15">
      <c r="A132" s="18" t="s">
        <v>386</v>
      </c>
    </row>
    <row r="133" ht="15">
      <c r="A133" s="18" t="s">
        <v>387</v>
      </c>
    </row>
    <row r="135" ht="15">
      <c r="A135" s="329" t="s">
        <v>1012</v>
      </c>
    </row>
    <row r="136" ht="15">
      <c r="A136" s="18" t="s">
        <v>324</v>
      </c>
    </row>
    <row r="138" ht="15">
      <c r="A138" s="329" t="s">
        <v>322</v>
      </c>
    </row>
    <row r="139" ht="15">
      <c r="A139" s="18" t="s">
        <v>323</v>
      </c>
    </row>
    <row r="141" ht="15">
      <c r="A141" s="329" t="s">
        <v>319</v>
      </c>
    </row>
    <row r="142" ht="15">
      <c r="A142" s="18" t="s">
        <v>320</v>
      </c>
    </row>
    <row r="143" ht="15">
      <c r="A143" s="18" t="s">
        <v>321</v>
      </c>
    </row>
    <row r="145" ht="15">
      <c r="A145" s="329" t="s">
        <v>61</v>
      </c>
    </row>
    <row r="146" ht="15">
      <c r="A146" s="18" t="s">
        <v>46</v>
      </c>
    </row>
    <row r="147" ht="15">
      <c r="A147" s="18" t="s">
        <v>47</v>
      </c>
    </row>
    <row r="148" ht="15">
      <c r="A148" s="18" t="s">
        <v>48</v>
      </c>
    </row>
    <row r="149" ht="15">
      <c r="A149" s="18" t="s">
        <v>55</v>
      </c>
    </row>
    <row r="150" ht="15">
      <c r="A150" s="18" t="s">
        <v>49</v>
      </c>
    </row>
    <row r="151" ht="15">
      <c r="A151" s="18" t="s">
        <v>50</v>
      </c>
    </row>
    <row r="152" ht="30.75">
      <c r="A152" s="20" t="s">
        <v>56</v>
      </c>
    </row>
    <row r="153" ht="30.75">
      <c r="A153" s="20" t="s">
        <v>51</v>
      </c>
    </row>
    <row r="154" ht="15">
      <c r="A154" s="20" t="s">
        <v>52</v>
      </c>
    </row>
    <row r="155" ht="15">
      <c r="A155" s="20" t="s">
        <v>53</v>
      </c>
    </row>
    <row r="156" ht="30.75">
      <c r="A156" s="20" t="s">
        <v>312</v>
      </c>
    </row>
    <row r="157" ht="15">
      <c r="A157" s="18" t="s">
        <v>313</v>
      </c>
    </row>
    <row r="158" ht="15">
      <c r="A158" s="20" t="s">
        <v>54</v>
      </c>
    </row>
    <row r="159" ht="15">
      <c r="A159" s="18" t="s">
        <v>58</v>
      </c>
    </row>
    <row r="160" ht="15">
      <c r="A160" s="18" t="s">
        <v>59</v>
      </c>
    </row>
    <row r="161" ht="15">
      <c r="A161" s="18" t="s">
        <v>60</v>
      </c>
    </row>
    <row r="162" ht="30.75">
      <c r="A162" s="20" t="s">
        <v>311</v>
      </c>
    </row>
    <row r="163" ht="15">
      <c r="A163" s="18" t="s">
        <v>310</v>
      </c>
    </row>
    <row r="164" ht="30.75">
      <c r="A164" s="20" t="s">
        <v>309</v>
      </c>
    </row>
    <row r="165" ht="15">
      <c r="A165" s="18" t="s">
        <v>314</v>
      </c>
    </row>
    <row r="167" ht="15">
      <c r="A167" s="329" t="s">
        <v>65</v>
      </c>
    </row>
    <row r="168" ht="15">
      <c r="A168" s="18" t="s">
        <v>66</v>
      </c>
    </row>
    <row r="169" ht="15">
      <c r="A169" s="18" t="s">
        <v>67</v>
      </c>
    </row>
    <row r="170" ht="15">
      <c r="A170" s="18" t="s">
        <v>68</v>
      </c>
    </row>
    <row r="171" ht="15">
      <c r="A171" s="18" t="s">
        <v>57</v>
      </c>
    </row>
    <row r="174" ht="15">
      <c r="A174" s="329" t="s">
        <v>42</v>
      </c>
    </row>
    <row r="175" ht="15">
      <c r="A175" s="18" t="s">
        <v>43</v>
      </c>
    </row>
    <row r="177" ht="15">
      <c r="A177" s="329" t="s">
        <v>35</v>
      </c>
    </row>
    <row r="178" ht="15">
      <c r="A178" s="18" t="s">
        <v>36</v>
      </c>
    </row>
    <row r="179" ht="15">
      <c r="A179" s="18" t="s">
        <v>37</v>
      </c>
    </row>
    <row r="180" ht="30.75">
      <c r="A180" s="20" t="s">
        <v>38</v>
      </c>
    </row>
    <row r="181" ht="15">
      <c r="A181" s="18" t="s">
        <v>39</v>
      </c>
    </row>
    <row r="182" ht="15">
      <c r="A182" s="18" t="s">
        <v>40</v>
      </c>
    </row>
    <row r="183" ht="15">
      <c r="A183" s="18" t="s">
        <v>41</v>
      </c>
    </row>
    <row r="185" ht="18" customHeight="1">
      <c r="A185" s="329" t="s">
        <v>281</v>
      </c>
    </row>
    <row r="186" ht="48.75" customHeight="1">
      <c r="A186" s="20" t="s">
        <v>315</v>
      </c>
    </row>
    <row r="187" ht="15">
      <c r="A187" s="18" t="s">
        <v>282</v>
      </c>
    </row>
    <row r="188" ht="15">
      <c r="A188" s="18" t="s">
        <v>283</v>
      </c>
    </row>
    <row r="189" ht="15">
      <c r="A189" s="18" t="s">
        <v>316</v>
      </c>
    </row>
    <row r="190" ht="15">
      <c r="A190" s="18" t="s">
        <v>284</v>
      </c>
    </row>
    <row r="191" ht="15">
      <c r="A191" s="18" t="s">
        <v>285</v>
      </c>
    </row>
    <row r="192" ht="15">
      <c r="A192" s="18" t="s">
        <v>6</v>
      </c>
    </row>
    <row r="193" ht="15">
      <c r="A193" s="18" t="s">
        <v>286</v>
      </c>
    </row>
    <row r="194" ht="15">
      <c r="A194" s="18" t="s">
        <v>287</v>
      </c>
    </row>
    <row r="195" ht="30.75">
      <c r="A195" s="20" t="s">
        <v>288</v>
      </c>
    </row>
    <row r="196" ht="30.75">
      <c r="A196" s="20" t="s">
        <v>14</v>
      </c>
    </row>
    <row r="197" ht="15">
      <c r="A197" s="18" t="s">
        <v>289</v>
      </c>
    </row>
    <row r="198" ht="15">
      <c r="A198" s="18" t="s">
        <v>290</v>
      </c>
    </row>
    <row r="199" ht="15">
      <c r="A199" s="18" t="s">
        <v>317</v>
      </c>
    </row>
    <row r="200" ht="15">
      <c r="A200" s="18" t="s">
        <v>291</v>
      </c>
    </row>
    <row r="201" ht="15">
      <c r="A201" s="18" t="s">
        <v>0</v>
      </c>
    </row>
    <row r="202" ht="30.75">
      <c r="A202" s="20" t="s">
        <v>1</v>
      </c>
    </row>
    <row r="203" ht="15">
      <c r="A203" s="18" t="s">
        <v>300</v>
      </c>
    </row>
    <row r="204" ht="15">
      <c r="A204" s="18" t="s">
        <v>301</v>
      </c>
    </row>
    <row r="205" ht="30.75">
      <c r="A205" s="20" t="s">
        <v>302</v>
      </c>
    </row>
    <row r="206" ht="15">
      <c r="A206" s="18" t="s">
        <v>22</v>
      </c>
    </row>
    <row r="207" ht="15">
      <c r="A207" s="18" t="s">
        <v>23</v>
      </c>
    </row>
    <row r="208" ht="15">
      <c r="A208" s="18" t="s">
        <v>24</v>
      </c>
    </row>
    <row r="209" ht="15">
      <c r="A209" s="18" t="s">
        <v>25</v>
      </c>
    </row>
    <row r="210" ht="15">
      <c r="A210" s="18" t="s">
        <v>26</v>
      </c>
    </row>
    <row r="211" ht="15">
      <c r="A211" s="18" t="s">
        <v>27</v>
      </c>
    </row>
    <row r="212" ht="15">
      <c r="A212" s="18" t="s">
        <v>28</v>
      </c>
    </row>
    <row r="213" ht="15">
      <c r="A213" s="18" t="s">
        <v>29</v>
      </c>
    </row>
    <row r="214" ht="15">
      <c r="A214" s="18" t="s">
        <v>30</v>
      </c>
    </row>
    <row r="215" ht="15">
      <c r="A215" s="18" t="s">
        <v>32</v>
      </c>
    </row>
    <row r="216" ht="15">
      <c r="A216" s="18" t="s">
        <v>33</v>
      </c>
    </row>
    <row r="217" ht="15">
      <c r="A217" s="18" t="s">
        <v>34</v>
      </c>
    </row>
    <row r="218" ht="15">
      <c r="A218" s="18" t="s">
        <v>31</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X80" sqref="X80"/>
    </sheetView>
  </sheetViews>
  <sheetFormatPr defaultColWidth="8.8984375" defaultRowHeight="15.75" customHeight="1"/>
  <cols>
    <col min="1" max="2" width="3.296875" style="18" customWidth="1"/>
    <col min="3" max="3" width="31.296875" style="18" customWidth="1"/>
    <col min="4" max="4" width="2.296875" style="18" customWidth="1"/>
    <col min="5" max="5" width="15.69921875" style="18" customWidth="1"/>
    <col min="6" max="6" width="2" style="18" customWidth="1"/>
    <col min="7" max="7" width="15.69921875" style="18" customWidth="1"/>
    <col min="8" max="8" width="1.8984375" style="18" customWidth="1"/>
    <col min="9" max="9" width="1.69921875" style="18" customWidth="1"/>
    <col min="10" max="10" width="15.69921875" style="18" customWidth="1"/>
    <col min="11" max="16384" width="8.8984375" style="18" customWidth="1"/>
  </cols>
  <sheetData>
    <row r="1" spans="1:10" ht="15.75" customHeight="1">
      <c r="A1" s="155"/>
      <c r="B1" s="155"/>
      <c r="C1" s="156" t="str">
        <f>inputPrYr!D2</f>
        <v>City of Russell</v>
      </c>
      <c r="D1" s="155"/>
      <c r="E1" s="155"/>
      <c r="F1" s="155"/>
      <c r="G1" s="155"/>
      <c r="H1" s="155"/>
      <c r="I1" s="155"/>
      <c r="J1" s="155">
        <f>inputPrYr!C5</f>
        <v>2015</v>
      </c>
    </row>
    <row r="2" spans="1:10" ht="15.75" customHeight="1">
      <c r="A2" s="155"/>
      <c r="B2" s="155"/>
      <c r="C2" s="155"/>
      <c r="D2" s="155"/>
      <c r="E2" s="155"/>
      <c r="F2" s="155"/>
      <c r="G2" s="155"/>
      <c r="H2" s="155"/>
      <c r="I2" s="155"/>
      <c r="J2" s="155"/>
    </row>
    <row r="3" spans="1:10" ht="15">
      <c r="A3" s="993" t="str">
        <f>CONCATENATE("Computation to Determine Limit for ",J1,"")</f>
        <v>Computation to Determine Limit for 2015</v>
      </c>
      <c r="B3" s="994"/>
      <c r="C3" s="994"/>
      <c r="D3" s="994"/>
      <c r="E3" s="994"/>
      <c r="F3" s="994"/>
      <c r="G3" s="994"/>
      <c r="H3" s="994"/>
      <c r="I3" s="994"/>
      <c r="J3" s="994"/>
    </row>
    <row r="4" spans="1:10" ht="15">
      <c r="A4" s="155"/>
      <c r="B4" s="155"/>
      <c r="C4" s="155"/>
      <c r="D4" s="155"/>
      <c r="E4" s="994"/>
      <c r="F4" s="994"/>
      <c r="G4" s="994"/>
      <c r="H4" s="157"/>
      <c r="I4" s="155"/>
      <c r="J4" s="158" t="s">
        <v>179</v>
      </c>
    </row>
    <row r="5" spans="1:10" ht="15">
      <c r="A5" s="159" t="s">
        <v>180</v>
      </c>
      <c r="B5" s="155" t="str">
        <f>CONCATENATE("Total tax levy amount in ",J1-1," budget")</f>
        <v>Total tax levy amount in 2014 budget</v>
      </c>
      <c r="C5" s="155"/>
      <c r="D5" s="155"/>
      <c r="E5" s="160"/>
      <c r="F5" s="160"/>
      <c r="G5" s="160"/>
      <c r="H5" s="161" t="s">
        <v>181</v>
      </c>
      <c r="I5" s="160" t="s">
        <v>182</v>
      </c>
      <c r="J5" s="162">
        <f>inputPrYr!E31</f>
        <v>1683506</v>
      </c>
    </row>
    <row r="6" spans="1:10" ht="15">
      <c r="A6" s="159" t="s">
        <v>183</v>
      </c>
      <c r="B6" s="155" t="str">
        <f>CONCATENATE("Debt service levy in ",J1-1," budget")</f>
        <v>Debt service levy in 2014 budget</v>
      </c>
      <c r="C6" s="155"/>
      <c r="D6" s="155"/>
      <c r="E6" s="160"/>
      <c r="F6" s="160"/>
      <c r="G6" s="160"/>
      <c r="H6" s="161" t="s">
        <v>184</v>
      </c>
      <c r="I6" s="160" t="s">
        <v>182</v>
      </c>
      <c r="J6" s="163">
        <f>inputPrYr!E18</f>
        <v>14562</v>
      </c>
    </row>
    <row r="7" spans="1:10" ht="15">
      <c r="A7" s="159" t="s">
        <v>208</v>
      </c>
      <c r="B7" s="155" t="s">
        <v>979</v>
      </c>
      <c r="C7" s="155"/>
      <c r="D7" s="155"/>
      <c r="E7" s="160"/>
      <c r="F7" s="160"/>
      <c r="G7" s="160"/>
      <c r="H7" s="160"/>
      <c r="I7" s="160" t="s">
        <v>182</v>
      </c>
      <c r="J7" s="165">
        <f>J5-J6</f>
        <v>1668944</v>
      </c>
    </row>
    <row r="8" spans="1:10" ht="15">
      <c r="A8" s="155"/>
      <c r="B8" s="155"/>
      <c r="C8" s="155"/>
      <c r="D8" s="155"/>
      <c r="E8" s="160"/>
      <c r="F8" s="160"/>
      <c r="G8" s="160"/>
      <c r="H8" s="160"/>
      <c r="I8" s="160"/>
      <c r="J8" s="160"/>
    </row>
    <row r="9" spans="1:10" ht="15">
      <c r="A9" s="994" t="str">
        <f>CONCATENATE("",J1-1," Valuation Information for Valuation Adjustments")</f>
        <v>2014 Valuation Information for Valuation Adjustments</v>
      </c>
      <c r="B9" s="975"/>
      <c r="C9" s="975"/>
      <c r="D9" s="975"/>
      <c r="E9" s="975"/>
      <c r="F9" s="975"/>
      <c r="G9" s="975"/>
      <c r="H9" s="975"/>
      <c r="I9" s="975"/>
      <c r="J9" s="975"/>
    </row>
    <row r="10" spans="1:10" ht="15">
      <c r="A10" s="155"/>
      <c r="B10" s="155"/>
      <c r="C10" s="164"/>
      <c r="D10" s="155"/>
      <c r="E10" s="160"/>
      <c r="F10" s="160"/>
      <c r="G10" s="160"/>
      <c r="H10" s="160"/>
      <c r="I10" s="160"/>
      <c r="J10" s="160"/>
    </row>
    <row r="11" spans="1:10" ht="15">
      <c r="A11" s="159" t="s">
        <v>185</v>
      </c>
      <c r="B11" s="155" t="str">
        <f>CONCATENATE("New improvements for ",J1-1,":")</f>
        <v>New improvements for 2014:</v>
      </c>
      <c r="C11" s="155"/>
      <c r="D11" s="155"/>
      <c r="E11" s="161"/>
      <c r="F11" s="161" t="s">
        <v>181</v>
      </c>
      <c r="G11" s="924">
        <f>inputOth!E10</f>
        <v>191482</v>
      </c>
      <c r="H11" s="166"/>
      <c r="I11" s="160"/>
      <c r="J11" s="160"/>
    </row>
    <row r="12" spans="1:10" ht="15">
      <c r="A12" s="159"/>
      <c r="B12" s="167"/>
      <c r="C12" s="155"/>
      <c r="D12" s="155"/>
      <c r="E12" s="161"/>
      <c r="F12" s="161"/>
      <c r="G12" s="166"/>
      <c r="H12" s="166"/>
      <c r="I12" s="160"/>
      <c r="J12" s="160"/>
    </row>
    <row r="13" spans="1:10" ht="15">
      <c r="A13" s="159" t="s">
        <v>186</v>
      </c>
      <c r="B13" s="155" t="str">
        <f>CONCATENATE("Increase in personal property for ",J1-1,":")</f>
        <v>Increase in personal property for 2014:</v>
      </c>
      <c r="C13" s="155"/>
      <c r="D13" s="155"/>
      <c r="E13" s="161"/>
      <c r="F13" s="161"/>
      <c r="G13" s="166"/>
      <c r="H13" s="166"/>
      <c r="I13" s="160"/>
      <c r="J13" s="160"/>
    </row>
    <row r="14" spans="1:10" ht="15">
      <c r="A14" s="168"/>
      <c r="B14" s="155" t="s">
        <v>187</v>
      </c>
      <c r="C14" s="155" t="str">
        <f>CONCATENATE("Personal property ",J1-1,"")</f>
        <v>Personal property 2014</v>
      </c>
      <c r="D14" s="167" t="s">
        <v>181</v>
      </c>
      <c r="E14" s="924">
        <f>inputOth!E11</f>
        <v>2496667</v>
      </c>
      <c r="F14" s="161"/>
      <c r="G14" s="160"/>
      <c r="H14" s="160"/>
      <c r="I14" s="166"/>
      <c r="J14" s="160"/>
    </row>
    <row r="15" spans="1:10" ht="15">
      <c r="A15" s="167"/>
      <c r="B15" s="155" t="s">
        <v>188</v>
      </c>
      <c r="C15" s="155" t="str">
        <f>CONCATENATE("Personal property ",J1-2,"")</f>
        <v>Personal property 2013</v>
      </c>
      <c r="D15" s="167" t="s">
        <v>184</v>
      </c>
      <c r="E15" s="923">
        <f>inputOth!E17</f>
        <v>3004451</v>
      </c>
      <c r="F15" s="161"/>
      <c r="G15" s="166"/>
      <c r="H15" s="166"/>
      <c r="I15" s="160"/>
      <c r="J15" s="160"/>
    </row>
    <row r="16" spans="1:10" ht="15">
      <c r="A16" s="167"/>
      <c r="B16" s="155" t="s">
        <v>189</v>
      </c>
      <c r="C16" s="155" t="s">
        <v>980</v>
      </c>
      <c r="D16" s="155"/>
      <c r="E16" s="160"/>
      <c r="F16" s="160" t="s">
        <v>181</v>
      </c>
      <c r="G16" s="162">
        <f>IF(E14&gt;E15,E14-E15,0)</f>
        <v>0</v>
      </c>
      <c r="H16" s="166"/>
      <c r="I16" s="160"/>
      <c r="J16" s="160"/>
    </row>
    <row r="17" spans="1:10" ht="15">
      <c r="A17" s="167"/>
      <c r="B17" s="167"/>
      <c r="C17" s="155"/>
      <c r="D17" s="155"/>
      <c r="E17" s="160"/>
      <c r="F17" s="160"/>
      <c r="G17" s="166" t="s">
        <v>202</v>
      </c>
      <c r="H17" s="166"/>
      <c r="I17" s="160"/>
      <c r="J17" s="160"/>
    </row>
    <row r="18" spans="1:10" ht="15">
      <c r="A18" s="167" t="s">
        <v>190</v>
      </c>
      <c r="B18" s="155" t="str">
        <f>CONCATENATE("Valuation of annexed territory for ",J1-1,"")</f>
        <v>Valuation of annexed territory for 2014</v>
      </c>
      <c r="C18" s="155"/>
      <c r="D18" s="155"/>
      <c r="E18" s="166"/>
      <c r="F18" s="160"/>
      <c r="G18" s="160"/>
      <c r="H18" s="160"/>
      <c r="I18" s="160"/>
      <c r="J18" s="160"/>
    </row>
    <row r="19" spans="1:10" ht="15">
      <c r="A19" s="167"/>
      <c r="B19" s="155" t="s">
        <v>191</v>
      </c>
      <c r="C19" s="155" t="s">
        <v>981</v>
      </c>
      <c r="D19" s="167" t="s">
        <v>181</v>
      </c>
      <c r="E19" s="924">
        <f>inputOth!E13</f>
        <v>0</v>
      </c>
      <c r="F19" s="160"/>
      <c r="G19" s="160"/>
      <c r="H19" s="160"/>
      <c r="I19" s="160"/>
      <c r="J19" s="160"/>
    </row>
    <row r="20" spans="1:10" ht="15">
      <c r="A20" s="167"/>
      <c r="B20" s="155" t="s">
        <v>192</v>
      </c>
      <c r="C20" s="155" t="s">
        <v>982</v>
      </c>
      <c r="D20" s="167" t="s">
        <v>181</v>
      </c>
      <c r="E20" s="924">
        <f>inputOth!E14</f>
        <v>0</v>
      </c>
      <c r="F20" s="160"/>
      <c r="G20" s="166"/>
      <c r="H20" s="166"/>
      <c r="I20" s="160"/>
      <c r="J20" s="160"/>
    </row>
    <row r="21" spans="1:10" ht="15">
      <c r="A21" s="167"/>
      <c r="B21" s="155" t="s">
        <v>193</v>
      </c>
      <c r="C21" s="155" t="s">
        <v>983</v>
      </c>
      <c r="D21" s="167" t="s">
        <v>184</v>
      </c>
      <c r="E21" s="924">
        <f>inputOth!E15</f>
        <v>0</v>
      </c>
      <c r="F21" s="160"/>
      <c r="G21" s="166"/>
      <c r="H21" s="166"/>
      <c r="I21" s="160"/>
      <c r="J21" s="160"/>
    </row>
    <row r="22" spans="1:10" ht="15">
      <c r="A22" s="167"/>
      <c r="B22" s="155" t="s">
        <v>194</v>
      </c>
      <c r="C22" s="155" t="s">
        <v>984</v>
      </c>
      <c r="D22" s="167"/>
      <c r="E22" s="166"/>
      <c r="F22" s="160" t="s">
        <v>181</v>
      </c>
      <c r="G22" s="162">
        <f>E19+E20-E21</f>
        <v>0</v>
      </c>
      <c r="H22" s="166"/>
      <c r="I22" s="160"/>
      <c r="J22" s="160"/>
    </row>
    <row r="23" spans="1:10" ht="15">
      <c r="A23" s="167"/>
      <c r="B23" s="167"/>
      <c r="C23" s="155"/>
      <c r="D23" s="167"/>
      <c r="E23" s="166"/>
      <c r="F23" s="160"/>
      <c r="G23" s="166"/>
      <c r="H23" s="166"/>
      <c r="I23" s="160"/>
      <c r="J23" s="160"/>
    </row>
    <row r="24" spans="1:10" ht="15">
      <c r="A24" s="167" t="s">
        <v>195</v>
      </c>
      <c r="B24" s="155" t="str">
        <f>CONCATENATE("Valuation of property that has changed in use during ",J1-1,"")</f>
        <v>Valuation of property that has changed in use during 2014</v>
      </c>
      <c r="C24" s="155"/>
      <c r="D24" s="155"/>
      <c r="E24" s="160"/>
      <c r="F24" s="160"/>
      <c r="G24" s="78">
        <f>inputOth!E16</f>
        <v>41156</v>
      </c>
      <c r="H24" s="160"/>
      <c r="I24" s="160"/>
      <c r="J24" s="160"/>
    </row>
    <row r="25" spans="1:10" ht="15">
      <c r="A25" s="155" t="s">
        <v>80</v>
      </c>
      <c r="B25" s="155"/>
      <c r="C25" s="155"/>
      <c r="D25" s="167"/>
      <c r="E25" s="166"/>
      <c r="F25" s="160"/>
      <c r="G25" s="169"/>
      <c r="H25" s="166"/>
      <c r="I25" s="160"/>
      <c r="J25" s="160"/>
    </row>
    <row r="26" spans="1:10" ht="15">
      <c r="A26" s="167" t="s">
        <v>196</v>
      </c>
      <c r="B26" s="155" t="s">
        <v>985</v>
      </c>
      <c r="C26" s="155"/>
      <c r="D26" s="155"/>
      <c r="E26" s="160"/>
      <c r="F26" s="160"/>
      <c r="G26" s="162">
        <f>G11+G16+G22+G24</f>
        <v>232638</v>
      </c>
      <c r="H26" s="166"/>
      <c r="I26" s="160"/>
      <c r="J26" s="160"/>
    </row>
    <row r="27" spans="1:10" ht="15">
      <c r="A27" s="167"/>
      <c r="B27" s="167"/>
      <c r="C27" s="155"/>
      <c r="D27" s="155"/>
      <c r="E27" s="160"/>
      <c r="F27" s="160"/>
      <c r="G27" s="166"/>
      <c r="H27" s="166"/>
      <c r="I27" s="160"/>
      <c r="J27" s="160"/>
    </row>
    <row r="28" spans="1:10" ht="15">
      <c r="A28" s="167" t="s">
        <v>197</v>
      </c>
      <c r="B28" s="155" t="str">
        <f>CONCATENATE("Total estimated valuation July 1,",J1-1,"")</f>
        <v>Total estimated valuation July 1,2014</v>
      </c>
      <c r="C28" s="155"/>
      <c r="D28" s="155"/>
      <c r="E28" s="162">
        <f>inputOth!E9</f>
        <v>29006726</v>
      </c>
      <c r="F28" s="160"/>
      <c r="G28" s="160"/>
      <c r="H28" s="160"/>
      <c r="I28" s="161"/>
      <c r="J28" s="160"/>
    </row>
    <row r="29" spans="1:10" ht="15">
      <c r="A29" s="167"/>
      <c r="B29" s="167"/>
      <c r="C29" s="155"/>
      <c r="D29" s="155"/>
      <c r="E29" s="166"/>
      <c r="F29" s="160"/>
      <c r="G29" s="160"/>
      <c r="H29" s="160"/>
      <c r="I29" s="161"/>
      <c r="J29" s="160"/>
    </row>
    <row r="30" spans="1:10" ht="15">
      <c r="A30" s="167" t="s">
        <v>198</v>
      </c>
      <c r="B30" s="155" t="s">
        <v>986</v>
      </c>
      <c r="C30" s="155"/>
      <c r="D30" s="155"/>
      <c r="E30" s="160"/>
      <c r="F30" s="160"/>
      <c r="G30" s="162">
        <f>E28-G26</f>
        <v>28774088</v>
      </c>
      <c r="H30" s="166"/>
      <c r="I30" s="161"/>
      <c r="J30" s="160"/>
    </row>
    <row r="31" spans="1:10" ht="15">
      <c r="A31" s="167"/>
      <c r="B31" s="167"/>
      <c r="C31" s="155"/>
      <c r="D31" s="155"/>
      <c r="E31" s="155"/>
      <c r="F31" s="155"/>
      <c r="G31" s="170"/>
      <c r="H31" s="171"/>
      <c r="I31" s="167"/>
      <c r="J31" s="155"/>
    </row>
    <row r="32" spans="1:10" ht="15">
      <c r="A32" s="167" t="s">
        <v>199</v>
      </c>
      <c r="B32" s="155" t="s">
        <v>987</v>
      </c>
      <c r="C32" s="155"/>
      <c r="D32" s="155"/>
      <c r="E32" s="155"/>
      <c r="F32" s="155"/>
      <c r="G32" s="172">
        <f>IF(G30&gt;0,G26/G30,0)</f>
        <v>0.008084982571819478</v>
      </c>
      <c r="H32" s="171"/>
      <c r="I32" s="155"/>
      <c r="J32" s="155"/>
    </row>
    <row r="33" spans="1:10" ht="15">
      <c r="A33" s="167"/>
      <c r="B33" s="167"/>
      <c r="C33" s="155"/>
      <c r="D33" s="155"/>
      <c r="E33" s="155"/>
      <c r="F33" s="155"/>
      <c r="G33" s="171"/>
      <c r="H33" s="171"/>
      <c r="I33" s="155"/>
      <c r="J33" s="155"/>
    </row>
    <row r="34" spans="1:10" ht="15">
      <c r="A34" s="167" t="s">
        <v>200</v>
      </c>
      <c r="B34" s="155" t="s">
        <v>988</v>
      </c>
      <c r="C34" s="155"/>
      <c r="D34" s="155"/>
      <c r="E34" s="155"/>
      <c r="F34" s="155"/>
      <c r="G34" s="171"/>
      <c r="H34" s="173" t="s">
        <v>181</v>
      </c>
      <c r="I34" s="155" t="s">
        <v>182</v>
      </c>
      <c r="J34" s="162">
        <f>ROUND(G32*J7,0)</f>
        <v>13493</v>
      </c>
    </row>
    <row r="35" spans="1:10" ht="15">
      <c r="A35" s="167"/>
      <c r="B35" s="167"/>
      <c r="C35" s="155"/>
      <c r="D35" s="155"/>
      <c r="E35" s="155"/>
      <c r="F35" s="155"/>
      <c r="G35" s="171"/>
      <c r="H35" s="173"/>
      <c r="I35" s="155"/>
      <c r="J35" s="166"/>
    </row>
    <row r="36" spans="1:10" ht="15.75" thickBot="1">
      <c r="A36" s="167" t="s">
        <v>201</v>
      </c>
      <c r="B36" s="155" t="str">
        <f>CONCATENATE(J1," budget tax levy, excluding debt service, prior to CPI adjustment (3 plus 12)")</f>
        <v>2015 budget tax levy, excluding debt service, prior to CPI adjustment (3 plus 12)</v>
      </c>
      <c r="C36" s="155"/>
      <c r="D36" s="155"/>
      <c r="E36" s="155"/>
      <c r="F36" s="155"/>
      <c r="G36" s="155"/>
      <c r="H36" s="155"/>
      <c r="I36" s="155" t="s">
        <v>182</v>
      </c>
      <c r="J36" s="174">
        <f>J7+J34</f>
        <v>1682437</v>
      </c>
    </row>
    <row r="37" spans="1:10" ht="15.75" thickTop="1">
      <c r="A37" s="155"/>
      <c r="B37" s="155"/>
      <c r="C37" s="155"/>
      <c r="D37" s="155"/>
      <c r="E37" s="155"/>
      <c r="F37" s="155"/>
      <c r="G37" s="155"/>
      <c r="H37" s="155"/>
      <c r="I37" s="155"/>
      <c r="J37" s="155"/>
    </row>
    <row r="38" spans="1:10" ht="15">
      <c r="A38" s="167" t="s">
        <v>212</v>
      </c>
      <c r="B38" s="155" t="str">
        <f>CONCATENATE("Debt service in this ",J1," budget")</f>
        <v>Debt service in this 2015 budget</v>
      </c>
      <c r="C38" s="155"/>
      <c r="D38" s="155"/>
      <c r="E38" s="155"/>
      <c r="F38" s="155"/>
      <c r="G38" s="155"/>
      <c r="H38" s="155"/>
      <c r="I38" s="155"/>
      <c r="J38" s="175">
        <f>DebtService!E63</f>
        <v>0</v>
      </c>
    </row>
    <row r="39" spans="1:10" ht="15">
      <c r="A39" s="167"/>
      <c r="B39" s="155"/>
      <c r="C39" s="155"/>
      <c r="D39" s="155"/>
      <c r="E39" s="155"/>
      <c r="F39" s="155"/>
      <c r="G39" s="155"/>
      <c r="H39" s="155"/>
      <c r="I39" s="155"/>
      <c r="J39" s="171"/>
    </row>
    <row r="40" spans="1:10" ht="15.75" thickBot="1">
      <c r="A40" s="167" t="s">
        <v>213</v>
      </c>
      <c r="B40" s="155" t="str">
        <f>CONCATENATE(J1," budget tax levy, including debt service, prior to CPI adjustment (13 plus 14)")</f>
        <v>2015 budget tax levy, including debt service, prior to CPI adjustment (13 plus 14)</v>
      </c>
      <c r="C40" s="155"/>
      <c r="D40" s="155"/>
      <c r="E40" s="155"/>
      <c r="F40" s="155"/>
      <c r="G40" s="155"/>
      <c r="H40" s="155"/>
      <c r="I40" s="155"/>
      <c r="J40" s="174">
        <f>J36+J38</f>
        <v>1682437</v>
      </c>
    </row>
    <row r="41" spans="1:10" ht="15.75" thickTop="1">
      <c r="A41" s="926"/>
      <c r="B41" s="925"/>
      <c r="C41" s="925"/>
      <c r="D41" s="925"/>
      <c r="E41" s="925"/>
      <c r="F41" s="925"/>
      <c r="G41" s="925"/>
      <c r="H41" s="925"/>
      <c r="I41" s="925"/>
      <c r="J41" s="365"/>
    </row>
    <row r="42" spans="1:10" ht="15">
      <c r="A42" s="928" t="s">
        <v>972</v>
      </c>
      <c r="B42" s="925" t="str">
        <f>CONCATENATE("Consumer Price Index for all urban consumers for calendar year ",J1-2)</f>
        <v>Consumer Price Index for all urban consumers for calendar year 2013</v>
      </c>
      <c r="C42" s="925"/>
      <c r="D42" s="925"/>
      <c r="E42" s="925"/>
      <c r="F42" s="925"/>
      <c r="G42" s="925"/>
      <c r="H42" s="925"/>
      <c r="I42" s="925"/>
      <c r="J42" s="929">
        <v>0.015</v>
      </c>
    </row>
    <row r="43" spans="1:10" ht="15">
      <c r="A43" s="928"/>
      <c r="B43" s="925"/>
      <c r="C43" s="925"/>
      <c r="D43" s="925"/>
      <c r="E43" s="925"/>
      <c r="F43" s="925"/>
      <c r="G43" s="925"/>
      <c r="H43" s="925"/>
      <c r="I43" s="925"/>
      <c r="J43" s="930"/>
    </row>
    <row r="44" spans="1:10" ht="15">
      <c r="A44" s="928" t="s">
        <v>973</v>
      </c>
      <c r="B44" s="925" t="s">
        <v>974</v>
      </c>
      <c r="C44" s="925"/>
      <c r="D44" s="925"/>
      <c r="E44" s="925"/>
      <c r="F44" s="925"/>
      <c r="G44" s="925"/>
      <c r="H44" s="925"/>
      <c r="I44" s="153" t="s">
        <v>182</v>
      </c>
      <c r="J44" s="924">
        <f>J7*J42</f>
        <v>25034.16</v>
      </c>
    </row>
    <row r="45" spans="1:10" ht="15">
      <c r="A45" s="926"/>
      <c r="B45" s="925"/>
      <c r="C45" s="925"/>
      <c r="D45" s="925"/>
      <c r="E45" s="925"/>
      <c r="F45" s="925"/>
      <c r="G45" s="925"/>
      <c r="H45" s="925"/>
      <c r="I45" s="925"/>
      <c r="J45" s="365"/>
    </row>
    <row r="46" spans="1:10" ht="15">
      <c r="A46" s="926" t="s">
        <v>975</v>
      </c>
      <c r="B46" s="925" t="str">
        <f>CONCATENATE("Maximum levy for budget year ",J1," including debt service, not requiring 'notice of vote publication.'")</f>
        <v>Maximum levy for budget year 2015 including debt service, not requiring 'notice of vote publication.'</v>
      </c>
      <c r="C46" s="925"/>
      <c r="D46" s="925"/>
      <c r="E46" s="925"/>
      <c r="F46" s="925"/>
      <c r="G46" s="925"/>
      <c r="H46" s="925"/>
      <c r="I46" s="925"/>
      <c r="J46" s="78"/>
    </row>
    <row r="47" spans="1:10" ht="18" thickBot="1">
      <c r="A47" s="922"/>
      <c r="B47" s="153" t="s">
        <v>976</v>
      </c>
      <c r="C47" s="922"/>
      <c r="D47" s="922"/>
      <c r="E47" s="922"/>
      <c r="F47" s="922"/>
      <c r="G47" s="922"/>
      <c r="H47" s="922"/>
      <c r="I47" s="153" t="s">
        <v>182</v>
      </c>
      <c r="J47" s="927">
        <f>J40+J44</f>
        <v>1707471.16</v>
      </c>
    </row>
    <row r="48" spans="1:10" ht="18" thickTop="1">
      <c r="A48" s="922"/>
      <c r="B48" s="931"/>
      <c r="C48" s="922"/>
      <c r="D48" s="922"/>
      <c r="E48" s="922"/>
      <c r="F48" s="922"/>
      <c r="G48" s="922"/>
      <c r="H48" s="922"/>
      <c r="I48" s="153"/>
      <c r="J48" s="365"/>
    </row>
    <row r="49" spans="1:10" ht="18">
      <c r="A49" s="922"/>
      <c r="B49" s="931"/>
      <c r="C49" s="922"/>
      <c r="D49" s="922"/>
      <c r="E49" s="922"/>
      <c r="F49" s="922"/>
      <c r="G49" s="922"/>
      <c r="H49" s="922"/>
      <c r="I49" s="153"/>
      <c r="J49" s="365"/>
    </row>
    <row r="50" spans="1:10" ht="18">
      <c r="A50" s="995" t="str">
        <f>CONCATENATE("If the ",J1," adopted budget includes a total property tax levy exceeding the dollar amount in line 18")</f>
        <v>If the 2015 adopted budget includes a total property tax levy exceeding the dollar amount in line 18</v>
      </c>
      <c r="B50" s="995"/>
      <c r="C50" s="995"/>
      <c r="D50" s="995"/>
      <c r="E50" s="995"/>
      <c r="F50" s="995"/>
      <c r="G50" s="995"/>
      <c r="H50" s="995"/>
      <c r="I50" s="995"/>
      <c r="J50" s="995"/>
    </row>
    <row r="51" spans="1:10" ht="18">
      <c r="A51" s="995" t="s">
        <v>977</v>
      </c>
      <c r="B51" s="995"/>
      <c r="C51" s="995"/>
      <c r="D51" s="995"/>
      <c r="E51" s="995"/>
      <c r="F51" s="995"/>
      <c r="G51" s="995"/>
      <c r="H51" s="995"/>
      <c r="I51" s="995"/>
      <c r="J51" s="995"/>
    </row>
    <row r="52" spans="1:10" ht="15">
      <c r="A52" s="992" t="s">
        <v>978</v>
      </c>
      <c r="B52" s="992"/>
      <c r="C52" s="992"/>
      <c r="D52" s="992"/>
      <c r="E52" s="992"/>
      <c r="F52" s="992"/>
      <c r="G52" s="992"/>
      <c r="H52" s="992"/>
      <c r="I52" s="992"/>
      <c r="J52" s="992"/>
    </row>
    <row r="53" spans="1:10" ht="15.75" customHeight="1">
      <c r="A53" s="992" t="s">
        <v>1013</v>
      </c>
      <c r="B53" s="992"/>
      <c r="C53" s="992"/>
      <c r="D53" s="992"/>
      <c r="E53" s="992"/>
      <c r="F53" s="992"/>
      <c r="G53" s="992"/>
      <c r="H53" s="992"/>
      <c r="I53" s="992"/>
      <c r="J53" s="992"/>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81"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C9" sqref="C9"/>
    </sheetView>
  </sheetViews>
  <sheetFormatPr defaultColWidth="8.8984375" defaultRowHeight="15"/>
  <cols>
    <col min="1" max="1" width="8.8984375" style="30" customWidth="1"/>
    <col min="2" max="2" width="17.8984375" style="30" customWidth="1"/>
    <col min="3" max="3" width="16.09765625" style="30" customWidth="1"/>
    <col min="4" max="6" width="12.69921875" style="30" customWidth="1"/>
    <col min="7" max="7" width="10.19921875" style="30" customWidth="1"/>
    <col min="8" max="16384" width="8.8984375" style="30" customWidth="1"/>
  </cols>
  <sheetData>
    <row r="1" spans="1:8" ht="15">
      <c r="A1" s="32"/>
      <c r="B1" s="176" t="str">
        <f>inputPrYr!D2</f>
        <v>City of Russell</v>
      </c>
      <c r="C1" s="176"/>
      <c r="D1" s="32"/>
      <c r="E1" s="32"/>
      <c r="F1" s="32"/>
      <c r="G1" s="32">
        <f>inputPrYr!C5</f>
        <v>2015</v>
      </c>
      <c r="H1" s="32"/>
    </row>
    <row r="2" spans="1:8" ht="15">
      <c r="A2" s="32"/>
      <c r="B2" s="32"/>
      <c r="C2" s="32"/>
      <c r="D2" s="32"/>
      <c r="E2" s="32"/>
      <c r="F2" s="32"/>
      <c r="G2" s="32"/>
      <c r="H2" s="32"/>
    </row>
    <row r="3" spans="1:8" ht="15">
      <c r="A3" s="32"/>
      <c r="B3" s="996" t="s">
        <v>877</v>
      </c>
      <c r="C3" s="996"/>
      <c r="D3" s="996"/>
      <c r="E3" s="996"/>
      <c r="F3" s="996"/>
      <c r="G3" s="32"/>
      <c r="H3" s="32"/>
    </row>
    <row r="4" spans="1:8" ht="15">
      <c r="A4" s="32"/>
      <c r="B4" s="32"/>
      <c r="C4" s="177"/>
      <c r="D4" s="177"/>
      <c r="E4" s="177"/>
      <c r="F4" s="32"/>
      <c r="G4" s="32"/>
      <c r="H4" s="32"/>
    </row>
    <row r="5" spans="1:8" ht="21" customHeight="1">
      <c r="A5" s="32"/>
      <c r="B5" s="178" t="s">
        <v>270</v>
      </c>
      <c r="C5" s="179" t="s">
        <v>878</v>
      </c>
      <c r="D5" s="997" t="str">
        <f>CONCATENATE("Allocation for Year ",G1,"")</f>
        <v>Allocation for Year 2015</v>
      </c>
      <c r="E5" s="998"/>
      <c r="F5" s="999"/>
      <c r="G5" s="32"/>
      <c r="H5" s="32"/>
    </row>
    <row r="6" spans="1:8" ht="15">
      <c r="A6" s="32"/>
      <c r="B6" s="180" t="str">
        <f>CONCATENATE("for ",G1-1,"")</f>
        <v>for 2014</v>
      </c>
      <c r="C6" s="180" t="str">
        <f>CONCATENATE("Amount for ",G1-2,"")</f>
        <v>Amount for 2013</v>
      </c>
      <c r="D6" s="131" t="s">
        <v>175</v>
      </c>
      <c r="E6" s="131" t="s">
        <v>176</v>
      </c>
      <c r="F6" s="131" t="s">
        <v>174</v>
      </c>
      <c r="G6" s="742"/>
      <c r="H6" s="32"/>
    </row>
    <row r="7" spans="1:8" ht="15">
      <c r="A7" s="32"/>
      <c r="B7" s="68" t="str">
        <f>(inputPrYr!B17)</f>
        <v>General</v>
      </c>
      <c r="C7" s="134">
        <f>(inputPrYr!E17)</f>
        <v>696428</v>
      </c>
      <c r="D7" s="134">
        <f>IF(inputPrYr!E17=0,0,D23-SUM(D8:D19))</f>
        <v>112667</v>
      </c>
      <c r="E7" s="134">
        <f>IF(inputPrYr!E17=0,0,E24-SUM(E8:E19))</f>
        <v>1625</v>
      </c>
      <c r="F7" s="134">
        <f>IF(inputPrYr!E17=0,0,F25-SUM(F8:F19))</f>
        <v>2695</v>
      </c>
      <c r="G7" s="743"/>
      <c r="H7" s="32"/>
    </row>
    <row r="8" spans="1:8" ht="15">
      <c r="A8" s="32"/>
      <c r="B8" s="68" t="str">
        <f>IF(inputPrYr!$B18&gt;"  ",(inputPrYr!$B18),"  ")</f>
        <v>Debt Service</v>
      </c>
      <c r="C8" s="134">
        <f>IF(inputPrYr!$E18&gt;0,(inputPrYr!$E18),"  ")</f>
        <v>14562</v>
      </c>
      <c r="D8" s="134">
        <f>IF(inputPrYr!E18&gt;0,ROUND(C8*$D$27,0),"  ")</f>
        <v>2356</v>
      </c>
      <c r="E8" s="134">
        <f>IF(inputPrYr!E18&gt;0,ROUND(+C8*E$28,0)," ")</f>
        <v>34</v>
      </c>
      <c r="F8" s="134">
        <f>IF(inputPrYr!E18&gt;0,ROUND(C8*F$29,0)," ")</f>
        <v>56</v>
      </c>
      <c r="G8" s="743"/>
      <c r="H8" s="32"/>
    </row>
    <row r="9" spans="1:8" ht="15">
      <c r="A9" s="32"/>
      <c r="B9" s="68" t="str">
        <f>IF(inputPrYr!$B19&gt;"  ",(inputPrYr!$B19),"  ")</f>
        <v>Library</v>
      </c>
      <c r="C9" s="134">
        <f>IF(inputPrYr!$E19&gt;0,(inputPrYr!$E19),"  ")</f>
        <v>122423</v>
      </c>
      <c r="D9" s="134">
        <f>IF(inputPrYr!E19&gt;0,ROUND(C9*$D$27,0),"  ")</f>
        <v>19805</v>
      </c>
      <c r="E9" s="134">
        <f>IF(inputPrYr!E19&gt;0,ROUND(+C9*E$28,0)," ")</f>
        <v>286</v>
      </c>
      <c r="F9" s="134">
        <f>IF(inputPrYr!E19&gt;0,ROUND(C9*F$29,0)," ")</f>
        <v>473</v>
      </c>
      <c r="G9" s="743"/>
      <c r="H9" s="32"/>
    </row>
    <row r="10" spans="1:8" ht="15">
      <c r="A10" s="32"/>
      <c r="B10" s="68" t="str">
        <f>IF(inputPrYr!$B21&gt;"  ",(inputPrYr!$B21),"  ")</f>
        <v>Airport</v>
      </c>
      <c r="C10" s="134">
        <f>IF(inputPrYr!$E21&gt;0,(inputPrYr!$E21),"  ")</f>
        <v>510</v>
      </c>
      <c r="D10" s="134">
        <f>IF(inputPrYr!E21&gt;0,ROUND(C10*$D$27,0),"  ")</f>
        <v>83</v>
      </c>
      <c r="E10" s="134">
        <f>IF(inputPrYr!E21&gt;0,ROUND(+C10*E$28,0)," ")</f>
        <v>1</v>
      </c>
      <c r="F10" s="134">
        <f>IF(inputPrYr!E21&gt;0,ROUND(+C10*F$29,0)," ")</f>
        <v>2</v>
      </c>
      <c r="G10" s="743"/>
      <c r="H10" s="32"/>
    </row>
    <row r="11" spans="1:8" ht="15">
      <c r="A11" s="32"/>
      <c r="B11" s="68" t="str">
        <f>IF(inputPrYr!$B22&gt;"  ",(inputPrYr!$B22),"  ")</f>
        <v>Industrial</v>
      </c>
      <c r="C11" s="134">
        <f>IF(inputPrYr!$E22&gt;0,(inputPrYr!$E22),"  ")</f>
        <v>22593</v>
      </c>
      <c r="D11" s="134">
        <f>IF(inputPrYr!E22&gt;0,ROUND(C11*$D$27,0),"  ")</f>
        <v>3655</v>
      </c>
      <c r="E11" s="134">
        <f>IF(inputPrYr!E22&gt;0,ROUND(+C11*E$28,0)," ")</f>
        <v>53</v>
      </c>
      <c r="F11" s="134">
        <f>IF(inputPrYr!E22&gt;0,ROUND(+C11*F$29,0)," ")</f>
        <v>87</v>
      </c>
      <c r="G11" s="743"/>
      <c r="H11" s="32"/>
    </row>
    <row r="12" spans="1:8" ht="15">
      <c r="A12" s="32"/>
      <c r="B12" s="68" t="str">
        <f>IF(inputPrYr!$B23&gt;"  ",(inputPrYr!$B23),"  ")</f>
        <v>Fire Equipment</v>
      </c>
      <c r="C12" s="134">
        <f>IF(inputPrYr!$E23&gt;0,(inputPrYr!$E23),"  ")</f>
        <v>3860</v>
      </c>
      <c r="D12" s="134">
        <f>IF(inputPrYr!E23&gt;0,ROUND(C12*$D$27,0),"  ")</f>
        <v>624</v>
      </c>
      <c r="E12" s="134">
        <f>IF(inputPrYr!E23&gt;0,ROUND(+C12*E$28,0)," ")</f>
        <v>9</v>
      </c>
      <c r="F12" s="134">
        <f>IF(inputPrYr!E23&gt;0,ROUND(+C12*F$29,0)," ")</f>
        <v>15</v>
      </c>
      <c r="G12" s="743"/>
      <c r="H12" s="32"/>
    </row>
    <row r="13" spans="1:8" ht="15">
      <c r="A13" s="32"/>
      <c r="B13" s="68" t="str">
        <f>IF(inputPrYr!$B24&gt;"  ",(inputPrYr!$B24),"  ")</f>
        <v>Personnel Benefits</v>
      </c>
      <c r="C13" s="134">
        <f>IF(inputPrYr!$E24&gt;0,(inputPrYr!$E24),"  ")</f>
        <v>823130</v>
      </c>
      <c r="D13" s="134">
        <f>IF(inputPrYr!E24&gt;0,ROUND(C13*$D$27,0),"  ")</f>
        <v>133165</v>
      </c>
      <c r="E13" s="134">
        <f>IF(inputPrYr!E24&gt;0,ROUND(+C13*E$28,0)," ")</f>
        <v>1922</v>
      </c>
      <c r="F13" s="134">
        <f>IF(inputPrYr!E24&gt;0,ROUND(+C13*F$29,0)," ")</f>
        <v>3183</v>
      </c>
      <c r="G13" s="743"/>
      <c r="H13" s="32"/>
    </row>
    <row r="14" spans="1:8" ht="15">
      <c r="A14" s="32"/>
      <c r="B14" s="68" t="str">
        <f>IF(inputPrYr!$B25&gt;"  ",(inputPrYr!$B25),"  ")</f>
        <v>  </v>
      </c>
      <c r="C14" s="134" t="str">
        <f>IF(inputPrYr!$E25&gt;0,(inputPrYr!$E25),"  ")</f>
        <v>  </v>
      </c>
      <c r="D14" s="134" t="str">
        <f>IF(inputPrYr!E25&gt;0,ROUND(C14*$D$27,0),"  ")</f>
        <v>  </v>
      </c>
      <c r="E14" s="134" t="str">
        <f>IF(inputPrYr!E25&gt;0,ROUND(+C14*E$28,0)," ")</f>
        <v> </v>
      </c>
      <c r="F14" s="134" t="str">
        <f>IF(inputPrYr!E25&gt;0,ROUND(+C14*F$29,0)," ")</f>
        <v> </v>
      </c>
      <c r="G14" s="743"/>
      <c r="H14" s="32"/>
    </row>
    <row r="15" spans="1:8" ht="15">
      <c r="A15" s="32"/>
      <c r="B15" s="68" t="str">
        <f>IF(inputPrYr!$B26&gt;"  ",(inputPrYr!$B26),"  ")</f>
        <v>  </v>
      </c>
      <c r="C15" s="134" t="str">
        <f>IF(inputPrYr!$E26&gt;0,(inputPrYr!$E26),"  ")</f>
        <v>  </v>
      </c>
      <c r="D15" s="134" t="str">
        <f>IF(inputPrYr!E26&gt;0,ROUND(C15*$D$27,0),"  ")</f>
        <v>  </v>
      </c>
      <c r="E15" s="134" t="str">
        <f>IF(inputPrYr!E26&gt;0,ROUND(+C15*E$28,0)," ")</f>
        <v> </v>
      </c>
      <c r="F15" s="134" t="str">
        <f>IF(inputPrYr!E26&gt;0,ROUND(+C15*F$29,0)," ")</f>
        <v> </v>
      </c>
      <c r="G15" s="743"/>
      <c r="H15" s="32"/>
    </row>
    <row r="16" spans="1:8" ht="15">
      <c r="A16" s="32"/>
      <c r="B16" s="68" t="str">
        <f>IF(inputPrYr!$B27&gt;"  ",(inputPrYr!$B27),"  ")</f>
        <v>  </v>
      </c>
      <c r="C16" s="134" t="str">
        <f>IF(inputPrYr!$E27&gt;0,(inputPrYr!$E27),"  ")</f>
        <v>  </v>
      </c>
      <c r="D16" s="134" t="str">
        <f>IF(inputPrYr!E27&gt;0,ROUND(C16*$D$27,0),"  ")</f>
        <v>  </v>
      </c>
      <c r="E16" s="134" t="str">
        <f>IF(inputPrYr!E27&gt;0,ROUND(+C16*E$28,0)," ")</f>
        <v> </v>
      </c>
      <c r="F16" s="134" t="str">
        <f>IF(inputPrYr!E27&gt;0,ROUND(+C16*F$29,0)," ")</f>
        <v> </v>
      </c>
      <c r="G16" s="743"/>
      <c r="H16" s="32"/>
    </row>
    <row r="17" spans="1:8" ht="15">
      <c r="A17" s="32"/>
      <c r="B17" s="68" t="str">
        <f>IF(inputPrYr!$B28&gt;"  ",(inputPrYr!$B28),"  ")</f>
        <v>  </v>
      </c>
      <c r="C17" s="134" t="str">
        <f>IF(inputPrYr!$E28&gt;0,(inputPrYr!$E28),"  ")</f>
        <v>  </v>
      </c>
      <c r="D17" s="134" t="str">
        <f>IF(inputPrYr!E28&gt;0,ROUND(C17*$D$27,0),"  ")</f>
        <v>  </v>
      </c>
      <c r="E17" s="134" t="str">
        <f>IF(inputPrYr!E28&gt;0,ROUND(+C17*E$28,0)," ")</f>
        <v> </v>
      </c>
      <c r="F17" s="134" t="str">
        <f>IF(inputPrYr!E28&gt;0,ROUND(+C17*F$29,0)," ")</f>
        <v> </v>
      </c>
      <c r="G17" s="743"/>
      <c r="H17" s="32"/>
    </row>
    <row r="18" spans="1:8" ht="15">
      <c r="A18" s="32"/>
      <c r="B18" s="68" t="str">
        <f>IF(inputPrYr!$B29&gt;"  ",(inputPrYr!$B29),"  ")</f>
        <v>  </v>
      </c>
      <c r="C18" s="134" t="str">
        <f>IF(inputPrYr!$E29&gt;0,(inputPrYr!$E29),"  ")</f>
        <v>  </v>
      </c>
      <c r="D18" s="134" t="str">
        <f>IF(inputPrYr!E29&gt;0,ROUND(C18*$D$27,0),"  ")</f>
        <v>  </v>
      </c>
      <c r="E18" s="134" t="str">
        <f>IF(inputPrYr!E29&gt;0,ROUND(+C18*E$28,0)," ")</f>
        <v> </v>
      </c>
      <c r="F18" s="134" t="str">
        <f>IF(inputPrYr!E29&gt;0,ROUND(+C18*F$29,0)," ")</f>
        <v> </v>
      </c>
      <c r="G18" s="743"/>
      <c r="H18" s="32"/>
    </row>
    <row r="19" spans="1:8" ht="15">
      <c r="A19" s="32"/>
      <c r="B19" s="68" t="str">
        <f>IF(inputPrYr!$B30&gt;"  ",(inputPrYr!$B30),"  ")</f>
        <v>  </v>
      </c>
      <c r="C19" s="134" t="str">
        <f>IF(inputPrYr!$E30&gt;0,(inputPrYr!$E30),"  ")</f>
        <v>  </v>
      </c>
      <c r="D19" s="134" t="str">
        <f>IF(inputPrYr!E30&gt;0,ROUND(C19*$D$27,0),"  ")</f>
        <v>  </v>
      </c>
      <c r="E19" s="134" t="str">
        <f>IF(inputPrYr!E30&gt;0,ROUND(+C19*E$28,0)," ")</f>
        <v> </v>
      </c>
      <c r="F19" s="134" t="str">
        <f>IF(inputPrYr!E30&gt;0,ROUND(+C19*F$29,0)," ")</f>
        <v> </v>
      </c>
      <c r="G19" s="743"/>
      <c r="H19" s="32"/>
    </row>
    <row r="20" spans="1:8" ht="15">
      <c r="A20" s="32"/>
      <c r="B20" s="68" t="str">
        <f>inputPrYr!B33</f>
        <v>Recreation</v>
      </c>
      <c r="C20" s="127">
        <f>inputPrYr!E33</f>
        <v>94193</v>
      </c>
      <c r="D20" s="134">
        <f>IF(inputPrYr!E33&gt;0,ROUND(C20*$D$27,0),"  ")</f>
        <v>15238</v>
      </c>
      <c r="E20" s="134">
        <f>IF(inputPrYr!E33&gt;0,ROUND(+C20*E$28,0)," ")</f>
        <v>220</v>
      </c>
      <c r="F20" s="134">
        <f>IF(inputPrYr!E33&gt;0,ROUND(+C20*F$29,0)," ")</f>
        <v>364</v>
      </c>
      <c r="G20" s="743"/>
      <c r="H20" s="32"/>
    </row>
    <row r="21" spans="1:8" ht="15.75" thickBot="1">
      <c r="A21" s="32"/>
      <c r="B21" s="744" t="s">
        <v>98</v>
      </c>
      <c r="C21" s="141">
        <f>SUM(C7:C19)</f>
        <v>1683506</v>
      </c>
      <c r="D21" s="181">
        <f>SUM(D7:D19)</f>
        <v>272355</v>
      </c>
      <c r="E21" s="181">
        <f>SUM(E7:E19)</f>
        <v>3930</v>
      </c>
      <c r="F21" s="181">
        <f>SUM(F7:F19)</f>
        <v>6511</v>
      </c>
      <c r="G21" s="32"/>
      <c r="H21" s="32"/>
    </row>
    <row r="22" spans="1:8" ht="15.75" thickTop="1">
      <c r="A22" s="32"/>
      <c r="B22" s="32"/>
      <c r="C22" s="58"/>
      <c r="D22" s="58"/>
      <c r="E22" s="58"/>
      <c r="F22" s="58"/>
      <c r="G22" s="32"/>
      <c r="H22" s="32"/>
    </row>
    <row r="23" spans="1:8" ht="15">
      <c r="A23" s="32"/>
      <c r="B23" s="33" t="s">
        <v>99</v>
      </c>
      <c r="C23" s="182"/>
      <c r="D23" s="741">
        <f>(inputOth!E42)</f>
        <v>272355</v>
      </c>
      <c r="E23" s="182"/>
      <c r="F23" s="32"/>
      <c r="G23" s="32"/>
      <c r="H23" s="32"/>
    </row>
    <row r="24" spans="1:8" ht="15">
      <c r="A24" s="32"/>
      <c r="B24" s="33" t="s">
        <v>100</v>
      </c>
      <c r="C24" s="32"/>
      <c r="D24" s="32"/>
      <c r="E24" s="741">
        <f>(inputOth!E43)</f>
        <v>3930</v>
      </c>
      <c r="F24" s="32"/>
      <c r="G24" s="32"/>
      <c r="H24" s="32"/>
    </row>
    <row r="25" spans="1:8" ht="15">
      <c r="A25" s="32"/>
      <c r="B25" s="33" t="s">
        <v>177</v>
      </c>
      <c r="C25" s="32"/>
      <c r="D25" s="32"/>
      <c r="E25" s="32"/>
      <c r="F25" s="741">
        <f>inputOth!E44</f>
        <v>6511</v>
      </c>
      <c r="G25" s="32"/>
      <c r="H25" s="32"/>
    </row>
    <row r="26" spans="1:8" ht="15">
      <c r="A26" s="32"/>
      <c r="B26" s="33"/>
      <c r="C26" s="32"/>
      <c r="D26" s="32"/>
      <c r="E26" s="32"/>
      <c r="F26" s="58"/>
      <c r="G26" s="365"/>
      <c r="H26" s="32"/>
    </row>
    <row r="27" spans="1:8" ht="15">
      <c r="A27" s="32"/>
      <c r="B27" s="33" t="s">
        <v>101</v>
      </c>
      <c r="C27" s="32"/>
      <c r="D27" s="183">
        <f>IF(C21=0,0,D23/C21)</f>
        <v>0.16177845520004086</v>
      </c>
      <c r="E27" s="32"/>
      <c r="F27" s="32"/>
      <c r="G27" s="32"/>
      <c r="H27" s="32"/>
    </row>
    <row r="28" spans="1:8" ht="15">
      <c r="A28" s="32"/>
      <c r="B28" s="32"/>
      <c r="C28" s="33" t="s">
        <v>102</v>
      </c>
      <c r="D28" s="32"/>
      <c r="E28" s="183">
        <f>IF(C21=0,0,E24/C21)</f>
        <v>0.0023344140145624666</v>
      </c>
      <c r="F28" s="32"/>
      <c r="G28" s="32"/>
      <c r="H28" s="32"/>
    </row>
    <row r="29" spans="1:8" ht="15">
      <c r="A29" s="32"/>
      <c r="B29" s="32"/>
      <c r="C29" s="32"/>
      <c r="D29" s="33" t="s">
        <v>178</v>
      </c>
      <c r="E29" s="32"/>
      <c r="F29" s="183">
        <f>IF(C21=0,0,F25/C21)</f>
        <v>0.0038675240836682496</v>
      </c>
      <c r="G29" s="32"/>
      <c r="H29" s="32"/>
    </row>
    <row r="30" spans="1:8" ht="15">
      <c r="A30" s="32"/>
      <c r="B30" s="32"/>
      <c r="C30" s="32"/>
      <c r="D30" s="32"/>
      <c r="E30" s="32"/>
      <c r="F30" s="32"/>
      <c r="G30" s="32"/>
      <c r="H30" s="32"/>
    </row>
    <row r="31" spans="1:8" ht="15">
      <c r="A31" s="32"/>
      <c r="B31" s="49"/>
      <c r="C31" s="49"/>
      <c r="D31" s="49"/>
      <c r="E31" s="49"/>
      <c r="F31" s="49"/>
      <c r="G31" s="49"/>
      <c r="H31" s="32"/>
    </row>
  </sheetData>
  <sheetProtection sheet="1"/>
  <mergeCells count="2">
    <mergeCell ref="B3:F3"/>
    <mergeCell ref="D5:F5"/>
  </mergeCells>
  <printOptions/>
  <pageMargins left="0.83" right="0.5" top="1" bottom="0.5" header="0.5" footer="0.5"/>
  <pageSetup blackAndWhite="1" fitToHeight="1" fitToWidth="1" horizontalDpi="120" verticalDpi="120" orientation="portrait" scale="76"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D23" sqref="D23"/>
    </sheetView>
  </sheetViews>
  <sheetFormatPr defaultColWidth="8.8984375" defaultRowHeight="15"/>
  <cols>
    <col min="1" max="2" width="17.69921875" style="18" customWidth="1"/>
    <col min="3" max="6" width="12.69921875" style="18" customWidth="1"/>
    <col min="7" max="16384" width="8.8984375" style="18" customWidth="1"/>
  </cols>
  <sheetData>
    <row r="1" spans="1:6" ht="15">
      <c r="A1" s="156" t="str">
        <f>inputPrYr!D2</f>
        <v>City of Russell</v>
      </c>
      <c r="B1" s="156"/>
      <c r="C1" s="155"/>
      <c r="D1" s="155"/>
      <c r="E1" s="155"/>
      <c r="F1" s="155">
        <f>inputPrYr!$C$5</f>
        <v>2015</v>
      </c>
    </row>
    <row r="2" spans="1:6" ht="15">
      <c r="A2" s="155"/>
      <c r="B2" s="155"/>
      <c r="C2" s="155"/>
      <c r="D2" s="155"/>
      <c r="E2" s="155"/>
      <c r="F2" s="155"/>
    </row>
    <row r="3" spans="1:6" ht="15">
      <c r="A3" s="1000" t="s">
        <v>219</v>
      </c>
      <c r="B3" s="1000"/>
      <c r="C3" s="1000"/>
      <c r="D3" s="1000"/>
      <c r="E3" s="1000"/>
      <c r="F3" s="1000"/>
    </row>
    <row r="4" spans="1:6" ht="15">
      <c r="A4" s="184"/>
      <c r="B4" s="184"/>
      <c r="C4" s="184"/>
      <c r="D4" s="184"/>
      <c r="E4" s="184"/>
      <c r="F4" s="184"/>
    </row>
    <row r="5" spans="1:6" ht="15">
      <c r="A5" s="185" t="s">
        <v>621</v>
      </c>
      <c r="B5" s="185" t="s">
        <v>622</v>
      </c>
      <c r="C5" s="185" t="s">
        <v>126</v>
      </c>
      <c r="D5" s="185" t="s">
        <v>224</v>
      </c>
      <c r="E5" s="185" t="s">
        <v>225</v>
      </c>
      <c r="F5" s="185" t="s">
        <v>262</v>
      </c>
    </row>
    <row r="6" spans="1:6" ht="15">
      <c r="A6" s="186" t="s">
        <v>623</v>
      </c>
      <c r="B6" s="186" t="s">
        <v>624</v>
      </c>
      <c r="C6" s="186" t="s">
        <v>263</v>
      </c>
      <c r="D6" s="186" t="s">
        <v>263</v>
      </c>
      <c r="E6" s="186" t="s">
        <v>263</v>
      </c>
      <c r="F6" s="186" t="s">
        <v>264</v>
      </c>
    </row>
    <row r="7" spans="1:6" ht="15" customHeight="1">
      <c r="A7" s="187" t="s">
        <v>265</v>
      </c>
      <c r="B7" s="187" t="s">
        <v>266</v>
      </c>
      <c r="C7" s="188">
        <f>F1-2</f>
        <v>2013</v>
      </c>
      <c r="D7" s="188">
        <f>F1-1</f>
        <v>2014</v>
      </c>
      <c r="E7" s="188">
        <f>F1</f>
        <v>2015</v>
      </c>
      <c r="F7" s="187" t="s">
        <v>267</v>
      </c>
    </row>
    <row r="8" spans="1:6" ht="14.25" customHeight="1">
      <c r="A8" s="189" t="s">
        <v>73</v>
      </c>
      <c r="B8" s="189" t="s">
        <v>1015</v>
      </c>
      <c r="C8" s="190">
        <v>36899</v>
      </c>
      <c r="D8" s="190">
        <v>33000</v>
      </c>
      <c r="E8" s="190">
        <v>31000</v>
      </c>
      <c r="F8" s="191" t="s">
        <v>1156</v>
      </c>
    </row>
    <row r="9" spans="1:6" ht="15" customHeight="1">
      <c r="A9" s="192" t="s">
        <v>73</v>
      </c>
      <c r="B9" s="192" t="s">
        <v>1147</v>
      </c>
      <c r="C9" s="193">
        <v>182782</v>
      </c>
      <c r="D9" s="193">
        <v>85300</v>
      </c>
      <c r="E9" s="193">
        <v>120000</v>
      </c>
      <c r="F9" s="191" t="s">
        <v>1157</v>
      </c>
    </row>
    <row r="10" spans="1:6" ht="15" customHeight="1">
      <c r="A10" s="192" t="s">
        <v>73</v>
      </c>
      <c r="B10" s="192" t="s">
        <v>1148</v>
      </c>
      <c r="C10" s="193">
        <v>152883</v>
      </c>
      <c r="D10" s="193">
        <v>61500</v>
      </c>
      <c r="E10" s="193">
        <v>150000</v>
      </c>
      <c r="F10" s="191" t="s">
        <v>1158</v>
      </c>
    </row>
    <row r="11" spans="1:6" ht="15" customHeight="1">
      <c r="A11" s="192" t="s">
        <v>73</v>
      </c>
      <c r="B11" s="192" t="s">
        <v>1149</v>
      </c>
      <c r="C11" s="193">
        <v>500</v>
      </c>
      <c r="D11" s="193">
        <v>500</v>
      </c>
      <c r="E11" s="193">
        <v>500</v>
      </c>
      <c r="F11" s="964" t="s">
        <v>1159</v>
      </c>
    </row>
    <row r="12" spans="1:6" ht="15" customHeight="1">
      <c r="A12" s="192" t="s">
        <v>205</v>
      </c>
      <c r="B12" s="192" t="s">
        <v>1147</v>
      </c>
      <c r="C12" s="193">
        <v>0</v>
      </c>
      <c r="D12" s="193">
        <v>0</v>
      </c>
      <c r="E12" s="193">
        <v>650000</v>
      </c>
      <c r="F12" s="191" t="s">
        <v>1157</v>
      </c>
    </row>
    <row r="13" spans="1:6" ht="15" customHeight="1">
      <c r="A13" s="192" t="s">
        <v>1018</v>
      </c>
      <c r="B13" s="192" t="s">
        <v>73</v>
      </c>
      <c r="C13" s="193">
        <v>415000</v>
      </c>
      <c r="D13" s="193">
        <v>450000</v>
      </c>
      <c r="E13" s="193">
        <v>430000</v>
      </c>
      <c r="F13" s="191" t="s">
        <v>1160</v>
      </c>
    </row>
    <row r="14" spans="1:6" ht="15" customHeight="1">
      <c r="A14" s="192" t="s">
        <v>1018</v>
      </c>
      <c r="B14" s="192" t="s">
        <v>1152</v>
      </c>
      <c r="C14" s="193">
        <v>375000</v>
      </c>
      <c r="D14" s="193">
        <v>375000</v>
      </c>
      <c r="E14" s="193">
        <v>375000</v>
      </c>
      <c r="F14" s="191" t="s">
        <v>1160</v>
      </c>
    </row>
    <row r="15" spans="1:6" ht="15" customHeight="1">
      <c r="A15" s="192" t="s">
        <v>1018</v>
      </c>
      <c r="B15" s="192" t="s">
        <v>1022</v>
      </c>
      <c r="C15" s="193">
        <v>250000</v>
      </c>
      <c r="D15" s="193">
        <v>250000</v>
      </c>
      <c r="E15" s="193">
        <v>250000</v>
      </c>
      <c r="F15" s="191" t="s">
        <v>1160</v>
      </c>
    </row>
    <row r="16" spans="1:6" ht="15" customHeight="1">
      <c r="A16" s="192" t="s">
        <v>1018</v>
      </c>
      <c r="B16" s="192" t="s">
        <v>1149</v>
      </c>
      <c r="C16" s="193">
        <v>3500</v>
      </c>
      <c r="D16" s="193">
        <v>3500</v>
      </c>
      <c r="E16" s="193">
        <v>3500</v>
      </c>
      <c r="F16" s="964" t="s">
        <v>1159</v>
      </c>
    </row>
    <row r="17" spans="1:6" ht="15" customHeight="1">
      <c r="A17" s="192" t="s">
        <v>1150</v>
      </c>
      <c r="B17" s="192" t="s">
        <v>73</v>
      </c>
      <c r="C17" s="193">
        <v>110000</v>
      </c>
      <c r="D17" s="193">
        <v>115000</v>
      </c>
      <c r="E17" s="193">
        <v>100000</v>
      </c>
      <c r="F17" s="964" t="s">
        <v>1160</v>
      </c>
    </row>
    <row r="18" spans="1:6" ht="15" customHeight="1">
      <c r="A18" s="192" t="s">
        <v>1150</v>
      </c>
      <c r="B18" s="192" t="s">
        <v>1151</v>
      </c>
      <c r="C18" s="193">
        <v>440653</v>
      </c>
      <c r="D18" s="193">
        <v>438296</v>
      </c>
      <c r="E18" s="193">
        <v>475500</v>
      </c>
      <c r="F18" s="964" t="s">
        <v>1160</v>
      </c>
    </row>
    <row r="19" spans="1:6" ht="15" customHeight="1">
      <c r="A19" s="192" t="s">
        <v>1150</v>
      </c>
      <c r="B19" s="192" t="s">
        <v>1152</v>
      </c>
      <c r="C19" s="193">
        <v>245000</v>
      </c>
      <c r="D19" s="193">
        <v>250000</v>
      </c>
      <c r="E19" s="193">
        <v>250000</v>
      </c>
      <c r="F19" s="964" t="s">
        <v>1160</v>
      </c>
    </row>
    <row r="20" spans="1:6" ht="15" customHeight="1">
      <c r="A20" s="192" t="s">
        <v>1150</v>
      </c>
      <c r="B20" s="192" t="s">
        <v>1023</v>
      </c>
      <c r="C20" s="193">
        <v>75000</v>
      </c>
      <c r="D20" s="193">
        <v>300000</v>
      </c>
      <c r="E20" s="193">
        <v>300000</v>
      </c>
      <c r="F20" s="964" t="s">
        <v>1160</v>
      </c>
    </row>
    <row r="21" spans="1:6" ht="15" customHeight="1">
      <c r="A21" s="192" t="s">
        <v>1150</v>
      </c>
      <c r="B21" s="192" t="s">
        <v>1149</v>
      </c>
      <c r="C21" s="193">
        <v>1000</v>
      </c>
      <c r="D21" s="193">
        <v>1000</v>
      </c>
      <c r="E21" s="193">
        <v>1000</v>
      </c>
      <c r="F21" s="964" t="s">
        <v>1159</v>
      </c>
    </row>
    <row r="22" spans="1:6" ht="15" customHeight="1">
      <c r="A22" s="192" t="s">
        <v>1020</v>
      </c>
      <c r="B22" s="192" t="s">
        <v>1152</v>
      </c>
      <c r="C22" s="193">
        <v>110000</v>
      </c>
      <c r="D22" s="193">
        <v>115000</v>
      </c>
      <c r="E22" s="193">
        <v>115000</v>
      </c>
      <c r="F22" s="964" t="s">
        <v>1160</v>
      </c>
    </row>
    <row r="23" spans="1:6" ht="15" customHeight="1">
      <c r="A23" s="192" t="s">
        <v>1020</v>
      </c>
      <c r="B23" s="192" t="s">
        <v>73</v>
      </c>
      <c r="C23" s="193">
        <v>35000</v>
      </c>
      <c r="D23" s="193">
        <v>35000</v>
      </c>
      <c r="E23" s="193">
        <v>35000</v>
      </c>
      <c r="F23" s="964" t="s">
        <v>1160</v>
      </c>
    </row>
    <row r="24" spans="1:6" ht="15" customHeight="1">
      <c r="A24" s="192" t="s">
        <v>1021</v>
      </c>
      <c r="B24" s="192" t="s">
        <v>1155</v>
      </c>
      <c r="C24" s="193">
        <v>50000</v>
      </c>
      <c r="D24" s="193">
        <v>75000</v>
      </c>
      <c r="E24" s="193">
        <v>546000</v>
      </c>
      <c r="F24" s="964" t="s">
        <v>1161</v>
      </c>
    </row>
    <row r="25" spans="1:6" ht="15" customHeight="1">
      <c r="A25" s="192" t="s">
        <v>1021</v>
      </c>
      <c r="B25" s="192" t="s">
        <v>73</v>
      </c>
      <c r="C25" s="193">
        <v>43000</v>
      </c>
      <c r="D25" s="193">
        <v>45000</v>
      </c>
      <c r="E25" s="193">
        <v>250000</v>
      </c>
      <c r="F25" s="964" t="s">
        <v>1160</v>
      </c>
    </row>
    <row r="26" spans="1:6" ht="15" customHeight="1">
      <c r="A26" s="192" t="s">
        <v>1021</v>
      </c>
      <c r="B26" s="192" t="s">
        <v>1152</v>
      </c>
      <c r="C26" s="193">
        <v>70000</v>
      </c>
      <c r="D26" s="193">
        <v>75000</v>
      </c>
      <c r="E26" s="193">
        <v>80000</v>
      </c>
      <c r="F26" s="964" t="s">
        <v>1160</v>
      </c>
    </row>
    <row r="27" spans="1:6" ht="15" customHeight="1">
      <c r="A27" s="79"/>
      <c r="B27" s="194" t="s">
        <v>91</v>
      </c>
      <c r="C27" s="195">
        <f>SUM(C8:C26)</f>
        <v>2596217</v>
      </c>
      <c r="D27" s="195">
        <f>SUM(D8:D26)</f>
        <v>2708096</v>
      </c>
      <c r="E27" s="195">
        <f>SUM(E8:E26)</f>
        <v>4162500</v>
      </c>
      <c r="F27" s="196"/>
    </row>
    <row r="28" spans="1:6" ht="15" customHeight="1">
      <c r="A28" s="79"/>
      <c r="B28" s="197" t="s">
        <v>268</v>
      </c>
      <c r="C28" s="139"/>
      <c r="D28" s="198"/>
      <c r="E28" s="198"/>
      <c r="F28" s="196"/>
    </row>
    <row r="29" spans="1:6" ht="15" customHeight="1">
      <c r="A29" s="79"/>
      <c r="B29" s="194" t="s">
        <v>269</v>
      </c>
      <c r="C29" s="195">
        <f>C27</f>
        <v>2596217</v>
      </c>
      <c r="D29" s="195">
        <f>SUM(D27-D28)</f>
        <v>2708096</v>
      </c>
      <c r="E29" s="195">
        <f>SUM(E27-E28)</f>
        <v>4162500</v>
      </c>
      <c r="F29" s="196"/>
    </row>
    <row r="30" spans="1:6" ht="15" customHeight="1">
      <c r="A30" s="79"/>
      <c r="B30" s="79"/>
      <c r="C30" s="79"/>
      <c r="D30" s="79"/>
      <c r="E30" s="79"/>
      <c r="F30" s="79"/>
    </row>
    <row r="31" spans="1:6" ht="15" customHeight="1">
      <c r="A31" s="79"/>
      <c r="B31" s="79"/>
      <c r="C31" s="79"/>
      <c r="D31" s="79"/>
      <c r="E31" s="79"/>
      <c r="F31" s="79"/>
    </row>
    <row r="32" spans="1:6" ht="15" customHeight="1">
      <c r="A32" s="358" t="s">
        <v>620</v>
      </c>
      <c r="B32" s="359" t="str">
        <f>CONCATENATE("Adjustments are required only if the transfer is being made in ",D7," and/or ",E7," from a non-budgeted fund.")</f>
        <v>Adjustments are required only if the transfer is being made in 2014 and/or 2015 from a non-budgeted fund.</v>
      </c>
      <c r="C32" s="79"/>
      <c r="D32" s="79"/>
      <c r="E32" s="79"/>
      <c r="F32" s="79"/>
    </row>
    <row r="33" ht="15" customHeight="1"/>
  </sheetData>
  <sheetProtection sheet="1"/>
  <mergeCells count="1">
    <mergeCell ref="A3:F3"/>
  </mergeCells>
  <printOptions/>
  <pageMargins left="0.75" right="0.75" top="1" bottom="1" header="0.5" footer="0.5"/>
  <pageSetup blackAndWhite="1" fitToHeight="1" fitToWidth="1" horizontalDpi="600" verticalDpi="600" orientation="landscape" scale="97"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A34" sqref="A34"/>
    </sheetView>
  </sheetViews>
  <sheetFormatPr defaultColWidth="8.8984375" defaultRowHeight="15"/>
  <cols>
    <col min="1" max="1" width="70.59765625" style="495" customWidth="1"/>
    <col min="2" max="16384" width="8.8984375" style="495" customWidth="1"/>
  </cols>
  <sheetData>
    <row r="1" ht="17.25">
      <c r="A1" s="496" t="s">
        <v>350</v>
      </c>
    </row>
    <row r="2" ht="17.25">
      <c r="A2" s="496"/>
    </row>
    <row r="3" ht="17.25">
      <c r="A3" s="496"/>
    </row>
    <row r="4" ht="51.75" customHeight="1">
      <c r="A4" s="506" t="s">
        <v>751</v>
      </c>
    </row>
    <row r="5" ht="17.25">
      <c r="A5" s="496"/>
    </row>
    <row r="6" ht="15">
      <c r="A6" s="497"/>
    </row>
    <row r="7" ht="46.5">
      <c r="A7" s="498" t="s">
        <v>351</v>
      </c>
    </row>
    <row r="8" ht="15">
      <c r="A8" s="497"/>
    </row>
    <row r="9" ht="15">
      <c r="A9" s="497"/>
    </row>
    <row r="10" ht="62.25">
      <c r="A10" s="498" t="s">
        <v>352</v>
      </c>
    </row>
    <row r="11" ht="15">
      <c r="A11" s="499"/>
    </row>
    <row r="12" ht="15">
      <c r="A12" s="497"/>
    </row>
    <row r="13" ht="46.5">
      <c r="A13" s="498" t="s">
        <v>353</v>
      </c>
    </row>
    <row r="14" ht="15">
      <c r="A14" s="499"/>
    </row>
    <row r="15" ht="15">
      <c r="A15" s="497"/>
    </row>
    <row r="16" ht="46.5">
      <c r="A16" s="498" t="s">
        <v>354</v>
      </c>
    </row>
    <row r="17" ht="15">
      <c r="A17" s="499"/>
    </row>
    <row r="18" ht="15">
      <c r="A18" s="499"/>
    </row>
    <row r="19" ht="46.5">
      <c r="A19" s="498" t="s">
        <v>355</v>
      </c>
    </row>
    <row r="20" ht="15">
      <c r="A20" s="499"/>
    </row>
    <row r="21" ht="15">
      <c r="A21" s="499"/>
    </row>
    <row r="22" ht="46.5">
      <c r="A22" s="498" t="s">
        <v>356</v>
      </c>
    </row>
    <row r="23" ht="15">
      <c r="A23" s="499"/>
    </row>
    <row r="24" ht="15">
      <c r="A24" s="499"/>
    </row>
    <row r="25" ht="30.75">
      <c r="A25" s="498" t="s">
        <v>357</v>
      </c>
    </row>
    <row r="26" ht="15">
      <c r="A26" s="497"/>
    </row>
    <row r="27" ht="15">
      <c r="A27" s="497"/>
    </row>
    <row r="28" ht="54.75">
      <c r="A28" s="500" t="s">
        <v>358</v>
      </c>
    </row>
    <row r="29" ht="15">
      <c r="A29" s="501"/>
    </row>
    <row r="30" ht="15">
      <c r="A30" s="501"/>
    </row>
    <row r="31" ht="46.5">
      <c r="A31" s="498" t="s">
        <v>359</v>
      </c>
    </row>
    <row r="32" ht="15">
      <c r="A32" s="497"/>
    </row>
    <row r="33" ht="15">
      <c r="A33" s="497"/>
    </row>
    <row r="34" ht="66.75" customHeight="1">
      <c r="A34" s="505" t="s">
        <v>752</v>
      </c>
    </row>
    <row r="35" ht="15">
      <c r="A35" s="497"/>
    </row>
    <row r="36" ht="15">
      <c r="A36" s="497"/>
    </row>
    <row r="37" ht="62.25">
      <c r="A37" s="502" t="s">
        <v>360</v>
      </c>
    </row>
    <row r="38" ht="15">
      <c r="A38" s="499"/>
    </row>
    <row r="39" ht="15">
      <c r="A39" s="497"/>
    </row>
    <row r="40" ht="62.25">
      <c r="A40" s="498" t="s">
        <v>361</v>
      </c>
    </row>
    <row r="41" ht="15">
      <c r="A41" s="499"/>
    </row>
    <row r="42" ht="15">
      <c r="A42" s="499"/>
    </row>
    <row r="43" ht="82.5" customHeight="1">
      <c r="A43" s="494" t="s">
        <v>753</v>
      </c>
    </row>
    <row r="44" ht="15">
      <c r="A44" s="499"/>
    </row>
    <row r="45" ht="15">
      <c r="A45" s="499"/>
    </row>
    <row r="46" ht="69" customHeight="1">
      <c r="A46" s="494" t="s">
        <v>754</v>
      </c>
    </row>
    <row r="47" ht="15">
      <c r="A47" s="499"/>
    </row>
    <row r="48" ht="15">
      <c r="A48" s="499"/>
    </row>
    <row r="49" ht="69" customHeight="1">
      <c r="A49" s="494" t="s">
        <v>755</v>
      </c>
    </row>
    <row r="50" ht="15.75" customHeight="1">
      <c r="A50" s="499"/>
    </row>
    <row r="51" ht="21.75" customHeight="1">
      <c r="A51" s="499"/>
    </row>
    <row r="52" ht="66" customHeight="1">
      <c r="A52" s="494" t="s">
        <v>869</v>
      </c>
    </row>
    <row r="53" ht="15">
      <c r="A53" s="499"/>
    </row>
    <row r="54" ht="15">
      <c r="A54" s="499"/>
    </row>
    <row r="55" ht="62.25">
      <c r="A55" s="498" t="s">
        <v>362</v>
      </c>
    </row>
    <row r="56" ht="15">
      <c r="A56" s="499"/>
    </row>
    <row r="57" ht="15">
      <c r="A57" s="499"/>
    </row>
    <row r="58" ht="62.25">
      <c r="A58" s="498" t="s">
        <v>363</v>
      </c>
    </row>
    <row r="59" ht="15">
      <c r="A59" s="499"/>
    </row>
    <row r="60" ht="15">
      <c r="A60" s="499"/>
    </row>
    <row r="61" ht="46.5">
      <c r="A61" s="498" t="s">
        <v>364</v>
      </c>
    </row>
    <row r="62" ht="15">
      <c r="A62" s="499"/>
    </row>
    <row r="63" ht="15">
      <c r="A63" s="499"/>
    </row>
    <row r="64" ht="46.5">
      <c r="A64" s="498" t="s">
        <v>365</v>
      </c>
    </row>
    <row r="65" ht="15">
      <c r="A65" s="499"/>
    </row>
    <row r="66" ht="15">
      <c r="A66" s="499"/>
    </row>
    <row r="67" ht="78">
      <c r="A67" s="498" t="s">
        <v>366</v>
      </c>
    </row>
    <row r="68" ht="15">
      <c r="A68" s="503"/>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mn</cp:lastModifiedBy>
  <cp:lastPrinted>2014-08-06T19:11:38Z</cp:lastPrinted>
  <dcterms:created xsi:type="dcterms:W3CDTF">1999-08-03T13:11:47Z</dcterms:created>
  <dcterms:modified xsi:type="dcterms:W3CDTF">2014-08-20T15:10:11Z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