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Users\JWhite\JWhite\Budgets\2015\Cities\"/>
    </mc:Choice>
  </mc:AlternateContent>
  <bookViews>
    <workbookView xWindow="0" yWindow="0" windowWidth="23976" windowHeight="9660" tabRatio="909" firstSheet="32" activeTab="38"/>
  </bookViews>
  <sheets>
    <sheet name="Instructions" sheetId="1" r:id="rId1"/>
    <sheet name="inputPrYr" sheetId="2" r:id="rId2"/>
    <sheet name="inputOth" sheetId="43" r:id="rId3"/>
    <sheet name="inputBudSum" sheetId="52" r:id="rId4"/>
    <sheet name="cert" sheetId="3" r:id="rId5"/>
    <sheet name="computation" sheetId="24" r:id="rId6"/>
    <sheet name="mvalloc" sheetId="5" r:id="rId7"/>
    <sheet name="transfers" sheetId="32" r:id="rId8"/>
    <sheet name="TransferStatutes" sheetId="45" r:id="rId9"/>
    <sheet name="debt" sheetId="22" r:id="rId10"/>
    <sheet name="lpform" sheetId="23" r:id="rId11"/>
    <sheet name="Library Grant" sheetId="58" state="hidden" r:id="rId12"/>
    <sheet name="general" sheetId="7" r:id="rId13"/>
    <sheet name="GenDetail" sheetId="9" r:id="rId14"/>
    <sheet name="GO B&amp;I Debt" sheetId="57" r:id="rId15"/>
    <sheet name="Library-Rec" sheetId="34" r:id="rId16"/>
    <sheet name="Ind-EBF" sheetId="8" r:id="rId17"/>
    <sheet name="Pub Saf-REBF" sheetId="10" r:id="rId18"/>
    <sheet name="levy page11" sheetId="11" state="hidden" r:id="rId19"/>
    <sheet name="levy page12" sheetId="12" state="hidden" r:id="rId20"/>
    <sheet name="levy page13" sheetId="13" state="hidden" r:id="rId21"/>
    <sheet name="Street-Refuse" sheetId="14" r:id="rId22"/>
    <sheet name="Golf-911" sheetId="15" r:id="rId23"/>
    <sheet name="Tourism" sheetId="16" r:id="rId24"/>
    <sheet name="no levy page17" sheetId="17" state="hidden" r:id="rId25"/>
    <sheet name="no levy page18" sheetId="18" state="hidden" r:id="rId26"/>
    <sheet name="no levy page19" sheetId="19" state="hidden" r:id="rId27"/>
    <sheet name="no levy page20" sheetId="53" state="hidden" r:id="rId28"/>
    <sheet name="no levy page21" sheetId="54" state="hidden" r:id="rId29"/>
    <sheet name="Water" sheetId="35" r:id="rId30"/>
    <sheet name="Electric" sheetId="36" r:id="rId31"/>
    <sheet name="Sewer" sheetId="37" r:id="rId32"/>
    <sheet name="Special Parks &amp; Recreation" sheetId="38" r:id="rId33"/>
    <sheet name="NonBudA" sheetId="39" r:id="rId34"/>
    <sheet name="NonBudB" sheetId="40" r:id="rId35"/>
    <sheet name="NonBudC" sheetId="41" r:id="rId36"/>
    <sheet name="NonBudD" sheetId="42" state="hidden" r:id="rId37"/>
    <sheet name="NonBudFunds" sheetId="46" r:id="rId38"/>
    <sheet name="summ" sheetId="21" r:id="rId39"/>
    <sheet name="nhood" sheetId="44" state="hidden" r:id="rId40"/>
    <sheet name="Pub. Notice Option 1" sheetId="60" r:id="rId41"/>
    <sheet name="Pub. Notice Option 2" sheetId="59" r:id="rId42"/>
    <sheet name="Tab A" sheetId="47" r:id="rId43"/>
    <sheet name="Tab B" sheetId="48" r:id="rId44"/>
    <sheet name="Tab C" sheetId="49" r:id="rId45"/>
    <sheet name="Tab D" sheetId="50" r:id="rId46"/>
    <sheet name="Tab E" sheetId="51" r:id="rId47"/>
    <sheet name="Mill Rate Computation" sheetId="55" r:id="rId48"/>
    <sheet name="Helpful Links" sheetId="56" r:id="rId49"/>
    <sheet name="legend" sheetId="25" r:id="rId50"/>
  </sheets>
  <definedNames>
    <definedName name="_xlnm.Print_Area" localSheetId="30">Electric!$B$1:$E$45</definedName>
    <definedName name="_xlnm.Print_Area" localSheetId="12">general!$B$1:$E$83</definedName>
    <definedName name="_xlnm.Print_Area" localSheetId="14">'GO B&amp;I Debt'!$B$1:$E$65</definedName>
    <definedName name="_xlnm.Print_Area" localSheetId="22">'Golf-911'!$B$1:$E$75</definedName>
    <definedName name="_xlnm.Print_Area" localSheetId="16">'Ind-EBF'!$B$1:$E$86</definedName>
    <definedName name="_xlnm.Print_Area" localSheetId="1">inputPrYr!$A$1:$E$128</definedName>
    <definedName name="_xlnm.Print_Area" localSheetId="18">'levy page11'!$A$1:$E$82</definedName>
    <definedName name="_xlnm.Print_Area" localSheetId="19">'levy page12'!$A$1:$E$82</definedName>
    <definedName name="_xlnm.Print_Area" localSheetId="20">'levy page13'!$A$1:$E$82</definedName>
    <definedName name="_xlnm.Print_Area" localSheetId="11">'Library Grant'!$A$1:$J$40</definedName>
    <definedName name="_xlnm.Print_Area" localSheetId="15">'Library-Rec'!$B$1:$E$86</definedName>
    <definedName name="_xlnm.Print_Area" localSheetId="10">lpform!$B$1:$I$38</definedName>
    <definedName name="_xlnm.Print_Area" localSheetId="47">'Mill Rate Computation'!$B$1:$W$147</definedName>
    <definedName name="_xlnm.Print_Area" localSheetId="33">NonBudA!$A$1:$K$33</definedName>
    <definedName name="_xlnm.Print_Area" localSheetId="34">NonBudB!$A$1:$K$33</definedName>
    <definedName name="_xlnm.Print_Area" localSheetId="35">NonBudC!$A$1:$K$33</definedName>
    <definedName name="_xlnm.Print_Area" localSheetId="17">'Pub Saf-REBF'!$B$1:$E$86</definedName>
    <definedName name="_xlnm.Print_Area" localSheetId="40">'Pub. Notice Option 1'!$C$2:$I$9</definedName>
    <definedName name="_xlnm.Print_Area" localSheetId="41">'Pub. Notice Option 2'!$C$2:$H$13</definedName>
    <definedName name="_xlnm.Print_Area" localSheetId="31">Sewer!$B$1:$E$38</definedName>
    <definedName name="_xlnm.Print_Area" localSheetId="32">'Special Parks &amp; Recreation'!$B$1:$E$44</definedName>
    <definedName name="_xlnm.Print_Area" localSheetId="21">'Street-Refuse'!$B$1:$E$70</definedName>
    <definedName name="_xlnm.Print_Area" localSheetId="38">summ!$A$1:$H$73</definedName>
    <definedName name="_xlnm.Print_Area" localSheetId="23">Tourism!$B$1:$E$75</definedName>
    <definedName name="_xlnm.Print_Area" localSheetId="29">Water!$B$1:$E$43</definedName>
  </definedNames>
  <calcPr calcId="152511"/>
</workbook>
</file>

<file path=xl/calcChain.xml><?xml version="1.0" encoding="utf-8"?>
<calcChain xmlns="http://schemas.openxmlformats.org/spreadsheetml/2006/main">
  <c r="D9" i="41" l="1"/>
  <c r="L13" i="22" l="1"/>
  <c r="B101" i="9" l="1"/>
  <c r="C101" i="9"/>
  <c r="D101" i="9"/>
  <c r="F28" i="41" l="1"/>
  <c r="D28" i="41"/>
  <c r="B28" i="41"/>
  <c r="F17" i="41"/>
  <c r="F18" i="41" s="1"/>
  <c r="D17" i="41"/>
  <c r="D18" i="41" s="1"/>
  <c r="B17" i="41"/>
  <c r="B18" i="41" s="1"/>
  <c r="B29" i="41" s="1"/>
  <c r="F28" i="40"/>
  <c r="F17" i="40"/>
  <c r="F18" i="40" s="1"/>
  <c r="H28" i="40"/>
  <c r="H17" i="40"/>
  <c r="H18" i="40" s="1"/>
  <c r="D28" i="42"/>
  <c r="D17" i="42"/>
  <c r="D18" i="42" s="1"/>
  <c r="D29" i="42" s="1"/>
  <c r="B28" i="42"/>
  <c r="B17" i="42"/>
  <c r="B18" i="42" s="1"/>
  <c r="B29" i="42" s="1"/>
  <c r="F28" i="42"/>
  <c r="F17" i="42"/>
  <c r="F18" i="42" s="1"/>
  <c r="F29" i="42" s="1"/>
  <c r="J28" i="41"/>
  <c r="J17" i="41"/>
  <c r="J18" i="41" s="1"/>
  <c r="J29" i="41" s="1"/>
  <c r="J30" i="41" s="1"/>
  <c r="I11" i="23"/>
  <c r="H11" i="23"/>
  <c r="D72" i="7"/>
  <c r="C72" i="7"/>
  <c r="H29" i="40" l="1"/>
  <c r="D29" i="41"/>
  <c r="F29" i="41"/>
  <c r="D28" i="32"/>
  <c r="C20" i="38" l="1"/>
  <c r="E8" i="37"/>
  <c r="E8" i="35"/>
  <c r="E32" i="57"/>
  <c r="E59" i="57"/>
  <c r="D32" i="57"/>
  <c r="E35" i="7"/>
  <c r="D35" i="7"/>
  <c r="C35" i="7"/>
  <c r="E42" i="43" l="1"/>
  <c r="C6" i="59" l="1"/>
  <c r="H2" i="59"/>
  <c r="C6" i="60"/>
  <c r="I2" i="60"/>
  <c r="C7" i="60" s="1"/>
  <c r="D57" i="2"/>
  <c r="J69" i="13"/>
  <c r="J68" i="13"/>
  <c r="J29" i="13"/>
  <c r="J28" i="13"/>
  <c r="J29" i="12"/>
  <c r="J28" i="12"/>
  <c r="J29" i="11"/>
  <c r="J28" i="11"/>
  <c r="J29" i="10"/>
  <c r="J28" i="10"/>
  <c r="J29" i="8"/>
  <c r="J28" i="8"/>
  <c r="J29" i="34"/>
  <c r="J28" i="34"/>
  <c r="C20" i="44"/>
  <c r="G33" i="2"/>
  <c r="D51" i="34" s="1"/>
  <c r="D64" i="34" s="1"/>
  <c r="G30" i="2"/>
  <c r="D47" i="13" s="1"/>
  <c r="D60" i="13" s="1"/>
  <c r="D59" i="13" s="1"/>
  <c r="G29" i="2"/>
  <c r="D8" i="13" s="1"/>
  <c r="D20" i="13" s="1"/>
  <c r="D19" i="13" s="1"/>
  <c r="G28" i="2"/>
  <c r="D47" i="12" s="1"/>
  <c r="D60" i="12" s="1"/>
  <c r="D59" i="12" s="1"/>
  <c r="G27" i="2"/>
  <c r="D8" i="12" s="1"/>
  <c r="D20" i="12" s="1"/>
  <c r="D19" i="12" s="1"/>
  <c r="G26" i="2"/>
  <c r="D47" i="11" s="1"/>
  <c r="D60" i="11" s="1"/>
  <c r="D59" i="11" s="1"/>
  <c r="G25" i="2"/>
  <c r="D8" i="11" s="1"/>
  <c r="D20" i="11" s="1"/>
  <c r="D19" i="11" s="1"/>
  <c r="G24" i="2"/>
  <c r="D51" i="10" s="1"/>
  <c r="D64" i="10" s="1"/>
  <c r="G23" i="2"/>
  <c r="D8" i="10" s="1"/>
  <c r="D20" i="10" s="1"/>
  <c r="D19" i="10" s="1"/>
  <c r="G22" i="2"/>
  <c r="D51" i="8" s="1"/>
  <c r="D64" i="8" s="1"/>
  <c r="D63" i="8" s="1"/>
  <c r="G21" i="2"/>
  <c r="D8" i="8" s="1"/>
  <c r="D20" i="8" s="1"/>
  <c r="D19" i="8" s="1"/>
  <c r="G19" i="2"/>
  <c r="D8" i="34" s="1"/>
  <c r="G18" i="2"/>
  <c r="D8" i="57" s="1"/>
  <c r="D28" i="57" s="1"/>
  <c r="G17" i="2"/>
  <c r="D9" i="7" s="1"/>
  <c r="D37" i="7" s="1"/>
  <c r="D36" i="7" s="1"/>
  <c r="D48" i="3"/>
  <c r="D47" i="3"/>
  <c r="D46" i="3"/>
  <c r="D45" i="3"/>
  <c r="D44" i="3"/>
  <c r="B48" i="3"/>
  <c r="B47" i="3"/>
  <c r="B46" i="3"/>
  <c r="B45" i="3"/>
  <c r="B44" i="3"/>
  <c r="D32" i="54"/>
  <c r="D63" i="53"/>
  <c r="D32" i="53"/>
  <c r="D33" i="53" s="1"/>
  <c r="D63" i="19"/>
  <c r="C63" i="54"/>
  <c r="C32" i="54"/>
  <c r="C63" i="53"/>
  <c r="C32" i="53"/>
  <c r="C63" i="19"/>
  <c r="B38" i="54"/>
  <c r="B5" i="54"/>
  <c r="B38" i="53"/>
  <c r="B5" i="53"/>
  <c r="B38" i="19"/>
  <c r="D75" i="11"/>
  <c r="C35" i="34"/>
  <c r="D35" i="34"/>
  <c r="D62" i="57"/>
  <c r="D58" i="57"/>
  <c r="C58" i="57"/>
  <c r="G16" i="58"/>
  <c r="B5" i="34"/>
  <c r="B19" i="58"/>
  <c r="B18" i="58"/>
  <c r="B17" i="58"/>
  <c r="B16" i="58"/>
  <c r="B15" i="58"/>
  <c r="E17" i="21"/>
  <c r="G50" i="34" s="1"/>
  <c r="C17" i="21"/>
  <c r="I1" i="3"/>
  <c r="F10" i="3" s="1"/>
  <c r="C9" i="5"/>
  <c r="B9" i="5"/>
  <c r="B18" i="3"/>
  <c r="D18" i="3"/>
  <c r="G22" i="3"/>
  <c r="D21" i="3"/>
  <c r="D22" i="3"/>
  <c r="C22" i="3"/>
  <c r="B22" i="3"/>
  <c r="B1" i="57"/>
  <c r="A71" i="21"/>
  <c r="A70" i="21"/>
  <c r="A17" i="21"/>
  <c r="E1" i="57"/>
  <c r="H56" i="57" s="1"/>
  <c r="C40" i="7"/>
  <c r="D20" i="3" s="1"/>
  <c r="J148" i="55"/>
  <c r="H134" i="55"/>
  <c r="C137" i="55" s="1"/>
  <c r="J137" i="55" s="1"/>
  <c r="H120" i="55"/>
  <c r="C123" i="55" s="1"/>
  <c r="H114" i="55"/>
  <c r="F117" i="55" s="1"/>
  <c r="H117" i="55" s="1"/>
  <c r="F123" i="55"/>
  <c r="H100" i="55"/>
  <c r="C103" i="55" s="1"/>
  <c r="H94" i="55"/>
  <c r="F97" i="55" s="1"/>
  <c r="H97" i="55" s="1"/>
  <c r="F103" i="55" s="1"/>
  <c r="H80" i="55"/>
  <c r="C83" i="55" s="1"/>
  <c r="H74" i="55"/>
  <c r="F77" i="55" s="1"/>
  <c r="H77" i="55" s="1"/>
  <c r="F83" i="55" s="1"/>
  <c r="H48" i="55"/>
  <c r="F50" i="55" s="1"/>
  <c r="J50" i="55" s="1"/>
  <c r="H41" i="55"/>
  <c r="B28" i="55"/>
  <c r="H28" i="55" s="1"/>
  <c r="H25" i="55"/>
  <c r="C25" i="55"/>
  <c r="D8" i="44"/>
  <c r="E8" i="44"/>
  <c r="B8" i="44"/>
  <c r="E19" i="58"/>
  <c r="E18" i="58"/>
  <c r="E17" i="58"/>
  <c r="E16" i="58"/>
  <c r="G14" i="58"/>
  <c r="B84" i="58" s="1"/>
  <c r="E14" i="58"/>
  <c r="B47" i="58" s="1"/>
  <c r="B8" i="58"/>
  <c r="B7" i="58"/>
  <c r="B5" i="58"/>
  <c r="B5" i="57"/>
  <c r="D56" i="57"/>
  <c r="C56" i="57"/>
  <c r="C55" i="57" s="1"/>
  <c r="C28" i="57"/>
  <c r="A7" i="21"/>
  <c r="A5" i="21"/>
  <c r="G20" i="52"/>
  <c r="G22" i="52" s="1"/>
  <c r="B78" i="58"/>
  <c r="A25" i="43"/>
  <c r="A65" i="43"/>
  <c r="B88" i="2"/>
  <c r="C75" i="13"/>
  <c r="C96" i="13"/>
  <c r="C35" i="13"/>
  <c r="C75" i="12"/>
  <c r="C96" i="12" s="1"/>
  <c r="C35" i="12"/>
  <c r="C75" i="11"/>
  <c r="C96" i="11" s="1"/>
  <c r="C35" i="11"/>
  <c r="C79" i="10"/>
  <c r="C100" i="10" s="1"/>
  <c r="C35" i="10"/>
  <c r="C79" i="8"/>
  <c r="C101" i="8" s="1"/>
  <c r="C35" i="8"/>
  <c r="D58" i="3"/>
  <c r="E53" i="21"/>
  <c r="G88" i="34" s="1"/>
  <c r="C53" i="21"/>
  <c r="D77" i="34"/>
  <c r="D76" i="34" s="1"/>
  <c r="C77" i="34"/>
  <c r="G82" i="34" s="1"/>
  <c r="C64" i="34"/>
  <c r="C63" i="34" s="1"/>
  <c r="D33" i="34"/>
  <c r="D17" i="21" s="1"/>
  <c r="C33" i="34"/>
  <c r="C20" i="34"/>
  <c r="A53" i="21"/>
  <c r="G58" i="3"/>
  <c r="H58" i="3" s="1"/>
  <c r="G32" i="3"/>
  <c r="G31" i="3"/>
  <c r="G30" i="3"/>
  <c r="G29" i="3"/>
  <c r="G28" i="3"/>
  <c r="G27" i="3"/>
  <c r="G26" i="3"/>
  <c r="G25" i="3"/>
  <c r="G24" i="3"/>
  <c r="G23" i="3"/>
  <c r="G20" i="3"/>
  <c r="B58" i="3"/>
  <c r="C79" i="34"/>
  <c r="D79" i="34"/>
  <c r="D19" i="44"/>
  <c r="E19" i="44"/>
  <c r="E74" i="34" s="1"/>
  <c r="E77" i="34" s="1"/>
  <c r="E79" i="34" s="1"/>
  <c r="B19" i="44"/>
  <c r="C20" i="5"/>
  <c r="B20" i="5"/>
  <c r="B1" i="34"/>
  <c r="E1" i="34"/>
  <c r="D37" i="43"/>
  <c r="A36" i="43"/>
  <c r="B99" i="2"/>
  <c r="D100" i="2"/>
  <c r="A76" i="43"/>
  <c r="A32" i="2"/>
  <c r="D35" i="13"/>
  <c r="D94" i="13" s="1"/>
  <c r="D75" i="13"/>
  <c r="D96" i="13" s="1"/>
  <c r="D75" i="12"/>
  <c r="D96" i="12" s="1"/>
  <c r="D35" i="12"/>
  <c r="D94" i="12" s="1"/>
  <c r="D35" i="11"/>
  <c r="D94" i="11" s="1"/>
  <c r="D79" i="10"/>
  <c r="D100" i="10" s="1"/>
  <c r="D35" i="10"/>
  <c r="D98" i="10" s="1"/>
  <c r="D35" i="8"/>
  <c r="D99" i="8" s="1"/>
  <c r="D79" i="8"/>
  <c r="D101" i="8" s="1"/>
  <c r="C76" i="7"/>
  <c r="D76" i="7"/>
  <c r="D79" i="12"/>
  <c r="D39" i="12"/>
  <c r="D39" i="11"/>
  <c r="D79" i="11"/>
  <c r="D83" i="10"/>
  <c r="D39" i="10"/>
  <c r="D83" i="8"/>
  <c r="D39" i="8"/>
  <c r="D39" i="34"/>
  <c r="D83" i="34"/>
  <c r="D80" i="7"/>
  <c r="D39" i="13"/>
  <c r="D96" i="11"/>
  <c r="D79" i="13"/>
  <c r="A42" i="21"/>
  <c r="A41" i="21"/>
  <c r="A40" i="21"/>
  <c r="A39" i="21"/>
  <c r="D63" i="54"/>
  <c r="E61" i="54"/>
  <c r="F43" i="21"/>
  <c r="D61" i="54"/>
  <c r="C61" i="54"/>
  <c r="E48" i="54"/>
  <c r="E47" i="54" s="1"/>
  <c r="D48" i="54"/>
  <c r="D47" i="54" s="1"/>
  <c r="C48" i="54"/>
  <c r="C49" i="54" s="1"/>
  <c r="E30" i="54"/>
  <c r="F42" i="21"/>
  <c r="D30" i="54"/>
  <c r="D42" i="21"/>
  <c r="C30" i="54"/>
  <c r="E17" i="54"/>
  <c r="E16" i="54" s="1"/>
  <c r="D17" i="54"/>
  <c r="C17" i="54"/>
  <c r="C18" i="54" s="1"/>
  <c r="D16" i="54"/>
  <c r="E1" i="54"/>
  <c r="C5" i="54" s="1"/>
  <c r="C38" i="54" s="1"/>
  <c r="B1" i="54"/>
  <c r="E61" i="53"/>
  <c r="D61" i="53"/>
  <c r="C61" i="53"/>
  <c r="B41" i="21" s="1"/>
  <c r="E48" i="53"/>
  <c r="E47" i="53"/>
  <c r="D48" i="53"/>
  <c r="D47" i="53"/>
  <c r="C48" i="53"/>
  <c r="C49" i="53" s="1"/>
  <c r="C62" i="53" s="1"/>
  <c r="D39" i="53" s="1"/>
  <c r="C47" i="53"/>
  <c r="E30" i="53"/>
  <c r="E29" i="53"/>
  <c r="D30" i="53"/>
  <c r="C30" i="53"/>
  <c r="C29" i="53" s="1"/>
  <c r="E17" i="53"/>
  <c r="E16" i="53" s="1"/>
  <c r="D17" i="53"/>
  <c r="D16" i="53" s="1"/>
  <c r="C17" i="53"/>
  <c r="C18" i="53" s="1"/>
  <c r="E1" i="53"/>
  <c r="B1" i="53"/>
  <c r="A92" i="43"/>
  <c r="A91" i="43"/>
  <c r="A90" i="43"/>
  <c r="A89" i="43"/>
  <c r="A88" i="43"/>
  <c r="A34" i="48"/>
  <c r="A77" i="47"/>
  <c r="A74" i="47"/>
  <c r="A33" i="47"/>
  <c r="A28" i="47"/>
  <c r="A25" i="47"/>
  <c r="A16" i="47"/>
  <c r="A6" i="47"/>
  <c r="A33" i="48"/>
  <c r="A6" i="48"/>
  <c r="A38" i="49"/>
  <c r="A33" i="49"/>
  <c r="A19" i="49"/>
  <c r="A6" i="49"/>
  <c r="A46" i="50"/>
  <c r="A41" i="50"/>
  <c r="A6" i="50"/>
  <c r="A8" i="51"/>
  <c r="B62" i="7"/>
  <c r="B63" i="7"/>
  <c r="B64" i="7"/>
  <c r="B61" i="7"/>
  <c r="B60" i="7"/>
  <c r="B59" i="7"/>
  <c r="B58" i="7"/>
  <c r="B57" i="7"/>
  <c r="D129" i="9"/>
  <c r="E64" i="7" s="1"/>
  <c r="C129" i="9"/>
  <c r="D64" i="7" s="1"/>
  <c r="B129" i="9"/>
  <c r="C64" i="7" s="1"/>
  <c r="D122" i="9"/>
  <c r="E63" i="7" s="1"/>
  <c r="C122" i="9"/>
  <c r="D63" i="7" s="1"/>
  <c r="B122" i="9"/>
  <c r="C63" i="7" s="1"/>
  <c r="D115" i="9"/>
  <c r="E62" i="7" s="1"/>
  <c r="C115" i="9"/>
  <c r="D62" i="7" s="1"/>
  <c r="B115" i="9"/>
  <c r="C62" i="7" s="1"/>
  <c r="D108" i="9"/>
  <c r="E61" i="7" s="1"/>
  <c r="C108" i="9"/>
  <c r="D61" i="7" s="1"/>
  <c r="B108" i="9"/>
  <c r="C61" i="7" s="1"/>
  <c r="E60" i="7"/>
  <c r="D60" i="7"/>
  <c r="C60" i="7"/>
  <c r="D95" i="9"/>
  <c r="E59" i="7" s="1"/>
  <c r="C95" i="9"/>
  <c r="D59" i="7" s="1"/>
  <c r="B95" i="9"/>
  <c r="C59" i="7" s="1"/>
  <c r="D88" i="9"/>
  <c r="E58" i="7" s="1"/>
  <c r="C88" i="9"/>
  <c r="D58" i="7" s="1"/>
  <c r="B88" i="9"/>
  <c r="C58" i="7" s="1"/>
  <c r="D81" i="9"/>
  <c r="E57" i="7" s="1"/>
  <c r="C81" i="9"/>
  <c r="D57" i="7" s="1"/>
  <c r="B81" i="9"/>
  <c r="C57" i="7" s="1"/>
  <c r="D23" i="44"/>
  <c r="D25" i="44" s="1"/>
  <c r="E31" i="2"/>
  <c r="A103" i="2"/>
  <c r="A102" i="2"/>
  <c r="D84" i="2"/>
  <c r="C30" i="14"/>
  <c r="B28" i="21" s="1"/>
  <c r="C17" i="14"/>
  <c r="C18" i="14" s="1"/>
  <c r="D30" i="14"/>
  <c r="D28" i="21" s="1"/>
  <c r="E30" i="14"/>
  <c r="E32" i="14" s="1"/>
  <c r="C32" i="14"/>
  <c r="C33" i="14" s="1"/>
  <c r="D32" i="14"/>
  <c r="C64" i="14"/>
  <c r="D64" i="14"/>
  <c r="E64" i="14"/>
  <c r="E34" i="3" s="1"/>
  <c r="C66" i="14"/>
  <c r="D66" i="14"/>
  <c r="C35" i="15"/>
  <c r="D35" i="15"/>
  <c r="D34" i="15" s="1"/>
  <c r="E35" i="15"/>
  <c r="C37" i="15"/>
  <c r="D37" i="15"/>
  <c r="C69" i="15"/>
  <c r="B31" i="21" s="1"/>
  <c r="D69" i="15"/>
  <c r="E69" i="15"/>
  <c r="C71" i="15"/>
  <c r="D71" i="15"/>
  <c r="C38" i="16"/>
  <c r="D38" i="16"/>
  <c r="E38" i="16"/>
  <c r="E37" i="16" s="1"/>
  <c r="C40" i="16"/>
  <c r="D40" i="16"/>
  <c r="C69" i="16"/>
  <c r="D69" i="16"/>
  <c r="D33" i="21" s="1"/>
  <c r="E69" i="16"/>
  <c r="C71" i="16"/>
  <c r="C72" i="16" s="1"/>
  <c r="D71" i="16"/>
  <c r="C30" i="17"/>
  <c r="D30" i="17"/>
  <c r="D34" i="21" s="1"/>
  <c r="E30" i="17"/>
  <c r="E32" i="17" s="1"/>
  <c r="C32" i="17"/>
  <c r="C33" i="17" s="1"/>
  <c r="D32" i="17"/>
  <c r="C61" i="17"/>
  <c r="D61" i="17"/>
  <c r="E61" i="17"/>
  <c r="C63" i="17"/>
  <c r="D63" i="17"/>
  <c r="C30" i="18"/>
  <c r="D30" i="18"/>
  <c r="D36" i="21" s="1"/>
  <c r="E30" i="18"/>
  <c r="D32" i="18"/>
  <c r="C32" i="18"/>
  <c r="C33" i="18" s="1"/>
  <c r="C61" i="18"/>
  <c r="D61" i="18"/>
  <c r="D37" i="21" s="1"/>
  <c r="E61" i="18"/>
  <c r="E63" i="18" s="1"/>
  <c r="C63" i="18"/>
  <c r="D63" i="18"/>
  <c r="C30" i="19"/>
  <c r="D30" i="19"/>
  <c r="E30" i="19"/>
  <c r="E32" i="19" s="1"/>
  <c r="D32" i="19"/>
  <c r="C32" i="19"/>
  <c r="C61" i="19"/>
  <c r="D61" i="19"/>
  <c r="E61" i="19"/>
  <c r="E44" i="3" s="1"/>
  <c r="C37" i="35"/>
  <c r="B44" i="21" s="1"/>
  <c r="D37" i="35"/>
  <c r="E37" i="35"/>
  <c r="E39" i="35" s="1"/>
  <c r="D39" i="35"/>
  <c r="C39" i="35"/>
  <c r="C41" i="36"/>
  <c r="D41" i="36"/>
  <c r="E41" i="36"/>
  <c r="E43" i="36" s="1"/>
  <c r="C43" i="36"/>
  <c r="D43" i="36"/>
  <c r="C32" i="37"/>
  <c r="D32" i="37"/>
  <c r="E32" i="37"/>
  <c r="F46" i="21" s="1"/>
  <c r="D34" i="37"/>
  <c r="C34" i="37"/>
  <c r="C38" i="38"/>
  <c r="B47" i="21" s="1"/>
  <c r="D38" i="38"/>
  <c r="D37" i="38" s="1"/>
  <c r="E38" i="38"/>
  <c r="E40" i="38" s="1"/>
  <c r="D40" i="38"/>
  <c r="C40" i="38"/>
  <c r="D63" i="9"/>
  <c r="E56" i="7" s="1"/>
  <c r="E55" i="7"/>
  <c r="D49" i="9"/>
  <c r="E54" i="7" s="1"/>
  <c r="D42" i="9"/>
  <c r="E53" i="7" s="1"/>
  <c r="D35" i="9"/>
  <c r="E52" i="7" s="1"/>
  <c r="D29" i="9"/>
  <c r="E51" i="7" s="1"/>
  <c r="C63" i="9"/>
  <c r="D56" i="7" s="1"/>
  <c r="D55" i="7"/>
  <c r="C49" i="9"/>
  <c r="D54" i="7" s="1"/>
  <c r="C42" i="9"/>
  <c r="D53" i="7" s="1"/>
  <c r="C35" i="9"/>
  <c r="D52" i="7" s="1"/>
  <c r="C29" i="9"/>
  <c r="D51" i="7" s="1"/>
  <c r="D22" i="9"/>
  <c r="E50" i="7" s="1"/>
  <c r="C15" i="9"/>
  <c r="C22" i="9"/>
  <c r="D50" i="7" s="1"/>
  <c r="B63" i="9"/>
  <c r="C56" i="7" s="1"/>
  <c r="C55" i="7"/>
  <c r="B49" i="9"/>
  <c r="C54" i="7" s="1"/>
  <c r="B42" i="9"/>
  <c r="C53" i="7" s="1"/>
  <c r="B35" i="9"/>
  <c r="C52" i="7" s="1"/>
  <c r="B29" i="9"/>
  <c r="C51" i="7" s="1"/>
  <c r="B22" i="9"/>
  <c r="D15" i="9"/>
  <c r="E49" i="7" s="1"/>
  <c r="B15" i="9"/>
  <c r="C49" i="7" s="1"/>
  <c r="B55" i="7"/>
  <c r="B56" i="7"/>
  <c r="B54" i="7"/>
  <c r="B53" i="7"/>
  <c r="B52" i="7"/>
  <c r="B50" i="7"/>
  <c r="B49" i="7"/>
  <c r="J6" i="24"/>
  <c r="D33" i="11"/>
  <c r="D22" i="21" s="1"/>
  <c r="D33" i="10"/>
  <c r="D32" i="10" s="1"/>
  <c r="D77" i="10"/>
  <c r="D33" i="8"/>
  <c r="D32" i="8" s="1"/>
  <c r="D77" i="8"/>
  <c r="D19" i="21" s="1"/>
  <c r="C7" i="5"/>
  <c r="C8" i="5"/>
  <c r="C10" i="5"/>
  <c r="C11" i="5"/>
  <c r="C12" i="5"/>
  <c r="C13" i="5"/>
  <c r="C14" i="5"/>
  <c r="C15" i="5"/>
  <c r="C16" i="5"/>
  <c r="C17" i="5"/>
  <c r="C18" i="5"/>
  <c r="C19" i="5"/>
  <c r="C73" i="13"/>
  <c r="C72" i="13" s="1"/>
  <c r="C60" i="13"/>
  <c r="D73" i="13"/>
  <c r="C33" i="13"/>
  <c r="C20" i="13"/>
  <c r="D33" i="13"/>
  <c r="D32" i="13" s="1"/>
  <c r="C73" i="12"/>
  <c r="G78" i="12" s="1"/>
  <c r="C60" i="12"/>
  <c r="C61" i="12" s="1"/>
  <c r="C74" i="12" s="1"/>
  <c r="C97" i="12" s="1"/>
  <c r="D73" i="12"/>
  <c r="C33" i="12"/>
  <c r="C20" i="12"/>
  <c r="C21" i="12" s="1"/>
  <c r="C34" i="12" s="1"/>
  <c r="D33" i="12"/>
  <c r="D32" i="12" s="1"/>
  <c r="C73" i="11"/>
  <c r="C72" i="11" s="1"/>
  <c r="G78" i="11"/>
  <c r="C60" i="11"/>
  <c r="D73" i="11"/>
  <c r="D23" i="21" s="1"/>
  <c r="C33" i="11"/>
  <c r="G38" i="11" s="1"/>
  <c r="C20" i="11"/>
  <c r="C21" i="11"/>
  <c r="C34" i="11" s="1"/>
  <c r="C77" i="10"/>
  <c r="G82" i="10" s="1"/>
  <c r="C64" i="10"/>
  <c r="C33" i="10"/>
  <c r="G38" i="10" s="1"/>
  <c r="C20" i="10"/>
  <c r="C19" i="10" s="1"/>
  <c r="C77" i="8"/>
  <c r="G82" i="8" s="1"/>
  <c r="C64" i="8"/>
  <c r="C65" i="8" s="1"/>
  <c r="C33" i="8"/>
  <c r="G38" i="8" s="1"/>
  <c r="C20" i="8"/>
  <c r="C21" i="8" s="1"/>
  <c r="C37" i="7"/>
  <c r="C38" i="7" s="1"/>
  <c r="C47" i="7" s="1"/>
  <c r="E1" i="13"/>
  <c r="C5" i="13" s="1"/>
  <c r="E1" i="12"/>
  <c r="E1" i="11"/>
  <c r="B75" i="11" s="1"/>
  <c r="E1" i="10"/>
  <c r="C40" i="10" s="1"/>
  <c r="E1" i="8"/>
  <c r="B79" i="8" s="1"/>
  <c r="E1" i="7"/>
  <c r="B76" i="7" s="1"/>
  <c r="E1" i="14"/>
  <c r="E5" i="14" s="1"/>
  <c r="E41" i="14" s="1"/>
  <c r="E1" i="15"/>
  <c r="E1" i="16"/>
  <c r="E1" i="17"/>
  <c r="B63" i="17" s="1"/>
  <c r="E1" i="18"/>
  <c r="B63" i="18" s="1"/>
  <c r="E1" i="19"/>
  <c r="C5" i="19" s="1"/>
  <c r="C38" i="19" s="1"/>
  <c r="E1" i="37"/>
  <c r="B34" i="37" s="1"/>
  <c r="E1" i="38"/>
  <c r="B40" i="38" s="1"/>
  <c r="F1" i="44"/>
  <c r="A33" i="44" s="1"/>
  <c r="E15" i="2"/>
  <c r="G16" i="2" s="1"/>
  <c r="D15" i="2"/>
  <c r="A57" i="2"/>
  <c r="J28" i="42"/>
  <c r="J17" i="42"/>
  <c r="J18" i="42" s="1"/>
  <c r="J29" i="42" s="1"/>
  <c r="J30" i="42" s="1"/>
  <c r="H28" i="42"/>
  <c r="K28" i="42" s="1"/>
  <c r="B51" i="21" s="1"/>
  <c r="H17" i="42"/>
  <c r="H18" i="42" s="1"/>
  <c r="H28" i="41"/>
  <c r="H17" i="41"/>
  <c r="K17" i="41" s="1"/>
  <c r="H18" i="41"/>
  <c r="H29" i="41" s="1"/>
  <c r="H30" i="41" s="1"/>
  <c r="J28" i="40"/>
  <c r="J17" i="40"/>
  <c r="J18" i="40" s="1"/>
  <c r="J29" i="40" s="1"/>
  <c r="J30" i="40" s="1"/>
  <c r="D17" i="40"/>
  <c r="D18" i="40" s="1"/>
  <c r="D28" i="40"/>
  <c r="B17" i="40"/>
  <c r="B28" i="40"/>
  <c r="K28" i="40" s="1"/>
  <c r="B49" i="21" s="1"/>
  <c r="J17" i="39"/>
  <c r="J18" i="39" s="1"/>
  <c r="J29" i="39" s="1"/>
  <c r="J30" i="39" s="1"/>
  <c r="J28" i="39"/>
  <c r="H17" i="39"/>
  <c r="H18" i="39" s="1"/>
  <c r="H28" i="39"/>
  <c r="F17" i="39"/>
  <c r="F18" i="39" s="1"/>
  <c r="F28" i="39"/>
  <c r="D17" i="39"/>
  <c r="D18" i="39" s="1"/>
  <c r="D28" i="39"/>
  <c r="B28" i="39"/>
  <c r="B17" i="39"/>
  <c r="K17" i="39" s="1"/>
  <c r="I5" i="42"/>
  <c r="G5" i="42"/>
  <c r="E5" i="42"/>
  <c r="C5" i="42"/>
  <c r="A5" i="42"/>
  <c r="E28" i="24"/>
  <c r="G11" i="24"/>
  <c r="E14" i="24"/>
  <c r="G16" i="24" s="1"/>
  <c r="E15" i="24"/>
  <c r="E19" i="24"/>
  <c r="E20" i="24"/>
  <c r="E21" i="24"/>
  <c r="G24" i="24"/>
  <c r="K1" i="42"/>
  <c r="F2" i="42" s="1"/>
  <c r="K1" i="41"/>
  <c r="F2" i="41" s="1"/>
  <c r="K1" i="40"/>
  <c r="F2" i="40" s="1"/>
  <c r="K1" i="39"/>
  <c r="F2" i="39" s="1"/>
  <c r="H2" i="21"/>
  <c r="B62" i="21" s="1"/>
  <c r="E1" i="43"/>
  <c r="A53" i="43" s="1"/>
  <c r="D62" i="3"/>
  <c r="E9" i="14"/>
  <c r="D9" i="14"/>
  <c r="D23" i="5"/>
  <c r="E24" i="5"/>
  <c r="F25" i="5"/>
  <c r="E15" i="7"/>
  <c r="E16" i="7"/>
  <c r="E14" i="7"/>
  <c r="D6" i="44"/>
  <c r="E6" i="44"/>
  <c r="D7" i="44"/>
  <c r="E7" i="44" s="1"/>
  <c r="E53" i="57" s="1"/>
  <c r="E56" i="57" s="1"/>
  <c r="D9" i="44"/>
  <c r="E9" i="44"/>
  <c r="E30" i="8" s="1"/>
  <c r="E33" i="8" s="1"/>
  <c r="D10" i="44"/>
  <c r="E10" i="44"/>
  <c r="E74" i="8" s="1"/>
  <c r="E77" i="8" s="1"/>
  <c r="E79" i="8" s="1"/>
  <c r="D11" i="44"/>
  <c r="E11" i="44"/>
  <c r="E30" i="10" s="1"/>
  <c r="E33" i="10" s="1"/>
  <c r="F36" i="10" s="1"/>
  <c r="D12" i="44"/>
  <c r="E12" i="44"/>
  <c r="E74" i="10" s="1"/>
  <c r="E77" i="10" s="1"/>
  <c r="D13" i="44"/>
  <c r="E13" i="44"/>
  <c r="E30" i="11"/>
  <c r="E33" i="11" s="1"/>
  <c r="E37" i="11" s="1"/>
  <c r="D14" i="44"/>
  <c r="E14" i="44"/>
  <c r="E70" i="11" s="1"/>
  <c r="E73" i="11" s="1"/>
  <c r="D15" i="44"/>
  <c r="E15" i="44"/>
  <c r="E30" i="12" s="1"/>
  <c r="E33" i="12" s="1"/>
  <c r="D16" i="44"/>
  <c r="E16" i="44"/>
  <c r="E70" i="12" s="1"/>
  <c r="E73" i="12" s="1"/>
  <c r="D18" i="44"/>
  <c r="E18" i="44"/>
  <c r="E70" i="13" s="1"/>
  <c r="E73" i="13" s="1"/>
  <c r="D17" i="44"/>
  <c r="E17" i="44"/>
  <c r="E30" i="13" s="1"/>
  <c r="E33" i="13" s="1"/>
  <c r="F26" i="21" s="1"/>
  <c r="A1" i="44"/>
  <c r="B18" i="44"/>
  <c r="B17" i="44"/>
  <c r="B16" i="44"/>
  <c r="B15" i="44"/>
  <c r="B14" i="44"/>
  <c r="B13" i="44"/>
  <c r="B12" i="44"/>
  <c r="B11" i="44"/>
  <c r="B10" i="44"/>
  <c r="B9" i="44"/>
  <c r="B7" i="44"/>
  <c r="B6" i="44"/>
  <c r="E17" i="18"/>
  <c r="E16" i="18"/>
  <c r="D17" i="18"/>
  <c r="D16" i="18" s="1"/>
  <c r="C17" i="18"/>
  <c r="E51" i="14"/>
  <c r="E50" i="14" s="1"/>
  <c r="D51" i="14"/>
  <c r="C51" i="14"/>
  <c r="E22" i="38"/>
  <c r="E21" i="38" s="1"/>
  <c r="D22" i="38"/>
  <c r="D21" i="38" s="1"/>
  <c r="C22" i="38"/>
  <c r="C21" i="38" s="1"/>
  <c r="C37" i="38"/>
  <c r="E13" i="37"/>
  <c r="E12" i="37" s="1"/>
  <c r="D13" i="37"/>
  <c r="D12" i="37" s="1"/>
  <c r="C13" i="37"/>
  <c r="E15" i="36"/>
  <c r="E14" i="36" s="1"/>
  <c r="D15" i="36"/>
  <c r="D14" i="36" s="1"/>
  <c r="C15" i="36"/>
  <c r="C14" i="36" s="1"/>
  <c r="E17" i="35"/>
  <c r="E16" i="35" s="1"/>
  <c r="D17" i="35"/>
  <c r="D16" i="35" s="1"/>
  <c r="C17" i="35"/>
  <c r="C16" i="35" s="1"/>
  <c r="E48" i="19"/>
  <c r="E47" i="19" s="1"/>
  <c r="D48" i="19"/>
  <c r="D47" i="19"/>
  <c r="C48" i="19"/>
  <c r="C47" i="19"/>
  <c r="E17" i="19"/>
  <c r="E16" i="19" s="1"/>
  <c r="D17" i="19"/>
  <c r="D16" i="19" s="1"/>
  <c r="C17" i="19"/>
  <c r="C16" i="19"/>
  <c r="E48" i="18"/>
  <c r="E47" i="18"/>
  <c r="D48" i="18"/>
  <c r="D47" i="18"/>
  <c r="C48" i="18"/>
  <c r="E48" i="17"/>
  <c r="E47" i="17"/>
  <c r="D48" i="17"/>
  <c r="D47" i="17"/>
  <c r="C48" i="17"/>
  <c r="E17" i="17"/>
  <c r="E16" i="17"/>
  <c r="D17" i="17"/>
  <c r="D16" i="17"/>
  <c r="C17" i="17"/>
  <c r="C18" i="17" s="1"/>
  <c r="C31" i="17" s="1"/>
  <c r="C16" i="17"/>
  <c r="D29" i="17"/>
  <c r="C29" i="17"/>
  <c r="E23" i="16"/>
  <c r="E22" i="16" s="1"/>
  <c r="D23" i="16"/>
  <c r="D22" i="16" s="1"/>
  <c r="C23" i="16"/>
  <c r="C22" i="16" s="1"/>
  <c r="E56" i="16"/>
  <c r="E55" i="16" s="1"/>
  <c r="D56" i="16"/>
  <c r="D55" i="16" s="1"/>
  <c r="C56" i="16"/>
  <c r="C55" i="16" s="1"/>
  <c r="D68" i="16"/>
  <c r="E20" i="15"/>
  <c r="E19" i="15" s="1"/>
  <c r="D20" i="15"/>
  <c r="D19" i="15" s="1"/>
  <c r="C20" i="15"/>
  <c r="C19" i="15" s="1"/>
  <c r="E56" i="15"/>
  <c r="E55" i="15" s="1"/>
  <c r="D56" i="15"/>
  <c r="D55" i="15" s="1"/>
  <c r="C56" i="15"/>
  <c r="C55" i="15" s="1"/>
  <c r="D68" i="15"/>
  <c r="C68" i="15"/>
  <c r="E8" i="14"/>
  <c r="D8" i="14"/>
  <c r="C16" i="14"/>
  <c r="D29" i="14"/>
  <c r="C29" i="14"/>
  <c r="D72" i="13"/>
  <c r="C72" i="12"/>
  <c r="C19" i="12"/>
  <c r="C19" i="11"/>
  <c r="D76" i="8"/>
  <c r="C76" i="8"/>
  <c r="C63" i="8"/>
  <c r="D27" i="44"/>
  <c r="D29" i="44" s="1"/>
  <c r="E5" i="44"/>
  <c r="D5" i="44"/>
  <c r="E1" i="35"/>
  <c r="B39" i="35" s="1"/>
  <c r="E1" i="36"/>
  <c r="B43" i="36" s="1"/>
  <c r="C18" i="19"/>
  <c r="A96" i="43"/>
  <c r="A95" i="43"/>
  <c r="A94" i="43"/>
  <c r="A93" i="43"/>
  <c r="A87" i="43"/>
  <c r="A86" i="43"/>
  <c r="A85" i="43"/>
  <c r="A84" i="43"/>
  <c r="A83" i="43"/>
  <c r="A82" i="43"/>
  <c r="A81" i="43"/>
  <c r="A80" i="43"/>
  <c r="A79" i="43"/>
  <c r="A78" i="43"/>
  <c r="A77" i="43"/>
  <c r="A75" i="43"/>
  <c r="A74" i="43"/>
  <c r="A73" i="43"/>
  <c r="A72" i="43"/>
  <c r="A71" i="43"/>
  <c r="A70" i="43"/>
  <c r="A69" i="43"/>
  <c r="A68" i="43"/>
  <c r="A67" i="43"/>
  <c r="A66" i="43"/>
  <c r="A64" i="43"/>
  <c r="A63" i="43"/>
  <c r="C27" i="21"/>
  <c r="C26" i="21"/>
  <c r="C25" i="21"/>
  <c r="C24" i="21"/>
  <c r="C23" i="21"/>
  <c r="C22" i="21"/>
  <c r="C21" i="21"/>
  <c r="C20" i="21"/>
  <c r="C19" i="21"/>
  <c r="C18" i="21"/>
  <c r="G1" i="5"/>
  <c r="C6" i="5" s="1"/>
  <c r="C28" i="32"/>
  <c r="C30" i="32" s="1"/>
  <c r="B55" i="21" s="1"/>
  <c r="B56" i="3"/>
  <c r="B55" i="3"/>
  <c r="B54" i="3"/>
  <c r="B53" i="3"/>
  <c r="A51" i="21"/>
  <c r="A50" i="21"/>
  <c r="A49" i="21"/>
  <c r="A48" i="21"/>
  <c r="M1" i="22"/>
  <c r="L6" i="22" s="1"/>
  <c r="J6" i="22"/>
  <c r="D106" i="2"/>
  <c r="E106" i="2"/>
  <c r="A13" i="2"/>
  <c r="A105" i="2"/>
  <c r="K7" i="42"/>
  <c r="A1" i="42"/>
  <c r="A1" i="41"/>
  <c r="A1" i="40"/>
  <c r="A1" i="39"/>
  <c r="B1" i="22"/>
  <c r="J1" i="24"/>
  <c r="B40" i="24" s="1"/>
  <c r="A31" i="2"/>
  <c r="E28" i="32"/>
  <c r="E30" i="32" s="1"/>
  <c r="F55" i="21" s="1"/>
  <c r="D30" i="32"/>
  <c r="D55" i="21" s="1"/>
  <c r="G42" i="22"/>
  <c r="F65" i="21" s="1"/>
  <c r="G32" i="22"/>
  <c r="F64" i="21" s="1"/>
  <c r="G20" i="22"/>
  <c r="F63" i="21" s="1"/>
  <c r="E27" i="21"/>
  <c r="G84" i="13" s="1"/>
  <c r="E26" i="21"/>
  <c r="G44" i="13"/>
  <c r="E25" i="21"/>
  <c r="G84" i="12" s="1"/>
  <c r="E24" i="21"/>
  <c r="G44" i="12"/>
  <c r="E23" i="21"/>
  <c r="G84" i="11"/>
  <c r="E22" i="21"/>
  <c r="G44" i="11"/>
  <c r="E21" i="21"/>
  <c r="E20" i="21"/>
  <c r="G48" i="10"/>
  <c r="E19" i="21"/>
  <c r="G88" i="8" s="1"/>
  <c r="E18" i="21"/>
  <c r="G48" i="8" s="1"/>
  <c r="E16" i="21"/>
  <c r="G67" i="57" s="1"/>
  <c r="E15" i="21"/>
  <c r="G85" i="7" s="1"/>
  <c r="D56" i="3"/>
  <c r="D55" i="3"/>
  <c r="D54" i="3"/>
  <c r="D53" i="3"/>
  <c r="D52" i="3"/>
  <c r="D51" i="3"/>
  <c r="D50" i="3"/>
  <c r="D49" i="3"/>
  <c r="D59" i="21"/>
  <c r="E27" i="58" s="1"/>
  <c r="F59" i="21"/>
  <c r="M62" i="21" s="1"/>
  <c r="G27" i="58"/>
  <c r="A16" i="21"/>
  <c r="C16" i="21"/>
  <c r="A43" i="21"/>
  <c r="A35" i="43"/>
  <c r="A34" i="43"/>
  <c r="A33" i="43"/>
  <c r="A32" i="43"/>
  <c r="A31" i="43"/>
  <c r="A30" i="43"/>
  <c r="A29" i="43"/>
  <c r="A28" i="43"/>
  <c r="A27" i="43"/>
  <c r="A26" i="43"/>
  <c r="C23" i="3"/>
  <c r="C21" i="3"/>
  <c r="B8" i="5"/>
  <c r="B1" i="5"/>
  <c r="F1" i="32"/>
  <c r="C7" i="32" s="1"/>
  <c r="A1" i="32"/>
  <c r="M20" i="22"/>
  <c r="M32" i="22"/>
  <c r="M42" i="22"/>
  <c r="L20" i="22"/>
  <c r="L32" i="22"/>
  <c r="L42" i="22"/>
  <c r="K20" i="22"/>
  <c r="K32" i="22"/>
  <c r="K42" i="22"/>
  <c r="J20" i="22"/>
  <c r="J32" i="22"/>
  <c r="J42" i="22"/>
  <c r="I1" i="23"/>
  <c r="D1" i="9"/>
  <c r="D69" i="9"/>
  <c r="D73" i="9" s="1"/>
  <c r="B2" i="3"/>
  <c r="A1" i="43"/>
  <c r="B5" i="35"/>
  <c r="B1" i="35"/>
  <c r="B5" i="36"/>
  <c r="B1" i="36"/>
  <c r="B5" i="37"/>
  <c r="B1" i="37"/>
  <c r="B5" i="38"/>
  <c r="B1" i="38"/>
  <c r="I5" i="41"/>
  <c r="G5" i="41"/>
  <c r="E5" i="41"/>
  <c r="C5" i="41"/>
  <c r="A5" i="41"/>
  <c r="I5" i="40"/>
  <c r="G5" i="40"/>
  <c r="E5" i="40"/>
  <c r="C5" i="40"/>
  <c r="A5" i="40"/>
  <c r="I5" i="39"/>
  <c r="G5" i="39"/>
  <c r="E5" i="39"/>
  <c r="C5" i="39"/>
  <c r="A5" i="39"/>
  <c r="D66" i="21"/>
  <c r="D65" i="21"/>
  <c r="D64" i="21"/>
  <c r="D63" i="21"/>
  <c r="B66" i="21"/>
  <c r="B65" i="21"/>
  <c r="B64" i="21"/>
  <c r="B63" i="21"/>
  <c r="B98" i="2"/>
  <c r="B97" i="2"/>
  <c r="B96" i="2"/>
  <c r="B95" i="2"/>
  <c r="B94" i="2"/>
  <c r="B93" i="2"/>
  <c r="B92" i="2"/>
  <c r="B91" i="2"/>
  <c r="B90" i="2"/>
  <c r="B89" i="2"/>
  <c r="B87" i="2"/>
  <c r="A85" i="2"/>
  <c r="D85" i="2"/>
  <c r="K7" i="41"/>
  <c r="K7" i="40"/>
  <c r="K7" i="39"/>
  <c r="D32" i="3"/>
  <c r="D31" i="3"/>
  <c r="A27" i="21"/>
  <c r="B32" i="3"/>
  <c r="B31" i="3"/>
  <c r="A47" i="21"/>
  <c r="A46" i="21"/>
  <c r="A45" i="21"/>
  <c r="C32" i="3"/>
  <c r="C31" i="3"/>
  <c r="B52" i="3"/>
  <c r="B51" i="3"/>
  <c r="B50" i="3"/>
  <c r="B19" i="5"/>
  <c r="B18" i="5"/>
  <c r="B44" i="13"/>
  <c r="C30" i="3"/>
  <c r="C29" i="3"/>
  <c r="C28" i="3"/>
  <c r="C27" i="3"/>
  <c r="C26" i="3"/>
  <c r="C25" i="3"/>
  <c r="C24" i="3"/>
  <c r="C20" i="3"/>
  <c r="D43" i="3"/>
  <c r="D42" i="3"/>
  <c r="D41" i="3"/>
  <c r="D40" i="3"/>
  <c r="D39" i="3"/>
  <c r="D38" i="3"/>
  <c r="D37" i="3"/>
  <c r="D36" i="3"/>
  <c r="D35" i="3"/>
  <c r="D34" i="3"/>
  <c r="D33" i="3"/>
  <c r="D30" i="3"/>
  <c r="D29" i="3"/>
  <c r="D28" i="3"/>
  <c r="D27" i="3"/>
  <c r="D26" i="3"/>
  <c r="D25" i="3"/>
  <c r="D24" i="3"/>
  <c r="D23" i="3"/>
  <c r="B49" i="3"/>
  <c r="B43" i="3"/>
  <c r="B42" i="3"/>
  <c r="B41" i="3"/>
  <c r="B40" i="3"/>
  <c r="B39" i="3"/>
  <c r="B38" i="3"/>
  <c r="B37" i="3"/>
  <c r="B36" i="3"/>
  <c r="B35" i="3"/>
  <c r="B34" i="3"/>
  <c r="B33" i="3"/>
  <c r="B30" i="3"/>
  <c r="B29" i="3"/>
  <c r="B28" i="3"/>
  <c r="B27" i="3"/>
  <c r="B26" i="3"/>
  <c r="B25" i="3"/>
  <c r="B24" i="3"/>
  <c r="B23" i="3"/>
  <c r="D61" i="3"/>
  <c r="B4" i="3"/>
  <c r="C1" i="24"/>
  <c r="A1" i="9"/>
  <c r="A69" i="9" s="1"/>
  <c r="B46" i="7"/>
  <c r="B42" i="7"/>
  <c r="B6" i="7"/>
  <c r="B1" i="7"/>
  <c r="B86" i="2"/>
  <c r="B1" i="23"/>
  <c r="I28" i="23"/>
  <c r="H28" i="23"/>
  <c r="G28" i="23"/>
  <c r="F66" i="21" s="1"/>
  <c r="B17" i="5"/>
  <c r="B16" i="5"/>
  <c r="B15" i="5"/>
  <c r="B14" i="5"/>
  <c r="B13" i="5"/>
  <c r="B12" i="5"/>
  <c r="B11" i="5"/>
  <c r="B10" i="5"/>
  <c r="B7" i="5"/>
  <c r="B44" i="12"/>
  <c r="B5" i="12"/>
  <c r="B1" i="12"/>
  <c r="B5" i="13"/>
  <c r="B1" i="13"/>
  <c r="B46" i="15"/>
  <c r="B5" i="15"/>
  <c r="B1" i="15"/>
  <c r="B46" i="16"/>
  <c r="B5" i="16"/>
  <c r="B1" i="16"/>
  <c r="B38" i="17"/>
  <c r="B5" i="17"/>
  <c r="B1" i="17"/>
  <c r="B38" i="18"/>
  <c r="B5" i="18"/>
  <c r="B1" i="18"/>
  <c r="B5" i="19"/>
  <c r="B1" i="19"/>
  <c r="B5" i="8"/>
  <c r="B48" i="8"/>
  <c r="B1" i="8"/>
  <c r="B48" i="10"/>
  <c r="B5" i="10"/>
  <c r="B1" i="10"/>
  <c r="B44" i="11"/>
  <c r="B5" i="11"/>
  <c r="B1" i="11"/>
  <c r="B41" i="14"/>
  <c r="B5" i="14"/>
  <c r="B1" i="14"/>
  <c r="A44" i="21"/>
  <c r="A38" i="21"/>
  <c r="A37" i="21"/>
  <c r="A36" i="21"/>
  <c r="A35" i="21"/>
  <c r="A34" i="21"/>
  <c r="A33" i="21"/>
  <c r="A32" i="21"/>
  <c r="A31" i="21"/>
  <c r="A30" i="21"/>
  <c r="A29" i="21"/>
  <c r="A28" i="21"/>
  <c r="A26" i="21"/>
  <c r="A25" i="21"/>
  <c r="A24" i="21"/>
  <c r="A23" i="21"/>
  <c r="A22" i="21"/>
  <c r="A21" i="21"/>
  <c r="A20" i="21"/>
  <c r="A19" i="21"/>
  <c r="A18" i="21"/>
  <c r="C15" i="21"/>
  <c r="B34" i="21"/>
  <c r="B27" i="21"/>
  <c r="B25" i="21"/>
  <c r="B24" i="21"/>
  <c r="B21" i="21"/>
  <c r="D31" i="21"/>
  <c r="D27" i="21"/>
  <c r="D24" i="21"/>
  <c r="D20" i="21"/>
  <c r="B57" i="21"/>
  <c r="B59" i="21"/>
  <c r="A4" i="21"/>
  <c r="A15" i="21"/>
  <c r="D50" i="14"/>
  <c r="D63" i="14"/>
  <c r="F29" i="21"/>
  <c r="C32" i="11"/>
  <c r="B22" i="21"/>
  <c r="D32" i="11"/>
  <c r="A23" i="44"/>
  <c r="C5" i="44"/>
  <c r="B13" i="3"/>
  <c r="C21" i="15"/>
  <c r="C36" i="15" s="1"/>
  <c r="F29" i="40"/>
  <c r="F30" i="40" s="1"/>
  <c r="C16" i="54"/>
  <c r="C47" i="54"/>
  <c r="C60" i="53"/>
  <c r="B5" i="44"/>
  <c r="D35" i="37"/>
  <c r="C57" i="16"/>
  <c r="D19" i="5"/>
  <c r="E49" i="13" s="1"/>
  <c r="C64" i="53"/>
  <c r="D98" i="34"/>
  <c r="B53" i="21"/>
  <c r="C16" i="53"/>
  <c r="C65" i="34"/>
  <c r="C78" i="34" s="1"/>
  <c r="M32" i="21"/>
  <c r="G62" i="3"/>
  <c r="B8" i="3"/>
  <c r="E5" i="34"/>
  <c r="C94" i="12"/>
  <c r="B37" i="12"/>
  <c r="C94" i="11"/>
  <c r="C76" i="34"/>
  <c r="G61" i="57"/>
  <c r="E20" i="5"/>
  <c r="E54" i="34" s="1"/>
  <c r="D10" i="5"/>
  <c r="E10" i="8" s="1"/>
  <c r="D16" i="5"/>
  <c r="D20" i="5"/>
  <c r="E53" i="34" s="1"/>
  <c r="D15" i="5"/>
  <c r="E49" i="11" s="1"/>
  <c r="D17" i="5"/>
  <c r="E49" i="12" s="1"/>
  <c r="E60" i="12" s="1"/>
  <c r="G74" i="12" s="1"/>
  <c r="E19" i="5"/>
  <c r="E50" i="13" s="1"/>
  <c r="E18" i="5"/>
  <c r="E11" i="13" s="1"/>
  <c r="E17" i="5"/>
  <c r="E50" i="12" s="1"/>
  <c r="E16" i="5"/>
  <c r="E11" i="12" s="1"/>
  <c r="E15" i="5"/>
  <c r="E50" i="11" s="1"/>
  <c r="E14" i="5"/>
  <c r="E11" i="11" s="1"/>
  <c r="E13" i="5"/>
  <c r="E54" i="10" s="1"/>
  <c r="E12" i="5"/>
  <c r="E11" i="10" s="1"/>
  <c r="E10" i="5"/>
  <c r="E11" i="8" s="1"/>
  <c r="B135" i="9"/>
  <c r="C83" i="7"/>
  <c r="F19" i="5"/>
  <c r="E51" i="13" s="1"/>
  <c r="F15" i="5"/>
  <c r="E51" i="11" s="1"/>
  <c r="F12" i="5"/>
  <c r="E12" i="10" s="1"/>
  <c r="F18" i="5"/>
  <c r="E12" i="13" s="1"/>
  <c r="F16" i="5"/>
  <c r="E12" i="12" s="1"/>
  <c r="F13" i="5"/>
  <c r="E55" i="10" s="1"/>
  <c r="F20" i="5"/>
  <c r="E55" i="34" s="1"/>
  <c r="F17" i="5"/>
  <c r="E51" i="12" s="1"/>
  <c r="F14" i="5"/>
  <c r="E12" i="11" s="1"/>
  <c r="F10" i="5"/>
  <c r="E12" i="8" s="1"/>
  <c r="D12" i="5"/>
  <c r="E10" i="10" s="1"/>
  <c r="D13" i="5"/>
  <c r="E53" i="10" s="1"/>
  <c r="D14" i="5"/>
  <c r="E10" i="11" s="1"/>
  <c r="D18" i="5"/>
  <c r="E10" i="13" s="1"/>
  <c r="C5" i="18"/>
  <c r="C38" i="18" s="1"/>
  <c r="C5" i="37"/>
  <c r="E5" i="37"/>
  <c r="B18" i="24"/>
  <c r="G24" i="34"/>
  <c r="H45" i="11"/>
  <c r="B17" i="21"/>
  <c r="C34" i="8"/>
  <c r="C100" i="8" s="1"/>
  <c r="E60" i="53"/>
  <c r="E48" i="3"/>
  <c r="E60" i="54"/>
  <c r="C33" i="54"/>
  <c r="E47" i="3"/>
  <c r="E29" i="54"/>
  <c r="E30" i="34"/>
  <c r="E33" i="34" s="1"/>
  <c r="F17" i="21" s="1"/>
  <c r="J72" i="8"/>
  <c r="J73" i="8"/>
  <c r="J71" i="8"/>
  <c r="J27" i="34"/>
  <c r="J27" i="13"/>
  <c r="J67" i="13"/>
  <c r="J68" i="12"/>
  <c r="J69" i="12"/>
  <c r="J67" i="12"/>
  <c r="J27" i="12"/>
  <c r="J68" i="11"/>
  <c r="J69" i="11"/>
  <c r="J67" i="11"/>
  <c r="J27" i="11"/>
  <c r="J72" i="10"/>
  <c r="J73" i="10"/>
  <c r="J71" i="10"/>
  <c r="J27" i="10"/>
  <c r="J72" i="34"/>
  <c r="J73" i="34"/>
  <c r="J71" i="34"/>
  <c r="J27" i="8"/>
  <c r="J51" i="57"/>
  <c r="J52" i="57"/>
  <c r="J50" i="57"/>
  <c r="F18" i="21"/>
  <c r="G21" i="3"/>
  <c r="E63" i="54"/>
  <c r="E32" i="54"/>
  <c r="E32" i="53"/>
  <c r="E45" i="3"/>
  <c r="F40" i="21"/>
  <c r="F39" i="21"/>
  <c r="E60" i="19"/>
  <c r="E63" i="19"/>
  <c r="E29" i="19"/>
  <c r="E40" i="16"/>
  <c r="F32" i="21"/>
  <c r="E37" i="3"/>
  <c r="E66" i="14"/>
  <c r="E63" i="14"/>
  <c r="E72" i="12"/>
  <c r="E9" i="3"/>
  <c r="H68" i="57"/>
  <c r="H85" i="12"/>
  <c r="C72" i="3"/>
  <c r="H57" i="57"/>
  <c r="H67" i="57"/>
  <c r="H83" i="12"/>
  <c r="C76" i="10"/>
  <c r="C81" i="7"/>
  <c r="H76" i="7"/>
  <c r="C32" i="34"/>
  <c r="C29" i="57"/>
  <c r="C27" i="57"/>
  <c r="H9" i="23"/>
  <c r="G9" i="23"/>
  <c r="I9" i="23"/>
  <c r="B23" i="21"/>
  <c r="D21" i="21"/>
  <c r="D76" i="10"/>
  <c r="C29" i="18"/>
  <c r="B36" i="21"/>
  <c r="C68" i="16"/>
  <c r="B33" i="21"/>
  <c r="H35" i="8"/>
  <c r="D60" i="54"/>
  <c r="D43" i="21"/>
  <c r="G88" i="10"/>
  <c r="B45" i="21"/>
  <c r="C40" i="36"/>
  <c r="D5" i="8"/>
  <c r="F36" i="8"/>
  <c r="E32" i="8"/>
  <c r="K28" i="39"/>
  <c r="B48" i="21" s="1"/>
  <c r="B30" i="42"/>
  <c r="C5" i="9"/>
  <c r="F36" i="21"/>
  <c r="C65" i="53"/>
  <c r="D29" i="18"/>
  <c r="D33" i="18"/>
  <c r="J103" i="55"/>
  <c r="B39" i="21"/>
  <c r="C60" i="19"/>
  <c r="F37" i="21"/>
  <c r="E42" i="3"/>
  <c r="E60" i="18"/>
  <c r="H88" i="34"/>
  <c r="C70" i="16"/>
  <c r="D47" i="16" s="1"/>
  <c r="D57" i="16" s="1"/>
  <c r="D70" i="16" s="1"/>
  <c r="C94" i="13"/>
  <c r="B37" i="13" s="1"/>
  <c r="C32" i="13"/>
  <c r="C61" i="11"/>
  <c r="C59" i="11"/>
  <c r="B81" i="10"/>
  <c r="C61" i="13"/>
  <c r="C74" i="13" s="1"/>
  <c r="C59" i="13"/>
  <c r="D64" i="18"/>
  <c r="E29" i="17"/>
  <c r="E39" i="3"/>
  <c r="F34" i="21"/>
  <c r="J83" i="55"/>
  <c r="C5" i="57"/>
  <c r="D5" i="57"/>
  <c r="E5" i="57"/>
  <c r="G47" i="57"/>
  <c r="C49" i="19"/>
  <c r="C62" i="19" s="1"/>
  <c r="C65" i="19" s="1"/>
  <c r="B18" i="39"/>
  <c r="G51" i="57"/>
  <c r="C12" i="37"/>
  <c r="C14" i="37"/>
  <c r="C33" i="37" s="1"/>
  <c r="D29" i="21"/>
  <c r="H61" i="57"/>
  <c r="D30" i="42"/>
  <c r="G38" i="12"/>
  <c r="C32" i="12"/>
  <c r="C60" i="17"/>
  <c r="C37" i="16"/>
  <c r="D39" i="19"/>
  <c r="D49" i="19" s="1"/>
  <c r="D62" i="19" s="1"/>
  <c r="D5" i="37"/>
  <c r="B32" i="14"/>
  <c r="A54" i="43"/>
  <c r="H79" i="11"/>
  <c r="G72" i="10"/>
  <c r="A18" i="43"/>
  <c r="B35" i="11"/>
  <c r="B37" i="15"/>
  <c r="H74" i="13"/>
  <c r="D5" i="38"/>
  <c r="C5" i="38"/>
  <c r="D48" i="10"/>
  <c r="H39" i="8"/>
  <c r="C40" i="12"/>
  <c r="H38" i="12"/>
  <c r="J52" i="21"/>
  <c r="G7" i="22"/>
  <c r="D5" i="14"/>
  <c r="D41" i="14" s="1"/>
  <c r="B89" i="58"/>
  <c r="H39" i="10"/>
  <c r="B5" i="9"/>
  <c r="H73" i="12"/>
  <c r="H44" i="12"/>
  <c r="D5" i="9"/>
  <c r="G24" i="8"/>
  <c r="D5" i="10"/>
  <c r="H47" i="10"/>
  <c r="B32" i="54"/>
  <c r="G22" i="24"/>
  <c r="H38" i="10"/>
  <c r="H80" i="10"/>
  <c r="H89" i="10"/>
  <c r="E5" i="10"/>
  <c r="H49" i="34"/>
  <c r="H50" i="34"/>
  <c r="E5" i="19"/>
  <c r="E38" i="19" s="1"/>
  <c r="H36" i="10"/>
  <c r="H78" i="10"/>
  <c r="C63" i="57"/>
  <c r="H79" i="34"/>
  <c r="G31" i="34"/>
  <c r="H35" i="34"/>
  <c r="C5" i="34"/>
  <c r="A50" i="24"/>
  <c r="B46" i="24"/>
  <c r="B42" i="24"/>
  <c r="B38" i="24"/>
  <c r="B6" i="24"/>
  <c r="B5" i="24"/>
  <c r="B28" i="24"/>
  <c r="B24" i="24"/>
  <c r="C15" i="24"/>
  <c r="C14" i="24"/>
  <c r="B13" i="24"/>
  <c r="B11" i="24"/>
  <c r="A3" i="24"/>
  <c r="H77" i="10"/>
  <c r="H77" i="34"/>
  <c r="H78" i="34"/>
  <c r="C48" i="34"/>
  <c r="C48" i="10"/>
  <c r="H33" i="10"/>
  <c r="D5" i="5"/>
  <c r="H62" i="57"/>
  <c r="H66" i="57"/>
  <c r="H33" i="34"/>
  <c r="H38" i="34"/>
  <c r="H87" i="34"/>
  <c r="B58" i="57"/>
  <c r="H82" i="34"/>
  <c r="H88" i="10"/>
  <c r="B35" i="8"/>
  <c r="H35" i="10"/>
  <c r="B6" i="5"/>
  <c r="G54" i="57"/>
  <c r="H58" i="57"/>
  <c r="E48" i="34"/>
  <c r="G68" i="34"/>
  <c r="H90" i="10"/>
  <c r="C84" i="10"/>
  <c r="H69" i="57"/>
  <c r="H83" i="34"/>
  <c r="H59" i="57"/>
  <c r="A9" i="24"/>
  <c r="F80" i="34"/>
  <c r="E81" i="34"/>
  <c r="E76" i="34"/>
  <c r="F53" i="21"/>
  <c r="E58" i="3"/>
  <c r="C97" i="13" l="1"/>
  <c r="D45" i="13"/>
  <c r="E5" i="54"/>
  <c r="E38" i="54" s="1"/>
  <c r="D32" i="21"/>
  <c r="D37" i="16"/>
  <c r="A10" i="43"/>
  <c r="B35" i="12"/>
  <c r="H78" i="12"/>
  <c r="H79" i="12"/>
  <c r="G28" i="12"/>
  <c r="H74" i="12"/>
  <c r="H39" i="12"/>
  <c r="D5" i="12"/>
  <c r="G64" i="12"/>
  <c r="H34" i="12"/>
  <c r="H86" i="12"/>
  <c r="E44" i="12"/>
  <c r="G24" i="12"/>
  <c r="B75" i="12"/>
  <c r="G68" i="12"/>
  <c r="H75" i="12"/>
  <c r="H46" i="12"/>
  <c r="H35" i="12"/>
  <c r="H45" i="12"/>
  <c r="B32" i="21"/>
  <c r="C41" i="16"/>
  <c r="C65" i="10"/>
  <c r="C63" i="10"/>
  <c r="C50" i="7"/>
  <c r="B65" i="9"/>
  <c r="B132" i="9" s="1"/>
  <c r="B35" i="21"/>
  <c r="C64" i="17"/>
  <c r="E9" i="59"/>
  <c r="J5" i="24"/>
  <c r="J7" i="24" s="1"/>
  <c r="D40" i="21"/>
  <c r="D29" i="53"/>
  <c r="B63" i="54"/>
  <c r="C31" i="53"/>
  <c r="B71" i="15"/>
  <c r="C5" i="15"/>
  <c r="C46" i="15" s="1"/>
  <c r="E5" i="15"/>
  <c r="E46" i="15" s="1"/>
  <c r="D5" i="15"/>
  <c r="D46" i="15" s="1"/>
  <c r="B26" i="21"/>
  <c r="G38" i="13"/>
  <c r="B38" i="21"/>
  <c r="C31" i="19"/>
  <c r="C29" i="19"/>
  <c r="C33" i="19"/>
  <c r="E32" i="18"/>
  <c r="E41" i="3"/>
  <c r="E29" i="18"/>
  <c r="B77" i="12"/>
  <c r="J123" i="55"/>
  <c r="A49" i="43"/>
  <c r="A9" i="43"/>
  <c r="A21" i="43"/>
  <c r="A17" i="43"/>
  <c r="A56" i="43"/>
  <c r="A39" i="43"/>
  <c r="C61" i="43"/>
  <c r="C31" i="37"/>
  <c r="B46" i="21"/>
  <c r="C35" i="37"/>
  <c r="E43" i="3"/>
  <c r="F38" i="21"/>
  <c r="D35" i="21"/>
  <c r="D60" i="17"/>
  <c r="E37" i="15"/>
  <c r="F30" i="21"/>
  <c r="C47" i="17"/>
  <c r="C49" i="17"/>
  <c r="C62" i="17" s="1"/>
  <c r="B71" i="16"/>
  <c r="C5" i="16"/>
  <c r="C46" i="16" s="1"/>
  <c r="C21" i="13"/>
  <c r="C34" i="13" s="1"/>
  <c r="C19" i="13"/>
  <c r="G71" i="12"/>
  <c r="H79" i="13"/>
  <c r="B61" i="43"/>
  <c r="A8" i="43"/>
  <c r="C33" i="53"/>
  <c r="D26" i="21"/>
  <c r="B42" i="21"/>
  <c r="C29" i="54"/>
  <c r="C60" i="54"/>
  <c r="B43" i="21"/>
  <c r="C21" i="34"/>
  <c r="C34" i="34" s="1"/>
  <c r="C99" i="34" s="1"/>
  <c r="C19" i="34"/>
  <c r="A55" i="43"/>
  <c r="D5" i="54"/>
  <c r="D38" i="54" s="1"/>
  <c r="H36" i="13"/>
  <c r="B35" i="13"/>
  <c r="C5" i="17"/>
  <c r="C38" i="17" s="1"/>
  <c r="E5" i="12"/>
  <c r="C16" i="18"/>
  <c r="C18" i="18"/>
  <c r="C31" i="18" s="1"/>
  <c r="B18" i="40"/>
  <c r="K18" i="40" s="1"/>
  <c r="K17" i="40"/>
  <c r="F41" i="21"/>
  <c r="E63" i="53"/>
  <c r="E46" i="3"/>
  <c r="B35" i="34"/>
  <c r="C40" i="34"/>
  <c r="C84" i="34"/>
  <c r="D5" i="34"/>
  <c r="G75" i="34"/>
  <c r="G72" i="34"/>
  <c r="H51" i="34"/>
  <c r="H80" i="34"/>
  <c r="D48" i="34"/>
  <c r="H34" i="34"/>
  <c r="G28" i="34"/>
  <c r="H39" i="34"/>
  <c r="H36" i="34"/>
  <c r="G38" i="34"/>
  <c r="C98" i="34"/>
  <c r="A41" i="43"/>
  <c r="E63" i="17"/>
  <c r="E60" i="17"/>
  <c r="F35" i="21"/>
  <c r="C63" i="14"/>
  <c r="B29" i="21"/>
  <c r="A11" i="43"/>
  <c r="B40" i="21"/>
  <c r="H43" i="12"/>
  <c r="C80" i="12"/>
  <c r="A16" i="43"/>
  <c r="C74" i="11"/>
  <c r="D45" i="11" s="1"/>
  <c r="D61" i="11" s="1"/>
  <c r="D74" i="11" s="1"/>
  <c r="E40" i="3"/>
  <c r="E5" i="17"/>
  <c r="E38" i="17" s="1"/>
  <c r="G31" i="12"/>
  <c r="A60" i="43"/>
  <c r="B40" i="16"/>
  <c r="D45" i="12"/>
  <c r="D61" i="12" s="1"/>
  <c r="D74" i="12" s="1"/>
  <c r="E45" i="12" s="1"/>
  <c r="E61" i="12" s="1"/>
  <c r="E5" i="16"/>
  <c r="E46" i="16" s="1"/>
  <c r="D49" i="53"/>
  <c r="D62" i="53" s="1"/>
  <c r="E39" i="53" s="1"/>
  <c r="E49" i="53" s="1"/>
  <c r="E62" i="53" s="1"/>
  <c r="E64" i="53" s="1"/>
  <c r="D33" i="54"/>
  <c r="D29" i="54"/>
  <c r="G68" i="10"/>
  <c r="G31" i="10"/>
  <c r="C59" i="12"/>
  <c r="B67" i="9"/>
  <c r="B16" i="21"/>
  <c r="B7" i="3"/>
  <c r="D18" i="21"/>
  <c r="D60" i="18"/>
  <c r="C31" i="54"/>
  <c r="D64" i="54"/>
  <c r="B77" i="13"/>
  <c r="F29" i="39"/>
  <c r="F30" i="39" s="1"/>
  <c r="D33" i="17"/>
  <c r="H49" i="10"/>
  <c r="B32" i="19"/>
  <c r="B46" i="58"/>
  <c r="H83" i="10"/>
  <c r="B66" i="14"/>
  <c r="K17" i="42"/>
  <c r="C57" i="57"/>
  <c r="D6" i="57" s="1"/>
  <c r="D29" i="57" s="1"/>
  <c r="D57" i="57" s="1"/>
  <c r="E6" i="57" s="1"/>
  <c r="G28" i="10"/>
  <c r="H82" i="10"/>
  <c r="G24" i="10"/>
  <c r="B35" i="10"/>
  <c r="H79" i="10"/>
  <c r="H34" i="10"/>
  <c r="H87" i="10"/>
  <c r="J47" i="21"/>
  <c r="D5" i="19"/>
  <c r="D38" i="19" s="1"/>
  <c r="B3" i="44"/>
  <c r="B67" i="21"/>
  <c r="D72" i="11"/>
  <c r="C64" i="19"/>
  <c r="C62" i="54"/>
  <c r="C65" i="54" s="1"/>
  <c r="B37" i="11"/>
  <c r="B91" i="58"/>
  <c r="C5" i="10"/>
  <c r="E48" i="10"/>
  <c r="B63" i="19"/>
  <c r="B79" i="10"/>
  <c r="G75" i="10"/>
  <c r="H48" i="10"/>
  <c r="H50" i="10"/>
  <c r="D53" i="21"/>
  <c r="B19" i="21"/>
  <c r="C19" i="8"/>
  <c r="B77" i="11"/>
  <c r="C64" i="54"/>
  <c r="E52" i="3"/>
  <c r="E37" i="38"/>
  <c r="C23" i="38"/>
  <c r="C39" i="38" s="1"/>
  <c r="F47" i="21"/>
  <c r="D29" i="39"/>
  <c r="D30" i="39" s="1"/>
  <c r="E36" i="35"/>
  <c r="E49" i="3"/>
  <c r="C67" i="14"/>
  <c r="B73" i="9"/>
  <c r="C65" i="9"/>
  <c r="C132" i="9" s="1"/>
  <c r="G43" i="22"/>
  <c r="C131" i="9"/>
  <c r="D49" i="7"/>
  <c r="D65" i="7" s="1"/>
  <c r="E5" i="36"/>
  <c r="C5" i="36"/>
  <c r="F28" i="21"/>
  <c r="E33" i="3"/>
  <c r="E29" i="14"/>
  <c r="D17" i="14"/>
  <c r="D16" i="14" s="1"/>
  <c r="E17" i="14"/>
  <c r="E16" i="14" s="1"/>
  <c r="H47" i="8"/>
  <c r="G68" i="8"/>
  <c r="H87" i="8"/>
  <c r="D48" i="8"/>
  <c r="H34" i="8"/>
  <c r="E48" i="8"/>
  <c r="H50" i="8"/>
  <c r="H38" i="8"/>
  <c r="G28" i="8"/>
  <c r="E5" i="8"/>
  <c r="H36" i="8"/>
  <c r="C40" i="8"/>
  <c r="H89" i="8"/>
  <c r="C48" i="8"/>
  <c r="H33" i="8"/>
  <c r="G72" i="8"/>
  <c r="H88" i="8"/>
  <c r="H49" i="8"/>
  <c r="H90" i="8"/>
  <c r="H78" i="8"/>
  <c r="H83" i="8"/>
  <c r="H77" i="8"/>
  <c r="C5" i="8"/>
  <c r="G31" i="8"/>
  <c r="H82" i="8"/>
  <c r="C84" i="8"/>
  <c r="H48" i="8"/>
  <c r="H80" i="8"/>
  <c r="G75" i="8"/>
  <c r="H79" i="8"/>
  <c r="E29" i="58"/>
  <c r="B131" i="9"/>
  <c r="B133" i="9" s="1"/>
  <c r="H30" i="40"/>
  <c r="K30" i="42"/>
  <c r="C73" i="16"/>
  <c r="D72" i="15"/>
  <c r="C100" i="34"/>
  <c r="C72" i="57"/>
  <c r="D131" i="9"/>
  <c r="C133" i="9"/>
  <c r="D65" i="9"/>
  <c r="D132" i="9" s="1"/>
  <c r="M43" i="22"/>
  <c r="J43" i="22"/>
  <c r="K43" i="22"/>
  <c r="D41" i="38"/>
  <c r="D47" i="21"/>
  <c r="C41" i="38"/>
  <c r="E34" i="37"/>
  <c r="E51" i="3"/>
  <c r="E31" i="37"/>
  <c r="F45" i="21"/>
  <c r="E50" i="3"/>
  <c r="E40" i="36"/>
  <c r="C44" i="36"/>
  <c r="C16" i="36"/>
  <c r="C42" i="36" s="1"/>
  <c r="D6" i="36" s="1"/>
  <c r="D16" i="36" s="1"/>
  <c r="D42" i="36" s="1"/>
  <c r="E6" i="36" s="1"/>
  <c r="E16" i="36" s="1"/>
  <c r="E42" i="36" s="1"/>
  <c r="E44" i="36" s="1"/>
  <c r="C40" i="35"/>
  <c r="C36" i="35"/>
  <c r="C18" i="35"/>
  <c r="C38" i="35" s="1"/>
  <c r="D6" i="35" s="1"/>
  <c r="D18" i="35" s="1"/>
  <c r="D38" i="35" s="1"/>
  <c r="D41" i="16"/>
  <c r="C24" i="16"/>
  <c r="C39" i="16" s="1"/>
  <c r="D6" i="16" s="1"/>
  <c r="D24" i="16" s="1"/>
  <c r="D39" i="16" s="1"/>
  <c r="D30" i="21"/>
  <c r="D38" i="15"/>
  <c r="D67" i="14"/>
  <c r="D33" i="14"/>
  <c r="C31" i="14"/>
  <c r="C34" i="14" s="1"/>
  <c r="C78" i="10"/>
  <c r="D49" i="10" s="1"/>
  <c r="D65" i="10" s="1"/>
  <c r="D78" i="10" s="1"/>
  <c r="D101" i="10" s="1"/>
  <c r="C98" i="10"/>
  <c r="B37" i="10" s="1"/>
  <c r="C32" i="10"/>
  <c r="B20" i="21"/>
  <c r="C21" i="10"/>
  <c r="C34" i="10" s="1"/>
  <c r="C78" i="8"/>
  <c r="D49" i="8" s="1"/>
  <c r="D65" i="8" s="1"/>
  <c r="D78" i="8" s="1"/>
  <c r="B18" i="21"/>
  <c r="C32" i="8"/>
  <c r="D6" i="8"/>
  <c r="D21" i="8" s="1"/>
  <c r="D34" i="8" s="1"/>
  <c r="G33" i="8" s="1"/>
  <c r="C99" i="8"/>
  <c r="B37" i="8" s="1"/>
  <c r="D100" i="34"/>
  <c r="C101" i="34"/>
  <c r="D49" i="34"/>
  <c r="D65" i="34" s="1"/>
  <c r="D78" i="34" s="1"/>
  <c r="D32" i="34"/>
  <c r="B37" i="34"/>
  <c r="D6" i="34"/>
  <c r="D20" i="44"/>
  <c r="C65" i="7"/>
  <c r="C74" i="7" s="1"/>
  <c r="C75" i="7" s="1"/>
  <c r="C96" i="7" s="1"/>
  <c r="E65" i="7"/>
  <c r="E52" i="21"/>
  <c r="G46" i="12" s="1"/>
  <c r="C36" i="7"/>
  <c r="D6" i="15"/>
  <c r="D21" i="15" s="1"/>
  <c r="D36" i="15" s="1"/>
  <c r="E6" i="15" s="1"/>
  <c r="E21" i="15" s="1"/>
  <c r="E36" i="15" s="1"/>
  <c r="E38" i="15" s="1"/>
  <c r="E34" i="15"/>
  <c r="E35" i="3"/>
  <c r="C57" i="15"/>
  <c r="C70" i="15" s="1"/>
  <c r="F67" i="21"/>
  <c r="F30" i="41"/>
  <c r="K28" i="41"/>
  <c r="B50" i="21" s="1"/>
  <c r="B30" i="41"/>
  <c r="K18" i="41"/>
  <c r="D29" i="40"/>
  <c r="D30" i="40" s="1"/>
  <c r="K30" i="40"/>
  <c r="H29" i="39"/>
  <c r="H30" i="39" s="1"/>
  <c r="K30" i="39"/>
  <c r="G23" i="52"/>
  <c r="G21" i="52"/>
  <c r="G19" i="52" s="1"/>
  <c r="C72" i="15"/>
  <c r="E28" i="58"/>
  <c r="F36" i="34"/>
  <c r="G26" i="24"/>
  <c r="G30" i="24" s="1"/>
  <c r="G32" i="24" s="1"/>
  <c r="J34" i="24" s="1"/>
  <c r="J36" i="24" s="1"/>
  <c r="F21" i="21"/>
  <c r="E76" i="10"/>
  <c r="F80" i="10"/>
  <c r="E29" i="3"/>
  <c r="E37" i="12"/>
  <c r="E32" i="12"/>
  <c r="E75" i="11"/>
  <c r="E28" i="3"/>
  <c r="F76" i="11"/>
  <c r="E72" i="11"/>
  <c r="E77" i="11"/>
  <c r="F23" i="21"/>
  <c r="D67" i="21"/>
  <c r="E64" i="34"/>
  <c r="G78" i="34" s="1"/>
  <c r="E20" i="8"/>
  <c r="G34" i="8" s="1"/>
  <c r="B81" i="8"/>
  <c r="E60" i="11"/>
  <c r="E20" i="13"/>
  <c r="G34" i="13" s="1"/>
  <c r="D63" i="10"/>
  <c r="D20" i="34"/>
  <c r="D19" i="34" s="1"/>
  <c r="E15" i="58"/>
  <c r="E22" i="58" s="1"/>
  <c r="G57" i="3"/>
  <c r="D61" i="13"/>
  <c r="D74" i="13" s="1"/>
  <c r="G73" i="13" s="1"/>
  <c r="E20" i="11"/>
  <c r="G34" i="11" s="1"/>
  <c r="E64" i="10"/>
  <c r="G78" i="10" s="1"/>
  <c r="D27" i="57"/>
  <c r="E20" i="10"/>
  <c r="G34" i="10" s="1"/>
  <c r="E60" i="13"/>
  <c r="G74" i="13" s="1"/>
  <c r="D72" i="16"/>
  <c r="G31" i="11"/>
  <c r="H43" i="11"/>
  <c r="C44" i="11"/>
  <c r="H75" i="11"/>
  <c r="H34" i="11"/>
  <c r="G68" i="11"/>
  <c r="H85" i="11"/>
  <c r="G24" i="11"/>
  <c r="H83" i="11"/>
  <c r="H78" i="11"/>
  <c r="C5" i="11"/>
  <c r="E5" i="18"/>
  <c r="E38" i="18" s="1"/>
  <c r="H39" i="11"/>
  <c r="H73" i="11"/>
  <c r="H38" i="11"/>
  <c r="H33" i="11"/>
  <c r="C80" i="11"/>
  <c r="H36" i="11"/>
  <c r="H36" i="12"/>
  <c r="C44" i="12"/>
  <c r="H76" i="11"/>
  <c r="D5" i="11"/>
  <c r="H33" i="12"/>
  <c r="H84" i="12"/>
  <c r="C5" i="12"/>
  <c r="G28" i="11"/>
  <c r="D44" i="11"/>
  <c r="G71" i="11"/>
  <c r="H76" i="12"/>
  <c r="D44" i="12"/>
  <c r="H74" i="11"/>
  <c r="H84" i="11"/>
  <c r="H35" i="11"/>
  <c r="G64" i="11"/>
  <c r="H76" i="13"/>
  <c r="D5" i="13"/>
  <c r="G24" i="13"/>
  <c r="H79" i="7"/>
  <c r="E6" i="7"/>
  <c r="E46" i="7" s="1"/>
  <c r="H35" i="13"/>
  <c r="H39" i="13"/>
  <c r="B75" i="13"/>
  <c r="G28" i="13"/>
  <c r="H43" i="13"/>
  <c r="H33" i="13"/>
  <c r="H46" i="13"/>
  <c r="G71" i="13"/>
  <c r="H85" i="7"/>
  <c r="G72" i="7"/>
  <c r="D6" i="7"/>
  <c r="D46" i="7" s="1"/>
  <c r="E44" i="11"/>
  <c r="E5" i="13"/>
  <c r="H86" i="13"/>
  <c r="C6" i="7"/>
  <c r="C46" i="7" s="1"/>
  <c r="H87" i="7"/>
  <c r="E5" i="11"/>
  <c r="H44" i="13"/>
  <c r="H75" i="13"/>
  <c r="H38" i="13"/>
  <c r="H83" i="13"/>
  <c r="H45" i="13"/>
  <c r="H74" i="7"/>
  <c r="H86" i="7"/>
  <c r="C40" i="13"/>
  <c r="G68" i="13"/>
  <c r="C44" i="13"/>
  <c r="H84" i="7"/>
  <c r="H75" i="7"/>
  <c r="G31" i="13"/>
  <c r="H78" i="13"/>
  <c r="H77" i="7"/>
  <c r="H46" i="11"/>
  <c r="C40" i="11"/>
  <c r="E5" i="38"/>
  <c r="D5" i="16"/>
  <c r="D46" i="16" s="1"/>
  <c r="D44" i="13"/>
  <c r="E44" i="13"/>
  <c r="H85" i="13"/>
  <c r="C80" i="13"/>
  <c r="H80" i="7"/>
  <c r="H44" i="11"/>
  <c r="H86" i="11"/>
  <c r="D12" i="21"/>
  <c r="J55" i="21"/>
  <c r="E5" i="35"/>
  <c r="J54" i="21"/>
  <c r="J61" i="21"/>
  <c r="C5" i="35"/>
  <c r="J45" i="21"/>
  <c r="D5" i="36"/>
  <c r="F62" i="21"/>
  <c r="E7" i="32"/>
  <c r="C73" i="9"/>
  <c r="G13" i="21"/>
  <c r="B12" i="21"/>
  <c r="J30" i="21"/>
  <c r="D5" i="35"/>
  <c r="J63" i="21"/>
  <c r="A9" i="21"/>
  <c r="D5" i="18"/>
  <c r="D38" i="18" s="1"/>
  <c r="B32" i="18"/>
  <c r="C5" i="14"/>
  <c r="C41" i="14" s="1"/>
  <c r="D7" i="32"/>
  <c r="J62" i="21"/>
  <c r="J60" i="21"/>
  <c r="J48" i="21"/>
  <c r="D62" i="21"/>
  <c r="F12" i="21"/>
  <c r="K18" i="39"/>
  <c r="B29" i="39"/>
  <c r="F30" i="42"/>
  <c r="E39" i="19"/>
  <c r="E49" i="19" s="1"/>
  <c r="E62" i="19" s="1"/>
  <c r="E64" i="19" s="1"/>
  <c r="D65" i="19"/>
  <c r="C95" i="11"/>
  <c r="D6" i="11"/>
  <c r="D21" i="11" s="1"/>
  <c r="D34" i="11" s="1"/>
  <c r="D6" i="12"/>
  <c r="D21" i="12" s="1"/>
  <c r="D34" i="12" s="1"/>
  <c r="C95" i="12"/>
  <c r="E71" i="16"/>
  <c r="F33" i="21"/>
  <c r="E68" i="16"/>
  <c r="E38" i="3"/>
  <c r="C36" i="37"/>
  <c r="D6" i="37"/>
  <c r="D14" i="37" s="1"/>
  <c r="D33" i="37" s="1"/>
  <c r="D65" i="53"/>
  <c r="H29" i="42"/>
  <c r="H30" i="42" s="1"/>
  <c r="K18" i="42"/>
  <c r="C99" i="10"/>
  <c r="D6" i="10"/>
  <c r="D21" i="10" s="1"/>
  <c r="D34" i="10" s="1"/>
  <c r="C97" i="11"/>
  <c r="E32" i="3"/>
  <c r="E77" i="13"/>
  <c r="E75" i="13"/>
  <c r="F27" i="21"/>
  <c r="E72" i="13"/>
  <c r="F76" i="13"/>
  <c r="K29" i="41"/>
  <c r="D30" i="41"/>
  <c r="G74" i="11"/>
  <c r="E10" i="12"/>
  <c r="E20" i="12" s="1"/>
  <c r="J44" i="24"/>
  <c r="D73" i="16"/>
  <c r="E47" i="16"/>
  <c r="E57" i="16" s="1"/>
  <c r="E70" i="16" s="1"/>
  <c r="E72" i="16" s="1"/>
  <c r="D6" i="13"/>
  <c r="D21" i="13" s="1"/>
  <c r="D34" i="13" s="1"/>
  <c r="C95" i="13"/>
  <c r="C42" i="38"/>
  <c r="D6" i="38"/>
  <c r="D23" i="38" s="1"/>
  <c r="D39" i="38" s="1"/>
  <c r="C52" i="21"/>
  <c r="C54" i="21" s="1"/>
  <c r="C47" i="18"/>
  <c r="C49" i="18"/>
  <c r="C62" i="18" s="1"/>
  <c r="E37" i="10"/>
  <c r="E35" i="10"/>
  <c r="E32" i="10"/>
  <c r="E25" i="3"/>
  <c r="F20" i="21"/>
  <c r="E60" i="57"/>
  <c r="E58" i="57"/>
  <c r="E55" i="57"/>
  <c r="F59" i="57"/>
  <c r="E21" i="3"/>
  <c r="F16" i="21"/>
  <c r="D40" i="36"/>
  <c r="D45" i="21"/>
  <c r="D44" i="36"/>
  <c r="D39" i="21"/>
  <c r="D64" i="19"/>
  <c r="D60" i="19"/>
  <c r="E30" i="3"/>
  <c r="F76" i="12"/>
  <c r="F25" i="21"/>
  <c r="E75" i="12"/>
  <c r="E77" i="12"/>
  <c r="D25" i="21"/>
  <c r="D72" i="12"/>
  <c r="D16" i="21"/>
  <c r="D72" i="57"/>
  <c r="B60" i="57" s="1"/>
  <c r="D55" i="57"/>
  <c r="F22" i="21"/>
  <c r="E32" i="11"/>
  <c r="E27" i="3"/>
  <c r="E35" i="11"/>
  <c r="F36" i="11"/>
  <c r="E71" i="7"/>
  <c r="E72" i="7" s="1"/>
  <c r="E20" i="44"/>
  <c r="L43" i="22"/>
  <c r="F36" i="12"/>
  <c r="F24" i="21"/>
  <c r="E35" i="12"/>
  <c r="C102" i="8"/>
  <c r="D46" i="21"/>
  <c r="D31" i="37"/>
  <c r="C60" i="18"/>
  <c r="C64" i="18"/>
  <c r="B37" i="21"/>
  <c r="B30" i="21"/>
  <c r="C38" i="15"/>
  <c r="C34" i="15"/>
  <c r="B63" i="53"/>
  <c r="B32" i="53"/>
  <c r="D5" i="53"/>
  <c r="D38" i="53" s="1"/>
  <c r="C5" i="53"/>
  <c r="C38" i="53" s="1"/>
  <c r="E5" i="53"/>
  <c r="E38" i="53" s="1"/>
  <c r="D63" i="34"/>
  <c r="E32" i="34"/>
  <c r="E35" i="34"/>
  <c r="E37" i="34"/>
  <c r="E22" i="3"/>
  <c r="E24" i="3"/>
  <c r="F80" i="8"/>
  <c r="E76" i="8"/>
  <c r="F19" i="21"/>
  <c r="E81" i="8"/>
  <c r="B32" i="17"/>
  <c r="D5" i="17"/>
  <c r="D38" i="17" s="1"/>
  <c r="E71" i="15"/>
  <c r="E36" i="3"/>
  <c r="E68" i="15"/>
  <c r="F31" i="21"/>
  <c r="D60" i="53"/>
  <c r="D41" i="21"/>
  <c r="D64" i="53"/>
  <c r="C34" i="54"/>
  <c r="D6" i="54"/>
  <c r="D18" i="54" s="1"/>
  <c r="D31" i="54" s="1"/>
  <c r="C10" i="59"/>
  <c r="C9" i="59"/>
  <c r="F36" i="13"/>
  <c r="E31" i="3"/>
  <c r="E32" i="13"/>
  <c r="E37" i="13"/>
  <c r="E35" i="13"/>
  <c r="E26" i="3"/>
  <c r="E79" i="10"/>
  <c r="E81" i="10"/>
  <c r="C21" i="5"/>
  <c r="D40" i="35"/>
  <c r="D36" i="35"/>
  <c r="D44" i="21"/>
  <c r="D29" i="19"/>
  <c r="D33" i="19"/>
  <c r="D38" i="21"/>
  <c r="D64" i="17"/>
  <c r="D39" i="54"/>
  <c r="D49" i="54" s="1"/>
  <c r="D62" i="54" s="1"/>
  <c r="C34" i="17"/>
  <c r="D6" i="17"/>
  <c r="D18" i="17" s="1"/>
  <c r="D31" i="17" s="1"/>
  <c r="C52" i="14"/>
  <c r="C65" i="14" s="1"/>
  <c r="C50" i="14"/>
  <c r="E35" i="8"/>
  <c r="E23" i="3"/>
  <c r="E37" i="8"/>
  <c r="H73" i="13"/>
  <c r="H34" i="13"/>
  <c r="G64" i="13"/>
  <c r="H84" i="13"/>
  <c r="G78" i="13"/>
  <c r="D57" i="21"/>
  <c r="F44" i="21"/>
  <c r="B79" i="34"/>
  <c r="B36" i="24"/>
  <c r="H52" i="34"/>
  <c r="G18" i="52"/>
  <c r="C34" i="18" l="1"/>
  <c r="D6" i="18"/>
  <c r="D18" i="18" s="1"/>
  <c r="D31" i="18" s="1"/>
  <c r="B29" i="40"/>
  <c r="B30" i="40" s="1"/>
  <c r="D6" i="53"/>
  <c r="D18" i="53" s="1"/>
  <c r="D31" i="53" s="1"/>
  <c r="C34" i="53"/>
  <c r="C65" i="17"/>
  <c r="D39" i="17"/>
  <c r="D49" i="17" s="1"/>
  <c r="D62" i="17" s="1"/>
  <c r="D6" i="19"/>
  <c r="D18" i="19" s="1"/>
  <c r="D31" i="19" s="1"/>
  <c r="C34" i="19"/>
  <c r="C73" i="57"/>
  <c r="G52" i="34"/>
  <c r="B81" i="34"/>
  <c r="G50" i="10"/>
  <c r="G69" i="57"/>
  <c r="G46" i="11"/>
  <c r="G86" i="13"/>
  <c r="E54" i="21"/>
  <c r="J65" i="21" s="1"/>
  <c r="D133" i="9"/>
  <c r="C95" i="7"/>
  <c r="D74" i="7"/>
  <c r="D73" i="7" s="1"/>
  <c r="G79" i="7"/>
  <c r="E74" i="7"/>
  <c r="F77" i="7" s="1"/>
  <c r="D7" i="7"/>
  <c r="D38" i="7" s="1"/>
  <c r="D47" i="7" s="1"/>
  <c r="C73" i="7"/>
  <c r="B15" i="21"/>
  <c r="B52" i="21" s="1"/>
  <c r="B54" i="21" s="1"/>
  <c r="B56" i="21" s="1"/>
  <c r="G90" i="10"/>
  <c r="G87" i="7"/>
  <c r="G86" i="11"/>
  <c r="G86" i="12"/>
  <c r="M47" i="21"/>
  <c r="M55" i="21" s="1"/>
  <c r="G50" i="8"/>
  <c r="C41" i="35"/>
  <c r="D41" i="35"/>
  <c r="E6" i="35"/>
  <c r="E18" i="35" s="1"/>
  <c r="E38" i="35" s="1"/>
  <c r="E40" i="35" s="1"/>
  <c r="C42" i="16"/>
  <c r="D42" i="16"/>
  <c r="E6" i="16"/>
  <c r="E24" i="16" s="1"/>
  <c r="E39" i="16" s="1"/>
  <c r="E41" i="16" s="1"/>
  <c r="D6" i="14"/>
  <c r="D18" i="14" s="1"/>
  <c r="D31" i="14" s="1"/>
  <c r="E6" i="14" s="1"/>
  <c r="E18" i="14" s="1"/>
  <c r="E31" i="14" s="1"/>
  <c r="E33" i="14" s="1"/>
  <c r="C101" i="10"/>
  <c r="B82" i="10" s="1"/>
  <c r="D73" i="57"/>
  <c r="B61" i="57" s="1"/>
  <c r="G56" i="57"/>
  <c r="G90" i="8"/>
  <c r="G46" i="13"/>
  <c r="C73" i="15"/>
  <c r="D47" i="15"/>
  <c r="D57" i="15" s="1"/>
  <c r="D70" i="15" s="1"/>
  <c r="K30" i="41"/>
  <c r="K29" i="40"/>
  <c r="G73" i="12"/>
  <c r="G77" i="10"/>
  <c r="E6" i="8"/>
  <c r="E21" i="8" s="1"/>
  <c r="E38" i="8" s="1"/>
  <c r="D100" i="8"/>
  <c r="B38" i="8" s="1"/>
  <c r="D21" i="34"/>
  <c r="D34" i="34" s="1"/>
  <c r="D99" i="34" s="1"/>
  <c r="B38" i="34" s="1"/>
  <c r="D7" i="52"/>
  <c r="E49" i="10"/>
  <c r="E65" i="10" s="1"/>
  <c r="E82" i="10" s="1"/>
  <c r="D97" i="12"/>
  <c r="B78" i="12" s="1"/>
  <c r="E45" i="13"/>
  <c r="E61" i="13" s="1"/>
  <c r="E78" i="13" s="1"/>
  <c r="D97" i="13"/>
  <c r="B78" i="13" s="1"/>
  <c r="B33" i="32"/>
  <c r="E6" i="17"/>
  <c r="E18" i="17" s="1"/>
  <c r="E31" i="17" s="1"/>
  <c r="E33" i="17" s="1"/>
  <c r="D34" i="17"/>
  <c r="C65" i="18"/>
  <c r="D39" i="18"/>
  <c r="D49" i="18" s="1"/>
  <c r="D62" i="18" s="1"/>
  <c r="E6" i="10"/>
  <c r="E21" i="10" s="1"/>
  <c r="E38" i="10" s="1"/>
  <c r="D99" i="10"/>
  <c r="B38" i="10" s="1"/>
  <c r="G33" i="10"/>
  <c r="D95" i="12"/>
  <c r="B38" i="12" s="1"/>
  <c r="E6" i="12"/>
  <c r="E21" i="12" s="1"/>
  <c r="E38" i="12" s="1"/>
  <c r="G33" i="12"/>
  <c r="E49" i="8"/>
  <c r="G77" i="8"/>
  <c r="D102" i="8"/>
  <c r="B82" i="8" s="1"/>
  <c r="G33" i="11"/>
  <c r="D95" i="11"/>
  <c r="B38" i="11" s="1"/>
  <c r="E6" i="11"/>
  <c r="E21" i="11" s="1"/>
  <c r="E38" i="11" s="1"/>
  <c r="D65" i="54"/>
  <c r="E39" i="54"/>
  <c r="E49" i="54" s="1"/>
  <c r="E62" i="54" s="1"/>
  <c r="E64" i="54" s="1"/>
  <c r="D27" i="5"/>
  <c r="D11" i="5" s="1"/>
  <c r="E53" i="8" s="1"/>
  <c r="F29" i="5"/>
  <c r="F11" i="5" s="1"/>
  <c r="E55" i="8" s="1"/>
  <c r="E28" i="5"/>
  <c r="E11" i="5" s="1"/>
  <c r="E54" i="8" s="1"/>
  <c r="E49" i="34"/>
  <c r="E65" i="34" s="1"/>
  <c r="E82" i="34" s="1"/>
  <c r="G77" i="34"/>
  <c r="D101" i="34"/>
  <c r="B82" i="34" s="1"/>
  <c r="G33" i="13"/>
  <c r="D95" i="13"/>
  <c r="B38" i="13" s="1"/>
  <c r="E6" i="13"/>
  <c r="E21" i="13" s="1"/>
  <c r="E38" i="13" s="1"/>
  <c r="G73" i="11"/>
  <c r="E45" i="11"/>
  <c r="E61" i="11" s="1"/>
  <c r="E78" i="11" s="1"/>
  <c r="D97" i="11"/>
  <c r="B78" i="11" s="1"/>
  <c r="B30" i="39"/>
  <c r="K29" i="39"/>
  <c r="E78" i="12"/>
  <c r="D42" i="38"/>
  <c r="E6" i="38"/>
  <c r="E23" i="38" s="1"/>
  <c r="E39" i="38" s="1"/>
  <c r="E41" i="38" s="1"/>
  <c r="D34" i="54"/>
  <c r="E6" i="54"/>
  <c r="E18" i="54" s="1"/>
  <c r="E31" i="54" s="1"/>
  <c r="E33" i="54" s="1"/>
  <c r="K29" i="42"/>
  <c r="C68" i="14"/>
  <c r="D42" i="14"/>
  <c r="D52" i="14" s="1"/>
  <c r="D65" i="14" s="1"/>
  <c r="G34" i="12"/>
  <c r="D36" i="37"/>
  <c r="E6" i="37"/>
  <c r="E14" i="37" s="1"/>
  <c r="E33" i="37" s="1"/>
  <c r="E35" i="37" s="1"/>
  <c r="D34" i="19" l="1"/>
  <c r="E6" i="19"/>
  <c r="E18" i="19" s="1"/>
  <c r="E31" i="19" s="1"/>
  <c r="E33" i="19" s="1"/>
  <c r="D34" i="53"/>
  <c r="E6" i="53"/>
  <c r="E18" i="53" s="1"/>
  <c r="E31" i="53" s="1"/>
  <c r="E33" i="53" s="1"/>
  <c r="E6" i="18"/>
  <c r="E18" i="18" s="1"/>
  <c r="E31" i="18" s="1"/>
  <c r="E33" i="18" s="1"/>
  <c r="D34" i="18"/>
  <c r="D65" i="17"/>
  <c r="E39" i="17"/>
  <c r="E49" i="17" s="1"/>
  <c r="E62" i="17" s="1"/>
  <c r="E64" i="17" s="1"/>
  <c r="D15" i="21"/>
  <c r="D52" i="21" s="1"/>
  <c r="D54" i="21" s="1"/>
  <c r="D56" i="21" s="1"/>
  <c r="D95" i="7"/>
  <c r="B78" i="7" s="1"/>
  <c r="E76" i="7"/>
  <c r="E20" i="3"/>
  <c r="E57" i="3" s="1"/>
  <c r="E59" i="3" s="1"/>
  <c r="D75" i="7"/>
  <c r="E7" i="7" s="1"/>
  <c r="E73" i="7"/>
  <c r="F15" i="21"/>
  <c r="F52" i="21" s="1"/>
  <c r="F54" i="21" s="1"/>
  <c r="F56" i="21" s="1"/>
  <c r="E78" i="7"/>
  <c r="D34" i="14"/>
  <c r="D73" i="15"/>
  <c r="E47" i="15"/>
  <c r="E57" i="15" s="1"/>
  <c r="E70" i="15" s="1"/>
  <c r="E72" i="15" s="1"/>
  <c r="G33" i="34"/>
  <c r="E6" i="34"/>
  <c r="E39" i="11"/>
  <c r="E40" i="11" s="1"/>
  <c r="E39" i="8"/>
  <c r="E83" i="34"/>
  <c r="E84" i="34" s="1"/>
  <c r="E79" i="11"/>
  <c r="E80" i="11" s="1"/>
  <c r="E79" i="13"/>
  <c r="E80" i="13" s="1"/>
  <c r="E39" i="10"/>
  <c r="E40" i="10" s="1"/>
  <c r="E39" i="13"/>
  <c r="E40" i="13" s="1"/>
  <c r="E83" i="10"/>
  <c r="E84" i="10" s="1"/>
  <c r="E79" i="12"/>
  <c r="E80" i="12" s="1"/>
  <c r="E39" i="12"/>
  <c r="E40" i="12" s="1"/>
  <c r="E64" i="8"/>
  <c r="G78" i="8" s="1"/>
  <c r="G79" i="10"/>
  <c r="G75" i="13"/>
  <c r="E8" i="5"/>
  <c r="E9" i="5"/>
  <c r="E11" i="34" s="1"/>
  <c r="G18" i="58" s="1"/>
  <c r="F8" i="5"/>
  <c r="F9" i="5"/>
  <c r="E12" i="34" s="1"/>
  <c r="G19" i="58" s="1"/>
  <c r="D9" i="5"/>
  <c r="E10" i="34" s="1"/>
  <c r="D8" i="5"/>
  <c r="G75" i="12"/>
  <c r="D68" i="14"/>
  <c r="E42" i="14"/>
  <c r="E52" i="14" s="1"/>
  <c r="E65" i="14" s="1"/>
  <c r="E67" i="14" s="1"/>
  <c r="D65" i="18"/>
  <c r="E39" i="18"/>
  <c r="E49" i="18" s="1"/>
  <c r="E62" i="18" s="1"/>
  <c r="E64" i="18" s="1"/>
  <c r="G75" i="11"/>
  <c r="D96" i="7" l="1"/>
  <c r="B79" i="7" s="1"/>
  <c r="G74" i="7"/>
  <c r="F31" i="3"/>
  <c r="E19" i="13"/>
  <c r="G35" i="13"/>
  <c r="K35" i="13" s="1"/>
  <c r="H26" i="21"/>
  <c r="G43" i="13" s="1"/>
  <c r="G26" i="21"/>
  <c r="F58" i="3"/>
  <c r="G53" i="21"/>
  <c r="E63" i="34"/>
  <c r="H53" i="21"/>
  <c r="G87" i="34" s="1"/>
  <c r="G79" i="34"/>
  <c r="K79" i="34" s="1"/>
  <c r="F25" i="3"/>
  <c r="G20" i="21"/>
  <c r="G35" i="10"/>
  <c r="K35" i="10" s="1"/>
  <c r="H20" i="21"/>
  <c r="G47" i="10" s="1"/>
  <c r="E19" i="10"/>
  <c r="E19" i="12"/>
  <c r="H24" i="21"/>
  <c r="G43" i="12" s="1"/>
  <c r="F29" i="3"/>
  <c r="G35" i="12"/>
  <c r="K35" i="12" s="1"/>
  <c r="G24" i="21"/>
  <c r="E63" i="10"/>
  <c r="F26" i="3"/>
  <c r="G21" i="21"/>
  <c r="H21" i="21" s="1"/>
  <c r="G87" i="10" s="1"/>
  <c r="E59" i="13"/>
  <c r="F32" i="3"/>
  <c r="G27" i="21"/>
  <c r="H27" i="21"/>
  <c r="G83" i="13" s="1"/>
  <c r="E59" i="11"/>
  <c r="H23" i="21"/>
  <c r="G83" i="11" s="1"/>
  <c r="F28" i="3"/>
  <c r="G23" i="21"/>
  <c r="G25" i="21"/>
  <c r="F30" i="3"/>
  <c r="H25" i="21"/>
  <c r="G83" i="12" s="1"/>
  <c r="E59" i="12"/>
  <c r="F27" i="3"/>
  <c r="E19" i="11"/>
  <c r="G35" i="11"/>
  <c r="K35" i="11" s="1"/>
  <c r="G22" i="21"/>
  <c r="H22" i="21"/>
  <c r="G43" i="11" s="1"/>
  <c r="K79" i="10"/>
  <c r="E40" i="8"/>
  <c r="G35" i="8" s="1"/>
  <c r="K75" i="13"/>
  <c r="K75" i="11"/>
  <c r="G80" i="10"/>
  <c r="G83" i="10" s="1"/>
  <c r="E65" i="8"/>
  <c r="E82" i="8" s="1"/>
  <c r="G76" i="13"/>
  <c r="G79" i="13" s="1"/>
  <c r="E12" i="57"/>
  <c r="F7" i="5"/>
  <c r="E11" i="57"/>
  <c r="E7" i="5"/>
  <c r="G36" i="12"/>
  <c r="G39" i="12" s="1"/>
  <c r="E10" i="57"/>
  <c r="D7" i="5"/>
  <c r="E20" i="34"/>
  <c r="G17" i="58"/>
  <c r="K75" i="12"/>
  <c r="G76" i="12"/>
  <c r="G79" i="12" s="1"/>
  <c r="G36" i="13"/>
  <c r="G39" i="13" s="1"/>
  <c r="G76" i="11"/>
  <c r="G79" i="11" s="1"/>
  <c r="I53" i="21" l="1"/>
  <c r="G80" i="34"/>
  <c r="G83" i="34" s="1"/>
  <c r="G36" i="10"/>
  <c r="G39" i="10" s="1"/>
  <c r="K35" i="8"/>
  <c r="G36" i="8"/>
  <c r="G39" i="8" s="1"/>
  <c r="F23" i="3"/>
  <c r="E19" i="8"/>
  <c r="G18" i="21"/>
  <c r="H18" i="21" s="1"/>
  <c r="G47" i="8" s="1"/>
  <c r="E83" i="8"/>
  <c r="E84" i="8" s="1"/>
  <c r="G36" i="11"/>
  <c r="G39" i="11" s="1"/>
  <c r="E28" i="57"/>
  <c r="G57" i="57" s="1"/>
  <c r="G79" i="8"/>
  <c r="E12" i="7"/>
  <c r="E21" i="5"/>
  <c r="G34" i="34"/>
  <c r="E21" i="34"/>
  <c r="E38" i="34" s="1"/>
  <c r="E11" i="7"/>
  <c r="D21" i="5"/>
  <c r="E13" i="7"/>
  <c r="F21" i="5"/>
  <c r="F84" i="34"/>
  <c r="F83" i="34" s="1"/>
  <c r="J87" i="34"/>
  <c r="E29" i="57" l="1"/>
  <c r="E61" i="57" s="1"/>
  <c r="E62" i="57" s="1"/>
  <c r="E63" i="57" s="1"/>
  <c r="G19" i="21"/>
  <c r="H19" i="21" s="1"/>
  <c r="G87" i="8" s="1"/>
  <c r="F24" i="3"/>
  <c r="E63" i="8"/>
  <c r="E39" i="34"/>
  <c r="K79" i="8"/>
  <c r="G80" i="8"/>
  <c r="G83" i="8" s="1"/>
  <c r="E27" i="57" l="1"/>
  <c r="G16" i="21"/>
  <c r="H16" i="21" s="1"/>
  <c r="G66" i="57" s="1"/>
  <c r="F21" i="3"/>
  <c r="G58" i="57"/>
  <c r="K58" i="57" s="1"/>
  <c r="J38" i="24"/>
  <c r="J40" i="24" s="1"/>
  <c r="J47" i="24" s="1"/>
  <c r="E40" i="34"/>
  <c r="G59" i="57" l="1"/>
  <c r="G62" i="57" s="1"/>
  <c r="E19" i="34"/>
  <c r="G17" i="21"/>
  <c r="G15" i="58"/>
  <c r="G22" i="58" s="1"/>
  <c r="H17" i="21"/>
  <c r="F22" i="3"/>
  <c r="G35" i="34"/>
  <c r="G36" i="34" s="1"/>
  <c r="G39" i="34" s="1"/>
  <c r="G49" i="34" l="1"/>
  <c r="G29" i="58"/>
  <c r="E30" i="58" s="1"/>
  <c r="D31" i="58" s="1"/>
  <c r="D24" i="58"/>
  <c r="E23" i="58"/>
  <c r="F33" i="58" l="1"/>
  <c r="F40" i="34" s="1"/>
  <c r="E37" i="7"/>
  <c r="E38" i="7" l="1"/>
  <c r="G75" i="7"/>
  <c r="E47" i="7" l="1"/>
  <c r="E79" i="7"/>
  <c r="E80" i="7" s="1"/>
  <c r="E81" i="7" l="1"/>
  <c r="F20" i="3" l="1"/>
  <c r="F57" i="3" s="1"/>
  <c r="G15" i="21"/>
  <c r="G52" i="21" s="1"/>
  <c r="E36" i="7"/>
  <c r="G76" i="7"/>
  <c r="H15" i="21" l="1"/>
  <c r="G84" i="7" s="1"/>
  <c r="K76" i="7"/>
  <c r="G77" i="7"/>
  <c r="G80" i="7" s="1"/>
  <c r="M63" i="21"/>
  <c r="G54" i="21"/>
  <c r="M54" i="21"/>
  <c r="M56" i="21" s="1"/>
  <c r="F60" i="3"/>
  <c r="F59" i="3"/>
  <c r="E10" i="59"/>
  <c r="H52" i="21" l="1"/>
  <c r="M60" i="21" s="1"/>
  <c r="I48" i="12"/>
  <c r="I71" i="57"/>
  <c r="I90" i="34"/>
  <c r="I52" i="8"/>
  <c r="I88" i="13"/>
  <c r="I92" i="8"/>
  <c r="I52" i="10"/>
  <c r="I88" i="11"/>
  <c r="I48" i="11"/>
  <c r="I88" i="12"/>
  <c r="I48" i="13"/>
  <c r="I54" i="34"/>
  <c r="I89" i="7"/>
  <c r="I92" i="10"/>
  <c r="M50" i="21"/>
  <c r="J50" i="21" s="1"/>
  <c r="M49" i="21"/>
  <c r="J49" i="21" s="1"/>
  <c r="G45" i="12" l="1"/>
  <c r="G45" i="11"/>
  <c r="G85" i="12"/>
  <c r="G85" i="13"/>
  <c r="H54" i="21"/>
  <c r="K65" i="21" s="1"/>
  <c r="G85" i="11"/>
  <c r="G89" i="8"/>
  <c r="G45" i="13"/>
  <c r="G68" i="57"/>
  <c r="G86" i="7"/>
  <c r="G89" i="10"/>
  <c r="G51" i="34"/>
  <c r="G49" i="10"/>
  <c r="G49" i="8"/>
</calcChain>
</file>

<file path=xl/sharedStrings.xml><?xml version="1.0" encoding="utf-8"?>
<sst xmlns="http://schemas.openxmlformats.org/spreadsheetml/2006/main" count="2655" uniqueCount="1256">
  <si>
    <t>16. Delinquency rate for actual for 3 decimal and note that rate can be up to 5% over the actual rate.</t>
  </si>
  <si>
    <t>17. Computation to Determine Limit changed the note on bottom to include publish ordinance and attach the published ordinance to the budget.</t>
  </si>
  <si>
    <t xml:space="preserve">The yellowed shaded areas of the budget worksheets contain formulas or links which should not be changed, and are protected.  Most errors occur because of information entered on the input pages.  If you are experiencing a problem with a protected cell, first check to see how the information was entered on the input pages.  If the information was entered correctly, and you still continue to experience problems, please contact us for assistance. </t>
  </si>
  <si>
    <t>Outstanding Indebtedness, January 1:</t>
  </si>
  <si>
    <t>From the League of Municipalities' Budget Tips (Special City and County Highway Fund):</t>
  </si>
  <si>
    <t>Attest:_____________________,</t>
  </si>
  <si>
    <t>7. Added four single pages for no tax levy fund page.</t>
  </si>
  <si>
    <t xml:space="preserve">Cities can use the city.xls, city1.xls, city2.xls, city3.xls or city4.xls files.   You must choose a form that meets the needs for the number of funds.  If you don't need all the funds, just leave the pages blank and number the completed pages sequentially. </t>
  </si>
  <si>
    <t>Funds</t>
  </si>
  <si>
    <t>Budget Authority</t>
  </si>
  <si>
    <t xml:space="preserve">expenditure amounts should reflect the amended </t>
  </si>
  <si>
    <t>expenditure amounts.</t>
  </si>
  <si>
    <t>Neighborhood Revitalization Rebate</t>
  </si>
  <si>
    <t>Miscellaneous</t>
  </si>
  <si>
    <t>11. Added Neighborhood Revitalization, LAVTR, City and County Revenue Sharing, and Slider to the input page and to the General Fund page. Added NR to all tax levy fund pages.</t>
  </si>
  <si>
    <t>Red areas are for notes or indicate a problem area that will need possible corrective action taken.</t>
  </si>
  <si>
    <t xml:space="preserve">Submitting the Budget </t>
  </si>
  <si>
    <r>
      <t xml:space="preserve">Budgets are required to be sent to the County Clerk </t>
    </r>
    <r>
      <rPr>
        <b/>
        <sz val="12"/>
        <rFont val="Times New Roman"/>
        <family val="1"/>
      </rPr>
      <t>by August 25</t>
    </r>
    <r>
      <rPr>
        <sz val="12"/>
        <rFont val="Times New Roman"/>
        <family val="1"/>
      </rPr>
      <t xml:space="preserve"> of each year. </t>
    </r>
  </si>
  <si>
    <t>Enter City Name (City of)</t>
  </si>
  <si>
    <t>Enter County Name followed by "County"</t>
  </si>
  <si>
    <t>Cash Balance Jan 1</t>
  </si>
  <si>
    <t>***If you are merely leasing/renting with no intent to purchase, do not list--such transactions are not lease-purchases.</t>
  </si>
  <si>
    <t>Employee Benefits</t>
  </si>
  <si>
    <t>21. Added four single no levy fund pages and 4 non-budgeted pages.</t>
  </si>
  <si>
    <t>22. Added question on Certificate page about the ordinance.</t>
  </si>
  <si>
    <t>23. Added note to the non-budgeted fund pages to ensure the amounts agree.</t>
  </si>
  <si>
    <t>24. Added to instructions about non-appropriated balances being limited to 5%.</t>
  </si>
  <si>
    <t>25. Added warning "Exceeds 5%" on all fund pages for the non-appropriated balance.</t>
  </si>
  <si>
    <t>26. Added Neighborhood Revitalization table and added links to all tax levy fund pages.</t>
  </si>
  <si>
    <t>27. Added to the instructions about neighborhood revitalization.</t>
  </si>
  <si>
    <t>28. Added to all budgeted fund pages the budget authority for the actual year, budget violation, and cash violation.</t>
  </si>
  <si>
    <t>29. Added instruction on the addition for item 29.</t>
  </si>
  <si>
    <t>33. Added 'excluding oil, gas, and mobile homes' to lines 8 and 14 on Clerks budget info on tab inputoth.</t>
  </si>
  <si>
    <t>30. Added block on the certificate page for the page number of the neighborhood revit.</t>
  </si>
  <si>
    <t>31. Change Certificate page total mill rate from 0 to blank.</t>
  </si>
  <si>
    <t>32. Expanded on the preparation of budget note 11a for instructions for the Notice of Budget Hearing.</t>
  </si>
  <si>
    <t>The following were changed to this spreadsheet on 5/08/08</t>
  </si>
  <si>
    <t>1. Instruction sheet #9a last line changed from 'shown be shown' to 'should be shown'.</t>
  </si>
  <si>
    <t>2. Changed the Transfers tab footer from 'Page No. 5' to 'Page No. 4'.</t>
  </si>
  <si>
    <r>
      <t>3. Changed on all Non-Budgeted Funds forms from 'Only the actual budget year shown' to '</t>
    </r>
    <r>
      <rPr>
        <i/>
        <sz val="12"/>
        <rFont val="Times New Roman"/>
        <family val="1"/>
      </rPr>
      <t>Only the actual budget year for YYYY is to be shown</t>
    </r>
    <r>
      <rPr>
        <sz val="12"/>
        <rFont val="Times New Roman"/>
        <family val="1"/>
      </rPr>
      <t>'.</t>
    </r>
  </si>
  <si>
    <t>4. Budget Summary change line from 'Proposed Budget Expenditures' to read 'Proposed Budget YYYY Expenditures'.</t>
  </si>
  <si>
    <t>5.Changed Legend line #32 from 'note 10' to read 'note 11a'.</t>
  </si>
  <si>
    <t>6. All the above pages revision date were changed.</t>
  </si>
  <si>
    <t>The following were changed to this spreadsheet on 6/30/08</t>
  </si>
  <si>
    <t>1. Changed the link on Non-BudD to have the correct fund names picked up from inputpryr.</t>
  </si>
  <si>
    <t>Debt Service</t>
  </si>
  <si>
    <t>(Note: Should agree with general sub-totals.)</t>
  </si>
  <si>
    <t>1. Input tab (inputPrYr) added column for the current year expenditures.</t>
  </si>
  <si>
    <t>2. Statement of Indebtedness (debt) added lines to all categories.</t>
  </si>
  <si>
    <t xml:space="preserve">3. All tax levy funds and no tax levy funds fund pages made the following changes: </t>
  </si>
  <si>
    <r>
      <t>3b. Unencumbered Cash for the actual year turn '</t>
    </r>
    <r>
      <rPr>
        <sz val="12"/>
        <color indexed="10"/>
        <rFont val="Times New Roman"/>
        <family val="1"/>
      </rPr>
      <t>Red</t>
    </r>
    <r>
      <rPr>
        <sz val="12"/>
        <rFont val="Times New Roman"/>
        <family val="1"/>
      </rPr>
      <t>' if violation occurs.</t>
    </r>
  </si>
  <si>
    <r>
      <t xml:space="preserve">3c. In statements about violations, if no violation occurs, then a red </t>
    </r>
    <r>
      <rPr>
        <sz val="12"/>
        <color indexed="10"/>
        <rFont val="Times New Roman"/>
        <family val="1"/>
      </rPr>
      <t>'No'</t>
    </r>
    <r>
      <rPr>
        <sz val="12"/>
        <rFont val="Times New Roman"/>
        <family val="1"/>
      </rPr>
      <t xml:space="preserve"> will appear.</t>
    </r>
  </si>
  <si>
    <r>
      <t xml:space="preserve">5. Special Highway and all no tax levy fund pages added to the proposed column unencumbered cash balance block will turn </t>
    </r>
    <r>
      <rPr>
        <sz val="12"/>
        <color indexed="10"/>
        <rFont val="Times New Roman"/>
        <family val="1"/>
      </rPr>
      <t>red</t>
    </r>
    <r>
      <rPr>
        <sz val="12"/>
        <rFont val="Times New Roman"/>
        <family val="1"/>
      </rPr>
      <t xml:space="preserve"> and below will say in red '</t>
    </r>
    <r>
      <rPr>
        <sz val="12"/>
        <color indexed="10"/>
        <rFont val="Times New Roman"/>
        <family val="1"/>
      </rPr>
      <t>Budget Violation</t>
    </r>
    <r>
      <rPr>
        <sz val="12"/>
        <rFont val="Times New Roman"/>
        <family val="1"/>
      </rPr>
      <t>' if the cash balance is negative.</t>
    </r>
  </si>
  <si>
    <t>6. Neighborhood Revitalization (nhood) made the estimate rebate round the figures to whole dollars.</t>
  </si>
  <si>
    <t xml:space="preserve">7. Instruction page have changed all reference for Bond &amp; Interest to Debt Service. </t>
  </si>
  <si>
    <t>8. Added to the instruction page lines 10a - 10c to provide a little more insight for the Neighborhood Revitalization rebate.</t>
  </si>
  <si>
    <r>
      <t>3a. Made the total expenditures block for the actual and current year to turn '</t>
    </r>
    <r>
      <rPr>
        <sz val="12"/>
        <color indexed="10"/>
        <rFont val="Times New Roman"/>
        <family val="1"/>
      </rPr>
      <t>Red</t>
    </r>
    <r>
      <rPr>
        <sz val="12"/>
        <rFont val="Times New Roman"/>
        <family val="1"/>
      </rPr>
      <t>' if violation occurs.</t>
    </r>
  </si>
  <si>
    <t>4. All tax levy fund pages abbreviated the non-appropriated, total expenditures/non-appropriated, and delinquency computation rate.</t>
  </si>
  <si>
    <t>4. Changed foot note to reflect the changes made on 7/1/08 to the above tabs.</t>
  </si>
  <si>
    <t>9. Added 2b to explain how to delete delinquency rate from tax levy fund pages.</t>
  </si>
  <si>
    <t>10. Changed the Bond &amp; Interest tab (B&amp;I) to Debt Service tab (DebtService).</t>
  </si>
  <si>
    <t>11. Changed the revised date on all pages changed.</t>
  </si>
  <si>
    <t>The following were changed to this spreadsheet on 8/21/08</t>
  </si>
  <si>
    <t xml:space="preserve">Ad Valorem Tax </t>
  </si>
  <si>
    <t>The General fund has a detail page (gendetail) which can be used to disclose more insight of the expenditures by a department.  The expenditures categories can be changed or additional lines can be added if needed.  If used, ensure the amounts agree with the General fund page amounts.</t>
  </si>
  <si>
    <t>2b. If the city chooses not to use the delinquency rate for all tax levy funds, then the city must delete the rate from those funds. First step, go to the fund tab of the fund not requiring the delinquency rate, take the protection off the sheet by going to the 'Tools' and scrolling down to 'Protect' slide to right to 'Unprotect' and press enter. Next, go to the delinquency rate cell and press 'delete' key and put the protection back on by going to 'Tools' and scrolling down to 'Protect Sheet' and press the 'OK' button. Go to the next fund tab and complete the same steps.</t>
  </si>
  <si>
    <t>The following were changed to this spreadsheet on 7/01/08</t>
  </si>
  <si>
    <t>1. Added instructions to 9f for the NonBudA to NonBudD tabs explaining about negative cash balance.</t>
  </si>
  <si>
    <t>2. Changed the formula for unencumbered cash balances for NonBudA to NonBudD to show a negative balance.</t>
  </si>
  <si>
    <t>3. Added box under unencumbered cash balance for NonBudA to NonBudD to reflect a negative ending cash balance.</t>
  </si>
  <si>
    <t xml:space="preserve">General Instructions </t>
  </si>
  <si>
    <t>Input sheet for City2.XLS budget form</t>
  </si>
  <si>
    <t>Fund Names:</t>
  </si>
  <si>
    <t>Statute</t>
  </si>
  <si>
    <t>General</t>
  </si>
  <si>
    <t>Fund name for all funds with a tax levy:</t>
  </si>
  <si>
    <t>Total</t>
  </si>
  <si>
    <t>Motor Vehicle Tax Estimate</t>
  </si>
  <si>
    <t>Recreational Vehicle Tax Estimate</t>
  </si>
  <si>
    <t>certify that: (1) the hearing mentioned in the attached publication was held;</t>
  </si>
  <si>
    <t>(2) after the Budget Hearing this budget was duly approved and adopted as the</t>
  </si>
  <si>
    <t xml:space="preserve"> </t>
  </si>
  <si>
    <t>County</t>
  </si>
  <si>
    <t>Page</t>
  </si>
  <si>
    <t>Clerk's</t>
  </si>
  <si>
    <t>Table of Contents:</t>
  </si>
  <si>
    <t>No.</t>
  </si>
  <si>
    <t>Use Only</t>
  </si>
  <si>
    <t>Statement of Indebtedness</t>
  </si>
  <si>
    <t>Statement of Lease-Purchases</t>
  </si>
  <si>
    <t>Fund</t>
  </si>
  <si>
    <t>K.S.A.</t>
  </si>
  <si>
    <t>Totals</t>
  </si>
  <si>
    <t>x</t>
  </si>
  <si>
    <t>Assisted by:</t>
  </si>
  <si>
    <t>Governing Body</t>
  </si>
  <si>
    <t>County Clerk</t>
  </si>
  <si>
    <t>Amount</t>
  </si>
  <si>
    <t>Computation of Delinquency</t>
  </si>
  <si>
    <t>TOTAL</t>
  </si>
  <si>
    <t>County Treas Motor Vehicle Estimate</t>
  </si>
  <si>
    <t>County Treasurers Recreational Vehicle Estimate</t>
  </si>
  <si>
    <t>Motor Vehicle Factor</t>
  </si>
  <si>
    <t>Recreational Vehicle Factor</t>
  </si>
  <si>
    <t>Adopted Budget</t>
  </si>
  <si>
    <t>Ad Valorem Tax</t>
  </si>
  <si>
    <t>Delinquent Tax</t>
  </si>
  <si>
    <t>Motor Vehicle Tax</t>
  </si>
  <si>
    <t>Recreational Vehicle Tax</t>
  </si>
  <si>
    <t>Local Alcoholic Liquor</t>
  </si>
  <si>
    <t>Interest on Idle Funds</t>
  </si>
  <si>
    <t>Total Receipts</t>
  </si>
  <si>
    <t>Resources Available:</t>
  </si>
  <si>
    <t xml:space="preserve">Page No. </t>
  </si>
  <si>
    <t>Expenditures:</t>
  </si>
  <si>
    <t xml:space="preserve">  Contractual</t>
  </si>
  <si>
    <t xml:space="preserve">  Commodities</t>
  </si>
  <si>
    <t xml:space="preserve">  Capital Outlay</t>
  </si>
  <si>
    <t>Total Expenditures</t>
  </si>
  <si>
    <t>Tax Required</t>
  </si>
  <si>
    <t>%</t>
  </si>
  <si>
    <t>Page No.</t>
  </si>
  <si>
    <t xml:space="preserve">  Salaries</t>
  </si>
  <si>
    <t xml:space="preserve">The governing body of </t>
  </si>
  <si>
    <t>Prior Year Actual</t>
  </si>
  <si>
    <t>Actual</t>
  </si>
  <si>
    <t xml:space="preserve">     FUND</t>
  </si>
  <si>
    <t xml:space="preserve"> Expenditures</t>
  </si>
  <si>
    <t>Tax Rate *</t>
  </si>
  <si>
    <t>Less: Transfers</t>
  </si>
  <si>
    <t>Net Expenditure</t>
  </si>
  <si>
    <t>Total Tax Levied</t>
  </si>
  <si>
    <t xml:space="preserve">Assessed </t>
  </si>
  <si>
    <t>Valuation</t>
  </si>
  <si>
    <t>Outstanding Indebtedness,</t>
  </si>
  <si>
    <t xml:space="preserve">  January 1,</t>
  </si>
  <si>
    <t>G.O. Bonds</t>
  </si>
  <si>
    <t>Revenue Bonds</t>
  </si>
  <si>
    <t xml:space="preserve">     Total</t>
  </si>
  <si>
    <t xml:space="preserve">  *Tax rates are expressed in mills</t>
  </si>
  <si>
    <t>Date</t>
  </si>
  <si>
    <t xml:space="preserve">   Amount Due</t>
  </si>
  <si>
    <t>of</t>
  </si>
  <si>
    <t>Rate</t>
  </si>
  <si>
    <t xml:space="preserve">  Date Due</t>
  </si>
  <si>
    <t>Issue</t>
  </si>
  <si>
    <t>Issued</t>
  </si>
  <si>
    <t>General Obligation:</t>
  </si>
  <si>
    <t>Total G.O. Bonds</t>
  </si>
  <si>
    <t>Revenue Bonds:</t>
  </si>
  <si>
    <t>Total Revenue Bonds</t>
  </si>
  <si>
    <t>Other:</t>
  </si>
  <si>
    <t>Total Indebtedness</t>
  </si>
  <si>
    <t>Term of</t>
  </si>
  <si>
    <t>Interest</t>
  </si>
  <si>
    <t>Other</t>
  </si>
  <si>
    <t>Principal</t>
  </si>
  <si>
    <t>Payments</t>
  </si>
  <si>
    <t xml:space="preserve">  Contract</t>
  </si>
  <si>
    <t>Contract</t>
  </si>
  <si>
    <t>Financed</t>
  </si>
  <si>
    <t>Due</t>
  </si>
  <si>
    <t>(Months)</t>
  </si>
  <si>
    <t>To print the spreadsheets, you can either print one sheet at a time or all of the sheets at once.</t>
  </si>
  <si>
    <t>Computer Spreadsheet Preparation</t>
  </si>
  <si>
    <t>CERTIFICATE</t>
  </si>
  <si>
    <t>STATEMENT OF CONDITIONAL LEASE-PURCHASE AND CERTIFICATE OF PARTICIPATION*</t>
  </si>
  <si>
    <t>NOTICE OF BUDGET HEARING</t>
  </si>
  <si>
    <t>BUDGET SUMMARY</t>
  </si>
  <si>
    <t>FUND PAGE - GENERAL</t>
  </si>
  <si>
    <t>FUND PAGE FOR FUNDS WITH A TAX LEVY</t>
  </si>
  <si>
    <t>FUND PAGE FOR FUNDS WITH NO TAX LEVY</t>
  </si>
  <si>
    <t>STATEMENT OF INDEBTEDNESS</t>
  </si>
  <si>
    <t>16/20M Veh</t>
  </si>
  <si>
    <t>MVT</t>
  </si>
  <si>
    <t>RVT</t>
  </si>
  <si>
    <t>County Treasurers 16/20M Vehicle Estimate</t>
  </si>
  <si>
    <t>16/20M Vehicle Factor</t>
  </si>
  <si>
    <t>Amount of Levy</t>
  </si>
  <si>
    <t xml:space="preserve"> 1.</t>
  </si>
  <si>
    <t>+</t>
  </si>
  <si>
    <t>$</t>
  </si>
  <si>
    <t xml:space="preserve"> 2.</t>
  </si>
  <si>
    <t>-</t>
  </si>
  <si>
    <t xml:space="preserve"> 4.</t>
  </si>
  <si>
    <t xml:space="preserve"> 5.</t>
  </si>
  <si>
    <t>5a.</t>
  </si>
  <si>
    <t>5b.</t>
  </si>
  <si>
    <t>5c.</t>
  </si>
  <si>
    <t>6.</t>
  </si>
  <si>
    <t>6a.</t>
  </si>
  <si>
    <t>6b.</t>
  </si>
  <si>
    <t>6c.</t>
  </si>
  <si>
    <t>6d.</t>
  </si>
  <si>
    <t>7.</t>
  </si>
  <si>
    <t>8.</t>
  </si>
  <si>
    <t>9.</t>
  </si>
  <si>
    <t>10.</t>
  </si>
  <si>
    <t>11.</t>
  </si>
  <si>
    <t>12.</t>
  </si>
  <si>
    <t>13.</t>
  </si>
  <si>
    <t>(Use Only if &gt; 0)</t>
  </si>
  <si>
    <t>16/20M Vehicle Tax</t>
  </si>
  <si>
    <t>Gross Earning (Intangible) Tax</t>
  </si>
  <si>
    <t>State of Kansas Gas Tax</t>
  </si>
  <si>
    <t>Balance On</t>
  </si>
  <si>
    <t xml:space="preserve">  3.</t>
  </si>
  <si>
    <t xml:space="preserve">  Real Estate</t>
  </si>
  <si>
    <t xml:space="preserve">  State Assessed</t>
  </si>
  <si>
    <t xml:space="preserve">  New Improvements</t>
  </si>
  <si>
    <t>14.</t>
  </si>
  <si>
    <t>15.</t>
  </si>
  <si>
    <t>Unencumbered Cash Balance Jan 1</t>
  </si>
  <si>
    <t>Unencumbered Cash Balance Dec 31</t>
  </si>
  <si>
    <t>Receipts:</t>
  </si>
  <si>
    <t xml:space="preserve">Enter information  in all areas that are green if they apply to the budget you are preparing. </t>
  </si>
  <si>
    <t>12-101a</t>
  </si>
  <si>
    <t>Schedule of Transfers</t>
  </si>
  <si>
    <t>(Beginning Principal)</t>
  </si>
  <si>
    <t>Estimated Tax Rate is subject to change depending on the final assessed valuation.</t>
  </si>
  <si>
    <t>Lease Purchase Principal</t>
  </si>
  <si>
    <t>County Clerk's Use Only</t>
  </si>
  <si>
    <t>Current</t>
  </si>
  <si>
    <t>Proposed</t>
  </si>
  <si>
    <t>Address:</t>
  </si>
  <si>
    <r>
      <t>1a. On line 2- 'Enter City Name' - In the green area, please start with "</t>
    </r>
    <r>
      <rPr>
        <b/>
        <sz val="12"/>
        <rFont val="Times New Roman"/>
        <family val="1"/>
      </rPr>
      <t>City of</t>
    </r>
    <r>
      <rPr>
        <sz val="12"/>
        <rFont val="Times New Roman"/>
        <family val="1"/>
      </rPr>
      <t xml:space="preserve">" then the name of the city. The green area will expand, so do not worry if the name would appear as not to fit the green area. </t>
    </r>
  </si>
  <si>
    <t>Current Year Estimate</t>
  </si>
  <si>
    <t>Proposed Budget Year</t>
  </si>
  <si>
    <t>NON-BUDGETED FUNDS (A)</t>
  </si>
  <si>
    <t>(1) Fund Name:</t>
  </si>
  <si>
    <t>(2) Fund Name:</t>
  </si>
  <si>
    <t>(3) Fund Name:</t>
  </si>
  <si>
    <t>(4) Fund Name:</t>
  </si>
  <si>
    <t>(5) Fund Name:</t>
  </si>
  <si>
    <t xml:space="preserve">Unencumbered </t>
  </si>
  <si>
    <t>Cash Balance Dec 31</t>
  </si>
  <si>
    <t>NON-BUDGETED FUNDS (B)</t>
  </si>
  <si>
    <t>NON-BUDGETED FUNDS (C)</t>
  </si>
  <si>
    <t>NON-BUDGETED FUNDS (D)</t>
  </si>
  <si>
    <t>Territory Added: (Current Year Only)</t>
  </si>
  <si>
    <t>Neighborhood Revitalization</t>
  </si>
  <si>
    <t>16\20 M Vehicle Tax</t>
  </si>
  <si>
    <t>LAVTR</t>
  </si>
  <si>
    <t>City and County Revenue Sharing</t>
  </si>
  <si>
    <t xml:space="preserve">   </t>
  </si>
  <si>
    <t>Enter year being budgeted (YYYY)</t>
  </si>
  <si>
    <t>10-113</t>
  </si>
  <si>
    <t xml:space="preserve">  G.O. Bonds</t>
  </si>
  <si>
    <t xml:space="preserve">  Revenue Bonds</t>
  </si>
  <si>
    <t xml:space="preserve">  Other</t>
  </si>
  <si>
    <t xml:space="preserve">  Lease Purchase Principal</t>
  </si>
  <si>
    <t>Other (non-tax levy) fund names:</t>
  </si>
  <si>
    <t>Salaries &amp; Wages</t>
  </si>
  <si>
    <t>County Transfers Gas</t>
  </si>
  <si>
    <t>Ad Valorem</t>
  </si>
  <si>
    <t>Tax</t>
  </si>
  <si>
    <t>Beginning Amount</t>
  </si>
  <si>
    <t xml:space="preserve">of </t>
  </si>
  <si>
    <t>Outstanding</t>
  </si>
  <si>
    <t>Retirement</t>
  </si>
  <si>
    <t xml:space="preserve">Total Other </t>
  </si>
  <si>
    <t>Transfers</t>
  </si>
  <si>
    <t>Amount for</t>
  </si>
  <si>
    <t>Authorized by</t>
  </si>
  <si>
    <t>From:</t>
  </si>
  <si>
    <t>To:</t>
  </si>
  <si>
    <t xml:space="preserve"> Statute</t>
  </si>
  <si>
    <t>Adjustments</t>
  </si>
  <si>
    <t>Adjusted Totals</t>
  </si>
  <si>
    <t>Budgeted Fund</t>
  </si>
  <si>
    <t>Non-Budgeted Funds-D</t>
  </si>
  <si>
    <t>Estimate</t>
  </si>
  <si>
    <t>Single Non Tax Levy:</t>
  </si>
  <si>
    <t>Non-Budgeted (A):</t>
  </si>
  <si>
    <t>Non-Budgeted (B):</t>
  </si>
  <si>
    <t>Non-Budgeted (C):</t>
  </si>
  <si>
    <t>Non-Budgeted (D):</t>
  </si>
  <si>
    <t>The following were changed to this spreadsheet on 8/06/2007</t>
  </si>
  <si>
    <t>2. All pages have a revision date.</t>
  </si>
  <si>
    <t xml:space="preserve">3. Hard coded the Bond &amp; Interest on Certificate and Summary pages. </t>
  </si>
  <si>
    <t>5. Computation to Determine Limit now has the debts amounts link within the spreadsheet.</t>
  </si>
  <si>
    <t>6. Schedule of Transfers have the transfers totaled and link to the budget summary page.</t>
  </si>
  <si>
    <t>8. Now can key in the official title on the budget summary page.</t>
  </si>
  <si>
    <t xml:space="preserve">9. Now have the indebtedness prior year added to the input page and link with the budget summary page. </t>
  </si>
  <si>
    <t>10. Added three input spaces for League's highway estimates and link to Special Highway page. Included a note about usage to County Road System.</t>
  </si>
  <si>
    <t>12. Changed the Budget Summary Heading to include Actual/Estimate/Proposed with the budget year.</t>
  </si>
  <si>
    <t>13. Changed the delinquency rate formula for all levy funds.</t>
  </si>
  <si>
    <t>15. Using the actual ad valorem rates from the Clerk's information versus from the Certificate page.</t>
  </si>
  <si>
    <t>When the page numbers are entered/changed on the fund pages, the Certificate page will also be changed.</t>
  </si>
  <si>
    <t xml:space="preserve">The worksheets are named (see the tab) in each budget workbook.  We will identify the worksheet by referencing the tab in parentheses (i.e. General Fund reference would be (general). </t>
  </si>
  <si>
    <t>All dollar amounts should be rounded to whole dollars (do not record cents).</t>
  </si>
  <si>
    <t>The blue areas indicated where the information comes from to complete the section input.</t>
  </si>
  <si>
    <t>1b. Dates for the entire budget workbook is controlled by the year entered into the "Enter year being budgeted (YYYY)" field.  If you find a date that is not correct for the budget being submitted, please contact us for assistance.</t>
  </si>
  <si>
    <t>2a.  Enter the Computation of Delinquency information. Please note that K.S.A. 79-2930 states that such allowance shall not exceed by more than 5% the percentage of delinquency for the preceding tax year.  Such allowance is not mandatory, but may be used if the municipality wishes.</t>
  </si>
  <si>
    <r>
      <t>***</t>
    </r>
    <r>
      <rPr>
        <b/>
        <u/>
        <sz val="12"/>
        <rFont val="Times New Roman"/>
        <family val="1"/>
      </rPr>
      <t>Note</t>
    </r>
    <r>
      <rPr>
        <sz val="12"/>
        <rFont val="Times New Roman"/>
        <family val="1"/>
      </rPr>
      <t xml:space="preserve">:  Only used when a portion of the County monies are distributed to the Cities under the provisions of                                              </t>
    </r>
  </si>
  <si>
    <t xml:space="preserve">        K.S.A. 79-3425c</t>
  </si>
  <si>
    <t>18. Add total section for Schedule of Transfers and linked the total to the Budget Summary page.</t>
  </si>
  <si>
    <t>19. Added column to show when debt retired on the Indebtedness page.</t>
  </si>
  <si>
    <t>20. Special Highway page added line for County Transfer Gas and linked adjustment for prior and county transfer gas from the input page (inputoth).</t>
  </si>
  <si>
    <t>Note:  All amounts are to be entered in as whole numbers only.</t>
  </si>
  <si>
    <t xml:space="preserve">The input for the following comes directly from </t>
  </si>
  <si>
    <t>Budget Summary</t>
  </si>
  <si>
    <t>**</t>
  </si>
  <si>
    <t>**Note: The two bold yellow figures should agree.</t>
  </si>
  <si>
    <t>**Note: These two block figures should agree.</t>
  </si>
  <si>
    <t>14. Added to instruction line 9c about the miscellaneous receipt for the proposed year takes into account the ad valorem taxes for the 10% Rule.</t>
  </si>
  <si>
    <t>13. Added instruction lines 9j to 9l for additional edits for budget authority.</t>
  </si>
  <si>
    <t>12. Changed instruction line 9a to reflect General Fund Detail (GenDetail) is linked to the General Fund (general) and that detail 'Page Total' amounts should agree to 'Sub-Total' on the General Fund page.</t>
  </si>
  <si>
    <t>7a. Added instruction line 4a to explain about no-fund warrants and temporary notes can be added to the debt service on the Computation to Determine Levy Limit.</t>
  </si>
  <si>
    <t>7b. Added instruction line 9d to explain more about the debt service fund page can included for debts.</t>
  </si>
  <si>
    <t>15. Added to instruction line 6 for using chartered ordinance number in place of statute reference.</t>
  </si>
  <si>
    <t>1. instruction were changed: POC change from Roger to armunis, got rid about us providing disk, took the input page and split to input prior budget information and input other, with more in-depth of forms and fund page, and more in-depth on the budget summary page.</t>
  </si>
  <si>
    <t xml:space="preserve">4.  All dates on the spreadsheet are controlled from input on the input Prior Year page. </t>
  </si>
  <si>
    <t>14. Changed the Certificate page so the county name flows instead of having unneeded spaces.</t>
  </si>
  <si>
    <t xml:space="preserve">K.S.A. 79-2926 requires budgets to be submited by electronic means. Contact your County Clerk for the specify instruction as to submission of the budget.  </t>
  </si>
  <si>
    <t>The following were changed to this spreadsheet on 2/23/09</t>
  </si>
  <si>
    <t>1. Instruction under Submitting of Budget ….required electronic submission.</t>
  </si>
  <si>
    <t>2. Input other tab line 56 change from Budget Summary to Budget Certificate.</t>
  </si>
  <si>
    <t>The following were changed to this spreadsheet on 3/19/09</t>
  </si>
  <si>
    <t>1. Certificate page Bond &amp; Interest to Debt Service</t>
  </si>
  <si>
    <t>1. Mvalloc tab, change table reference for each cell from 'D' to 'E'</t>
  </si>
  <si>
    <t>Valuation Factor:</t>
  </si>
  <si>
    <t>Neighborhood Revitalization Subj to Rebate:</t>
  </si>
  <si>
    <t>Neighborhood Revitalization factor:</t>
  </si>
  <si>
    <t>Non-Budgeted Funds - Cities</t>
  </si>
  <si>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Special ambulance or emergency medical service equipment fund. </t>
    </r>
    <r>
      <rPr>
        <sz val="12"/>
        <color indexed="8"/>
        <rFont val="Times New Roman"/>
        <family val="1"/>
      </rPr>
      <t xml:space="preserve"> The governing body may create a special reserve fund for replacement of ambulance or emergency medical service equipment.</t>
    </r>
  </si>
  <si>
    <r>
      <t xml:space="preserve">K.S.A. </t>
    </r>
    <r>
      <rPr>
        <b/>
        <sz val="12"/>
        <color indexed="8"/>
        <rFont val="Times New Roman"/>
        <family val="1"/>
      </rPr>
      <t>12-1,117.</t>
    </r>
    <r>
      <rPr>
        <sz val="12"/>
        <color indexed="8"/>
        <rFont val="Times New Roman"/>
        <family val="1"/>
      </rPr>
      <t xml:space="preserve">  E</t>
    </r>
    <r>
      <rPr>
        <b/>
        <sz val="12"/>
        <color indexed="8"/>
        <rFont val="Times New Roman"/>
        <family val="1"/>
      </rPr>
      <t>quipment reserve fund.</t>
    </r>
    <r>
      <rPr>
        <sz val="12"/>
        <color indexed="8"/>
        <rFont val="Times New Roman"/>
        <family val="1"/>
      </rPr>
      <t xml:space="preserve">  Cities may create  an equipment reserve fund to finance the acquisition of equipment.</t>
    </r>
  </si>
  <si>
    <r>
      <t xml:space="preserve">K.S.A. </t>
    </r>
    <r>
      <rPr>
        <b/>
        <sz val="12"/>
        <color indexed="8"/>
        <rFont val="Times New Roman"/>
        <family val="1"/>
      </rPr>
      <t>12-1,118.</t>
    </r>
    <r>
      <rPr>
        <sz val="12"/>
        <color indexed="8"/>
        <rFont val="Times New Roman"/>
        <family val="1"/>
      </rPr>
      <t xml:space="preserve">  </t>
    </r>
    <r>
      <rPr>
        <b/>
        <sz val="12"/>
        <color indexed="8"/>
        <rFont val="Times New Roman"/>
        <family val="1"/>
      </rPr>
      <t>Capital improvement fund.</t>
    </r>
    <r>
      <rPr>
        <sz val="12"/>
        <color indexed="8"/>
        <rFont val="Times New Roman"/>
        <family val="1"/>
      </rPr>
      <t xml:space="preserve">  Cities with an approved a multi-year capital improvement plan may establish a capital improvements fund.</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</si>
  <si>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Sewerage system reserve fund.</t>
    </r>
    <r>
      <rPr>
        <sz val="12"/>
        <color indexed="8"/>
        <rFont val="Times New Roman"/>
        <family val="1"/>
      </rPr>
      <t xml:space="preserve">  The governing body may create a sewer system reserve fund for the future maintenance and operation of its system and for the construction of improvements and expansions to such system.</t>
    </r>
  </si>
  <si>
    <r>
      <t xml:space="preserve">K.S.A. </t>
    </r>
    <r>
      <rPr>
        <b/>
        <sz val="12"/>
        <color indexed="8"/>
        <rFont val="Times New Roman"/>
        <family val="1"/>
      </rPr>
      <t>12-6a13.  Special improvement funds.</t>
    </r>
    <r>
      <rPr>
        <sz val="12"/>
        <color indexed="8"/>
        <rFont val="Times New Roman"/>
        <family val="1"/>
      </rPr>
      <t xml:space="preserve">  Authorizes the creation of a special improvement fund to pay a portion of the debt service on bonds issued, planning costs, and the initial cost of improvements until temporary notes or bonds have been issued and sold.</t>
    </r>
  </si>
  <si>
    <r>
      <t xml:space="preserve">K.S.A. </t>
    </r>
    <r>
      <rPr>
        <b/>
        <sz val="12"/>
        <color indexed="8"/>
        <rFont val="Times New Roman"/>
        <family val="1"/>
      </rPr>
      <t>12-6a16.</t>
    </r>
    <r>
      <rPr>
        <sz val="12"/>
        <color indexed="8"/>
        <rFont val="Times New Roman"/>
        <family val="1"/>
      </rPr>
      <t xml:space="preserve">  </t>
    </r>
    <r>
      <rPr>
        <b/>
        <sz val="12"/>
        <color indexed="8"/>
        <rFont val="Times New Roman"/>
        <family val="1"/>
      </rPr>
      <t>Separate special improvement funds.</t>
    </r>
    <r>
      <rPr>
        <sz val="12"/>
        <color indexed="8"/>
        <rFont val="Times New Roman"/>
        <family val="1"/>
      </rPr>
      <t xml:space="preserve">  Provides that separate, suitably named special improvement funds are to be created for each improvement project or combination of improvement projects.</t>
    </r>
  </si>
  <si>
    <r>
      <t xml:space="preserve">K.S.A. </t>
    </r>
    <r>
      <rPr>
        <b/>
        <sz val="12"/>
        <color indexed="8"/>
        <rFont val="Times New Roman"/>
        <family val="1"/>
      </rPr>
      <t>12-1663.</t>
    </r>
    <r>
      <rPr>
        <sz val="12"/>
        <color indexed="8"/>
        <rFont val="Times New Roman"/>
        <family val="1"/>
      </rPr>
      <t xml:space="preserve">  </t>
    </r>
    <r>
      <rPr>
        <b/>
        <sz val="12"/>
        <color indexed="8"/>
        <rFont val="Times New Roman"/>
        <family val="1"/>
      </rPr>
      <t>Federal grants (e.g. FEMA).</t>
    </r>
    <r>
      <rPr>
        <sz val="12"/>
        <color indexed="8"/>
        <rFont val="Times New Roman"/>
        <family val="1"/>
      </rPr>
      <t xml:space="preserve">  Federal aid intended to be used alone or with funds of the public agency may be expended without regard to budget limitations and over, above or outside the budget.</t>
    </r>
  </si>
  <si>
    <r>
      <t xml:space="preserve">K.S.A. </t>
    </r>
    <r>
      <rPr>
        <b/>
        <sz val="12"/>
        <color indexed="8"/>
        <rFont val="Times New Roman"/>
        <family val="1"/>
      </rPr>
      <t>12-1674.</t>
    </r>
    <r>
      <rPr>
        <sz val="12"/>
        <color indexed="8"/>
        <rFont val="Times New Roman"/>
        <family val="1"/>
      </rPr>
      <t xml:space="preserve">  </t>
    </r>
    <r>
      <rPr>
        <b/>
        <sz val="12"/>
        <color indexed="8"/>
        <rFont val="Times New Roman"/>
        <family val="1"/>
      </rPr>
      <t>Special services fund.</t>
    </r>
    <r>
      <rPr>
        <sz val="12"/>
        <color indexed="8"/>
        <rFont val="Times New Roman"/>
        <family val="1"/>
      </rPr>
      <t xml:space="preserve">  Cities located in counties designated as urban areas may create a special services fund to be used to pay the initial costs of improvements and for work performed as a result of failure of persons to perform duties prescribed by law or ordinance.</t>
    </r>
  </si>
  <si>
    <r>
      <t xml:space="preserve">K.S.A. </t>
    </r>
    <r>
      <rPr>
        <b/>
        <sz val="12"/>
        <color indexed="8"/>
        <rFont val="Times New Roman"/>
        <family val="1"/>
      </rPr>
      <t>12-16,111.</t>
    </r>
    <r>
      <rPr>
        <sz val="12"/>
        <color indexed="8"/>
        <rFont val="Times New Roman"/>
        <family val="1"/>
      </rPr>
      <t xml:space="preserve">  </t>
    </r>
    <r>
      <rPr>
        <b/>
        <sz val="12"/>
        <color indexed="8"/>
        <rFont val="Times New Roman"/>
        <family val="1"/>
      </rPr>
      <t>State loans and grants.</t>
    </r>
    <r>
      <rPr>
        <sz val="12"/>
        <color indexed="8"/>
        <rFont val="Times New Roman"/>
        <family val="1"/>
      </rPr>
      <t xml:space="preserve">  State loans or grants may be expended without regard to budget limitations and over, above or outside the budget.</t>
    </r>
  </si>
  <si>
    <r>
      <t xml:space="preserve">K.S.A. </t>
    </r>
    <r>
      <rPr>
        <b/>
        <sz val="12"/>
        <color indexed="8"/>
        <rFont val="Times New Roman"/>
        <family val="1"/>
      </rPr>
      <t>12-17,118.</t>
    </r>
    <r>
      <rPr>
        <sz val="12"/>
        <color indexed="8"/>
        <rFont val="Times New Roman"/>
        <family val="1"/>
      </rPr>
      <t xml:space="preserve">  N</t>
    </r>
    <r>
      <rPr>
        <b/>
        <sz val="12"/>
        <color indexed="8"/>
        <rFont val="Times New Roman"/>
        <family val="1"/>
      </rPr>
      <t>eighborhood revitalization fund.</t>
    </r>
    <r>
      <rPr>
        <sz val="12"/>
        <color indexed="8"/>
        <rFont val="Times New Roman"/>
        <family val="1"/>
      </rPr>
      <t xml:space="preserve">  After adoption of a neighborhood revitalization plan the governing body shall create a neighborhood revitalization fund.</t>
    </r>
  </si>
  <si>
    <r>
      <t xml:space="preserve">K.S.A. </t>
    </r>
    <r>
      <rPr>
        <b/>
        <sz val="12"/>
        <color indexed="8"/>
        <rFont val="Times New Roman"/>
        <family val="1"/>
      </rPr>
      <t xml:space="preserve">12-2615.  Risk management reserve fund. </t>
    </r>
    <r>
      <rPr>
        <sz val="12"/>
        <color indexed="8"/>
        <rFont val="Times New Roman"/>
        <family val="1"/>
      </rPr>
      <t xml:space="preserve"> The governing body of any city or county may pay costs relating to any uninsured loss from a risk management reserve fund.</t>
    </r>
  </si>
  <si>
    <r>
      <t xml:space="preserve">K.S.A. </t>
    </r>
    <r>
      <rPr>
        <b/>
        <sz val="12"/>
        <color indexed="8"/>
        <rFont val="Times New Roman"/>
        <family val="1"/>
      </rPr>
      <t>13-10,140.</t>
    </r>
    <r>
      <rPr>
        <sz val="12"/>
        <color indexed="8"/>
        <rFont val="Times New Roman"/>
        <family val="1"/>
      </rPr>
      <t xml:space="preserve">  </t>
    </r>
    <r>
      <rPr>
        <b/>
        <sz val="12"/>
        <color indexed="8"/>
        <rFont val="Times New Roman"/>
        <family val="1"/>
      </rPr>
      <t>Special improvement fund (commission form of government; population more than 150,000 and less than 200,000).</t>
    </r>
    <r>
      <rPr>
        <sz val="12"/>
        <color indexed="8"/>
        <rFont val="Times New Roman"/>
        <family val="1"/>
      </rPr>
      <t xml:space="preserve">  Authorizes certain cities operating under the commission form of government to a special improvement fund to pay the preliminary cost of any improvement to be financed by special assessments or general obligation bonds.</t>
    </r>
  </si>
  <si>
    <r>
      <t xml:space="preserve">K.S.A. </t>
    </r>
    <r>
      <rPr>
        <b/>
        <sz val="12"/>
        <color indexed="8"/>
        <rFont val="Times New Roman"/>
        <family val="1"/>
      </rPr>
      <t>13-14b12.</t>
    </r>
    <r>
      <rPr>
        <sz val="12"/>
        <color indexed="8"/>
        <rFont val="Times New Roman"/>
        <family val="1"/>
      </rPr>
      <t xml:space="preserve">  </t>
    </r>
    <r>
      <rPr>
        <b/>
        <sz val="12"/>
        <color indexed="8"/>
        <rFont val="Times New Roman"/>
        <family val="1"/>
      </rPr>
      <t>Hospital special improvement fund.</t>
    </r>
    <r>
      <rPr>
        <sz val="12"/>
        <color indexed="8"/>
        <rFont val="Times New Roman"/>
        <family val="1"/>
      </rPr>
      <t xml:space="preserve">  Provides for creation of a special improvement fund for the purpose of equipping, operating, maintaining and improving such hospital and to pay a portion of the debt service on bonds.</t>
    </r>
  </si>
  <si>
    <r>
      <t xml:space="preserve">K.S.A. </t>
    </r>
    <r>
      <rPr>
        <b/>
        <sz val="12"/>
        <color indexed="8"/>
        <rFont val="Times New Roman"/>
        <family val="1"/>
      </rPr>
      <t>14-2004.</t>
    </r>
    <r>
      <rPr>
        <sz val="12"/>
        <color indexed="8"/>
        <rFont val="Times New Roman"/>
        <family val="1"/>
      </rPr>
      <t xml:space="preserve">  P</t>
    </r>
    <r>
      <rPr>
        <b/>
        <sz val="12"/>
        <color indexed="8"/>
        <rFont val="Times New Roman"/>
        <family val="1"/>
      </rPr>
      <t>ark land acquisition fund (commission-manager cities).</t>
    </r>
    <r>
      <rPr>
        <sz val="12"/>
        <color indexed="8"/>
        <rFont val="Times New Roman"/>
        <family val="1"/>
      </rPr>
      <t xml:space="preserve">  Authorizes certain cities operating under the commission-manager form of government to establish a park land acquisition fund.</t>
    </r>
  </si>
  <si>
    <r>
      <t xml:space="preserve">K.S.A. </t>
    </r>
    <r>
      <rPr>
        <b/>
        <sz val="12"/>
        <color indexed="8"/>
        <rFont val="Times New Roman"/>
        <family val="1"/>
      </rPr>
      <t>44-505f.</t>
    </r>
    <r>
      <rPr>
        <sz val="12"/>
        <color indexed="8"/>
        <rFont val="Times New Roman"/>
        <family val="1"/>
      </rPr>
      <t xml:space="preserve">  </t>
    </r>
    <r>
      <rPr>
        <b/>
        <sz val="12"/>
        <color indexed="8"/>
        <rFont val="Times New Roman"/>
        <family val="1"/>
      </rPr>
      <t>Workers’ compensation reserve fund.</t>
    </r>
    <r>
      <rPr>
        <sz val="12"/>
        <color indexed="8"/>
        <rFont val="Times New Roman"/>
        <family val="1"/>
      </rPr>
      <t xml:space="preserve">  Provides for the creation of a reserve fund for the payment of workmen's compensation claims, judgments, and expenses.</t>
    </r>
  </si>
  <si>
    <r>
      <t xml:space="preserve">K.S.A. </t>
    </r>
    <r>
      <rPr>
        <b/>
        <sz val="12"/>
        <color indexed="8"/>
        <rFont val="Times New Roman"/>
        <family val="1"/>
      </rPr>
      <t>68-141g.</t>
    </r>
    <r>
      <rPr>
        <sz val="12"/>
        <color indexed="8"/>
        <rFont val="Times New Roman"/>
        <family val="1"/>
      </rPr>
      <t xml:space="preserve">  </t>
    </r>
    <r>
      <rPr>
        <b/>
        <sz val="12"/>
        <color indexed="8"/>
        <rFont val="Times New Roman"/>
        <family val="1"/>
      </rPr>
      <t>Special road, bridge or street building machinery, equipment and bridge building fund.</t>
    </r>
    <r>
      <rPr>
        <sz val="12"/>
        <color indexed="8"/>
        <rFont val="Times New Roman"/>
        <family val="1"/>
      </rPr>
      <t xml:space="preserve">  Authorizes a special road, bridge or street building machinery, equipment and bridge building fund and the annual transfer of not to exceed 25% of the budgeted amount of the corresponding operating fund.</t>
    </r>
  </si>
  <si>
    <r>
      <t xml:space="preserve">K.S.A. </t>
    </r>
    <r>
      <rPr>
        <b/>
        <sz val="12"/>
        <color indexed="8"/>
        <rFont val="Times New Roman"/>
        <family val="1"/>
      </rPr>
      <t>68-590.</t>
    </r>
    <r>
      <rPr>
        <sz val="12"/>
        <color indexed="8"/>
        <rFont val="Times New Roman"/>
        <family val="1"/>
      </rPr>
      <t xml:space="preserve">   </t>
    </r>
    <r>
      <rPr>
        <b/>
        <sz val="12"/>
        <color indexed="8"/>
        <rFont val="Times New Roman"/>
        <family val="1"/>
      </rPr>
      <t>Special highway improvement fund.</t>
    </r>
    <r>
      <rPr>
        <sz val="12"/>
        <color indexed="8"/>
        <rFont val="Times New Roman"/>
        <family val="1"/>
      </rPr>
      <t xml:space="preserve">  Cities and counties may create a special highway improvement fund and transfer to it annually up to 25% of the fund for roads, bridges, highways, or streets.</t>
    </r>
  </si>
  <si>
    <r>
      <t xml:space="preserve">K.S.A. </t>
    </r>
    <r>
      <rPr>
        <b/>
        <sz val="12"/>
        <color indexed="8"/>
        <rFont val="Times New Roman"/>
        <family val="1"/>
      </rPr>
      <t>75-6110.</t>
    </r>
    <r>
      <rPr>
        <sz val="12"/>
        <color indexed="8"/>
        <rFont val="Times New Roman"/>
        <family val="1"/>
      </rPr>
      <t xml:space="preserve">  </t>
    </r>
    <r>
      <rPr>
        <b/>
        <sz val="12"/>
        <color indexed="8"/>
        <rFont val="Times New Roman"/>
        <family val="1"/>
      </rPr>
      <t>Special liability expense fund.</t>
    </r>
    <r>
      <rPr>
        <sz val="12"/>
        <color indexed="8"/>
        <rFont val="Times New Roman"/>
        <family val="1"/>
      </rPr>
      <t xml:space="preserve">  Authorizes the creation of special liability expense fund for payment of costs and claims against the municipality or its employees.</t>
    </r>
  </si>
  <si>
    <r>
      <t xml:space="preserve">K.S.A. </t>
    </r>
    <r>
      <rPr>
        <b/>
        <sz val="12"/>
        <color indexed="8"/>
        <rFont val="Times New Roman"/>
        <family val="1"/>
      </rPr>
      <t>79-1808.</t>
    </r>
    <r>
      <rPr>
        <sz val="12"/>
        <color indexed="8"/>
        <rFont val="Times New Roman"/>
        <family val="1"/>
      </rPr>
      <t xml:space="preserve">  </t>
    </r>
    <r>
      <rPr>
        <b/>
        <sz val="12"/>
        <color indexed="8"/>
        <rFont val="Times New Roman"/>
        <family val="1"/>
      </rPr>
      <t>Special assessment fund.</t>
    </r>
    <r>
      <rPr>
        <sz val="12"/>
        <color indexed="8"/>
        <rFont val="Times New Roman"/>
        <family val="1"/>
      </rPr>
      <t xml:space="preserve">  Proceeds of tax levy to raise funds to pay special assessments against municipality-owned property and, for cities and counties, to pay debt service, shall be placed in a special assessment fund.</t>
    </r>
  </si>
  <si>
    <r>
      <t xml:space="preserve">K.S.A. </t>
    </r>
    <r>
      <rPr>
        <b/>
        <sz val="12"/>
        <color indexed="8"/>
        <rFont val="Times New Roman"/>
        <family val="1"/>
      </rPr>
      <t>79-1950b.</t>
    </r>
    <r>
      <rPr>
        <sz val="12"/>
        <color indexed="8"/>
        <rFont val="Times New Roman"/>
        <family val="1"/>
      </rPr>
      <t xml:space="preserve">  </t>
    </r>
    <r>
      <rPr>
        <b/>
        <sz val="12"/>
        <color indexed="8"/>
        <rFont val="Times New Roman"/>
        <family val="1"/>
      </rPr>
      <t>Special improvement fund (cities of more than 200,000).</t>
    </r>
    <r>
      <rPr>
        <sz val="12"/>
        <color indexed="8"/>
        <rFont val="Times New Roman"/>
        <family val="1"/>
      </rPr>
      <t xml:space="preserve">  Certain cities of the first class are authorized to create a special improvement fund from which preliminary costs associated with such improvements may be paid.</t>
    </r>
  </si>
  <si>
    <r>
      <t xml:space="preserve">K.S.A. </t>
    </r>
    <r>
      <rPr>
        <b/>
        <sz val="12"/>
        <color indexed="8"/>
        <rFont val="Times New Roman"/>
        <family val="1"/>
      </rPr>
      <t>79-2925.</t>
    </r>
    <r>
      <rPr>
        <sz val="12"/>
        <color indexed="8"/>
        <rFont val="Times New Roman"/>
        <family val="1"/>
      </rPr>
      <t xml:space="preserve">   </t>
    </r>
    <r>
      <rPr>
        <b/>
        <sz val="12"/>
        <color indexed="8"/>
        <rFont val="Times New Roman"/>
        <family val="1"/>
      </rPr>
      <t>Budgets exempt from the state budget law.</t>
    </r>
    <r>
      <rPr>
        <sz val="12"/>
        <color indexed="8"/>
        <rFont val="Times New Roman"/>
        <family val="1"/>
      </rPr>
      <t xml:space="preserve">  Cities may create non-budgeted funds for any gifts or bequests, a revolving fund for the operation of a municipal airport, and for repair, replacement, or addition to recreation facilities.</t>
    </r>
  </si>
  <si>
    <t>Transfers - Cities</t>
  </si>
  <si>
    <r>
      <t>K.S.A. 10-117a</t>
    </r>
    <r>
      <rPr>
        <sz val="12"/>
        <rFont val="Times New Roman"/>
        <family val="1"/>
      </rPr>
      <t xml:space="preserve">.  </t>
    </r>
    <r>
      <rPr>
        <b/>
        <sz val="12"/>
        <rFont val="Times New Roman"/>
        <family val="1"/>
      </rPr>
      <t>Transfer from debt service fund.</t>
    </r>
    <r>
      <rPr>
        <sz val="12"/>
        <rFont val="Times New Roman"/>
        <family val="1"/>
      </rPr>
      <t xml:space="preserve">  W</t>
    </r>
    <r>
      <rPr>
        <sz val="12"/>
        <color indexed="8"/>
        <rFont val="Times New Roman"/>
        <family val="1"/>
      </rPr>
      <t>henever all bond issues have been completely retired the governing body may transfer to the general fund the unexpended balance in the debt service fund.</t>
    </r>
  </si>
  <si>
    <r>
      <t xml:space="preserve">K.S.A. </t>
    </r>
    <r>
      <rPr>
        <b/>
        <sz val="12"/>
        <color indexed="8"/>
        <rFont val="Times New Roman"/>
        <family val="1"/>
      </rPr>
      <t xml:space="preserve">12-110d.  Transfer to special ambulance or emergency medical service equipment fund. </t>
    </r>
    <r>
      <rPr>
        <sz val="12"/>
        <color indexed="8"/>
        <rFont val="Times New Roman"/>
        <family val="1"/>
      </rPr>
      <t xml:space="preserve"> May transfer annually any funds received from a tax levy specifically authorized to be made for ambulance or emergency medical service, to a special reserve fund for replacement of ambulance or emergency medical service equipment.</t>
    </r>
  </si>
  <si>
    <r>
      <t>K.S.A. 12-1,117</t>
    </r>
    <r>
      <rPr>
        <sz val="12"/>
        <rFont val="Times New Roman"/>
        <family val="1"/>
      </rPr>
      <t>.</t>
    </r>
    <r>
      <rPr>
        <b/>
        <sz val="12"/>
        <rFont val="Times New Roman"/>
        <family val="1"/>
      </rPr>
      <t xml:space="preserve">  Transfer to equipment reserve fund.</t>
    </r>
    <r>
      <rPr>
        <sz val="12"/>
        <rFont val="Times New Roman"/>
        <family val="1"/>
      </rPr>
      <t xml:space="preserve">  T</t>
    </r>
    <r>
      <rPr>
        <sz val="12"/>
        <color indexed="8"/>
        <rFont val="Times New Roman"/>
        <family val="1"/>
      </rPr>
      <t xml:space="preserve">o finance new and replacement equipment moneys may be budgeted and transferred to an equipment reserve fund from any source which may be lawfully utilized for such purposes. </t>
    </r>
  </si>
  <si>
    <r>
      <t>K.S.A. 12-1,118</t>
    </r>
    <r>
      <rPr>
        <sz val="12"/>
        <rFont val="Times New Roman"/>
        <family val="1"/>
      </rPr>
      <t>.</t>
    </r>
    <r>
      <rPr>
        <b/>
        <sz val="12"/>
        <rFont val="Times New Roman"/>
        <family val="1"/>
      </rPr>
      <t xml:space="preserve">  Transfer to capital improvements fund.</t>
    </r>
    <r>
      <rPr>
        <sz val="12"/>
        <rFont val="Times New Roman"/>
        <family val="1"/>
      </rPr>
      <t xml:space="preserve">  Authorizes transfers </t>
    </r>
    <r>
      <rPr>
        <sz val="12"/>
        <color indexed="8"/>
        <rFont val="Times New Roman"/>
        <family val="1"/>
      </rPr>
      <t>to the capital improvements fund</t>
    </r>
    <r>
      <rPr>
        <sz val="12"/>
        <rFont val="Times New Roman"/>
        <family val="1"/>
      </rPr>
      <t xml:space="preserve"> from the general fund and </t>
    </r>
    <r>
      <rPr>
        <sz val="12"/>
        <color indexed="8"/>
        <rFont val="Times New Roman"/>
        <family val="1"/>
      </rPr>
      <t>from other city funds lawfully available for improvement purposes.</t>
    </r>
  </si>
  <si>
    <r>
      <t>K.S.A. 12-1,119</t>
    </r>
    <r>
      <rPr>
        <sz val="12"/>
        <rFont val="Times New Roman"/>
        <family val="1"/>
      </rPr>
      <t>.</t>
    </r>
    <r>
      <rPr>
        <b/>
        <sz val="12"/>
        <rFont val="Times New Roman"/>
        <family val="1"/>
      </rPr>
      <t xml:space="preserve">  Transfer to street and highway fund.</t>
    </r>
    <r>
      <rPr>
        <sz val="12"/>
        <rFont val="Times New Roman"/>
        <family val="1"/>
      </rPr>
      <t xml:space="preserve">  M</t>
    </r>
    <r>
      <rPr>
        <sz val="12"/>
        <color indexed="8"/>
        <rFont val="Times New Roman"/>
        <family val="1"/>
      </rPr>
      <t>oneys in the general or other operating funds of the city budgeted for street and highway purposes may be transferred of to the consolidated street and highway fund.</t>
    </r>
  </si>
  <si>
    <r>
      <t xml:space="preserve">K.S.A. </t>
    </r>
    <r>
      <rPr>
        <b/>
        <sz val="12"/>
        <color indexed="8"/>
        <rFont val="Times New Roman"/>
        <family val="1"/>
      </rPr>
      <t>12-631o</t>
    </r>
    <r>
      <rPr>
        <sz val="12"/>
        <color indexed="8"/>
        <rFont val="Times New Roman"/>
        <family val="1"/>
      </rPr>
      <t xml:space="preserve">.  </t>
    </r>
    <r>
      <rPr>
        <b/>
        <sz val="12"/>
        <color indexed="8"/>
        <rFont val="Times New Roman"/>
        <family val="1"/>
      </rPr>
      <t xml:space="preserve">Transfer to sewerage reserve fund.  </t>
    </r>
    <r>
      <rPr>
        <sz val="12"/>
        <color indexed="8"/>
        <rFont val="Times New Roman"/>
        <family val="1"/>
      </rPr>
      <t>Authorizes the transfer of sewer system revenue to a sewer system reserve fund for the future maintenance and operation of its system and for the construction of improvements and expansions to such system.</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</si>
  <si>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Transfer from sewerage system reserve fund.</t>
    </r>
    <r>
      <rPr>
        <sz val="12"/>
        <color indexed="8"/>
        <rFont val="Times New Roman"/>
        <family val="1"/>
      </rPr>
      <t xml:space="preserve">  Allows the retransfer of sewerage system reserve fund dollars to the fund from which it was originally transferred.</t>
    </r>
  </si>
  <si>
    <r>
      <t xml:space="preserve">K.S.A. </t>
    </r>
    <r>
      <rPr>
        <b/>
        <sz val="11"/>
        <color indexed="8"/>
        <rFont val="Times New Roman"/>
        <family val="1"/>
      </rPr>
      <t>12-6a16.</t>
    </r>
    <r>
      <rPr>
        <sz val="11"/>
        <color indexed="8"/>
        <rFont val="Times New Roman"/>
        <family val="1"/>
      </rPr>
      <t xml:space="preserve">  </t>
    </r>
    <r>
      <rPr>
        <b/>
        <sz val="11"/>
        <color indexed="8"/>
        <rFont val="Times New Roman"/>
        <family val="1"/>
      </rPr>
      <t>Transfer from fund for special improvements.</t>
    </r>
    <r>
      <rPr>
        <sz val="11"/>
        <color indexed="8"/>
        <rFont val="Times New Roman"/>
        <family val="1"/>
      </rPr>
      <t xml:space="preserve">  Authorizes a separate fund for each improvement or combination of improvements to be credited with the proceeds from sale of bonds and temporary notes and any other moneys appropriated thereto, and upon completion of the improvement the balance, if any, shall be transferred and credited to the city bond and interest fund.</t>
    </r>
  </si>
  <si>
    <r>
      <t>K.S.A. 12-825d</t>
    </r>
    <r>
      <rPr>
        <sz val="12"/>
        <rFont val="Times New Roman"/>
        <family val="1"/>
      </rPr>
      <t>.</t>
    </r>
    <r>
      <rPr>
        <b/>
        <sz val="12"/>
        <rFont val="Times New Roman"/>
        <family val="1"/>
      </rPr>
      <t xml:space="preserve">  Transfer from utility fund.</t>
    </r>
    <r>
      <rPr>
        <sz val="12"/>
        <rFont val="Times New Roman"/>
        <family val="1"/>
      </rPr>
      <t xml:space="preserve">  Surplus </t>
    </r>
    <r>
      <rPr>
        <sz val="12"/>
        <color indexed="8"/>
        <rFont val="Times New Roman"/>
        <family val="1"/>
      </rPr>
      <t>revenue derived from a utility may be transferred to the general fund or any other fund or such surplus, in whole or in part, may be set aside in a depreciation reserve fund of the utility.</t>
    </r>
  </si>
  <si>
    <r>
      <t>K.S.A. 12-17,118</t>
    </r>
    <r>
      <rPr>
        <sz val="12"/>
        <color indexed="8"/>
        <rFont val="Times New Roman"/>
        <family val="1"/>
      </rPr>
      <t xml:space="preserve">.  </t>
    </r>
    <r>
      <rPr>
        <b/>
        <sz val="12"/>
        <color indexed="8"/>
        <rFont val="Times New Roman"/>
        <family val="1"/>
      </rPr>
      <t xml:space="preserve">Transfer to and from neighborhood revitalization fund. </t>
    </r>
    <r>
      <rPr>
        <sz val="12"/>
        <color indexed="8"/>
        <rFont val="Times New Roman"/>
        <family val="1"/>
      </rPr>
      <t xml:space="preserve"> Authorizes transfers to a neighborhood revitalization fund from any source which may be lawfully utilized to finance redevelopment of designated revitalization areas and dilapidated structures and to provide rebates such purposes.</t>
    </r>
  </si>
  <si>
    <r>
      <t xml:space="preserve">K.S.A. </t>
    </r>
    <r>
      <rPr>
        <b/>
        <sz val="12"/>
        <color indexed="8"/>
        <rFont val="Times New Roman"/>
        <family val="1"/>
      </rPr>
      <t>12-2615</t>
    </r>
    <r>
      <rPr>
        <sz val="12"/>
        <color indexed="8"/>
        <rFont val="Times New Roman"/>
        <family val="1"/>
      </rPr>
      <t>.</t>
    </r>
    <r>
      <rPr>
        <b/>
        <sz val="12"/>
        <color indexed="8"/>
        <rFont val="Times New Roman"/>
        <family val="1"/>
      </rPr>
      <t xml:space="preserve">  Transfer to risk management reserve fund.</t>
    </r>
    <r>
      <rPr>
        <sz val="12"/>
        <color indexed="8"/>
        <rFont val="Times New Roman"/>
        <family val="1"/>
      </rPr>
      <t xml:space="preserve">  To cover costs relating to any uninsured loss moneys may be paid into a risk management reserve fund or special reserve fund from any source which may be utilized for such purposes, including transfers from the general fund, in reasonable proportion to the estimated cost of self insuring the risk losses covered by such funds. </t>
    </r>
  </si>
  <si>
    <r>
      <t xml:space="preserve">K.S.A. </t>
    </r>
    <r>
      <rPr>
        <b/>
        <sz val="12"/>
        <color indexed="8"/>
        <rFont val="Times New Roman"/>
        <family val="1"/>
      </rPr>
      <t>14-2004</t>
    </r>
    <r>
      <rPr>
        <sz val="12"/>
        <color indexed="8"/>
        <rFont val="Times New Roman"/>
        <family val="1"/>
      </rPr>
      <t>.</t>
    </r>
    <r>
      <rPr>
        <b/>
        <sz val="12"/>
        <color indexed="8"/>
        <rFont val="Times New Roman"/>
        <family val="1"/>
      </rPr>
      <t xml:space="preserve">  Transfer by certain cities to a park land acquisition fund.</t>
    </r>
    <r>
      <rPr>
        <sz val="12"/>
        <color indexed="8"/>
        <rFont val="Times New Roman"/>
        <family val="1"/>
      </rPr>
      <t xml:space="preserve">  Authorizes second class cities with the commission-manager form of government to establish a park land acquisition fund and to transfer up to $5,000 a year from its general fund to such fund to acquire land for park purposes.  Not more than $25,000 shall be accumulated in said fund at any time.</t>
    </r>
  </si>
  <si>
    <r>
      <t xml:space="preserve">K.S.A. </t>
    </r>
    <r>
      <rPr>
        <b/>
        <sz val="12"/>
        <color indexed="8"/>
        <rFont val="Times New Roman"/>
        <family val="1"/>
      </rPr>
      <t>44-505f</t>
    </r>
    <r>
      <rPr>
        <sz val="12"/>
        <color indexed="8"/>
        <rFont val="Times New Roman"/>
        <family val="1"/>
      </rPr>
      <t>.</t>
    </r>
    <r>
      <rPr>
        <b/>
        <sz val="12"/>
        <color indexed="8"/>
        <rFont val="Times New Roman"/>
        <family val="1"/>
      </rPr>
      <t xml:space="preserve">  Transfer to worker’s compensation reserve fund.</t>
    </r>
    <r>
      <rPr>
        <sz val="12"/>
        <color indexed="8"/>
        <rFont val="Times New Roman"/>
        <family val="1"/>
      </rPr>
      <t xml:space="preserve">  Where a city chooses to act as a self-insurer under the worker's compensation act it is authorized to make transfers to a worker’s compensation reserve fund from any other funds in reasonable proportion to the estimated cost of providing benefits to employees compensated from such funds.</t>
    </r>
  </si>
  <si>
    <r>
      <t>K.S.A. 68-141g</t>
    </r>
    <r>
      <rPr>
        <sz val="12"/>
        <color indexed="8"/>
        <rFont val="Times New Roman"/>
        <family val="1"/>
      </rPr>
      <t xml:space="preserve">.  </t>
    </r>
    <r>
      <rPr>
        <b/>
        <sz val="12"/>
        <color indexed="8"/>
        <rFont val="Times New Roman"/>
        <family val="1"/>
      </rPr>
      <t>Transfer to special machinery or equipment fund.</t>
    </r>
    <r>
      <rPr>
        <sz val="12"/>
        <color indexed="8"/>
        <rFont val="Times New Roman"/>
        <family val="1"/>
      </rPr>
      <t xml:space="preserve">  Authorizes an annual transfer, not to exceed 25%, from the road, bridge or street fund to a special road, bridge or street building machinery, equipment and bridge building fund. </t>
    </r>
  </si>
  <si>
    <r>
      <t>K.S.A. 68-590.</t>
    </r>
    <r>
      <rPr>
        <sz val="12"/>
        <rFont val="Times New Roman"/>
        <family val="1"/>
      </rPr>
      <t xml:space="preserve"> </t>
    </r>
    <r>
      <rPr>
        <sz val="12"/>
        <color indexed="8"/>
        <rFont val="Times New Roman"/>
        <family val="1"/>
      </rPr>
      <t xml:space="preserve"> </t>
    </r>
    <r>
      <rPr>
        <b/>
        <sz val="12"/>
        <color indexed="8"/>
        <rFont val="Times New Roman"/>
        <family val="1"/>
      </rPr>
      <t>Transfer to special highway improvement fund.</t>
    </r>
    <r>
      <rPr>
        <sz val="12"/>
        <color indexed="8"/>
        <rFont val="Times New Roman"/>
        <family val="1"/>
      </rPr>
      <t xml:space="preserve">  Authorizes the transfer each year from the fund or division thereof budgeted for roads, bridges, highways or streets an amount not to exceed 25% of such fund to a special highway improvement fund.</t>
    </r>
  </si>
  <si>
    <r>
      <t>K.S.A. 79-2958</t>
    </r>
    <r>
      <rPr>
        <sz val="12"/>
        <rFont val="Times New Roman"/>
        <family val="1"/>
      </rPr>
      <t xml:space="preserve">.  </t>
    </r>
    <r>
      <rPr>
        <b/>
        <sz val="12"/>
        <rFont val="Times New Roman"/>
        <family val="1"/>
      </rPr>
      <t>Transfer from closed tax levy fund.</t>
    </r>
    <r>
      <rPr>
        <sz val="12"/>
        <rFont val="Times New Roman"/>
        <family val="1"/>
      </rPr>
      <t xml:space="preserve">  </t>
    </r>
    <r>
      <rPr>
        <sz val="12"/>
        <color indexed="8"/>
        <rFont val="Times New Roman"/>
        <family val="1"/>
      </rPr>
      <t>Whenever there shall remain in any fund moneys received from the levy of a tax, after all obligations of such fund have been fully paid, the treasurer shall close out the fund and credit the excess to the general fund.  Should any back taxes for such levy afterwards be received by the taxing subdivision, it shall be credited to the fund for general purposes.</t>
    </r>
  </si>
  <si>
    <t>forms in the appropriate locations. If any of the numbers are wrong, change them on this input sheet.</t>
  </si>
  <si>
    <t>Enter the following information from the sources shown.  This information will be entered on the budget</t>
  </si>
  <si>
    <r>
      <rPr>
        <sz val="12"/>
        <color indexed="10"/>
        <rFont val="Times New Roman"/>
        <family val="1"/>
      </rPr>
      <t>*</t>
    </r>
    <r>
      <rPr>
        <sz val="12"/>
        <rFont val="Times New Roman"/>
        <family val="1"/>
      </rPr>
      <t>Expenditures</t>
    </r>
    <r>
      <rPr>
        <sz val="12"/>
        <color indexed="10"/>
        <rFont val="Times New Roman"/>
        <family val="1"/>
      </rPr>
      <t>*</t>
    </r>
  </si>
  <si>
    <r>
      <rPr>
        <b/>
        <sz val="12"/>
        <color indexed="10"/>
        <rFont val="Times New Roman"/>
        <family val="1"/>
      </rPr>
      <t>*</t>
    </r>
    <r>
      <rPr>
        <b/>
        <sz val="12"/>
        <rFont val="Times New Roman"/>
        <family val="1"/>
      </rPr>
      <t>If amended, then use the amended figures.</t>
    </r>
    <r>
      <rPr>
        <b/>
        <sz val="12"/>
        <color indexed="10"/>
        <rFont val="Times New Roman"/>
        <family val="1"/>
      </rPr>
      <t>*</t>
    </r>
  </si>
  <si>
    <t>Page 1 - Total</t>
  </si>
  <si>
    <t>Page 1 -Total</t>
  </si>
  <si>
    <t>Page 2 -Total</t>
  </si>
  <si>
    <t xml:space="preserve">Grand Total </t>
  </si>
  <si>
    <t xml:space="preserve">           General Fund - Detail Page 1</t>
  </si>
  <si>
    <t xml:space="preserve">           General Fund - Detail Page 2</t>
  </si>
  <si>
    <t>1. Cert tab line 14, added 'If amended….'</t>
  </si>
  <si>
    <t>2. Created TransferStatute tab</t>
  </si>
  <si>
    <t>3. Created NonBudFunds tab</t>
  </si>
  <si>
    <t xml:space="preserve">4. Instructions tab added 6b for the TransferStatute tab
</t>
  </si>
  <si>
    <t>5. Added 'See Tab A-E' for violations</t>
  </si>
  <si>
    <t xml:space="preserve">6. Changed each fund page removing 'Yes' and 'No' replacing with 'See Tab' for possible violation </t>
  </si>
  <si>
    <t>7. Nonbud tab changed Net Violation to July 1</t>
  </si>
  <si>
    <t>8. Instruction tab changed 9i to k for 'See Tab'</t>
  </si>
  <si>
    <t>9. InputOth tab changed line A21 from Bond &amp; Interest to Debt Service</t>
  </si>
  <si>
    <t>10. Gen tab added eight additional detail lines and linked to the detail page</t>
  </si>
  <si>
    <t>11. Certificate tab moved the Assisted By: and added more lines for governing body signatures</t>
  </si>
  <si>
    <t>This tab will put the date and time and location of the budget hearing on the Budget Summary page.  Also, provide the location where as the budget can be reveiwed.  Please input information in the green areas.</t>
  </si>
  <si>
    <t>Date:</t>
  </si>
  <si>
    <t>Time:</t>
  </si>
  <si>
    <t>Location:</t>
  </si>
  <si>
    <t>Available at:</t>
  </si>
  <si>
    <t>Examples</t>
  </si>
  <si>
    <t>August 12, 2010</t>
  </si>
  <si>
    <t>7:00 PM or 7:00 AM</t>
  </si>
  <si>
    <t>City Hall</t>
  </si>
  <si>
    <t>1. Instruction tab, added step 3 for 'inputBudSum'</t>
  </si>
  <si>
    <t>2. Added tab 'inputBudSum'</t>
  </si>
  <si>
    <t>3. Changed Budget Summary replacing the green areas for date/time/location so info comes from inputBudSum tab</t>
  </si>
  <si>
    <t>Possible Budget Law Violation</t>
  </si>
  <si>
    <t xml:space="preserve">Welcome.  You have been directed to this tab because your </t>
  </si>
  <si>
    <t>In short, you are looking at a potential budget law violation.</t>
  </si>
  <si>
    <t>However, the good news is that you may have options available</t>
  </si>
  <si>
    <t>that will allow you to avoid a budget law violation.</t>
  </si>
  <si>
    <t>Can the potential violation be corrected at this time?</t>
  </si>
  <si>
    <r>
      <t xml:space="preserve">If the municipality financial records have </t>
    </r>
    <r>
      <rPr>
        <b/>
        <u/>
        <sz val="12"/>
        <rFont val="Courier"/>
        <family val="3"/>
      </rPr>
      <t>not been</t>
    </r>
    <r>
      <rPr>
        <sz val="12"/>
        <rFont val="Courier"/>
        <family val="3"/>
      </rPr>
      <t xml:space="preserve"> closed</t>
    </r>
  </si>
  <si>
    <t xml:space="preserve">budget has not been submitted to the county clerk) then the </t>
  </si>
  <si>
    <t xml:space="preserve">budget law violation can be fixed before submission of the </t>
  </si>
  <si>
    <t>budget to the county clerk.</t>
  </si>
  <si>
    <t>What should I do?</t>
  </si>
  <si>
    <t xml:space="preserve">First, review the input page information (inputPrYr tab) </t>
  </si>
  <si>
    <t>to ensure that the correct amount was entered for this</t>
  </si>
  <si>
    <t>use the amended, higher budget amount?</t>
  </si>
  <si>
    <t xml:space="preserve">reduced or eliminated.  For example, are you showing any </t>
  </si>
  <si>
    <t>transfers from this fund to another?  If so, consider whether</t>
  </si>
  <si>
    <t>you can reduce or eliminate one or more transfers.</t>
  </si>
  <si>
    <t>(e.g. FEMA)?  If so, instead of showing the reimbursement as a</t>
  </si>
  <si>
    <r>
      <t xml:space="preserve">receipt, show the reimbursement as a negative </t>
    </r>
    <r>
      <rPr>
        <i/>
        <sz val="12"/>
        <rFont val="Courier"/>
        <family val="3"/>
      </rPr>
      <t>expenditure</t>
    </r>
    <r>
      <rPr>
        <sz val="12"/>
        <rFont val="Courier"/>
        <family val="3"/>
      </rPr>
      <t>.</t>
    </r>
  </si>
  <si>
    <t>Another option is to consider whether your fund shares</t>
  </si>
  <si>
    <t>expenditures with another fund.  For example, your electric</t>
  </si>
  <si>
    <t>and water funds may split salaries between the two funds.  If</t>
  </si>
  <si>
    <t>one of those funds is in trouble, you might be able to allocate</t>
  </si>
  <si>
    <t>a little more in salaries to the healthy fund in order to</t>
  </si>
  <si>
    <t>eliminate the violation (be sure, though, that the</t>
  </si>
  <si>
    <t>healthy fund has sufficient budget authority and cash</t>
  </si>
  <si>
    <t>available).</t>
  </si>
  <si>
    <t>The shifting of expenditures between funds, as described in</t>
  </si>
  <si>
    <t>the preceding paragraph, can be accomplished between any funds</t>
  </si>
  <si>
    <t>that share expenses.</t>
  </si>
  <si>
    <t>Finally, if your general fund is healthy - it has enough budget</t>
  </si>
  <si>
    <t>authority and cash - then it might be used to cover the excess</t>
  </si>
  <si>
    <t>expenditures. (AGO No. 85-181)</t>
  </si>
  <si>
    <t>Is amending the budget an option?</t>
  </si>
  <si>
    <t xml:space="preserve">Amending the budget is a timing issue.  In order to amend the </t>
  </si>
  <si>
    <t>budget, you must have the complete amending process completed</t>
  </si>
  <si>
    <t xml:space="preserve">before the end of the calandar year.  If you start at the </t>
  </si>
  <si>
    <t xml:space="preserve">beginning of December, then you should have enough time to </t>
  </si>
  <si>
    <t xml:space="preserve">amend the budget.  But, if started during the middle of </t>
  </si>
  <si>
    <t>December, then you might not have enough time to complete</t>
  </si>
  <si>
    <t xml:space="preserve">the amending process.  Remember the complete processing must </t>
  </si>
  <si>
    <t xml:space="preserve">be completed on or before the end of December and you must have </t>
  </si>
  <si>
    <t xml:space="preserve">at least 10 days between when published in local newspaper and </t>
  </si>
  <si>
    <t xml:space="preserve">when the budget hearing is held. So, if your local newspaper only </t>
  </si>
  <si>
    <t xml:space="preserve">publishes once a week or bi-weekly, then there might not be </t>
  </si>
  <si>
    <t xml:space="preserve">time enough to have the 10 day requirement between publication </t>
  </si>
  <si>
    <t>and the hearing.</t>
  </si>
  <si>
    <t>Amending the budget can be done at any time during the budgeted</t>
  </si>
  <si>
    <t xml:space="preserve">year.  But, amending the budget should take place before the </t>
  </si>
  <si>
    <t>expenditures exceed the budget authority.</t>
  </si>
  <si>
    <t xml:space="preserve">Well, if the municipality financial records have been closed </t>
  </si>
  <si>
    <t>adopted budget has been submitted to the county clerk), then</t>
  </si>
  <si>
    <t xml:space="preserve">the violation cannot be fixed and must be shown as it occurred. </t>
  </si>
  <si>
    <t xml:space="preserve">No punitive action will be taken as a result of the </t>
  </si>
  <si>
    <t>violation, but you should determine what caused the violation</t>
  </si>
  <si>
    <t>and take steps to avoid future violations of this nature.</t>
  </si>
  <si>
    <t>Thank you.</t>
  </si>
  <si>
    <t>Possible Cash Basis Law Violation</t>
  </si>
  <si>
    <t>Welcome.  You have been directed to this tab because your</t>
  </si>
  <si>
    <t>negative unencumbered cash balance in this fund.</t>
  </si>
  <si>
    <t xml:space="preserve">However, the good news is that you may have one or more </t>
  </si>
  <si>
    <t>options available that will allow you to avoid a cash basis</t>
  </si>
  <si>
    <t>law violation.</t>
  </si>
  <si>
    <t xml:space="preserve">Is this a violation?  </t>
  </si>
  <si>
    <t>Hopefully not.  The first thing that you might do is</t>
  </si>
  <si>
    <t>to review K.S.A. 10-1116 to see if your fund might be one of</t>
  </si>
  <si>
    <t xml:space="preserve">those for which a negative cash balance is permitted. </t>
  </si>
  <si>
    <t>What if K.S.A. 10-1116 applies?</t>
  </si>
  <si>
    <t xml:space="preserve">If the fund falls into one of the categories, then a cash  </t>
  </si>
  <si>
    <t>basis law violation has not occurred. Please annotate to the</t>
  </si>
  <si>
    <r>
      <t>left of the 'See Tab B' as follows:  "</t>
    </r>
    <r>
      <rPr>
        <i/>
        <u/>
        <sz val="12"/>
        <rFont val="Courier"/>
        <family val="3"/>
      </rPr>
      <t>10-1116 applies.</t>
    </r>
    <r>
      <rPr>
        <sz val="12"/>
        <rFont val="Courier"/>
        <family val="3"/>
      </rPr>
      <t>"</t>
    </r>
  </si>
  <si>
    <t>What if K.S.A. 10-1116 does not apply?</t>
  </si>
  <si>
    <t xml:space="preserve">If the fund does not fall into one of the categories, then </t>
  </si>
  <si>
    <t xml:space="preserve">let's explore your options, below, to see if we can help you </t>
  </si>
  <si>
    <t>avoid a cash basis law violation.</t>
  </si>
  <si>
    <t>Options</t>
  </si>
  <si>
    <t xml:space="preserve">budget has not been submitted to the county clerk) then </t>
  </si>
  <si>
    <t xml:space="preserve">either your fund receipts will need to be increased </t>
  </si>
  <si>
    <t>(transfer from another fund) or your expenditures will</t>
  </si>
  <si>
    <t>need to be decreased (shifting of expenditures to another</t>
  </si>
  <si>
    <t>fund), or a combination of the two.</t>
  </si>
  <si>
    <t>Increasing your receipts through one or more transfers</t>
  </si>
  <si>
    <t>is contingent upon the available cash, budget authority,</t>
  </si>
  <si>
    <t>and statutory authority for the transfer from the fund or</t>
  </si>
  <si>
    <t>funds from which one or more transfers might be made.</t>
  </si>
  <si>
    <t xml:space="preserve">Another option for you to consider is the shifting of </t>
  </si>
  <si>
    <t xml:space="preserve">expenditures from this fund to another fund.  Again, the </t>
  </si>
  <si>
    <t>fund to which expenditures are shifted must have available</t>
  </si>
  <si>
    <t>cash and budget authority in order to absorb the additional</t>
  </si>
  <si>
    <t xml:space="preserve">expenditures.  </t>
  </si>
  <si>
    <t>What if K.S.A. 10-1116 does not apply, and no options</t>
  </si>
  <si>
    <t>are available to me?</t>
  </si>
  <si>
    <t xml:space="preserve">Unfortunately, under this scenario you are pretty much stuck </t>
  </si>
  <si>
    <t>with a cash basis law violation.  However, you can accept</t>
  </si>
  <si>
    <t>the violation as a learning tool to help you prevent violations</t>
  </si>
  <si>
    <t>in the future.</t>
  </si>
  <si>
    <t>Regular reviews of current year budget performance, especially</t>
  </si>
  <si>
    <t>from the end of the third quarter on, might allow you to determine</t>
  </si>
  <si>
    <t>in a timely fashion whether an increase in revenue or a decrease</t>
  </si>
  <si>
    <t>in expenditures is going to be needed before the end of the fiscal</t>
  </si>
  <si>
    <t>year in order to ensure that a fund finishes the year in good</t>
  </si>
  <si>
    <t>shape.</t>
  </si>
  <si>
    <t>In addition to the options discussed above, during the later</t>
  </si>
  <si>
    <t>part of the year if a utility fund or the general fund has</t>
  </si>
  <si>
    <t>the cash, but not the budget authority, amending the budget</t>
  </si>
  <si>
    <t xml:space="preserve">might be done in order to increase budget authority so that </t>
  </si>
  <si>
    <t>a transfer can then be made to the struggling fund or, in</t>
  </si>
  <si>
    <t>the case of the general fund, there can be a shifting of</t>
  </si>
  <si>
    <t>expenditures from the struggling fund to the general fund.</t>
  </si>
  <si>
    <t>If, in the future, you choose to amend the budget as described</t>
  </si>
  <si>
    <t>in the paragraph above, please remember that the amendment</t>
  </si>
  <si>
    <t>must occur before the end of the fiscal year.</t>
  </si>
  <si>
    <t>Current Year - Possible Budget Law Violation</t>
  </si>
  <si>
    <t>budget authority.'</t>
  </si>
  <si>
    <t>In short, you are looking at a potential budget law violation</t>
  </si>
  <si>
    <t>if you truly end up the year as your current estimates</t>
  </si>
  <si>
    <t xml:space="preserve">reflect.  The good news is that you have an early </t>
  </si>
  <si>
    <t>indication of possible issues which can be addressed</t>
  </si>
  <si>
    <t>sooner rather than later.</t>
  </si>
  <si>
    <t xml:space="preserve">Should the potential for a violation be corrected at </t>
  </si>
  <si>
    <t xml:space="preserve">this time? </t>
  </si>
  <si>
    <t xml:space="preserve">Naturally, our preference would be that you consider </t>
  </si>
  <si>
    <t>ensure that your expenditures do not, at year-end, exceed your</t>
  </si>
  <si>
    <t>budget authority for this fund.</t>
  </si>
  <si>
    <t>What should I do at this time?</t>
  </si>
  <si>
    <t>Well, the easiest thing to do at this time is to increase</t>
  </si>
  <si>
    <t>any underestimated revenue numbers, or decrease</t>
  </si>
  <si>
    <t>any overestimated expenditure numbers, or a combination</t>
  </si>
  <si>
    <t>of the two.</t>
  </si>
  <si>
    <t>What if I check my estimates and find that we're still</t>
  </si>
  <si>
    <t>on pace for a budget law violation?</t>
  </si>
  <si>
    <t xml:space="preserve">be reduced or eliminated.  For example, are you showing any </t>
  </si>
  <si>
    <t>one of those funds is in trouble you might be able to allocate</t>
  </si>
  <si>
    <t>eliminate the potential violation (be sure, though, that</t>
  </si>
  <si>
    <t>the healthy fund has sufficient budget authority and cash</t>
  </si>
  <si>
    <t>A sometimes overlooked option is to use your general</t>
  </si>
  <si>
    <t>fund to cover the excess expenditures, assuming that the</t>
  </si>
  <si>
    <t>general fund is not the one that's in trouble and that it</t>
  </si>
  <si>
    <t>has the budget authority and cash to absorb additional</t>
  </si>
  <si>
    <t>expenditures.</t>
  </si>
  <si>
    <t>Finally, If none of the above options can be applied and the</t>
  </si>
  <si>
    <t>fund has an unencumbered cash balance which will cover</t>
  </si>
  <si>
    <t>the estimated overage, the budget can be amended before</t>
  </si>
  <si>
    <t>the end of the fiscal year.  Remember, though, that</t>
  </si>
  <si>
    <t xml:space="preserve">the amendment process must occur before the end of the </t>
  </si>
  <si>
    <t>fiscal year.</t>
  </si>
  <si>
    <t>If the fund does not have enough ending cash so that an</t>
  </si>
  <si>
    <t>amendment will cover the expected overage, but another fund</t>
  </si>
  <si>
    <t>does have enough unemcumbered cash (along with budget</t>
  </si>
  <si>
    <t xml:space="preserve">authority and statutory authority to transfer to the </t>
  </si>
  <si>
    <t>fund with the potential budget law violation), go ahead</t>
  </si>
  <si>
    <t>and make the transfer and then amend the budget.</t>
  </si>
  <si>
    <t>Current Year - Possible Cash Basis Law Violation</t>
  </si>
  <si>
    <t>you will have a negative unencumbered cash balance in this</t>
  </si>
  <si>
    <t>fund.</t>
  </si>
  <si>
    <t>Should this be fixed?</t>
  </si>
  <si>
    <t>Yes, by all means.  You really don't want to end this year</t>
  </si>
  <si>
    <t>with a negative cash balance in the fund.  At a minimum</t>
  </si>
  <si>
    <t>you will want your ending cash balance to be $0.</t>
  </si>
  <si>
    <t>Now, it is possible that this is one of those funds which</t>
  </si>
  <si>
    <t>may, under K.S.A. 10-1116, end the year with a negative cash</t>
  </si>
  <si>
    <t>balance, but otherwise you will want to make sure that it</t>
  </si>
  <si>
    <t>does not.</t>
  </si>
  <si>
    <t xml:space="preserve">Either your fund receipts will need to be increased before </t>
  </si>
  <si>
    <t>the end of the year (transfer from another fund) or your</t>
  </si>
  <si>
    <t>expenditures will need to be decreased before the end of the</t>
  </si>
  <si>
    <t>year (shifting of expenditures to another fund), or a</t>
  </si>
  <si>
    <t>combination of the two.</t>
  </si>
  <si>
    <t xml:space="preserve">On the revenue side of the fund you might increase your </t>
  </si>
  <si>
    <t>receipts through one or more transfers, contingent upon</t>
  </si>
  <si>
    <t xml:space="preserve">available cash, budget authority, and statutory authority for </t>
  </si>
  <si>
    <t>the transfer from the fund or funds from which one or</t>
  </si>
  <si>
    <t>more transfers might be made.</t>
  </si>
  <si>
    <t>Proposed Budget Year - Possible Budget Law Violation</t>
  </si>
  <si>
    <t>No Levy Funds</t>
  </si>
  <si>
    <t>Unemcumbered cash balance Dec 31.'</t>
  </si>
  <si>
    <t>In short, you are looking at a budget law violation if you</t>
  </si>
  <si>
    <t>adopt a budget in which there exists a fund with a negative</t>
  </si>
  <si>
    <t>ending cash balance.</t>
  </si>
  <si>
    <t>Should this be fixed before we adopt the budget?</t>
  </si>
  <si>
    <t xml:space="preserve">Yes.  The budget law mandates that fund expenditures </t>
  </si>
  <si>
    <t>shall balance with anticipated revenue.  A fund ending</t>
  </si>
  <si>
    <t>cash balance should end either in $0 or a positive cash</t>
  </si>
  <si>
    <t>balance.</t>
  </si>
  <si>
    <t>How do I fix the violation?</t>
  </si>
  <si>
    <t xml:space="preserve">The negative cash balance can be remedied by increasing </t>
  </si>
  <si>
    <t xml:space="preserve">the anticipated receipts or by reducing the proposed </t>
  </si>
  <si>
    <t>expenditures, or a combination of the two.</t>
  </si>
  <si>
    <t>Is there a benefit to having a positive cash balance?</t>
  </si>
  <si>
    <t xml:space="preserve">If the municipality governing body chooses to adopt a </t>
  </si>
  <si>
    <t xml:space="preserve">budget whereby the no levy fund has a positive ending </t>
  </si>
  <si>
    <t>balance, that's okay.  But, we recommend that the fund</t>
  </si>
  <si>
    <t>be budgeted to end with a $0 balance.</t>
  </si>
  <si>
    <t>Why?  Well, remember that no levy funds do not result in a</t>
  </si>
  <si>
    <t>levy of property tax dollars.  So, there is no impact to the</t>
  </si>
  <si>
    <t>property taxpayer from a budget which utilizes all anticipated</t>
  </si>
  <si>
    <t>revenue in the upcoming year.</t>
  </si>
  <si>
    <t>The advantage to the municipality of budgeting the no levy fund</t>
  </si>
  <si>
    <t>to end the budget year with a $0 balance is that it provides</t>
  </si>
  <si>
    <t>the municipality with maximum spending authority.  In</t>
  </si>
  <si>
    <t>the event the municipality is faced with unanticipated</t>
  </si>
  <si>
    <t>spending during the budget year it will not need to amend</t>
  </si>
  <si>
    <t>its budget to do so.</t>
  </si>
  <si>
    <t>Of course, by budgeting to $0 the municipality does not have</t>
  </si>
  <si>
    <t xml:space="preserve">to spend down to $0, but the authority to do so </t>
  </si>
  <si>
    <t>without a budget amendment is there in the event that a need</t>
  </si>
  <si>
    <t>to do so should arise.</t>
  </si>
  <si>
    <r>
      <t xml:space="preserve">3a. </t>
    </r>
    <r>
      <rPr>
        <b/>
        <sz val="12"/>
        <rFont val="Times New Roman"/>
        <family val="1"/>
      </rPr>
      <t>Note:</t>
    </r>
    <r>
      <rPr>
        <sz val="12"/>
        <rFont val="Times New Roman"/>
        <family val="1"/>
      </rPr>
      <t xml:space="preserve"> There must be at least 10 days between when the Notice of Budget Hearing is printed and when the hearing is to be held. To be in </t>
    </r>
    <r>
      <rPr>
        <u/>
        <sz val="12"/>
        <rFont val="Times New Roman"/>
        <family val="1"/>
      </rPr>
      <t>compliance</t>
    </r>
    <r>
      <rPr>
        <sz val="12"/>
        <rFont val="Times New Roman"/>
        <family val="1"/>
      </rPr>
      <t xml:space="preserve"> with K.S.A. 79-2929, it's </t>
    </r>
    <r>
      <rPr>
        <b/>
        <sz val="12"/>
        <rFont val="Times New Roman"/>
        <family val="1"/>
      </rPr>
      <t>critical</t>
    </r>
    <r>
      <rPr>
        <sz val="12"/>
        <rFont val="Times New Roman"/>
        <family val="1"/>
      </rPr>
      <t xml:space="preserve"> to have at least 10 days between publication and hearing, but also to provide the date, time, and location of the hearing.</t>
    </r>
  </si>
  <si>
    <t xml:space="preserve">4. The information contained on the Certificate Page (cert) is the result of links from the fund and input pages .  If there is incorrect information on the Certificate Page, do not correct the Certification Page, but rather correct the fund or input page that links the information to the Certificate Page.  If you can not correct the error, please call us for assistance. </t>
  </si>
  <si>
    <t xml:space="preserve">4a.  If someone other than a municipal employee assists in preparing the budget, please enter the person's or firm's name and address in the area provided. </t>
  </si>
  <si>
    <t>7. The Schedule of Transfers (transfers) is completed from the individual completed fund pages. Be sure to provide the statute that authorizes the transfer. If 'Home Rule' is applied, then provide the chartered ordinance number in place of the statute. Before submitting the budget, suggest printing off the Schedule of Transfers page and tracing entries to each fund page.</t>
  </si>
  <si>
    <r>
      <t xml:space="preserve">8.  Statement of Indebtedness (debt) must show all the debt owed or proposed to be issued.  The general obligation and revenue bond totals for budget year is linked to the Budget Summary. </t>
    </r>
    <r>
      <rPr>
        <b/>
        <sz val="12"/>
        <rFont val="Times New Roman"/>
        <family val="1"/>
      </rPr>
      <t>If the city does not have any debt, then on the first line enter 'none'.</t>
    </r>
  </si>
  <si>
    <r>
      <t xml:space="preserve">9.  Statement of Conditional Lease, Lease-Purchases and Certificate of Participation (lpform) must be completed for all transactions which the city intends to own the equipment at the end of the lease period.   Principal Balance Due for the actual year is linked to the Budget Summary page. </t>
    </r>
    <r>
      <rPr>
        <b/>
        <sz val="12"/>
        <rFont val="Times New Roman"/>
        <family val="1"/>
      </rPr>
      <t>If the city does not have any leases, then on the first line enter 'none'.</t>
    </r>
  </si>
  <si>
    <t xml:space="preserve">12.  Budget Summary (summ) should link the information from other worksheets.  If you find information which is not correct, please go to the worksheet from which the information is linked, and  take corrective action. If you can not correct the error, please contact us for assistance.   </t>
  </si>
  <si>
    <t>12a. At the bottom of the page is a green shaded area, enter the page number.</t>
  </si>
  <si>
    <t>answering objections of taxpayers relating to the proposed use of all funds and the amount of ad valorem tax.</t>
  </si>
  <si>
    <t>4. Deleted lines on Budget Summary reference in #3</t>
  </si>
  <si>
    <t>the Neighborhood Revitalization Rebate table.</t>
  </si>
  <si>
    <t xml:space="preserve">7a. Transfers total are at the bottom of the schedule which are linked to the Budget Summary page. </t>
  </si>
  <si>
    <t xml:space="preserve">7b. Adjustments are made for only those non-budgeted expenditure transfers appearing in the current and/or proposed columns of the schedule and do not have expenditures shown in the Budget Summary current and proposed columns. These types of transfers are not truely an expenditure at this time and as such an adjustment is needed to show the taxpayers the actual expenditures for the municipality. </t>
  </si>
  <si>
    <t>7c. TransferStatutes tab provides statute reference for transfers which are not already identified.</t>
  </si>
  <si>
    <t>*Note:</t>
  </si>
  <si>
    <t>Expenditure</t>
  </si>
  <si>
    <t>Receipt</t>
  </si>
  <si>
    <t xml:space="preserve">Fund Transferred </t>
  </si>
  <si>
    <t>Fund Transferred</t>
  </si>
  <si>
    <t>1. Nhood tab added note for computing table</t>
  </si>
  <si>
    <t>1. Instruction tab added line 7b concerning schedule of transfers adjustments</t>
  </si>
  <si>
    <t>2. Transfers tab changed note so to identify current and proposed columns for non-budgeted funds transfers</t>
  </si>
  <si>
    <t>3. Transfers tab changed first two column heading adding 'expenditures' and 'receipts'</t>
  </si>
  <si>
    <t>We, the undersigned, officers of</t>
  </si>
  <si>
    <t>Delinquent Comp Rate:</t>
  </si>
  <si>
    <t>Non-Appropriated Balance</t>
  </si>
  <si>
    <t>Total Expenditure/Non-Appr Balance</t>
  </si>
  <si>
    <r>
      <t xml:space="preserve"> Subtotal detail (</t>
    </r>
    <r>
      <rPr>
        <sz val="12"/>
        <color indexed="10"/>
        <rFont val="Times New Roman"/>
        <family val="1"/>
      </rPr>
      <t>S</t>
    </r>
    <r>
      <rPr>
        <sz val="12"/>
        <color indexed="10"/>
        <rFont val="Times New Roman"/>
        <family val="1"/>
      </rPr>
      <t>hould agree with detail</t>
    </r>
    <r>
      <rPr>
        <sz val="12"/>
        <rFont val="Times New Roman"/>
        <family val="1"/>
      </rPr>
      <t>)</t>
    </r>
  </si>
  <si>
    <t/>
  </si>
  <si>
    <t>Recreation</t>
  </si>
  <si>
    <t>12-1927</t>
  </si>
  <si>
    <t>Totals for City</t>
  </si>
  <si>
    <t>Totals  Includes Recreation</t>
  </si>
  <si>
    <t>Imposed Levy Limit (City's Historical Records)</t>
  </si>
  <si>
    <t>Fund Name</t>
  </si>
  <si>
    <t>Mill Rate Limit</t>
  </si>
  <si>
    <t>Ordinance Number:</t>
  </si>
  <si>
    <t>for Expenditures</t>
  </si>
  <si>
    <t>How To Compute The Value of One Mill, And The Impact Of Tax Dollars And Assessed Valuation On Mill Rates</t>
  </si>
  <si>
    <t>* * * * *</t>
  </si>
  <si>
    <t>To Compute the Value of One Mill</t>
  </si>
  <si>
    <t>Example #1 and Formula</t>
  </si>
  <si>
    <t>This example allows you to compute a mill rate.  Simply input in the green area the total assessed valuation for your municipality.</t>
  </si>
  <si>
    <t>Formula:</t>
  </si>
  <si>
    <t>Assessed valuation = X</t>
  </si>
  <si>
    <t>X / 1000 = value of one mill</t>
  </si>
  <si>
    <t>Input the assessed valuation:</t>
  </si>
  <si>
    <t>=</t>
  </si>
  <si>
    <t>/</t>
  </si>
  <si>
    <t>(assessed valuation)</t>
  </si>
  <si>
    <t>(value of one mill)</t>
  </si>
  <si>
    <t>To Determine a Mill Rate Increase</t>
  </si>
  <si>
    <t>Example #2 and Formula</t>
  </si>
  <si>
    <t>Example #2 allows you to compute the impact on mill rate by a specific dollar amount of property tax.  This example might be useful at a budget hearing when the governing body is making small adjustments to one or more property tax funds and would like to know the impact of those changes on the total mill rate.  As with the first example, input the municipality's total assessed valuation in the first green box, and with the second green box input the amount of property tax dollars under consideration.</t>
  </si>
  <si>
    <t>Computation of Example:</t>
  </si>
  <si>
    <r>
      <t xml:space="preserve">The </t>
    </r>
    <r>
      <rPr>
        <b/>
        <sz val="11"/>
        <color indexed="8"/>
        <rFont val="Cambria"/>
        <family val="1"/>
      </rPr>
      <t>first step</t>
    </r>
    <r>
      <rPr>
        <sz val="11"/>
        <rFont val="Cambria"/>
        <family val="1"/>
      </rPr>
      <t xml:space="preserve"> is to determine the value of one mill:</t>
    </r>
  </si>
  <si>
    <r>
      <t xml:space="preserve">In the </t>
    </r>
    <r>
      <rPr>
        <b/>
        <sz val="11"/>
        <color indexed="8"/>
        <rFont val="Cambria"/>
        <family val="1"/>
      </rPr>
      <t>next step</t>
    </r>
    <r>
      <rPr>
        <sz val="11"/>
        <rFont val="Cambria"/>
        <family val="1"/>
      </rPr>
      <t>, we will determine the increase:</t>
    </r>
  </si>
  <si>
    <t xml:space="preserve">$50,000 (increased property tax) / $312,000 (mill value) = .160 increase to the mill rate </t>
  </si>
  <si>
    <t>(asd. val.)</t>
  </si>
  <si>
    <t>(value one mill)</t>
  </si>
  <si>
    <t>(property tax)</t>
  </si>
  <si>
    <t xml:space="preserve">(mill value) </t>
  </si>
  <si>
    <t>(mill rate increase)</t>
  </si>
  <si>
    <t>Impact of a Property Tax Increase on a $100,000 Home</t>
  </si>
  <si>
    <t>Example #3a and Formula</t>
  </si>
  <si>
    <t>Example #3a allows you to quickly compute the standard "impact of a property tax increase on a $100,000 home" (or any other residential property value, for that matter).   Using the same information as in example #2, the additional piece of information to input in this example is a residential property value.  Additionally, residential property is assessed at 11.5% of its value (K.S.A. 79-1439(b)(1)(A)).</t>
  </si>
  <si>
    <r>
      <t xml:space="preserve">The </t>
    </r>
    <r>
      <rPr>
        <b/>
        <sz val="11"/>
        <color indexed="8"/>
        <rFont val="Cambria"/>
        <family val="1"/>
      </rPr>
      <t>first step</t>
    </r>
    <r>
      <rPr>
        <sz val="11"/>
        <rFont val="Cambria"/>
        <family val="1"/>
      </rPr>
      <t xml:space="preserve"> is to determine the mill rate:</t>
    </r>
  </si>
  <si>
    <r>
      <t xml:space="preserve">The </t>
    </r>
    <r>
      <rPr>
        <b/>
        <sz val="11"/>
        <color indexed="8"/>
        <rFont val="Cambria"/>
        <family val="1"/>
      </rPr>
      <t>second step</t>
    </r>
    <r>
      <rPr>
        <sz val="11"/>
        <rFont val="Cambria"/>
        <family val="1"/>
      </rPr>
      <t xml:space="preserve"> is to determine the residential property assessed value:</t>
    </r>
  </si>
  <si>
    <t>$100,000 home x .115 = $11,500 (assessed value)</t>
  </si>
  <si>
    <r>
      <t xml:space="preserve">The </t>
    </r>
    <r>
      <rPr>
        <b/>
        <sz val="11"/>
        <color indexed="8"/>
        <rFont val="Cambria"/>
        <family val="1"/>
      </rPr>
      <t>last step</t>
    </r>
    <r>
      <rPr>
        <sz val="11"/>
        <rFont val="Cambria"/>
        <family val="1"/>
      </rPr>
      <t xml:space="preserve"> is to determine the property tax increase:</t>
    </r>
  </si>
  <si>
    <t>First Step:</t>
  </si>
  <si>
    <t>(value of 1 mill)</t>
  </si>
  <si>
    <t>(increased prop. tax)</t>
  </si>
  <si>
    <t>(increase mill rate)</t>
  </si>
  <si>
    <t xml:space="preserve">(value of the home) </t>
  </si>
  <si>
    <t>Second Step:</t>
  </si>
  <si>
    <t>(assessed value)</t>
  </si>
  <si>
    <t xml:space="preserve">(assessed value) </t>
  </si>
  <si>
    <t>(increase tax)</t>
  </si>
  <si>
    <t>Impact of a Property Tax Increase on Unimproved Ag Land</t>
  </si>
  <si>
    <t>Example #3b and Formula</t>
  </si>
  <si>
    <t>Example #3b uses the same computation as example #3a, except in this case we are computing the impact of property taxes on unimproved agricultural land.  Unimproved agricultural land is assessed at 30% pursuant to K.S.A. 79-1439(b)(1)(B)).</t>
  </si>
  <si>
    <t xml:space="preserve">(value of the property) </t>
  </si>
  <si>
    <t>Impact of a Property Tax Increase on Commercial, Industrial, Railroad, and Improved Ag Land</t>
  </si>
  <si>
    <t>Example #3c and Formula</t>
  </si>
  <si>
    <t>Example #3c uses the same computation as examples #3a and #3b, except in this case we are computing the impact of property taxes on commercial, industrial, railroad, and improved agricultural land.  The foregoing categories of land are assessed at 25% pursuant to K.S.A. 79-1439(b)(1)(F)).</t>
  </si>
  <si>
    <t>Impact of Total Mills on an Individual Home</t>
  </si>
  <si>
    <t>Example #4 and Formula</t>
  </si>
  <si>
    <t>(value of the home)</t>
  </si>
  <si>
    <t>(residential %)</t>
  </si>
  <si>
    <t>(total mill rate)</t>
  </si>
  <si>
    <t>(impact, total mills)</t>
  </si>
  <si>
    <t>Helpful Links</t>
  </si>
  <si>
    <t>Municipal Services (Kansas Department of Administration, Accounts and Reports) – Budget forms, confirmation of payments, transfer statutes, non-budgeted fund statutes, etc.</t>
  </si>
  <si>
    <t>http://www.da.ks.gov/ar/muniserv/</t>
  </si>
  <si>
    <t>State Debt Setoff Program (Kansas Department of Administration, Accounts and Reports) – Passive collection tool to assist municipalities with collection of unpaid utility bills, etc.</t>
  </si>
  <si>
    <t>http://www.da.ks.gov/ar/setoff/</t>
  </si>
  <si>
    <t>League of Kansas Municipalities – City-County Highway Fund estimates</t>
  </si>
  <si>
    <t>http://www.lkm.org/resources/budgettips/</t>
  </si>
  <si>
    <t>League of Kansas Municipalities – Directory of Kansas Public Officials</t>
  </si>
  <si>
    <t>http://www.lkm.org/publications/dokpopop.html</t>
  </si>
  <si>
    <t>Kansas Legislature – Kansas Statutes (usually updated in January), House and Senate Bills, etc.</t>
  </si>
  <si>
    <t>http://www.kslegislature.org/legsrv-statutes/index.do</t>
  </si>
  <si>
    <t>Kansas Attorney General Opinions</t>
  </si>
  <si>
    <t>http://ksag.washburnlaw.edu/</t>
  </si>
  <si>
    <t>Kansas State Treasurer – Municipal Distributions</t>
  </si>
  <si>
    <t>http://www.kansasstatetreasurer.com/prodweb/dist/index.php</t>
  </si>
  <si>
    <t>Kansas Department of Revenue</t>
  </si>
  <si>
    <t>http://www.ksrevenue.org/</t>
  </si>
  <si>
    <t>Kansas Department of Revenue – Property Valuation</t>
  </si>
  <si>
    <t>http://www.ksrevenue.org/pvd.htm</t>
  </si>
  <si>
    <t>Kansas Pooled Money Investment Board – Investment of Idle Funds in the Municipal Investment Pool</t>
  </si>
  <si>
    <t>https://www.pooledmoneyinvestmentboard.com/</t>
  </si>
  <si>
    <r>
      <t xml:space="preserve">1.  The information needed for the Input Prior Year Sheet (inputPrYr) comes directly from last year budget.  After the information has been entered, please verify the data is correct.  If at a later date, it is determined  the information is incorrect, correct the information on this page, not the fund page . </t>
    </r>
    <r>
      <rPr>
        <b/>
        <sz val="12"/>
        <rFont val="Times New Roman"/>
        <family val="1"/>
      </rPr>
      <t/>
    </r>
  </si>
  <si>
    <t xml:space="preserve">2. The information entered into the Input Other (inputOth) worksheet is obtained from the County Clerk, County Treasurer, League of Municipalities "Budget Tips", and the budget from two years ago(the year for actual year column on current budget).  After the information has been entered, please verify the data is correct. </t>
  </si>
  <si>
    <t>2c. The recreation has a set levy limitation when it was created or increase by the governing body through a petition request by the taxpayers requiring a vote to increase the levy. The budget spreadsheet has a formula in place to determine if the mill levy has been exceeded on the Certificate and Budget Summary pages. The city will need to review past ordinances/resolutions to determine the current mill levy limitation imposed on the recreation.  Another sources for the mill levy information would be at the recreation or county clerk office.</t>
  </si>
  <si>
    <r>
      <t>4c. Recreation line has been added.  Once the mill rate has been computed, the mill rate is compared to the mill levy limitation on the inputoth tab and if the mill rate exceeds the levy limitation, the block will turn red and a statement "</t>
    </r>
    <r>
      <rPr>
        <sz val="12"/>
        <color indexed="10"/>
        <rFont val="Times New Roman"/>
        <family val="1"/>
      </rPr>
      <t>Exceed Limit</t>
    </r>
    <r>
      <rPr>
        <sz val="12"/>
        <rFont val="Times New Roman"/>
        <family val="1"/>
      </rPr>
      <t>" will appear.  To eliminate the statement and turn the block back to normal, the expenditures will need to be reduce.  County Clerk should notify the city that the expenditures have been reduced to comply with the mill levy limitation.</t>
    </r>
  </si>
  <si>
    <t>1. All pages removed the revision date</t>
  </si>
  <si>
    <t>2. All tax levy fund pages reduced the columns and revised the bottom of pages for see tabs</t>
  </si>
  <si>
    <t>4. Instruction Tab, add fund 'Recreation' in the "This spreadsheet has…"</t>
  </si>
  <si>
    <t>5. Inputpryr tab added lines 25 and 26 for 'Other Fund Not Considered' and Recreation fund</t>
  </si>
  <si>
    <t>6. Certificate tab change the 'Expenditure' heading by adding  'Budget Authority for Expenditures'</t>
  </si>
  <si>
    <t>7. Certificate tab change 'Total' to 'Totals for City' and added another line for 'Totals Includes Recreation'</t>
  </si>
  <si>
    <t>8. Certificate tab added line for 'Recreation', statute, expenditure, ad valorem, and levy</t>
  </si>
  <si>
    <t>9. Certificate tab created check to determine if levy for recreation is exceeded</t>
  </si>
  <si>
    <t xml:space="preserve">10. Certificate tab added additional lines for the governing body signatures </t>
  </si>
  <si>
    <t>11. Certificate tab add the year in the block for 'County Clerk Use Only'</t>
  </si>
  <si>
    <t>12. Certificate tab moved the 'County Clerk's Use Only' from center to right</t>
  </si>
  <si>
    <t>13. Debt tab expand the 'Date' columns and removed two lines from the 'Other Section'</t>
  </si>
  <si>
    <t>14. Gen tab added revenue line for 'Compensation Use'</t>
  </si>
  <si>
    <t>15. Gen tab added table for 'Projection of Cash Carryover'</t>
  </si>
  <si>
    <t>16. Gen tab added table for 'Desired Carryover'</t>
  </si>
  <si>
    <t>17. Gen tab redefine print que to not include tables</t>
  </si>
  <si>
    <t>18. Gen tab hid the comp for see tabs</t>
  </si>
  <si>
    <t>19. DebtService tab reduced the Debt Service fund page and added the Recreation fund</t>
  </si>
  <si>
    <t>20. DebtService tab added table for 'Projected Carryover'</t>
  </si>
  <si>
    <t>21. DebtService tab redefine print que and hid comp for see tabs</t>
  </si>
  <si>
    <t>22. Levy page9 and page10 tab hid comp for see tabs</t>
  </si>
  <si>
    <t>23. Summ tab added line after total for Recreation fund and put a check to determine if levy was exceeded</t>
  </si>
  <si>
    <t>24. Summ tab merged cells above the 'City Official Title' and center a name if used</t>
  </si>
  <si>
    <t>25. Summ tab link the City Official Title to inputBudSum tab</t>
  </si>
  <si>
    <t>26. Summ tab changed proposed year expenditure column to 'Budget Authority (Includes Carryover)</t>
  </si>
  <si>
    <t>3. Instruction tab added lines 4c (cert-rec), 11b (fund-rec), 11c (signature), 11d (last year mill rate), 11e (desired mill rate), 10a(project carryover), 10b (Desired Carryover), and 14 (protection)</t>
  </si>
  <si>
    <t>Totals Includes Recreation</t>
  </si>
  <si>
    <r>
      <t>K.S.A. 2-1318.  Transfer to noxious weed capital outlay fund.</t>
    </r>
    <r>
      <rPr>
        <sz val="11"/>
        <rFont val="Times New Roman"/>
        <family val="1"/>
      </rPr>
      <t xml:space="preserve">  </t>
    </r>
    <r>
      <rPr>
        <sz val="11"/>
        <color indexed="8"/>
        <rFont val="Times New Roman"/>
        <family val="1"/>
      </rPr>
      <t>Any moneys remaining in the noxious weed eradication fund at the end of any year for which a levy is made may be transferred to the noxious weed capital outlay fund.</t>
    </r>
  </si>
  <si>
    <r>
      <t>K.S.A. 12-16,102.  Transfer to employee benefits contribution trust fund.</t>
    </r>
    <r>
      <rPr>
        <sz val="12"/>
        <color indexed="8"/>
        <rFont val="Times New Roman"/>
        <family val="1"/>
      </rPr>
      <t xml:space="preserve">  May transfer to employee benefits trust fund from any source that may be lawfully utilized for the purposes stated in the ordinance or resolution creating such trust funds, including transfers from employee benefit funds established for other postemployment benefits.</t>
    </r>
  </si>
  <si>
    <r>
      <t xml:space="preserve">K.S.A. </t>
    </r>
    <r>
      <rPr>
        <b/>
        <sz val="12"/>
        <color indexed="8"/>
        <rFont val="Times New Roman"/>
        <family val="1"/>
      </rPr>
      <t>13-1269.</t>
    </r>
    <r>
      <rPr>
        <sz val="12"/>
        <color indexed="8"/>
        <rFont val="Times New Roman"/>
        <family val="1"/>
      </rPr>
      <t xml:space="preserve">  </t>
    </r>
    <r>
      <rPr>
        <b/>
        <sz val="12"/>
        <color indexed="8"/>
        <rFont val="Times New Roman"/>
        <family val="1"/>
      </rPr>
      <t>Transfer from certain utility funds by cities over 100,000.</t>
    </r>
    <r>
      <rPr>
        <sz val="12"/>
        <color indexed="8"/>
        <rFont val="Times New Roman"/>
        <family val="1"/>
      </rPr>
      <t xml:space="preserve">  Authorizes transfers to governmental operating funds from operating revenue of electric-light and water utilities.  Utilities must not have GO bond debt; or, if GO bond debt exists, debt service fund must be adequately capitalized.  Limitations per K.S.A. 13-1271, 13-1272 on amounts that may be transferred.</t>
    </r>
  </si>
  <si>
    <r>
      <t xml:space="preserve">K.S.A. </t>
    </r>
    <r>
      <rPr>
        <b/>
        <sz val="12"/>
        <color indexed="8"/>
        <rFont val="Times New Roman"/>
        <family val="1"/>
      </rPr>
      <t>13-1270.</t>
    </r>
    <r>
      <rPr>
        <sz val="12"/>
        <color indexed="8"/>
        <rFont val="Times New Roman"/>
        <family val="1"/>
      </rPr>
      <t xml:space="preserve">  </t>
    </r>
    <r>
      <rPr>
        <b/>
        <sz val="12"/>
        <color indexed="8"/>
        <rFont val="Times New Roman"/>
        <family val="1"/>
      </rPr>
      <t>Transfer to debt service fund from certain utility funds by cities over 100,000.</t>
    </r>
    <r>
      <rPr>
        <sz val="12"/>
        <color indexed="8"/>
        <rFont val="Times New Roman"/>
        <family val="1"/>
      </rPr>
      <t xml:space="preserve">  Cities with more than 100,000 in population may transfer operating revenue of  electric-light and water utilities to debt service funds moneys sufficient to pay outstanding general obligation bond principal and interest.</t>
    </r>
  </si>
  <si>
    <r>
      <t xml:space="preserve">K.S.A. </t>
    </r>
    <r>
      <rPr>
        <b/>
        <sz val="12"/>
        <color indexed="8"/>
        <rFont val="Times New Roman"/>
        <family val="1"/>
      </rPr>
      <t>13-14b12.  Transfer to hospital special improvement fund.</t>
    </r>
    <r>
      <rPr>
        <sz val="12"/>
        <color indexed="8"/>
        <rFont val="Times New Roman"/>
        <family val="1"/>
      </rPr>
      <t xml:space="preserve">  The board may transfer annually such amounts as it deems advisable to a special improvement fund to be used for the purpose of purchasing major items of equipment and making capital improvements to the hospital.  The amount on hand in such fund shall at no time exceed [$250,000].</t>
    </r>
  </si>
  <si>
    <r>
      <t>K.S.A. 12-16,102.</t>
    </r>
    <r>
      <rPr>
        <sz val="12"/>
        <color indexed="8"/>
        <rFont val="Times New Roman"/>
        <family val="1"/>
      </rPr>
      <t xml:space="preserve">  </t>
    </r>
    <r>
      <rPr>
        <b/>
        <sz val="12"/>
        <color indexed="8"/>
        <rFont val="Times New Roman"/>
        <family val="1"/>
      </rPr>
      <t>Employee benefits trust funds.</t>
    </r>
    <r>
      <rPr>
        <sz val="12"/>
        <color indexed="8"/>
        <rFont val="Times New Roman"/>
        <family val="1"/>
      </rPr>
      <t xml:space="preserve">  For the purpose of holding and investing the assets of other postemployment benefits funds any taxing subdivision may establish one or more trust funds.</t>
    </r>
  </si>
  <si>
    <t>27. Summ tab added four tables to the right of the form</t>
  </si>
  <si>
    <t>28. InputBudSum tab added line for City Official Title and provided an example</t>
  </si>
  <si>
    <t>29. Revised TransferStatutes and NonBudFunds tabs</t>
  </si>
  <si>
    <t>30. Added Mill Rate Computation tab</t>
  </si>
  <si>
    <t>31. Summ tab redefine print que</t>
  </si>
  <si>
    <t>32. Add Helpful Links tab</t>
  </si>
  <si>
    <t>33. Certificate page deleted state block</t>
  </si>
  <si>
    <t>The estimated value of one mill would be:</t>
  </si>
  <si>
    <t>Change in Ad Valorem Tax Revenue:</t>
  </si>
  <si>
    <t>What Mill Rate Would Be Desired?</t>
  </si>
  <si>
    <t>Official Title:</t>
  </si>
  <si>
    <t>City Clerk, City Treasurer, Mayor</t>
  </si>
  <si>
    <t>34. Added four more no tax levy fund pages</t>
  </si>
  <si>
    <t>Compensating Use Tax</t>
  </si>
  <si>
    <t>Franchise Tax</t>
  </si>
  <si>
    <t>Licenses</t>
  </si>
  <si>
    <t>Desired Carryover Amount:</t>
  </si>
  <si>
    <t>Estimated Mill Rate Impact:</t>
  </si>
  <si>
    <t>35. Inputoth tab changed Actual Delinquency tax from -2 to -3</t>
  </si>
  <si>
    <t>Third Step:</t>
  </si>
  <si>
    <t>Result:</t>
  </si>
  <si>
    <t xml:space="preserve">To compute the impact of all mills to be levied against a specific home valuation, simply key in the "value of the home" green area with the home valuation, and the total mill rate in the "total mill rate" green area (number at bottom of 'Estimate Tax Rate' column on the budget summary page).  Remember, a computation using the above described information does not take into account taxes that may be levied by other municipalities.  </t>
  </si>
  <si>
    <t>How to Achieve the Same Mill Rate as the Year Before</t>
  </si>
  <si>
    <t>Example #5 and Formula</t>
  </si>
  <si>
    <t>Maybe your governing body wants the budget to have the same mill rate as the year before.  This is not an unusual goal of municipality governing bodies.  To do so simply key in the desired mill rate in the first green box, the preliminary total assessed valuation in the second green box, and hit "enter."  The result will be the amount in dollars that you must levy (total of all tax levy funds) in your proposed budget.</t>
  </si>
  <si>
    <t>(desired mill rate)</t>
  </si>
  <si>
    <t>(total assd. valuation)</t>
  </si>
  <si>
    <t>(total taxes levied)</t>
  </si>
  <si>
    <t>Does miscellaneous exceed 10% Total Rec</t>
  </si>
  <si>
    <t>Does miscellaneous exceed 10% Total Exp</t>
  </si>
  <si>
    <t>Does miscellanous exceed 10% Total Exp</t>
  </si>
  <si>
    <t>1. Mvalloc tab change c19, d19, and e19 formula from InputPrYrE30 to E32</t>
  </si>
  <si>
    <t>1. Summ tab changed proposed year expenditure column to 'Budget Authority for Expenditures'</t>
  </si>
  <si>
    <t>City2 with Recreation Spreadsheet Instructions</t>
  </si>
  <si>
    <t>Library</t>
  </si>
  <si>
    <t>12-1220</t>
  </si>
  <si>
    <t>January</t>
  </si>
  <si>
    <t>February</t>
  </si>
  <si>
    <t>Official Name:</t>
  </si>
  <si>
    <t>March</t>
  </si>
  <si>
    <t>April</t>
  </si>
  <si>
    <t>May</t>
  </si>
  <si>
    <t>Must be at least 10 days between date published and hearing held.</t>
  </si>
  <si>
    <t>June</t>
  </si>
  <si>
    <t>July</t>
  </si>
  <si>
    <t>August</t>
  </si>
  <si>
    <t>September</t>
  </si>
  <si>
    <t>October</t>
  </si>
  <si>
    <t>November</t>
  </si>
  <si>
    <t>December</t>
  </si>
  <si>
    <t xml:space="preserve">Prior Year </t>
  </si>
  <si>
    <t xml:space="preserve">Current Year </t>
  </si>
  <si>
    <t xml:space="preserve">Proposed Budget </t>
  </si>
  <si>
    <t>Expenditures Must Be Changed by:</t>
  </si>
  <si>
    <t>Mill Rate Comparison</t>
  </si>
  <si>
    <t>WORKSHEET FOR STATE GRANT-IN-AID TO PUBLIC LIBRARIES AND</t>
  </si>
  <si>
    <t>REGIONAL LIBRARY SYSTEMS</t>
  </si>
  <si>
    <t>Two tests are used to determine eligibility for State Library Grant.  If the grant is approved, then the municipality's library will be paid the grant on February 15 of  each year.</t>
  </si>
  <si>
    <t>First test:</t>
  </si>
  <si>
    <t>Current Year</t>
  </si>
  <si>
    <t>Proposed Year</t>
  </si>
  <si>
    <t>TOTAL TAXES</t>
  </si>
  <si>
    <t>Difference in Total Taxes:</t>
  </si>
  <si>
    <t>Qualify for grant:</t>
  </si>
  <si>
    <t>Second test:</t>
  </si>
  <si>
    <t>Assessed Valuation</t>
  </si>
  <si>
    <t>Did Assessed Valuation Decrease?</t>
  </si>
  <si>
    <t>Levy Rate</t>
  </si>
  <si>
    <t>Difference in Levy Rate:</t>
  </si>
  <si>
    <t>Overall does the municipality qualify for a grant?</t>
  </si>
  <si>
    <t>If the municipality would not have qualified for a grant, please see the below narrative for assistance from the State Library.</t>
  </si>
  <si>
    <t>Proposed Budget Year – Possible Loss of Library State Aid</t>
  </si>
  <si>
    <t xml:space="preserve">Welcome. You have been directed to this section because the amount of revenue from qualifying </t>
  </si>
  <si>
    <t xml:space="preserve">In municipalities supporting a library the municipality must budget as much or more for the </t>
  </si>
  <si>
    <t xml:space="preserve">budget year as received in the current year for its library to be eligible for a state grant-in-aid </t>
  </si>
  <si>
    <t>through the State Library of Kansas.</t>
  </si>
  <si>
    <t>Is this a violation?</t>
  </si>
  <si>
    <t>No. However, it may cost the library valuable supplemental state—and in some cases, regional—</t>
  </si>
  <si>
    <t>revenue.</t>
  </si>
  <si>
    <t>Why did this happen?</t>
  </si>
  <si>
    <r>
      <t xml:space="preserve">To answer this question, review K.S.A. 75-2556 </t>
    </r>
    <r>
      <rPr>
        <i/>
        <sz val="12"/>
        <rFont val="Times New Roman"/>
        <family val="1"/>
      </rPr>
      <t>et seq.</t>
    </r>
    <r>
      <rPr>
        <sz val="12"/>
        <rFont val="Times New Roman"/>
        <family val="1"/>
      </rPr>
      <t xml:space="preserve"> to see how it applies to your library fund. </t>
    </r>
  </si>
  <si>
    <t xml:space="preserve">No public library is eligible for a grant-in-aid if the total amount of current year ad valorem </t>
  </si>
  <si>
    <t xml:space="preserve">property tax, delinquent tax, and MV, recreational vehicle, and 16/20M tax is less than the total </t>
  </si>
  <si>
    <t>amount produced from such sources for the previous year.</t>
  </si>
  <si>
    <t xml:space="preserve">The statute only includes the library fund. If a separate library employee fund exists, it is not </t>
  </si>
  <si>
    <t>included in the calculation.</t>
  </si>
  <si>
    <t xml:space="preserve">Note also that although you are eligible to expend carryover from the previous year, the statute </t>
  </si>
  <si>
    <t>does not include carryover and it is not considered for determination of eligibility.</t>
  </si>
  <si>
    <t>Who determines eligibility?</t>
  </si>
  <si>
    <r>
      <t xml:space="preserve">K.S.A. 75-2556 </t>
    </r>
    <r>
      <rPr>
        <i/>
        <sz val="12"/>
        <rFont val="Times New Roman"/>
        <family val="1"/>
      </rPr>
      <t>et seq.</t>
    </r>
    <r>
      <rPr>
        <sz val="12"/>
        <rFont val="Times New Roman"/>
        <family val="1"/>
      </rPr>
      <t xml:space="preserve"> makes the State Library of Kansas responsible for determining eligibility </t>
    </r>
  </si>
  <si>
    <t>and distribution of library grants-in-aid.</t>
  </si>
  <si>
    <t>Can this issue be corrected at this time?</t>
  </si>
  <si>
    <t>Clerk the library fund can be fixed before the submission of the budget to the County Clerk.</t>
  </si>
  <si>
    <t xml:space="preserve">First, review the budget summary page to ensure that the ad valorem tax mill rate for Proposed </t>
  </si>
  <si>
    <t xml:space="preserve">If the mill rate is lower, check to see if the lesser amount is due to a decline in the assessed valuation. </t>
  </si>
  <si>
    <t xml:space="preserve">K.S.A. 75-2556(c) says that if the assessed valuation decreases the library will remain eligible as </t>
  </si>
  <si>
    <t xml:space="preserve">long as the ad valorem tax mill rate has not been reduced below the mill rate imposed for such </t>
  </si>
  <si>
    <t xml:space="preserve">blank. If an amount is budgeted for the Proposed Budget Year it may improve the total to help </t>
  </si>
  <si>
    <t xml:space="preserve">the library’s eligibility as well as provide the library with authority under the cash basis law to </t>
  </si>
  <si>
    <t>spend any delinquent taxes it receives.</t>
  </si>
  <si>
    <t>Further options</t>
  </si>
  <si>
    <t xml:space="preserve">The State Library can continue eligibility if after evaluation of all circumstances it is determined </t>
  </si>
  <si>
    <t>that the maintenance of local tax support for the operations of the library is being met.</t>
  </si>
  <si>
    <t xml:space="preserve">These circumstances might include authorized transfer from the other funds, additional tax funds spent </t>
  </si>
  <si>
    <t xml:space="preserve">for support of the library that do not appear in the library fund, or special circumstances in this </t>
  </si>
  <si>
    <t xml:space="preserve">budget year. The State Library requires a letter of certification from the municipality to continue </t>
  </si>
  <si>
    <t>eligibility. For more information contact the State Library of Kansas at 785.296.3296, or e-mail:</t>
  </si>
  <si>
    <r>
      <t xml:space="preserve">Computation of Example:  </t>
    </r>
    <r>
      <rPr>
        <sz val="11"/>
        <rFont val="Cambria"/>
        <family val="1"/>
      </rPr>
      <t>$312,000,000 (assessed valuation) / 1000 = $312,000 (value of one mill)</t>
    </r>
  </si>
  <si>
    <t>In this example, one mill for the municipality will generate $312,000 in taxes.</t>
  </si>
  <si>
    <t>$312,000,000 / 1000 = $312,000 (example #1)</t>
  </si>
  <si>
    <t>$50,000 / $312,000 = .160 mills (example #2)</t>
  </si>
  <si>
    <t>$11,500 (assessed value) x .160 (mill rate) / 1000 = $1.84</t>
  </si>
  <si>
    <t>The increase in property tax for a $100,000 home will be $1.84</t>
  </si>
  <si>
    <r>
      <t>K.S.A. 14-568.  Sewer Fund Surplus Transfers to Sinking Fund and General Fund.</t>
    </r>
    <r>
      <rPr>
        <sz val="12"/>
        <rFont val="Times New Roman"/>
        <family val="1"/>
      </rPr>
      <t xml:space="preserve">  Surplus revenue in the sewer fund it shall be semi-annually transferred to a sinking fund and, when such surplus fund is not needed for operations or bonded indebtedness, it may be transferred to the general fund.</t>
    </r>
  </si>
  <si>
    <t xml:space="preserve"> Debt</t>
  </si>
  <si>
    <t>Type of</t>
  </si>
  <si>
    <t xml:space="preserve"> Purchased</t>
  </si>
  <si>
    <t>Items</t>
  </si>
  <si>
    <t>Email:</t>
  </si>
  <si>
    <t>________________________  __________________________</t>
  </si>
  <si>
    <t>Allocation of MVT, RVT, 16/20M Vehicle Tax</t>
  </si>
  <si>
    <t xml:space="preserve">Allocation of Motor, Recreational, 16/20M Vehicle Tax </t>
  </si>
  <si>
    <t xml:space="preserve">Budget Tax Levy </t>
  </si>
  <si>
    <t>Delinquency % used in this budget will be shown on all fund pages with a tax levy**</t>
  </si>
  <si>
    <r>
      <rPr>
        <sz val="12"/>
        <color indexed="10"/>
        <rFont val="Times New Roman"/>
        <family val="1"/>
      </rPr>
      <t>Note:</t>
    </r>
    <r>
      <rPr>
        <sz val="12"/>
        <rFont val="Times New Roman"/>
        <family val="1"/>
      </rPr>
      <t xml:space="preserve"> The </t>
    </r>
    <r>
      <rPr>
        <u/>
        <sz val="12"/>
        <rFont val="Times New Roman"/>
        <family val="1"/>
      </rPr>
      <t>below amounts</t>
    </r>
    <r>
      <rPr>
        <sz val="12"/>
        <rFont val="Times New Roman"/>
        <family val="1"/>
      </rPr>
      <t xml:space="preserve"> are used to reflect actual taxes received due to delinquent taxes.  Put a percentage in the green box to compute the amount and link to the fund pages. This </t>
    </r>
    <r>
      <rPr>
        <sz val="12"/>
        <color indexed="10"/>
        <rFont val="Times New Roman"/>
        <family val="1"/>
      </rPr>
      <t>is not mandatory</t>
    </r>
    <r>
      <rPr>
        <sz val="12"/>
        <rFont val="Times New Roman"/>
        <family val="1"/>
      </rPr>
      <t xml:space="preserve"> and can be left blank.            </t>
    </r>
  </si>
  <si>
    <t xml:space="preserve">Amounts used in lieu of </t>
  </si>
  <si>
    <t>Prior Year</t>
  </si>
  <si>
    <t>Proposed Budget</t>
  </si>
  <si>
    <t>1. Instructions tab, added #1c for adjusting ad valorem taxes</t>
  </si>
  <si>
    <t>2. Instructions tab, changed #3 for adding name of official for Budget Summary page</t>
  </si>
  <si>
    <t>3. Instructions tab, added #3b for new max published date on 'inputBudSum' tab</t>
  </si>
  <si>
    <t>4. Instructions tab, changed #6 to remove slider column and computations</t>
  </si>
  <si>
    <t>5. Instructions tab, added #10 for explain about 'Library Grant' tab and Library fund page</t>
  </si>
  <si>
    <t>6. Instructions tab, changed #11 now Debt Service and Library funds are on the same tab (hard coded Cert &amp; Summary</t>
  </si>
  <si>
    <t>7. Instructions tab, added #11a for numbering of the General and General Detail pages</t>
  </si>
  <si>
    <t>8. Instructions tab, changed #11b to reflect all tax levy pages with 'Projected Carryover' table</t>
  </si>
  <si>
    <t>9. Instructions tab, changed #11c to reflect all tax levy pages with 'Desired Carryover' and warning about delinquency rate</t>
  </si>
  <si>
    <t>10. Instructions tab, added #11d for last year mill rate, proposed total mill rate, and last year total mill rate</t>
  </si>
  <si>
    <t>11. Instructions tab, changed #11e to remove page number 7 as the General page number might change if Library is used</t>
  </si>
  <si>
    <t>12. Instructions tab, changed #12b added name of official</t>
  </si>
  <si>
    <t>13. Instructions tab, added #12c for computation of one mill</t>
  </si>
  <si>
    <t>14. Instructions tab, changed #12d added the name of the tables and warning about delinquency rate if used</t>
  </si>
  <si>
    <t>15. Instructions tab, changed #12e added the name of the table and warning about delinquency rate if used</t>
  </si>
  <si>
    <t>16. Instructions tab, changed #12f added that not signing the Budget Summary page will not require to be reprinted</t>
  </si>
  <si>
    <t xml:space="preserve">17. InputPrYr tab, added column for adjusting ad valorem taxes to reflect a better picture of actual taxes received, allow a rate to be used to compute the new amount, and links the new amounts to the appropriate fund page, if used, otherwise used the original amounts </t>
  </si>
  <si>
    <t>18. InputPrYr tab, hard coded Library in the tax levy funds section along with General and Debt Service</t>
  </si>
  <si>
    <t>19. InputOth tab, section for Computation of Delinquency, change to % from rate and provided example, link to all tax levy fund page will show as %  vs rate</t>
  </si>
  <si>
    <t>20. InputBudSum tab, added official name and latest date for publication of Notice of Budget Hearing</t>
  </si>
  <si>
    <t xml:space="preserve">21. Cert tab, under Table of Content, added Computation to Determine State Library Grant </t>
  </si>
  <si>
    <t>22. Cert tab, right justifyed figures versus having figures centered</t>
  </si>
  <si>
    <t>23. Cert tab, put spaces between governing body signatures block</t>
  </si>
  <si>
    <t>24. Mvalloc tab, removed slider column and computation for slider</t>
  </si>
  <si>
    <t>25. All tax levy fund pages removed the link from Mvalloc tab for slider and converted cells to blank</t>
  </si>
  <si>
    <t xml:space="preserve">26. Debt and Lpform tab added a blank new column at left side and formated 'type of debt' and 'item purchased'  </t>
  </si>
  <si>
    <t>27. All fund pages changed the year column heading, example 'Prior Year Actual' to 'Prior Year' second line 'Actual YYYY'</t>
  </si>
  <si>
    <t xml:space="preserve">28. Change out the 'Mill Rate Computation' tab so to agree with the website </t>
  </si>
  <si>
    <t>29. Added KSA 14-568 to transfer tab</t>
  </si>
  <si>
    <t>30. All tax levy fund pages added 'Mill Rate Comparison' table</t>
  </si>
  <si>
    <t>31. Created new Library Grant tab for determining if the library would be approved for a grant</t>
  </si>
  <si>
    <t>32. Change Debt Svs tab to DebtSvs-Library</t>
  </si>
  <si>
    <t>33. DebtSvs-Library tab, for Library fund page added message for qualify for grant or see Library Grant tab</t>
  </si>
  <si>
    <t>34. Certificate tab added a place for the email address of the assisted by</t>
  </si>
  <si>
    <t>35. Cert tab, link general page number to the general tab page number</t>
  </si>
  <si>
    <t>36. General tab, link receipt page number to expenditure page number</t>
  </si>
  <si>
    <t>37. GenDetail tab, link general receipt page number to detail page numbers</t>
  </si>
  <si>
    <t xml:space="preserve">3. The 'inputBudSum' tab is used to place information on the Budget Summary. On this tab you will need to key in the following information: Name of Person presenting the budget, Title of Person, date the budget hearing will be held, time of the hearing, location of the budget hearing, and a place whereas the taxpayers can obtain a copy of the budget.  </t>
  </si>
  <si>
    <t>3b. Once a date has been entered in the Date block, the following statement will appear: 'Latest date for notice to be published in your newspaper'.  Please ensure to take into consideration as to when your newspaper is published when arriving at the hearing date.</t>
  </si>
  <si>
    <t xml:space="preserve">6.  Motor Vehicle Allocation (Mvalloc) information comes from the input pages (inputPrYr and inputOth).  Once calculated, the motor allocation information are linked to the applicable fund pages. If information concerning the table are not correct, please do not change the table, but rather correct the information on the input worksheets.  </t>
  </si>
  <si>
    <r>
      <t>10. Library Grant tab is linked with the Library fund page.  This table information comes directly off the Library fund page and Budget Summary page which is used to determine if the municipality qualifies for a State grant. If qualify, then the Library fund page will indicate '</t>
    </r>
    <r>
      <rPr>
        <sz val="12"/>
        <color indexed="10"/>
        <rFont val="Times New Roman"/>
        <family val="1"/>
      </rPr>
      <t>Qualifies for State Library Grant</t>
    </r>
    <r>
      <rPr>
        <sz val="12"/>
        <rFont val="Times New Roman"/>
        <family val="1"/>
      </rPr>
      <t>' and if not, then indicates to '</t>
    </r>
    <r>
      <rPr>
        <sz val="12"/>
        <color indexed="10"/>
        <rFont val="Times New Roman"/>
        <family val="1"/>
      </rPr>
      <t>See 'Library Grant' tab</t>
    </r>
    <r>
      <rPr>
        <sz val="12"/>
        <rFont val="Times New Roman"/>
        <family val="1"/>
      </rPr>
      <t xml:space="preserve"> for further assistance.  If the Library fund page is used, then the Certificate page will reflect in the Table of Contents the requirement of 'Computation to Determine State Library Grant' which </t>
    </r>
    <r>
      <rPr>
        <b/>
        <u/>
        <sz val="12"/>
        <rFont val="Times New Roman"/>
        <family val="1"/>
      </rPr>
      <t>is required</t>
    </r>
    <r>
      <rPr>
        <sz val="12"/>
        <rFont val="Times New Roman"/>
        <family val="1"/>
      </rPr>
      <t xml:space="preserve"> to be attached to the budget. For those printing paper copies of the budget, only the table will be printed off.  Please note:  For those you do not have a Library fund page, </t>
    </r>
    <r>
      <rPr>
        <sz val="12"/>
        <color indexed="10"/>
        <rFont val="Times New Roman"/>
        <family val="1"/>
      </rPr>
      <t>no action is required</t>
    </r>
    <r>
      <rPr>
        <sz val="12"/>
        <rFont val="Times New Roman"/>
        <family val="1"/>
      </rPr>
      <t xml:space="preserve"> and the table does not become part of the budget.</t>
    </r>
  </si>
  <si>
    <t>11.  The spreadsheet has individual fund sheets for General Fund (general), Debt Service (DebtService), Library and Recreation (Library-Rec), four levy pages (levy page8 and levy page9), Special Highway Fund (Sp Hiway), 7 no levy fund pages (nolevypage15 to nolevypage17 with one fund below on Special Highway), 4 single no levy fund page (SinNoLevy18 to SinNoLevy21), and 4 non-budgeted pages (NonBudA to D).  Only complete the fund pages needed.  When the fund pages are completed, the totals will be linked to the Certificate and Budget Summary pages.</t>
  </si>
  <si>
    <t>11a. General Fund page and General Fund Detail page number are linked.   If the municipality has a Library Fund, the Library Grant page becomes number 7 and the General Fund page would be numbered 8, otherwise the General would be 7.</t>
  </si>
  <si>
    <r>
      <t>11b. On all tax levy fund pages, we have placed '</t>
    </r>
    <r>
      <rPr>
        <i/>
        <sz val="12"/>
        <rFont val="Times New Roman"/>
        <family val="1"/>
      </rPr>
      <t>Projected Carryover</t>
    </r>
    <r>
      <rPr>
        <sz val="12"/>
        <rFont val="Times New Roman"/>
        <family val="1"/>
      </rPr>
      <t>' for the proposed budgeted year.   The carryover table provides a little insight as what the projected cash might be using figures from the budget being submitted.  Please keep in mind that the figures used are only estimates and if the actual receipts or expenditures vary, then the project cash carryover will be affected.  Be advised that the delinquent taxes are not included in the projected carryover as they have a major impact on the  'Desired Carryover' table.</t>
    </r>
  </si>
  <si>
    <r>
      <t>11c. On all tax levy fund page, we have placed '</t>
    </r>
    <r>
      <rPr>
        <i/>
        <sz val="12"/>
        <rFont val="Times New Roman"/>
        <family val="1"/>
      </rPr>
      <t>Desired Carryover</t>
    </r>
    <r>
      <rPr>
        <sz val="12"/>
        <rFont val="Times New Roman"/>
        <family val="1"/>
      </rPr>
      <t xml:space="preserve">' which you can place a desired carryover amount and the table will show the mill rate impact along with the expenditure adjustments required to reach the desired carryover.  </t>
    </r>
    <r>
      <rPr>
        <b/>
        <sz val="12"/>
        <color indexed="10"/>
        <rFont val="Times New Roman"/>
        <family val="1"/>
      </rPr>
      <t>Note:</t>
    </r>
    <r>
      <rPr>
        <sz val="12"/>
        <rFont val="Times New Roman"/>
        <family val="1"/>
      </rPr>
      <t xml:space="preserve"> if a </t>
    </r>
    <r>
      <rPr>
        <u/>
        <sz val="12"/>
        <color indexed="10"/>
        <rFont val="Times New Roman"/>
        <family val="1"/>
      </rPr>
      <t>delinquency rate is used</t>
    </r>
    <r>
      <rPr>
        <sz val="12"/>
        <rFont val="Times New Roman"/>
        <family val="1"/>
      </rPr>
      <t>, the table might have you do several adjustments to get the desired result or close to the desire amount.</t>
    </r>
  </si>
  <si>
    <r>
      <t>11d. On all tax levy fund pages, we have placed '</t>
    </r>
    <r>
      <rPr>
        <i/>
        <sz val="12"/>
        <rFont val="Times New Roman"/>
        <family val="1"/>
      </rPr>
      <t>Mill Rate Comparison</t>
    </r>
    <r>
      <rPr>
        <sz val="12"/>
        <rFont val="Times New Roman"/>
        <family val="1"/>
      </rPr>
      <t>' table so you can compare the propose fund mill rate to the current fund mill rate and compare the total proposed mill rate to the total current mill rate. These figures are provided to assist with the determining appropriate mill rate for the proposed budgeted year.</t>
    </r>
  </si>
  <si>
    <t>11e. General Detail page a and b (gendetail) is used to show detail expenditures for the General Fund Departments.  If used, each department name and expenditures are linked to the General Fund page. The 'Page Totals' on the detail page should agree to the 'Sub-totals' as found on the General Fund page 7. NO department transfers should be shown on the detail page. Transfers for the departments with like transfers should be added together and then shown on the General Fund page as single line items. For example: if several departments have a transfer for equipment reserve, the total of all equipment reserve transfers should be shown on the General Fund page as 'Transfer to Equipment Reserve' for each budgeted year.</t>
  </si>
  <si>
    <r>
      <t xml:space="preserve">11f. Each tax levy fund will have an expenditure for the neighborhood revitalization.  You will only need to input the rebate amounts for the </t>
    </r>
    <r>
      <rPr>
        <b/>
        <u/>
        <sz val="12"/>
        <rFont val="Times New Roman"/>
        <family val="1"/>
      </rPr>
      <t>actual and current year</t>
    </r>
    <r>
      <rPr>
        <sz val="12"/>
        <rFont val="Times New Roman"/>
        <family val="1"/>
      </rPr>
      <t xml:space="preserve">.  The proposed budget year amount will be computed for you. Please see </t>
    </r>
    <r>
      <rPr>
        <b/>
        <sz val="12"/>
        <rFont val="Times New Roman"/>
        <family val="1"/>
      </rPr>
      <t>step 13</t>
    </r>
    <r>
      <rPr>
        <sz val="12"/>
        <rFont val="Times New Roman"/>
        <family val="1"/>
      </rPr>
      <t xml:space="preserve"> for instructions for the neighborhood revitalization rebate for the proposed budget year. </t>
    </r>
  </si>
  <si>
    <r>
      <t xml:space="preserve">11g. Each fund page has a 'Miscellaneous' receipt and expenditure line item.  Once an amount has been entered into the block for actual/current/proposed columns, the amount will be compared with either total expenditures or total receipts to determine if it exceeds the 10% Rule for K.S.A. 79-2927.  If the amount </t>
    </r>
    <r>
      <rPr>
        <b/>
        <u/>
        <sz val="12"/>
        <rFont val="Times New Roman"/>
        <family val="1"/>
      </rPr>
      <t>exceeds</t>
    </r>
    <r>
      <rPr>
        <sz val="12"/>
        <rFont val="Times New Roman"/>
        <family val="1"/>
      </rPr>
      <t xml:space="preserve"> the 10% Rule, the block will turn red, the amount bolded, and a red statement will appear '</t>
    </r>
    <r>
      <rPr>
        <sz val="12"/>
        <color indexed="10"/>
        <rFont val="Times New Roman"/>
        <family val="1"/>
      </rPr>
      <t>Exceed 10% Rule</t>
    </r>
    <r>
      <rPr>
        <sz val="12"/>
        <rFont val="Times New Roman"/>
        <family val="1"/>
      </rPr>
      <t xml:space="preserve">'.  In order to remove the statement and return the block to normal, you must reduce the amount to either 10% or less. </t>
    </r>
    <r>
      <rPr>
        <b/>
        <u/>
        <sz val="12"/>
        <rFont val="Times New Roman"/>
        <family val="1"/>
      </rPr>
      <t>Note</t>
    </r>
    <r>
      <rPr>
        <sz val="12"/>
        <rFont val="Times New Roman"/>
        <family val="1"/>
      </rPr>
      <t>: the proposed column miscellaneous receipt also takes into consideration the amount of ad valorem taxes in determining the 10% Rule.</t>
    </r>
  </si>
  <si>
    <r>
      <t xml:space="preserve">11h. The Debt Service fund page (DebtSvs-Library) can contain all debts owe by the city and the amounts should agree with the Statement of Indebtedness amounts.  Debts that are pledged from a revenue stream should have enough funds transferred into the Debt Service fund to cover the bond principle and interest for these debts. </t>
    </r>
    <r>
      <rPr>
        <b/>
        <sz val="12"/>
        <rFont val="Times New Roman"/>
        <family val="1"/>
      </rPr>
      <t>Note</t>
    </r>
    <r>
      <rPr>
        <sz val="12"/>
        <rFont val="Times New Roman"/>
        <family val="1"/>
      </rPr>
      <t xml:space="preserve">, the debts pledged from revenue streams are not required to be included in the Debt Service fund page, but can be paid from the fund the revenue stream is located in. Additionally, if the city has No Fund warrants, these can be included in the Debt Service fund page and levy taxes for this debt. </t>
    </r>
    <r>
      <rPr>
        <b/>
        <sz val="12"/>
        <rFont val="Times New Roman"/>
        <family val="1"/>
      </rPr>
      <t>Note</t>
    </r>
    <r>
      <rPr>
        <sz val="12"/>
        <rFont val="Times New Roman"/>
        <family val="1"/>
      </rPr>
      <t xml:space="preserve">, No Fund warrants </t>
    </r>
    <r>
      <rPr>
        <b/>
        <u/>
        <sz val="12"/>
        <rFont val="Times New Roman"/>
        <family val="1"/>
      </rPr>
      <t>are not required</t>
    </r>
    <r>
      <rPr>
        <sz val="12"/>
        <rFont val="Times New Roman"/>
        <family val="1"/>
      </rPr>
      <t xml:space="preserve"> to be included in the Debt Service and may still have a No Fund page to account for them if the city desires.</t>
    </r>
  </si>
  <si>
    <t xml:space="preserve">11i. The 4 single no levy pages (SinNoLevy18 to SinNoLevy21) are for a fund that has numerous lines for receipts or expenditures that does not fit on one of the other no levy pages.  Additional lines may be added as needed. </t>
  </si>
  <si>
    <r>
      <t>11j. The non-budgeted pages (nonbud) holds 5 non-budgeted funds.  The non-budgeted funds are only required to show the actual year receipts and expenditures. The expenditures total will only be linked to the Budget Summary page and Certificate page will list the fund name (non-budgeted funds). Normally, the unencumbered cash balance should end with a positive cash balance, but if it ends with a negative, then the spreadsheet will indicate the negative balance by having '</t>
    </r>
    <r>
      <rPr>
        <sz val="12"/>
        <color indexed="10"/>
        <rFont val="Times New Roman"/>
        <family val="1"/>
      </rPr>
      <t>See Tab B</t>
    </r>
    <r>
      <rPr>
        <sz val="12"/>
        <rFont val="Times New Roman"/>
        <family val="1"/>
      </rPr>
      <t xml:space="preserve">' under the unencumbered cash balance. </t>
    </r>
  </si>
  <si>
    <t>11k. The non-budgeted pages in the last column, the last two boxes should have the same figures as the last box take totals from the right side with the next to last box takes totals from the bottom.</t>
  </si>
  <si>
    <r>
      <t xml:space="preserve">11l. All levy fund pages have a Non-Appropriated Balance block. K.S.A. 79-2927 allows the city to enter an amount </t>
    </r>
    <r>
      <rPr>
        <b/>
        <u/>
        <sz val="12"/>
        <rFont val="Times New Roman"/>
        <family val="1"/>
      </rPr>
      <t>not to exceed 5%</t>
    </r>
    <r>
      <rPr>
        <sz val="12"/>
        <rFont val="Times New Roman"/>
        <family val="1"/>
      </rPr>
      <t xml:space="preserve"> of the total expenditures for each fund. The Non-Appropriated Balance block is not mandatory to have an amount entered. If the amount entered in the block exceeds the 5%, a warning "</t>
    </r>
    <r>
      <rPr>
        <sz val="12"/>
        <color indexed="10"/>
        <rFont val="Times New Roman"/>
        <family val="1"/>
      </rPr>
      <t>Exceeds 5%</t>
    </r>
    <r>
      <rPr>
        <sz val="12"/>
        <rFont val="Times New Roman"/>
        <family val="1"/>
      </rPr>
      <t>" will appear and the block will turn red.  In order to remove this warning message, you must reduce the non-appropriate figure.</t>
    </r>
  </si>
  <si>
    <r>
      <t>11m. Each fund after the "unencumbered cash bal dec31", will show the budget authority expenditure amount.  A comparison is made between the budget authority for the actual year and the actual total expenditures for the actual year as shown in the budget. If the total expenditures exceed the budget authority amount, then a "</t>
    </r>
    <r>
      <rPr>
        <b/>
        <sz val="12"/>
        <color indexed="10"/>
        <rFont val="Times New Roman"/>
        <family val="1"/>
      </rPr>
      <t>See Tab A</t>
    </r>
    <r>
      <rPr>
        <sz val="12"/>
        <rFont val="Times New Roman"/>
        <family val="1"/>
      </rPr>
      <t>" appears to indicate a possible violation.  Another comparison is made for the unencumbered cash balance dec 31 to determine if the fund ended with a negative cash balance and if so, then a "</t>
    </r>
    <r>
      <rPr>
        <b/>
        <sz val="12"/>
        <color indexed="10"/>
        <rFont val="Times New Roman"/>
        <family val="1"/>
      </rPr>
      <t>See Tab B</t>
    </r>
    <r>
      <rPr>
        <sz val="12"/>
        <rFont val="Times New Roman"/>
        <family val="1"/>
      </rPr>
      <t xml:space="preserve">" will appear for the possible violation.  </t>
    </r>
  </si>
  <si>
    <r>
      <t>11n. A comparison is made between the budget authority for the current year and total expenditures for the current budget expenditures as shown in the budget. If the current year adjusted expenditures are more than the budget authority, then a possible violation has occurred and red '</t>
    </r>
    <r>
      <rPr>
        <b/>
        <sz val="12"/>
        <color indexed="10"/>
        <rFont val="Times New Roman"/>
        <family val="1"/>
      </rPr>
      <t>See Tab C</t>
    </r>
    <r>
      <rPr>
        <sz val="12"/>
        <rFont val="Times New Roman"/>
        <family val="1"/>
      </rPr>
      <t>' will appear and expenditure block turns red. Another comparison is made for the unencumbered cash balance dec 31 to determine if the fund ended with a negative cash balance and if so, then a "</t>
    </r>
    <r>
      <rPr>
        <b/>
        <sz val="12"/>
        <color indexed="10"/>
        <rFont val="Times New Roman"/>
        <family val="1"/>
      </rPr>
      <t>See Tab D</t>
    </r>
    <r>
      <rPr>
        <sz val="12"/>
        <rFont val="Times New Roman"/>
        <family val="1"/>
      </rPr>
      <t xml:space="preserve">" will appear for the possible violation.  </t>
    </r>
  </si>
  <si>
    <r>
      <t>11o. All no-tax levy fund pages for the proposed budget year will have an edit on the unencumbered cash balance. If the cash balance is negative, then the block turns red and statement '</t>
    </r>
    <r>
      <rPr>
        <b/>
        <sz val="12"/>
        <color indexed="10"/>
        <rFont val="Times New Roman"/>
        <family val="1"/>
      </rPr>
      <t>See Tab E</t>
    </r>
    <r>
      <rPr>
        <sz val="12"/>
        <rFont val="Times New Roman"/>
        <family val="1"/>
      </rPr>
      <t xml:space="preserve">' will appear. </t>
    </r>
  </si>
  <si>
    <r>
      <t>12b. The table '</t>
    </r>
    <r>
      <rPr>
        <i/>
        <sz val="12"/>
        <rFont val="Times New Roman"/>
        <family val="1"/>
      </rPr>
      <t>Estimated Value Of One Mill</t>
    </r>
    <r>
      <rPr>
        <sz val="12"/>
        <rFont val="Times New Roman"/>
        <family val="1"/>
      </rPr>
      <t xml:space="preserve">' to show what 1 mill rate would generate in dollars for the municipality.  </t>
    </r>
  </si>
  <si>
    <r>
      <t>12c. Tables '</t>
    </r>
    <r>
      <rPr>
        <i/>
        <sz val="12"/>
        <rFont val="Times New Roman"/>
        <family val="1"/>
      </rPr>
      <t>What The Mill Rate The Same As</t>
    </r>
    <r>
      <rPr>
        <sz val="12"/>
        <rFont val="Times New Roman"/>
        <family val="1"/>
      </rPr>
      <t>' and '</t>
    </r>
    <r>
      <rPr>
        <i/>
        <sz val="12"/>
        <rFont val="Times New Roman"/>
        <family val="1"/>
      </rPr>
      <t>Impact On Keeping The Same Mill Rate</t>
    </r>
    <r>
      <rPr>
        <sz val="12"/>
        <rFont val="Times New Roman"/>
        <family val="1"/>
      </rPr>
      <t xml:space="preserve">', that shows the impact if the previous mill rate is used for the proposed budgeted year.  To achieve this mill rate, the tax levy fund expenditures will need to be changed by the amount shown.  Depending upon the number of tax levy funds involved, the change can be made to one fund, combination of funds, or all of the tax levy fund expenditures.  </t>
    </r>
    <r>
      <rPr>
        <sz val="12"/>
        <color indexed="10"/>
        <rFont val="Times New Roman"/>
        <family val="1"/>
      </rPr>
      <t>Note</t>
    </r>
    <r>
      <rPr>
        <sz val="12"/>
        <rFont val="Times New Roman"/>
        <family val="1"/>
      </rPr>
      <t xml:space="preserve">: If a </t>
    </r>
    <r>
      <rPr>
        <u/>
        <sz val="12"/>
        <rFont val="Times New Roman"/>
        <family val="1"/>
      </rPr>
      <t>delinquency rate is used</t>
    </r>
    <r>
      <rPr>
        <sz val="12"/>
        <rFont val="Times New Roman"/>
        <family val="1"/>
      </rPr>
      <t xml:space="preserve"> on the tax levy fund pages, the table might have you do several adjustments to get the desired result or close to the desire amount. </t>
    </r>
    <r>
      <rPr>
        <sz val="12"/>
        <color indexed="10"/>
        <rFont val="Times New Roman"/>
        <family val="1"/>
      </rPr>
      <t>Also please</t>
    </r>
    <r>
      <rPr>
        <sz val="12"/>
        <rFont val="Times New Roman"/>
        <family val="1"/>
      </rPr>
      <t xml:space="preserve"> </t>
    </r>
    <r>
      <rPr>
        <sz val="12"/>
        <color indexed="10"/>
        <rFont val="Times New Roman"/>
        <family val="1"/>
      </rPr>
      <t>note</t>
    </r>
    <r>
      <rPr>
        <sz val="12"/>
        <rFont val="Times New Roman"/>
        <family val="1"/>
      </rPr>
      <t xml:space="preserve">, this table </t>
    </r>
    <r>
      <rPr>
        <b/>
        <sz val="12"/>
        <color indexed="10"/>
        <rFont val="Times New Roman"/>
        <family val="1"/>
      </rPr>
      <t>is not</t>
    </r>
    <r>
      <rPr>
        <sz val="12"/>
        <rFont val="Times New Roman"/>
        <family val="1"/>
      </rPr>
      <t xml:space="preserve"> required to be used, but as a tool to assist in budgeting. </t>
    </r>
  </si>
  <si>
    <r>
      <t>12d. The table '</t>
    </r>
    <r>
      <rPr>
        <i/>
        <sz val="12"/>
        <rFont val="Times New Roman"/>
        <family val="1"/>
      </rPr>
      <t>What Mill Rate Would Be Desired</t>
    </r>
    <r>
      <rPr>
        <sz val="12"/>
        <rFont val="Times New Roman"/>
        <family val="1"/>
      </rPr>
      <t xml:space="preserve">', whereas a municipality can create a desired mill rate.  If a municipality has future plans to make a large purchase, project, or just would like a little more unencumbered cash balance, this table will show the amount of ad valorem taxes needed to reach its needs and amount of adjustments to the tax levy fund expenditures to reach this desired mill rate.  This table could also be used to see the impact if the municipality would like to lower the mill rate. To use this table, simply enter in the green area the desired mill rate.  </t>
    </r>
    <r>
      <rPr>
        <sz val="12"/>
        <color indexed="10"/>
        <rFont val="Times New Roman"/>
        <family val="1"/>
      </rPr>
      <t>Note</t>
    </r>
    <r>
      <rPr>
        <sz val="12"/>
        <rFont val="Times New Roman"/>
        <family val="1"/>
      </rPr>
      <t xml:space="preserve">: If a </t>
    </r>
    <r>
      <rPr>
        <u/>
        <sz val="12"/>
        <rFont val="Times New Roman"/>
        <family val="1"/>
      </rPr>
      <t>delinquency rate used</t>
    </r>
    <r>
      <rPr>
        <sz val="12"/>
        <rFont val="Times New Roman"/>
        <family val="1"/>
      </rPr>
      <t xml:space="preserve"> on the tax levy fund pages, the table might have you do several adjustments to get the desired result or close to the desire amount. </t>
    </r>
    <r>
      <rPr>
        <sz val="12"/>
        <color indexed="10"/>
        <rFont val="Times New Roman"/>
        <family val="1"/>
      </rPr>
      <t>Also please</t>
    </r>
    <r>
      <rPr>
        <sz val="12"/>
        <rFont val="Times New Roman"/>
        <family val="1"/>
      </rPr>
      <t xml:space="preserve"> </t>
    </r>
    <r>
      <rPr>
        <sz val="12"/>
        <color indexed="10"/>
        <rFont val="Times New Roman"/>
        <family val="1"/>
      </rPr>
      <t>note</t>
    </r>
    <r>
      <rPr>
        <sz val="12"/>
        <rFont val="Times New Roman"/>
        <family val="1"/>
      </rPr>
      <t xml:space="preserve">, this table </t>
    </r>
    <r>
      <rPr>
        <sz val="12"/>
        <color indexed="10"/>
        <rFont val="Times New Roman"/>
        <family val="1"/>
      </rPr>
      <t>is not</t>
    </r>
    <r>
      <rPr>
        <sz val="12"/>
        <rFont val="Times New Roman"/>
        <family val="1"/>
      </rPr>
      <t xml:space="preserve"> required to be used, but as a tool to assist in budgeting. </t>
    </r>
  </si>
  <si>
    <r>
      <t xml:space="preserve">12e. Before printing, review the form to ensure all the information is provided and the figures are correct. Print the page, have official sign it, and take to the local newspaper for printing. For those municipalities that are electronically sending the summary to the newspaper, you can type in the official name before sending.  Please note:  Signing the document is </t>
    </r>
    <r>
      <rPr>
        <b/>
        <sz val="12"/>
        <rFont val="Times New Roman"/>
        <family val="1"/>
      </rPr>
      <t>desired</t>
    </r>
    <r>
      <rPr>
        <sz val="12"/>
        <rFont val="Times New Roman"/>
        <family val="1"/>
      </rPr>
      <t xml:space="preserve">, but not signing </t>
    </r>
    <r>
      <rPr>
        <u/>
        <sz val="12"/>
        <rFont val="Times New Roman"/>
        <family val="1"/>
      </rPr>
      <t>will not</t>
    </r>
    <r>
      <rPr>
        <sz val="12"/>
        <rFont val="Times New Roman"/>
        <family val="1"/>
      </rPr>
      <t xml:space="preserve"> cause the municipality to reprint.</t>
    </r>
  </si>
  <si>
    <t xml:space="preserve">12f. Once the 'Notice of Budget Hearing' has been printed in the local newspaper, please review the notice to ensure the information was correctly printed and readable.  If the information is not correct, the Notice may need to be republished, and may delay the submission of the budget to the County Clerk. If this occurs and causes you to miss the August 25 deadline, please contact your County Clerk to inform of them of the delay. </t>
  </si>
  <si>
    <r>
      <t xml:space="preserve">13. Neighborhood Revitalization (nhood) should be completed </t>
    </r>
    <r>
      <rPr>
        <b/>
        <u/>
        <sz val="12"/>
        <rFont val="Times New Roman"/>
        <family val="1"/>
      </rPr>
      <t>only after</t>
    </r>
    <r>
      <rPr>
        <sz val="12"/>
        <rFont val="Times New Roman"/>
        <family val="1"/>
      </rPr>
      <t xml:space="preserve"> all tax levy fund pages been completed and the levy rates have been computed on the Budget Summary page.  You will need to either print the Budget Summary page or write down the dollar amount of ad valorem needed for each tax levy fund.  The ad valorem amounts for each fund will then be input in the neighborhood revitalization table.  The table will then compute the approximate amount of rebate and link to each tax levy fund page. This will cause each tax levy fund to have an entry in the neighborhood revitalization expenditure block, increase the total expenditures  amount, recomputed the ad valorem needed, and link the new amount to the Budget Summary page. </t>
    </r>
    <r>
      <rPr>
        <b/>
        <sz val="12"/>
        <rFont val="Times New Roman"/>
        <family val="1"/>
      </rPr>
      <t>Note: If you do not have Neighborhood Revitalization, this step is not done</t>
    </r>
    <r>
      <rPr>
        <sz val="12"/>
        <rFont val="Times New Roman"/>
        <family val="1"/>
      </rPr>
      <t>.</t>
    </r>
  </si>
  <si>
    <r>
      <t xml:space="preserve">13a. </t>
    </r>
    <r>
      <rPr>
        <b/>
        <u/>
        <sz val="12"/>
        <rFont val="Times New Roman"/>
        <family val="1"/>
      </rPr>
      <t>Warning</t>
    </r>
    <r>
      <rPr>
        <sz val="12"/>
        <rFont val="Times New Roman"/>
        <family val="1"/>
      </rPr>
      <t xml:space="preserve">, if you had already set the ad valorem taxes so that they were equal to or below the max amount for ad valorem without passing a ordinance, then the neighborhood revitalization rebate might cause the ad valorem tax amount to exceed the max levying amount. If so, you have three options, accept the rebate expenditures and pass the ordinance, or accept the rebate expenditures and reduce other expenditures to come back under the max amount for levying, or lastly, not use the rebate expenditures by deleting the ad valorem taxes that were keyed into the Neighborhood Revitalization Table. Suggest printing the table before deleting ad valorem rates, this way you will know approxiately the amount of the rebates and lost revenue because of the rebates. </t>
    </r>
  </si>
  <si>
    <r>
      <t xml:space="preserve">13b. </t>
    </r>
    <r>
      <rPr>
        <b/>
        <u/>
        <sz val="12"/>
        <rFont val="Times New Roman"/>
        <family val="1"/>
      </rPr>
      <t>Note</t>
    </r>
    <r>
      <rPr>
        <sz val="12"/>
        <rFont val="Times New Roman"/>
        <family val="1"/>
      </rPr>
      <t>: You are not required to use the Neighborhood Revitalization Table and may continue doing the way you have in the past. The table can be used to know approximate amount of the rebate so that you will have an idea of the amount of ad valorem taxes you will not be receiving.</t>
    </r>
  </si>
  <si>
    <r>
      <t xml:space="preserve">13c. </t>
    </r>
    <r>
      <rPr>
        <b/>
        <sz val="12"/>
        <rFont val="Times New Roman"/>
        <family val="1"/>
      </rPr>
      <t>Note: If you do not have Neighborhood Revitalization, these steps are not done.</t>
    </r>
  </si>
  <si>
    <t xml:space="preserve">14.  Before submission of the budget to the County Clerk, please review the entire document and verify that all amounts are correct.  In addition, the Certificate Page needs to be signed by at least one member of the governing body (signatures of the entire governing body is preferred, but not mandatory). </t>
  </si>
  <si>
    <r>
      <t>15.  How to</t>
    </r>
    <r>
      <rPr>
        <u/>
        <sz val="12"/>
        <rFont val="Times New Roman"/>
        <family val="1"/>
      </rPr>
      <t xml:space="preserve"> Unprotect. </t>
    </r>
    <r>
      <rPr>
        <sz val="12"/>
        <rFont val="Times New Roman"/>
        <family val="1"/>
      </rPr>
      <t xml:space="preserve"> All pages within the budget spreadsheet are protected.  We protect the spreadsheets so that the links and formulas are kept in place.  The protection can be taken off to increase lines or add additional information to the individual spreadsheet. </t>
    </r>
  </si>
  <si>
    <t>15a.  If you have an older version of excel whereas 'Tools' is one of the excel heading. To remove the protection, place the cursor on the cell that is protected, go to the 'Tools' heading with your mouse and click on it, slide down where it shows 'Unprotect' and click on it.  The cell is now unprotected and you can make your changes.  Once all changes are completed for that spreadsheet, put the protection back on by clicking on 'Tools', slide down to 'Protect' and click on it, a box will appear and press the 'OK' button.  Now the spreadsheet is protected again.</t>
  </si>
  <si>
    <t>15b. If you have the newer version of excel with headings; Home, Insert, Page Layout, Formulas, etc. To unprotect the spreadsheet, move your mouse to the cell that is protected, click on heading 'Home', move mouse to heading 'Cells' and click on 'Format', slide the mouse down to 'Unprotect' under 'Protect' heading and click.  Now the cell is unprotected and you may make your changes. Once all changes are completed for that spreadsheet, put the protection back on by following the steps except the last step by selecting 'Protect' which a box will appear and press the 'Ok' button.  Now the protection is back on for that spreadsheet.</t>
  </si>
  <si>
    <t xml:space="preserve">38.  Add Library-Rec tab, in comparison block j83 "Exceed Mill Rate", cell f79 'Reduce', cell f80 shows amount that needs to be reduce
</t>
  </si>
  <si>
    <r>
      <t>11p. On the Recreation (Library-Rec) fund page, in the 'Comparison ' block, if the mill levy is exceeded, then a statement will appear "</t>
    </r>
    <r>
      <rPr>
        <sz val="12"/>
        <color indexed="10"/>
        <rFont val="Times New Roman"/>
        <family val="1"/>
      </rPr>
      <t>Exceed Mill Rate</t>
    </r>
    <r>
      <rPr>
        <sz val="12"/>
        <rFont val="Times New Roman"/>
        <family val="1"/>
      </rPr>
      <t>".  Additionally, in column 'E' we will have "</t>
    </r>
    <r>
      <rPr>
        <sz val="12"/>
        <color indexed="10"/>
        <rFont val="Times New Roman"/>
        <family val="1"/>
      </rPr>
      <t>Reduce</t>
    </r>
    <r>
      <rPr>
        <sz val="12"/>
        <rFont val="Times New Roman"/>
        <family val="1"/>
      </rPr>
      <t>" and "</t>
    </r>
    <r>
      <rPr>
        <sz val="12"/>
        <color indexed="10"/>
        <rFont val="Times New Roman"/>
        <family val="1"/>
      </rPr>
      <t>negative $ amount</t>
    </r>
    <r>
      <rPr>
        <sz val="12"/>
        <rFont val="Times New Roman"/>
        <family val="1"/>
      </rPr>
      <t xml:space="preserve"> " will appear.  Reduce means the negative $ amount must be used to reduced the expenditures amount to bring the mill rate under the max levy rate.  </t>
    </r>
    <r>
      <rPr>
        <sz val="12"/>
        <color indexed="10"/>
        <rFont val="Times New Roman"/>
        <family val="1"/>
      </rPr>
      <t>Notice:</t>
    </r>
    <r>
      <rPr>
        <sz val="12"/>
        <rFont val="Times New Roman"/>
        <family val="1"/>
      </rPr>
      <t xml:space="preserve">  if NR rebate is computed, this will cause the expenditures to increase, so you will need to readjust.</t>
    </r>
  </si>
  <si>
    <t>City 2 spreadsheets has General Fund page (general), Debt Service (DebtService), Library and Recreation page (Library-Rec), 10 tax levy pages (levy page9 to levy page13), Special Highway page (Sp Hiway), 15 no levy fund pages (nolevypage15 to nolevypage21 with one under the Sp Hiway tab), 4 single no levy pages (SinNoLevy18-SinNolevy21), and 20 non-budgeted fund pages (NonBudA to NonBudD).</t>
  </si>
  <si>
    <r>
      <t xml:space="preserve">4d. If the city has a library, then in the Certificate page will show under the 'Table of Contents:' a new table is required.  The new table is named: 'Computation to Determine State Library Grant' which found on the "Library Grant" tab.  The State Library will use the "Library Grant" tab to authorize a grant to the library.  This tab </t>
    </r>
    <r>
      <rPr>
        <u/>
        <sz val="12"/>
        <rFont val="Times New Roman"/>
        <family val="1"/>
      </rPr>
      <t>must be printed</t>
    </r>
    <r>
      <rPr>
        <sz val="12"/>
        <rFont val="Times New Roman"/>
        <family val="1"/>
      </rPr>
      <t xml:space="preserve"> and attached to the budget that is submitted to the County Clerk.  No action is taken if the city does not have a library and will not appear on the Certificate page.</t>
    </r>
  </si>
  <si>
    <t>1. Instruction tab, added #5d to show on Certificate page the table for Library Grant</t>
  </si>
  <si>
    <t xml:space="preserve">peter.haxton@library.ks.gov </t>
  </si>
  <si>
    <t>1. Library Grant tab, updated State Library e-mail contact address</t>
  </si>
  <si>
    <t>1. Corrected addition computation in column D, inputPrYr tab</t>
  </si>
  <si>
    <t>1.  Added "ordinance required?  yes/no" message to area adjacent to each tax levy fund</t>
  </si>
  <si>
    <t xml:space="preserve">Please read these instructions carefully.  If after reviewing them you still have questions, call Rogers Brazier at 785.296.2846 or email to armunis@da.ks.gov </t>
  </si>
  <si>
    <t>1.  Instruction tab narrative modification</t>
  </si>
  <si>
    <t>1.  Corrected formulas and changed formatting in Certificate page cells F22, F58, and G58</t>
  </si>
  <si>
    <t>1.  "Budget Authority Amount" cell added to budget year column of all funds.</t>
  </si>
  <si>
    <t>4b. The certificate page has a statement "Notice of the vote to adopt required . . . ?" which will either show "yes" or "no."  This statement compares the certificate page total ad valorem tax amount to the amount on line 18 of the computation to determine limit page. If a "yes" appears a notice of the vote to adopt the budget will need to be published in the offical county newspaper and a copy of such publication must be attached to the budget.  No action is required if a "no" appears.</t>
  </si>
  <si>
    <t>5. The majority of information on the computation to determine limit page comes from data on the input other page (inputOth) and the debt service page (DebtSvs).  If there is incorrect information on the computation page please correct the source of the information (inputOth page or DebtSvs page). If you are unable to correct the error please call us for assistance.</t>
  </si>
  <si>
    <r>
      <t>5a.</t>
    </r>
    <r>
      <rPr>
        <b/>
        <sz val="12"/>
        <rFont val="Times New Roman"/>
        <family val="1"/>
      </rPr>
      <t xml:space="preserve"> Note</t>
    </r>
    <r>
      <rPr>
        <sz val="12"/>
        <rFont val="Times New Roman"/>
        <family val="1"/>
      </rPr>
      <t xml:space="preserve">: K.S.A. 79-2925b provides that the property tax levied to pay principal and interest upon bonded indebtedness, temporary notes, and no-fund warrants, shall not be included in the comparison between the current budget year total levy and the budget year total levy.  If the city wants to include the debt service levy for temporary notes and no-fund warrants (shown on fund page(s) other than the debt service fund page and not automatically linked to the computation to determine limit page) lines 2 and 14 will need to be changed, manually, to include the additional levy amount in the max levy computation.  In order to do this the protection must be taken off of the page and the amounts changed.  You </t>
    </r>
    <r>
      <rPr>
        <u/>
        <sz val="12"/>
        <rFont val="Times New Roman"/>
        <family val="1"/>
      </rPr>
      <t>are not required</t>
    </r>
    <r>
      <rPr>
        <sz val="12"/>
        <rFont val="Times New Roman"/>
        <family val="1"/>
      </rPr>
      <t xml:space="preserve"> to utilize the additional levy amounts as a part of the computation to determine the max levy amount.</t>
    </r>
  </si>
  <si>
    <t>5b. Complete and print the published notice option utilized if the max levy is exceeded and have it published.  Attach the publication to the budget.</t>
  </si>
  <si>
    <t>16.</t>
  </si>
  <si>
    <t>17.</t>
  </si>
  <si>
    <t>Consumer Price Index adjustment (3 times 16)</t>
  </si>
  <si>
    <t>18.</t>
  </si>
  <si>
    <t>(15 plus 17)</t>
  </si>
  <si>
    <t xml:space="preserve">you must publish notice of vote by the governing body to adopt such budget in the official county newspaper and </t>
  </si>
  <si>
    <t>attach a copy of the published notice to this budget.</t>
  </si>
  <si>
    <t>Tax levy excluding debt service</t>
  </si>
  <si>
    <t>Increase in personal property (5a minus 5b)</t>
  </si>
  <si>
    <t>Real estate</t>
  </si>
  <si>
    <t>State assessed</t>
  </si>
  <si>
    <t>New improvements</t>
  </si>
  <si>
    <t>Total adjustment (sum of 6a, 6b, and 6c)</t>
  </si>
  <si>
    <t>Total valuation adjustment (sum of 4, 5c, 6d &amp;7)</t>
  </si>
  <si>
    <t>Total valuation less valuation adjustment (9 minus 8)</t>
  </si>
  <si>
    <t>Factor for increase (8 divided by 10)</t>
  </si>
  <si>
    <t>Amount of increase (11 times 3)</t>
  </si>
  <si>
    <t>Notice of the vote to adopt required to be published and attached to the budget?</t>
  </si>
  <si>
    <t>Vote publication required?</t>
  </si>
  <si>
    <t xml:space="preserve">Sample Notice of Vote Publication </t>
  </si>
  <si>
    <t>Sample Notice of Vote Publication</t>
  </si>
  <si>
    <t>Pursuant to K.S.A. 79-2925b, as amended by 2014 House Bill 2047</t>
  </si>
  <si>
    <t>Total Property Tax Levied</t>
  </si>
  <si>
    <t xml:space="preserve">Approved (vote) </t>
  </si>
  <si>
    <t>to</t>
  </si>
  <si>
    <t>1.  Several changes to workbook associated with 2014 HB 2047.</t>
  </si>
  <si>
    <t>The following changes were made to this workbook on 5/8/14</t>
  </si>
  <si>
    <t>The following changes were made to this workbook on 4/7/14</t>
  </si>
  <si>
    <t>The following changes were made to this workbook on 10/14/13</t>
  </si>
  <si>
    <t>The following changes were made to this workbook on 3/21/13</t>
  </si>
  <si>
    <t>The following changes were made to this workbook on 10/8/12</t>
  </si>
  <si>
    <t>The following changes were made to this workbook on 4/10/12</t>
  </si>
  <si>
    <t>The following changes were made to this workbook on 2/22/12</t>
  </si>
  <si>
    <t>The following changes were made to this workbook on 1/31/12</t>
  </si>
  <si>
    <t>The following changes were made to this workbook on 8/16/11</t>
  </si>
  <si>
    <t>The following changes were made to this workbook on 4/19/11</t>
  </si>
  <si>
    <t>The following changes were made to this workbook on 4/8/11</t>
  </si>
  <si>
    <t>The following changes were made to this workbook on 8/29/10</t>
  </si>
  <si>
    <t>The following changes were made to this workbook on 1/05/10</t>
  </si>
  <si>
    <t>The following changes were made to this workbook on 12/28/09</t>
  </si>
  <si>
    <t>The following changes were made to this workbook on 12/08/09</t>
  </si>
  <si>
    <t>The following changes were made to this workbook on 10/2/09</t>
  </si>
  <si>
    <t>The following changes were made to this workbook on7/16/09</t>
  </si>
  <si>
    <t>In no event will published notice of the vote be required if the total budget year tax levy is $1,000 or less.</t>
  </si>
  <si>
    <t>The following changes were made to this workbook on 7/9/14</t>
  </si>
  <si>
    <t>1.  Correction to formula in cell j44 of the computation tab worksheet.</t>
  </si>
  <si>
    <t>City of Osawatomie</t>
  </si>
  <si>
    <t>Miami County</t>
  </si>
  <si>
    <t>Industrial</t>
  </si>
  <si>
    <t>12-1617h</t>
  </si>
  <si>
    <t>12-16,102</t>
  </si>
  <si>
    <t>Public Safety Equipment</t>
  </si>
  <si>
    <t>12-110b</t>
  </si>
  <si>
    <t>Recreation Employee Benefits</t>
  </si>
  <si>
    <t>Street Improvements</t>
  </si>
  <si>
    <t>Refuse</t>
  </si>
  <si>
    <t>Golf Course</t>
  </si>
  <si>
    <t>Special Revenue (911)</t>
  </si>
  <si>
    <t>Tourism</t>
  </si>
  <si>
    <t>Water</t>
  </si>
  <si>
    <t>Electric</t>
  </si>
  <si>
    <t>Sewer</t>
  </si>
  <si>
    <t>Special Parks &amp; Recreation</t>
  </si>
  <si>
    <t>Capital Projects - General</t>
  </si>
  <si>
    <t>Capital Improve. - Street</t>
  </si>
  <si>
    <t>Capital Improve. - Sewer</t>
  </si>
  <si>
    <t>Capital Improve. - Grants</t>
  </si>
  <si>
    <t>Fire Insurance Proceeds</t>
  </si>
  <si>
    <t>Rural Fire</t>
  </si>
  <si>
    <t>Revolving Fund</t>
  </si>
  <si>
    <t>Cafeteria 125-HRA</t>
  </si>
  <si>
    <t>Evidence Liability Fund</t>
  </si>
  <si>
    <t>Court ADSAP</t>
  </si>
  <si>
    <t>Court Bonds</t>
  </si>
  <si>
    <t>Forfeitures</t>
  </si>
  <si>
    <t>Pay Pal</t>
  </si>
  <si>
    <t xml:space="preserve">  </t>
  </si>
  <si>
    <t>Ann Elmquist</t>
  </si>
  <si>
    <t>City Clerk</t>
  </si>
  <si>
    <t>Memorial Hall</t>
  </si>
  <si>
    <t>"</t>
  </si>
  <si>
    <t>:</t>
  </si>
  <si>
    <t>6:30 pm</t>
  </si>
  <si>
    <t>Capital Lease Proceeds</t>
  </si>
  <si>
    <t>Grants</t>
  </si>
  <si>
    <t>Misc.</t>
  </si>
  <si>
    <t>Transfer from Electric</t>
  </si>
  <si>
    <t>Contractual Services</t>
  </si>
  <si>
    <t>Commodities</t>
  </si>
  <si>
    <t>Capital Outlay</t>
  </si>
  <si>
    <t>State Rev. Loan Fund</t>
  </si>
  <si>
    <t>Bond Proceeds</t>
  </si>
  <si>
    <t>Transfer to Street Imp</t>
  </si>
  <si>
    <t>Transfer to Electric</t>
  </si>
  <si>
    <t>Insurance Proceeds</t>
  </si>
  <si>
    <t>Disbursements</t>
  </si>
  <si>
    <t>Reimbursements</t>
  </si>
  <si>
    <t>Personnel</t>
  </si>
  <si>
    <t>Loan Repayment</t>
  </si>
  <si>
    <t>Loan</t>
  </si>
  <si>
    <t>HRA Contributions</t>
  </si>
  <si>
    <t>125 Contributions</t>
  </si>
  <si>
    <t>125 Disbursements</t>
  </si>
  <si>
    <t>HRA Payments</t>
  </si>
  <si>
    <t>Admin/Wellness</t>
  </si>
  <si>
    <t>Reimbursement</t>
  </si>
  <si>
    <t>Fees</t>
  </si>
  <si>
    <t>Bonds</t>
  </si>
  <si>
    <t>Refunds</t>
  </si>
  <si>
    <t>Transfer to Tourism</t>
  </si>
  <si>
    <t>Recreation Emp Ben</t>
  </si>
  <si>
    <t>CIP Streets</t>
  </si>
  <si>
    <t>Special Parks &amp; Rec</t>
  </si>
  <si>
    <t xml:space="preserve">Golf Course </t>
  </si>
  <si>
    <t>CIP - General</t>
  </si>
  <si>
    <t>Employee Benefit Fund</t>
  </si>
  <si>
    <t>Rural Fire Fund</t>
  </si>
  <si>
    <t>G.O. Bond &amp; Interest</t>
  </si>
  <si>
    <t>CIP - Grants</t>
  </si>
  <si>
    <t>K.S.A. 79-2958</t>
  </si>
  <si>
    <t>K.S.A. 12-825d</t>
  </si>
  <si>
    <t>Street Improvement</t>
  </si>
  <si>
    <t>K.S.A. 13-1270</t>
  </si>
  <si>
    <t>KSA 12-16,102</t>
  </si>
  <si>
    <t>Bond &amp; Interest Fund</t>
  </si>
  <si>
    <t>Series 2008A Sewer Rehab.</t>
  </si>
  <si>
    <t>Series 2008B Street Bonds</t>
  </si>
  <si>
    <t>4.1 - 5.5</t>
  </si>
  <si>
    <t>3/1 &amp; 9/1</t>
  </si>
  <si>
    <t>2012 G.O. Refunding Bonds</t>
  </si>
  <si>
    <t>2.0-3.0</t>
  </si>
  <si>
    <t>Refinanced OGC Irr &amp; Equip</t>
  </si>
  <si>
    <t>City Sales Tax</t>
  </si>
  <si>
    <t>County Sales Tax</t>
  </si>
  <si>
    <t>Charges for Services</t>
  </si>
  <si>
    <t>Fines and Fees</t>
  </si>
  <si>
    <t>Transfer In from Electric</t>
  </si>
  <si>
    <t>Transer In from Sewer</t>
  </si>
  <si>
    <t>Transfer In from Refuse</t>
  </si>
  <si>
    <t>Transfer In from Water</t>
  </si>
  <si>
    <t>Transfer in from Library</t>
  </si>
  <si>
    <t>Overhead Fees</t>
  </si>
  <si>
    <t>Sale of Fixed Assets</t>
  </si>
  <si>
    <t>Reimbursed Expense</t>
  </si>
  <si>
    <t>Administration</t>
  </si>
  <si>
    <t>John Brown Cabin</t>
  </si>
  <si>
    <t>Streets &amp; Alleys</t>
  </si>
  <si>
    <t>Code Enforcement</t>
  </si>
  <si>
    <t>Swimming Pool</t>
  </si>
  <si>
    <t>Municipal Court</t>
  </si>
  <si>
    <t>Levees &amp; Stormwater</t>
  </si>
  <si>
    <t>Fire Department</t>
  </si>
  <si>
    <t>Special Assessment</t>
  </si>
  <si>
    <t>Transfer In from Sewer</t>
  </si>
  <si>
    <t>Transfer In from CIP - Streets</t>
  </si>
  <si>
    <t>Bond Principal</t>
  </si>
  <si>
    <t>Bond Interest</t>
  </si>
  <si>
    <t>Bond Issuance Fees</t>
  </si>
  <si>
    <t>Grant Receipts (Non-CDBG)</t>
  </si>
  <si>
    <t>Donations</t>
  </si>
  <si>
    <t>Professional Services</t>
  </si>
  <si>
    <t>Other Contractual</t>
  </si>
  <si>
    <t>Other Commodities</t>
  </si>
  <si>
    <t>Capital Improvements</t>
  </si>
  <si>
    <t>Transfer Out - To General</t>
  </si>
  <si>
    <t>Transfer Out - Library Project Fund</t>
  </si>
  <si>
    <t>Appropriation</t>
  </si>
  <si>
    <t>Transfer to Electric Fund</t>
  </si>
  <si>
    <t>Transfer to Special Parks &amp; Recreation Fund</t>
  </si>
  <si>
    <t>JTC Lease (Pass Through)</t>
  </si>
  <si>
    <t>Loan Payments</t>
  </si>
  <si>
    <t>Property Leases</t>
  </si>
  <si>
    <t>Lease Payments to State</t>
  </si>
  <si>
    <t>Loans</t>
  </si>
  <si>
    <t>Capital Equipment</t>
  </si>
  <si>
    <t>Transfer To Employee Benefit Fund</t>
  </si>
  <si>
    <t>City Connecting Links from County</t>
  </si>
  <si>
    <t>Sales/Charges</t>
  </si>
  <si>
    <t>Contract Collection</t>
  </si>
  <si>
    <t>Communications</t>
  </si>
  <si>
    <t>Greens &amp; Range Fees</t>
  </si>
  <si>
    <t>Member Fees</t>
  </si>
  <si>
    <t>Cart Related Fees</t>
  </si>
  <si>
    <t>Food &amp; Beverage</t>
  </si>
  <si>
    <t>Loans From Other Funds</t>
  </si>
  <si>
    <t>Utilities</t>
  </si>
  <si>
    <t>Rentals</t>
  </si>
  <si>
    <t>Chemicals/Seed/Fertilizer</t>
  </si>
  <si>
    <t>Fuels</t>
  </si>
  <si>
    <t>Construction Equipment</t>
  </si>
  <si>
    <t>All Other Expenditures</t>
  </si>
  <si>
    <t>Tourism Operations</t>
  </si>
  <si>
    <t xml:space="preserve">  Contractual Services</t>
  </si>
  <si>
    <t xml:space="preserve">  Other Expenses</t>
  </si>
  <si>
    <t>Sales and Charges</t>
  </si>
  <si>
    <t>Wholesale Water Sales</t>
  </si>
  <si>
    <t>Bulk Water Sales</t>
  </si>
  <si>
    <t>Water Protection Tax</t>
  </si>
  <si>
    <t>Tower Lease</t>
  </si>
  <si>
    <t>Salaries</t>
  </si>
  <si>
    <t>Health Insurance</t>
  </si>
  <si>
    <t>All Other Benefits</t>
  </si>
  <si>
    <t>Treatment Chemicals</t>
  </si>
  <si>
    <t>Machine Parts &amp; Supplies</t>
  </si>
  <si>
    <t>State Taxes &amp; Fees</t>
  </si>
  <si>
    <t>All Other Operating Expenses</t>
  </si>
  <si>
    <t>Capital Expenses</t>
  </si>
  <si>
    <t xml:space="preserve">Debt Service </t>
  </si>
  <si>
    <t>Transfer to General Fund</t>
  </si>
  <si>
    <t>Transfer to Bond &amp; Interest</t>
  </si>
  <si>
    <t>Penalties and Fees</t>
  </si>
  <si>
    <t>Utility Deposits</t>
  </si>
  <si>
    <t>Sales Taxes Collected</t>
  </si>
  <si>
    <t>Reimbursed Expense - CIP Streets Fund</t>
  </si>
  <si>
    <t>Purchased Power/Trans/Fuel</t>
  </si>
  <si>
    <t>Insurance</t>
  </si>
  <si>
    <t>Bldg &amp; Mach Parts &amp; Supplies</t>
  </si>
  <si>
    <t>Motor Fuel</t>
  </si>
  <si>
    <t>State &amp; Local Taxes</t>
  </si>
  <si>
    <t>Deposit Refunds/Interest</t>
  </si>
  <si>
    <t>Overhead Expenses</t>
  </si>
  <si>
    <t>Other Operating Expenses</t>
  </si>
  <si>
    <t>Poles/Transformers/Wire</t>
  </si>
  <si>
    <t>Vehicles/Equipment</t>
  </si>
  <si>
    <t>All Other Capital Expenses</t>
  </si>
  <si>
    <t>Transfer Out - To Capital Improvements</t>
  </si>
  <si>
    <t>Transfer Out - To Golf Course</t>
  </si>
  <si>
    <t>Transfer Out - Tourism (JBJ)</t>
  </si>
  <si>
    <t>Other Assistance</t>
  </si>
  <si>
    <t>Professional Services &amp; Contract Maint</t>
  </si>
  <si>
    <t>Chemicals</t>
  </si>
  <si>
    <t>Parts &amp; Supplies</t>
  </si>
  <si>
    <t>Tranfer to Bond &amp; Interest</t>
  </si>
  <si>
    <t>Liquor Tax</t>
  </si>
  <si>
    <t>Registration Fees</t>
  </si>
  <si>
    <t>Tournament Registrations</t>
  </si>
  <si>
    <t>Tournament Gate</t>
  </si>
  <si>
    <t>Concessions</t>
  </si>
  <si>
    <t>Sponsorship Fees</t>
  </si>
  <si>
    <t>Transfer from Recreation Fund</t>
  </si>
  <si>
    <t>Transfer from Electric Fund</t>
  </si>
  <si>
    <t>Facilities</t>
  </si>
  <si>
    <t xml:space="preserve">  Salaries &amp; Wages</t>
  </si>
  <si>
    <t>Recreation Programs</t>
  </si>
  <si>
    <t xml:space="preserve">  Sales Tax</t>
  </si>
  <si>
    <t>Reimbursed Expenses</t>
  </si>
  <si>
    <t>Reimbursement Transfer - Water</t>
  </si>
  <si>
    <t>Reimbursement Transfer - Elect</t>
  </si>
  <si>
    <t>Reimbursement Transfer - Sewer</t>
  </si>
  <si>
    <t>Reimbursement Transfer - Recreation</t>
  </si>
  <si>
    <t>FICA</t>
  </si>
  <si>
    <t>KPERS</t>
  </si>
  <si>
    <t>Workers' Compensation</t>
  </si>
  <si>
    <t>Unemployment Insurance</t>
  </si>
  <si>
    <t>Reimbursement to 125/HRA</t>
  </si>
  <si>
    <t>Reimbursement from CIP-Street</t>
  </si>
  <si>
    <t>Events</t>
  </si>
  <si>
    <t xml:space="preserve">  Sponsorships</t>
  </si>
  <si>
    <t xml:space="preserve">  Ticket Sales</t>
  </si>
  <si>
    <t xml:space="preserve">  Entry Fees</t>
  </si>
  <si>
    <t xml:space="preserve">  Concession &amp; Merchandise Sales</t>
  </si>
  <si>
    <t xml:space="preserve">  Commissions</t>
  </si>
  <si>
    <t xml:space="preserve">  Transfer from Electric Fund</t>
  </si>
  <si>
    <t xml:space="preserve">  Reimbursed Expense</t>
  </si>
  <si>
    <t xml:space="preserve">  Interest on Idle Funds</t>
  </si>
  <si>
    <t xml:space="preserve">  Transient Guest Tax</t>
  </si>
  <si>
    <t xml:space="preserve">  Donations</t>
  </si>
  <si>
    <t xml:space="preserve">  Rent</t>
  </si>
  <si>
    <t>Health Insurance Reimbursement</t>
  </si>
  <si>
    <t>Transfer to Rural Fire Fund</t>
  </si>
  <si>
    <t>School District Rent Payment</t>
  </si>
  <si>
    <t>City Hall or on the City website at www.osawatomieks.org</t>
  </si>
  <si>
    <t>CIP Sewer</t>
  </si>
  <si>
    <t>2013 WWTP Rev Loan</t>
  </si>
  <si>
    <t>Elgin Street Sweeper</t>
  </si>
  <si>
    <t>Police</t>
  </si>
  <si>
    <t>Non-Budgeted Funds A - CIP</t>
  </si>
  <si>
    <t>Non-Budgeted Funds C - Misc</t>
  </si>
  <si>
    <t>Property &amp; Maintenance</t>
  </si>
  <si>
    <t>August 28, 2014</t>
  </si>
  <si>
    <t>2013 Temp Notes</t>
  </si>
  <si>
    <t>2014 Temp Notes</t>
  </si>
  <si>
    <t>Forfeited Assets</t>
  </si>
  <si>
    <t>Undercover Ops</t>
  </si>
  <si>
    <t>Transfer from Fire</t>
  </si>
  <si>
    <t>Transfer from Water</t>
  </si>
  <si>
    <t>Non-Budgeted Funds B - Court</t>
  </si>
  <si>
    <t>Transfer Out - Special Parks &amp; Recreation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</si>
</sst>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5" formatCode="&quot;$&quot;#,##0_);\(&quot;$&quot;#,##0\)"/>
    <numFmt numFmtId="6" formatCode="&quot;$&quot;#,##0_);[Red]\(&quot;$&quot;#,##0\)"/>
    <numFmt numFmtId="43" formatCode="_(* #,##0.00_);_(* \(#,##0.00\);_(* &quot;-&quot;??_);_(@_)"/>
    <numFmt numFmtId="164" formatCode="0.000_)"/>
    <numFmt numFmtId="165" formatCode="0.00000_)"/>
    <numFmt numFmtId="166" formatCode="0_)"/>
    <numFmt numFmtId="167" formatCode="0.00000"/>
    <numFmt numFmtId="168" formatCode="m/d/yy"/>
    <numFmt numFmtId="169" formatCode="m/d"/>
    <numFmt numFmtId="170" formatCode="_(* #,##0_);_(* \(#,##0\);_(* &quot;-&quot;??_);_(@_)"/>
    <numFmt numFmtId="171" formatCode="0.000"/>
    <numFmt numFmtId="172" formatCode="#,##0.000"/>
    <numFmt numFmtId="173" formatCode="[$-409]mmmm\ d\,\ yyyy;@"/>
    <numFmt numFmtId="174" formatCode="[$-409]h:mm\ AM/PM;@"/>
    <numFmt numFmtId="175" formatCode="&quot;$&quot;#,##0"/>
    <numFmt numFmtId="176" formatCode="&quot;$&quot;#,##0.00"/>
    <numFmt numFmtId="177" formatCode="#,###"/>
    <numFmt numFmtId="178" formatCode="0.0%"/>
    <numFmt numFmtId="179" formatCode="#,##0.000_);[Red]\(#,##0.000\)"/>
    <numFmt numFmtId="180" formatCode="0.000_);[Red]\(0.000\)"/>
    <numFmt numFmtId="181" formatCode="0_);[Red]\(0\)"/>
  </numFmts>
  <fonts count="66" x14ac:knownFonts="1">
    <font>
      <sz val="12"/>
      <name val="Courier"/>
    </font>
    <font>
      <b/>
      <sz val="12"/>
      <name val="Courier"/>
    </font>
    <font>
      <sz val="12"/>
      <name val="Courier"/>
      <family val="3"/>
    </font>
    <font>
      <b/>
      <sz val="12"/>
      <name val="Times New Roman"/>
      <family val="1"/>
    </font>
    <font>
      <sz val="12"/>
      <name val="Times New Roman"/>
      <family val="1"/>
    </font>
    <font>
      <u/>
      <sz val="12"/>
      <name val="Times New Roman"/>
      <family val="1"/>
    </font>
    <font>
      <sz val="14"/>
      <name val="Times New Roman"/>
      <family val="1"/>
    </font>
    <font>
      <sz val="11"/>
      <name val="Times New Roman"/>
      <family val="1"/>
    </font>
    <font>
      <sz val="9"/>
      <name val="Times New Roman"/>
      <family val="1"/>
    </font>
    <font>
      <sz val="8"/>
      <name val="Courier"/>
      <family val="3"/>
    </font>
    <font>
      <u/>
      <sz val="12"/>
      <color indexed="12"/>
      <name val="Courier"/>
      <family val="3"/>
    </font>
    <font>
      <sz val="8"/>
      <name val="Times New Roman"/>
      <family val="1"/>
    </font>
    <font>
      <b/>
      <u/>
      <sz val="12"/>
      <name val="Times New Roman"/>
      <family val="1"/>
    </font>
    <font>
      <b/>
      <u/>
      <sz val="12"/>
      <color indexed="10"/>
      <name val="Times New Roman"/>
      <family val="1"/>
    </font>
    <font>
      <b/>
      <u/>
      <sz val="12"/>
      <name val="Courier"/>
      <family val="3"/>
    </font>
    <font>
      <sz val="12"/>
      <color indexed="10"/>
      <name val="Times New Roman"/>
      <family val="1"/>
    </font>
    <font>
      <b/>
      <sz val="12"/>
      <color indexed="10"/>
      <name val="Times New Roman"/>
      <family val="1"/>
    </font>
    <font>
      <b/>
      <sz val="8"/>
      <name val="Times New Roman"/>
      <family val="1"/>
    </font>
    <font>
      <sz val="12"/>
      <color indexed="10"/>
      <name val="Courier"/>
      <family val="3"/>
    </font>
    <font>
      <i/>
      <sz val="12"/>
      <name val="Times New Roman"/>
      <family val="1"/>
    </font>
    <font>
      <sz val="12"/>
      <color indexed="8"/>
      <name val="Times New Roman"/>
      <family val="1"/>
    </font>
    <font>
      <b/>
      <sz val="14"/>
      <name val="Times New Roman"/>
      <family val="1"/>
    </font>
    <font>
      <b/>
      <sz val="12"/>
      <color indexed="8"/>
      <name val="Times New Roman"/>
      <family val="1"/>
    </font>
    <font>
      <b/>
      <sz val="11"/>
      <name val="Times New Roman"/>
      <family val="1"/>
    </font>
    <font>
      <sz val="11"/>
      <color indexed="8"/>
      <name val="Times New Roman"/>
      <family val="1"/>
    </font>
    <font>
      <b/>
      <sz val="11"/>
      <color indexed="8"/>
      <name val="Times New Roman"/>
      <family val="1"/>
    </font>
    <font>
      <b/>
      <u/>
      <sz val="8"/>
      <color indexed="10"/>
      <name val="Times New Roman"/>
      <family val="1"/>
    </font>
    <font>
      <sz val="12"/>
      <name val="Courier"/>
      <family val="3"/>
    </font>
    <font>
      <sz val="12"/>
      <name val="Courier New"/>
      <family val="3"/>
    </font>
    <font>
      <b/>
      <u/>
      <sz val="12"/>
      <name val="Courier"/>
      <family val="3"/>
    </font>
    <font>
      <b/>
      <sz val="12"/>
      <name val="Courier"/>
      <family val="3"/>
    </font>
    <font>
      <i/>
      <sz val="12"/>
      <name val="Courier"/>
      <family val="3"/>
    </font>
    <font>
      <i/>
      <u/>
      <sz val="12"/>
      <name val="Courier"/>
      <family val="3"/>
    </font>
    <font>
      <sz val="12"/>
      <name val="Courier New"/>
      <family val="3"/>
    </font>
    <font>
      <b/>
      <u/>
      <sz val="8"/>
      <name val="Times New Roman"/>
      <family val="1"/>
    </font>
    <font>
      <sz val="9"/>
      <color indexed="10"/>
      <name val="Times New Roman"/>
      <family val="1"/>
    </font>
    <font>
      <sz val="11"/>
      <name val="Cambria"/>
      <family val="1"/>
    </font>
    <font>
      <b/>
      <sz val="11"/>
      <color indexed="8"/>
      <name val="Cambria"/>
      <family val="1"/>
    </font>
    <font>
      <b/>
      <sz val="13"/>
      <name val="Times New Roman"/>
      <family val="1"/>
    </font>
    <font>
      <u/>
      <sz val="12"/>
      <color indexed="12"/>
      <name val="Times New Roman"/>
      <family val="1"/>
    </font>
    <font>
      <sz val="10"/>
      <name val="Times New Roman"/>
      <family val="1"/>
    </font>
    <font>
      <b/>
      <u/>
      <sz val="10"/>
      <name val="Times New Roman"/>
      <family val="1"/>
    </font>
    <font>
      <b/>
      <sz val="10"/>
      <name val="Times New Roman"/>
      <family val="1"/>
    </font>
    <font>
      <sz val="10"/>
      <name val="Courier"/>
      <family val="3"/>
    </font>
    <font>
      <b/>
      <sz val="8"/>
      <color indexed="10"/>
      <name val="Times New Roman"/>
      <family val="1"/>
    </font>
    <font>
      <u/>
      <sz val="12"/>
      <color indexed="12"/>
      <name val="Courier New"/>
      <family val="3"/>
    </font>
    <font>
      <sz val="10"/>
      <color indexed="10"/>
      <name val="Times New Roman"/>
      <family val="1"/>
    </font>
    <font>
      <u/>
      <sz val="12"/>
      <color indexed="10"/>
      <name val="Times New Roman"/>
      <family val="1"/>
    </font>
    <font>
      <b/>
      <sz val="11"/>
      <name val="Calibri"/>
      <family val="2"/>
    </font>
    <font>
      <sz val="11"/>
      <color theme="1"/>
      <name val="Calibri"/>
      <family val="2"/>
      <scheme val="minor"/>
    </font>
    <font>
      <b/>
      <sz val="11"/>
      <color theme="1"/>
      <name val="Calibri"/>
      <family val="2"/>
      <scheme val="minor"/>
    </font>
    <font>
      <u/>
      <sz val="12"/>
      <color rgb="FFFF0000"/>
      <name val="Times New Roman"/>
      <family val="1"/>
    </font>
    <font>
      <b/>
      <u/>
      <sz val="12"/>
      <color theme="1"/>
      <name val="Times New Roman"/>
      <family val="1"/>
    </font>
    <font>
      <b/>
      <sz val="11"/>
      <color theme="1"/>
      <name val="Cambria"/>
      <family val="1"/>
    </font>
    <font>
      <sz val="11"/>
      <color rgb="FF000000"/>
      <name val="Cambria"/>
      <family val="1"/>
    </font>
    <font>
      <b/>
      <sz val="12"/>
      <color rgb="FF000000"/>
      <name val="Times New Roman"/>
      <family val="1"/>
    </font>
    <font>
      <sz val="10"/>
      <color rgb="FFFF0000"/>
      <name val="Times New Roman"/>
      <family val="1"/>
    </font>
    <font>
      <sz val="12"/>
      <color rgb="FFFF0000"/>
      <name val="Times New Roman"/>
      <family val="1"/>
    </font>
    <font>
      <b/>
      <sz val="12"/>
      <color rgb="FFFF0000"/>
      <name val="Times New Roman"/>
      <family val="1"/>
    </font>
    <font>
      <sz val="12"/>
      <color theme="0"/>
      <name val="Courier"/>
      <family val="3"/>
    </font>
    <font>
      <sz val="12"/>
      <color theme="0"/>
      <name val="Courier New"/>
      <family val="3"/>
    </font>
    <font>
      <sz val="8"/>
      <color theme="0"/>
      <name val="Times New Roman"/>
      <family val="1"/>
    </font>
    <font>
      <sz val="12"/>
      <color theme="0"/>
      <name val="Times New Roman"/>
      <family val="1"/>
    </font>
    <font>
      <b/>
      <u/>
      <sz val="12"/>
      <color rgb="FFFF0000"/>
      <name val="Times New Roman"/>
      <family val="1"/>
    </font>
    <font>
      <b/>
      <sz val="10"/>
      <color rgb="FFFF0000"/>
      <name val="Times New Roman"/>
      <family val="1"/>
    </font>
    <font>
      <b/>
      <sz val="14"/>
      <color theme="1"/>
      <name val="Calibri"/>
      <family val="2"/>
      <scheme val="minor"/>
    </font>
  </fonts>
  <fills count="20">
    <fill>
      <patternFill patternType="none"/>
    </fill>
    <fill>
      <patternFill patternType="gray125"/>
    </fill>
    <fill>
      <patternFill patternType="solid">
        <fgColor indexed="26"/>
        <bgColor indexed="64"/>
      </patternFill>
    </fill>
    <fill>
      <patternFill patternType="solid">
        <fgColor indexed="10"/>
        <bgColor indexed="64"/>
      </patternFill>
    </fill>
    <fill>
      <patternFill patternType="solid">
        <fgColor indexed="11"/>
        <bgColor indexed="64"/>
      </patternFill>
    </fill>
    <fill>
      <patternFill patternType="solid">
        <fgColor indexed="15"/>
        <bgColor indexed="64"/>
      </patternFill>
    </fill>
    <fill>
      <patternFill patternType="solid">
        <fgColor indexed="35"/>
        <bgColor indexed="64"/>
      </patternFill>
    </fill>
    <fill>
      <patternFill patternType="solid">
        <fgColor indexed="41"/>
        <bgColor indexed="64"/>
      </patternFill>
    </fill>
    <fill>
      <patternFill patternType="solid">
        <fgColor indexed="11"/>
      </patternFill>
    </fill>
    <fill>
      <patternFill patternType="solid">
        <fgColor indexed="43"/>
        <bgColor indexed="64"/>
      </patternFill>
    </fill>
    <fill>
      <patternFill patternType="solid">
        <fgColor indexed="13"/>
        <bgColor indexed="64"/>
      </patternFill>
    </fill>
    <fill>
      <patternFill patternType="solid">
        <fgColor indexed="34"/>
        <bgColor indexed="64"/>
      </patternFill>
    </fill>
    <fill>
      <patternFill patternType="solid">
        <fgColor rgb="FFFFFF99"/>
        <bgColor indexed="64"/>
      </patternFill>
    </fill>
    <fill>
      <patternFill patternType="solid">
        <fgColor rgb="FF00FFFF"/>
        <bgColor indexed="64"/>
      </patternFill>
    </fill>
    <fill>
      <patternFill patternType="solid">
        <fgColor rgb="FFFFFFC0"/>
        <bgColor indexed="64"/>
      </patternFill>
    </fill>
    <fill>
      <patternFill patternType="solid">
        <fgColor rgb="FF00FF00"/>
        <bgColor indexed="64"/>
      </patternFill>
    </fill>
    <fill>
      <patternFill patternType="solid">
        <fgColor theme="0"/>
        <bgColor indexed="64"/>
      </patternFill>
    </fill>
    <fill>
      <patternFill patternType="solid">
        <fgColor rgb="FFFFFF00"/>
        <bgColor indexed="64"/>
      </patternFill>
    </fill>
    <fill>
      <patternFill patternType="solid">
        <fgColor rgb="FFFFFFCC"/>
        <bgColor indexed="64"/>
      </patternFill>
    </fill>
    <fill>
      <patternFill patternType="solid">
        <fgColor rgb="FF69FFFF"/>
        <bgColor indexed="64"/>
      </patternFill>
    </fill>
  </fills>
  <borders count="34">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18">
    <xf numFmtId="0" fontId="0"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0"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27" fillId="0" borderId="0"/>
    <xf numFmtId="0" fontId="28" fillId="0" borderId="0"/>
    <xf numFmtId="0" fontId="2" fillId="0" borderId="0"/>
    <xf numFmtId="0" fontId="2" fillId="0" borderId="0"/>
    <xf numFmtId="0" fontId="28" fillId="0" borderId="0"/>
    <xf numFmtId="0" fontId="28" fillId="0" borderId="0"/>
    <xf numFmtId="0" fontId="28" fillId="0" borderId="0"/>
    <xf numFmtId="0" fontId="28" fillId="0" borderId="0"/>
    <xf numFmtId="0" fontId="2" fillId="0" borderId="0"/>
    <xf numFmtId="0" fontId="28" fillId="0" borderId="0"/>
    <xf numFmtId="0" fontId="28" fillId="0" borderId="0"/>
    <xf numFmtId="0" fontId="2" fillId="0" borderId="0"/>
    <xf numFmtId="0" fontId="2" fillId="0" borderId="0"/>
    <xf numFmtId="0" fontId="2" fillId="0" borderId="0"/>
    <xf numFmtId="0" fontId="28" fillId="0" borderId="0"/>
    <xf numFmtId="0" fontId="2" fillId="0" borderId="0"/>
    <xf numFmtId="0" fontId="2" fillId="0" borderId="0"/>
    <xf numFmtId="0" fontId="28" fillId="0" borderId="0"/>
    <xf numFmtId="0" fontId="28"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 fillId="0" borderId="0"/>
    <xf numFmtId="0" fontId="28" fillId="0" borderId="0"/>
    <xf numFmtId="0" fontId="28"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8" fillId="0" borderId="0"/>
    <xf numFmtId="0" fontId="28" fillId="0" borderId="0"/>
    <xf numFmtId="0" fontId="28" fillId="0" borderId="0"/>
    <xf numFmtId="0" fontId="2" fillId="0" borderId="0"/>
    <xf numFmtId="0" fontId="2" fillId="0" borderId="0"/>
    <xf numFmtId="0" fontId="28" fillId="0" borderId="0"/>
    <xf numFmtId="0" fontId="2" fillId="0" borderId="0"/>
    <xf numFmtId="0" fontId="33" fillId="0" borderId="0"/>
    <xf numFmtId="0" fontId="28" fillId="0" borderId="0"/>
    <xf numFmtId="0" fontId="28" fillId="0" borderId="0"/>
    <xf numFmtId="0" fontId="28" fillId="0" borderId="0"/>
    <xf numFmtId="0" fontId="28" fillId="0" borderId="0"/>
    <xf numFmtId="0" fontId="33" fillId="0" borderId="0"/>
    <xf numFmtId="0" fontId="28" fillId="0" borderId="0"/>
    <xf numFmtId="0" fontId="28" fillId="0" borderId="0"/>
    <xf numFmtId="0" fontId="28" fillId="0" borderId="0"/>
    <xf numFmtId="0" fontId="28" fillId="0" borderId="0"/>
    <xf numFmtId="0" fontId="33" fillId="0" borderId="0"/>
    <xf numFmtId="0" fontId="28" fillId="0" borderId="0"/>
    <xf numFmtId="0" fontId="28" fillId="0" borderId="0"/>
    <xf numFmtId="0" fontId="28" fillId="0" borderId="0"/>
    <xf numFmtId="0" fontId="28" fillId="0" borderId="0"/>
    <xf numFmtId="0" fontId="33" fillId="0" borderId="0"/>
    <xf numFmtId="0" fontId="28" fillId="0" borderId="0"/>
    <xf numFmtId="0" fontId="2" fillId="0" borderId="0"/>
    <xf numFmtId="0" fontId="28" fillId="0" borderId="0"/>
    <xf numFmtId="0" fontId="2" fillId="0" borderId="0"/>
    <xf numFmtId="0" fontId="2" fillId="0" borderId="0"/>
    <xf numFmtId="0" fontId="28" fillId="0" borderId="0"/>
    <xf numFmtId="0" fontId="28" fillId="0" borderId="0"/>
    <xf numFmtId="0" fontId="2" fillId="0" borderId="0"/>
    <xf numFmtId="0" fontId="2" fillId="0" borderId="0"/>
    <xf numFmtId="0" fontId="28" fillId="0" borderId="0"/>
    <xf numFmtId="0" fontId="33" fillId="0" borderId="0"/>
    <xf numFmtId="0" fontId="28" fillId="0" borderId="0"/>
    <xf numFmtId="0" fontId="2" fillId="0" borderId="0"/>
    <xf numFmtId="0" fontId="28" fillId="0" borderId="0"/>
    <xf numFmtId="0" fontId="2" fillId="0" borderId="0"/>
    <xf numFmtId="0" fontId="2" fillId="0" borderId="0"/>
    <xf numFmtId="0" fontId="28" fillId="0" borderId="0"/>
    <xf numFmtId="0" fontId="28" fillId="0" borderId="0"/>
    <xf numFmtId="0" fontId="2" fillId="0" borderId="0"/>
    <xf numFmtId="0" fontId="28" fillId="0" borderId="0"/>
    <xf numFmtId="0" fontId="28" fillId="0" borderId="0"/>
    <xf numFmtId="0" fontId="28" fillId="0" borderId="0"/>
    <xf numFmtId="0" fontId="28" fillId="0" borderId="0"/>
    <xf numFmtId="0" fontId="28" fillId="0" borderId="0"/>
    <xf numFmtId="0" fontId="2" fillId="0" borderId="0"/>
    <xf numFmtId="0" fontId="28" fillId="0" borderId="0"/>
    <xf numFmtId="0" fontId="2" fillId="0" borderId="0"/>
    <xf numFmtId="0" fontId="28" fillId="0" borderId="0"/>
    <xf numFmtId="0" fontId="2" fillId="0" borderId="0"/>
    <xf numFmtId="0" fontId="2" fillId="0" borderId="0"/>
    <xf numFmtId="0" fontId="28"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 fillId="0" borderId="0"/>
    <xf numFmtId="0" fontId="28" fillId="0" borderId="0"/>
    <xf numFmtId="0" fontId="28" fillId="0" borderId="0"/>
    <xf numFmtId="0" fontId="28"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 fillId="0" borderId="0"/>
    <xf numFmtId="0" fontId="28" fillId="0" borderId="0"/>
    <xf numFmtId="0" fontId="28" fillId="0" borderId="0"/>
    <xf numFmtId="0" fontId="28" fillId="0" borderId="0"/>
    <xf numFmtId="0" fontId="28" fillId="0" borderId="0"/>
    <xf numFmtId="0" fontId="28" fillId="0" borderId="0"/>
    <xf numFmtId="0" fontId="2" fillId="0" borderId="0"/>
    <xf numFmtId="0" fontId="28" fillId="0" borderId="0"/>
    <xf numFmtId="0" fontId="2" fillId="0" borderId="0"/>
    <xf numFmtId="0" fontId="27" fillId="0" borderId="0"/>
    <xf numFmtId="0" fontId="27" fillId="0" borderId="0"/>
    <xf numFmtId="0" fontId="2" fillId="0" borderId="0"/>
    <xf numFmtId="0" fontId="27" fillId="0" borderId="0"/>
    <xf numFmtId="0" fontId="2" fillId="0" borderId="0"/>
    <xf numFmtId="0" fontId="27" fillId="0" borderId="0"/>
    <xf numFmtId="0" fontId="2" fillId="0" borderId="0"/>
    <xf numFmtId="0" fontId="2" fillId="0" borderId="0"/>
    <xf numFmtId="0" fontId="28" fillId="0" borderId="0"/>
    <xf numFmtId="0" fontId="28" fillId="0" borderId="0"/>
    <xf numFmtId="0" fontId="2" fillId="0" borderId="0"/>
    <xf numFmtId="0" fontId="28" fillId="0" borderId="0"/>
    <xf numFmtId="0" fontId="27" fillId="0" borderId="0"/>
    <xf numFmtId="0" fontId="2" fillId="0" borderId="0"/>
    <xf numFmtId="0" fontId="2" fillId="0" borderId="0"/>
    <xf numFmtId="0" fontId="28" fillId="0" borderId="0"/>
    <xf numFmtId="0" fontId="28" fillId="0" borderId="0"/>
    <xf numFmtId="0" fontId="2" fillId="0" borderId="0"/>
    <xf numFmtId="0" fontId="28" fillId="0" borderId="0"/>
    <xf numFmtId="0" fontId="27" fillId="0" borderId="0"/>
    <xf numFmtId="0" fontId="2" fillId="0" borderId="0"/>
    <xf numFmtId="0" fontId="27" fillId="0" borderId="0"/>
    <xf numFmtId="0" fontId="2" fillId="0" borderId="0"/>
    <xf numFmtId="0" fontId="28" fillId="0" borderId="0"/>
    <xf numFmtId="0" fontId="28" fillId="0" borderId="0"/>
    <xf numFmtId="0" fontId="2" fillId="0" borderId="0"/>
    <xf numFmtId="0" fontId="28" fillId="0" borderId="0"/>
    <xf numFmtId="0" fontId="28" fillId="0" borderId="0"/>
    <xf numFmtId="0" fontId="28" fillId="0" borderId="0"/>
    <xf numFmtId="0" fontId="28" fillId="0" borderId="0"/>
    <xf numFmtId="0" fontId="27" fillId="0" borderId="0"/>
    <xf numFmtId="0" fontId="2" fillId="0" borderId="0"/>
    <xf numFmtId="0" fontId="28" fillId="0" borderId="0"/>
    <xf numFmtId="0" fontId="28" fillId="0" borderId="0"/>
    <xf numFmtId="0" fontId="2" fillId="0" borderId="0"/>
    <xf numFmtId="0" fontId="27" fillId="0" borderId="0"/>
    <xf numFmtId="0" fontId="2" fillId="0" borderId="0"/>
    <xf numFmtId="0" fontId="2" fillId="0" borderId="0"/>
    <xf numFmtId="0" fontId="28" fillId="0" borderId="0"/>
    <xf numFmtId="0" fontId="27" fillId="0" borderId="0"/>
    <xf numFmtId="0" fontId="2" fillId="0" borderId="0"/>
    <xf numFmtId="0" fontId="27" fillId="0" borderId="0"/>
    <xf numFmtId="0" fontId="2" fillId="0" borderId="0"/>
    <xf numFmtId="0" fontId="2" fillId="0" borderId="0"/>
    <xf numFmtId="0" fontId="28" fillId="0" borderId="0"/>
    <xf numFmtId="0" fontId="27" fillId="0" borderId="0"/>
    <xf numFmtId="0" fontId="2" fillId="0" borderId="0"/>
    <xf numFmtId="0" fontId="2" fillId="0" borderId="0"/>
    <xf numFmtId="0" fontId="2" fillId="0" borderId="0"/>
    <xf numFmtId="0" fontId="28" fillId="0" borderId="0"/>
    <xf numFmtId="0" fontId="28" fillId="0" borderId="0"/>
    <xf numFmtId="0" fontId="2" fillId="0" borderId="0"/>
    <xf numFmtId="0" fontId="28" fillId="0" borderId="0"/>
    <xf numFmtId="0" fontId="28"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 fillId="0" borderId="0"/>
    <xf numFmtId="0" fontId="2" fillId="0" borderId="0"/>
    <xf numFmtId="0" fontId="2" fillId="0" borderId="0"/>
    <xf numFmtId="0" fontId="28" fillId="0" borderId="0"/>
    <xf numFmtId="0" fontId="28" fillId="0" borderId="0"/>
    <xf numFmtId="0" fontId="27" fillId="0" borderId="0"/>
    <xf numFmtId="0" fontId="2" fillId="0" borderId="0"/>
    <xf numFmtId="0" fontId="2" fillId="0" borderId="0"/>
    <xf numFmtId="0" fontId="28" fillId="0" borderId="0"/>
    <xf numFmtId="0" fontId="2" fillId="0" borderId="0"/>
    <xf numFmtId="0" fontId="2" fillId="0" borderId="0"/>
    <xf numFmtId="0" fontId="28" fillId="0" borderId="0"/>
    <xf numFmtId="0" fontId="27"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8" fillId="0" borderId="0"/>
    <xf numFmtId="0" fontId="28" fillId="0" borderId="0"/>
    <xf numFmtId="0" fontId="2" fillId="0" borderId="0"/>
    <xf numFmtId="0" fontId="28" fillId="0" borderId="0"/>
    <xf numFmtId="0" fontId="28" fillId="0" borderId="0"/>
    <xf numFmtId="0" fontId="2" fillId="0" borderId="0"/>
    <xf numFmtId="0" fontId="27" fillId="0" borderId="0"/>
    <xf numFmtId="0" fontId="2" fillId="0" borderId="0"/>
    <xf numFmtId="0" fontId="2" fillId="0" borderId="0"/>
    <xf numFmtId="0" fontId="28" fillId="0" borderId="0"/>
    <xf numFmtId="0" fontId="2" fillId="0" borderId="0"/>
    <xf numFmtId="0" fontId="2" fillId="0" borderId="0"/>
    <xf numFmtId="0" fontId="28" fillId="0" borderId="0"/>
    <xf numFmtId="0" fontId="27"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8" fillId="0" borderId="0"/>
    <xf numFmtId="0" fontId="2" fillId="0" borderId="0"/>
    <xf numFmtId="0" fontId="27"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8" fillId="0" borderId="0"/>
    <xf numFmtId="0" fontId="27"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8" fillId="0" borderId="0"/>
    <xf numFmtId="0" fontId="2" fillId="0" borderId="0"/>
    <xf numFmtId="0" fontId="27" fillId="0" borderId="0"/>
    <xf numFmtId="0" fontId="2" fillId="0" borderId="0"/>
    <xf numFmtId="0" fontId="28"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 fillId="0" borderId="0"/>
    <xf numFmtId="0" fontId="28" fillId="0" borderId="0"/>
    <xf numFmtId="0" fontId="28" fillId="0" borderId="0"/>
    <xf numFmtId="0" fontId="28"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 fillId="0" borderId="0"/>
    <xf numFmtId="0" fontId="28" fillId="0" borderId="0"/>
    <xf numFmtId="0" fontId="28" fillId="0" borderId="0"/>
    <xf numFmtId="0" fontId="28"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49" fillId="0" borderId="0"/>
    <xf numFmtId="0" fontId="49" fillId="0" borderId="0"/>
    <xf numFmtId="0" fontId="49" fillId="0" borderId="0"/>
    <xf numFmtId="0" fontId="2" fillId="0" borderId="0"/>
    <xf numFmtId="0" fontId="2" fillId="0" borderId="0"/>
    <xf numFmtId="0" fontId="4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9" fillId="0" borderId="0"/>
    <xf numFmtId="0" fontId="2" fillId="0" borderId="0"/>
    <xf numFmtId="0" fontId="28"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8" fillId="0" borderId="0"/>
    <xf numFmtId="0" fontId="2" fillId="0" borderId="0"/>
    <xf numFmtId="0" fontId="28"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8" fillId="0" borderId="0"/>
    <xf numFmtId="0" fontId="28" fillId="0" borderId="0"/>
    <xf numFmtId="0" fontId="2" fillId="0" borderId="0"/>
    <xf numFmtId="0" fontId="2" fillId="0" borderId="0"/>
    <xf numFmtId="0" fontId="28" fillId="0" borderId="0"/>
    <xf numFmtId="0" fontId="2" fillId="0" borderId="0"/>
    <xf numFmtId="0" fontId="2" fillId="0" borderId="0"/>
    <xf numFmtId="0" fontId="28" fillId="0" borderId="0"/>
    <xf numFmtId="0" fontId="2"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8" fillId="0" borderId="0"/>
    <xf numFmtId="0" fontId="28" fillId="0" borderId="0"/>
    <xf numFmtId="0" fontId="2" fillId="0" borderId="0"/>
    <xf numFmtId="0" fontId="28" fillId="0" borderId="0"/>
    <xf numFmtId="0" fontId="28" fillId="0" borderId="0"/>
    <xf numFmtId="0" fontId="2" fillId="0" borderId="0"/>
    <xf numFmtId="0" fontId="28" fillId="0" borderId="0"/>
    <xf numFmtId="0" fontId="28" fillId="0" borderId="0"/>
    <xf numFmtId="0" fontId="2" fillId="0" borderId="0"/>
    <xf numFmtId="0" fontId="28" fillId="0" borderId="0"/>
    <xf numFmtId="0" fontId="2" fillId="0" borderId="0"/>
    <xf numFmtId="0" fontId="2" fillId="0" borderId="0"/>
    <xf numFmtId="0" fontId="28" fillId="0" borderId="0"/>
    <xf numFmtId="0" fontId="2" fillId="0" borderId="0"/>
    <xf numFmtId="0" fontId="2" fillId="0" borderId="0"/>
    <xf numFmtId="0" fontId="28" fillId="0" borderId="0"/>
    <xf numFmtId="0" fontId="28" fillId="0" borderId="0"/>
    <xf numFmtId="0" fontId="28" fillId="0" borderId="0"/>
    <xf numFmtId="0" fontId="28" fillId="0" borderId="0"/>
    <xf numFmtId="0" fontId="27" fillId="0" borderId="0"/>
    <xf numFmtId="0" fontId="2" fillId="0" borderId="0"/>
    <xf numFmtId="0" fontId="2" fillId="0" borderId="0"/>
    <xf numFmtId="0" fontId="2" fillId="0" borderId="0"/>
    <xf numFmtId="0" fontId="28" fillId="0" borderId="0"/>
    <xf numFmtId="0" fontId="2" fillId="0" borderId="0"/>
    <xf numFmtId="0" fontId="2" fillId="0" borderId="0"/>
    <xf numFmtId="0" fontId="28" fillId="0" borderId="0"/>
    <xf numFmtId="0" fontId="2" fillId="0" borderId="0"/>
    <xf numFmtId="0" fontId="2" fillId="0" borderId="0"/>
    <xf numFmtId="0" fontId="28" fillId="0" borderId="0"/>
    <xf numFmtId="0" fontId="28" fillId="0" borderId="0"/>
    <xf numFmtId="0" fontId="28" fillId="0" borderId="0"/>
    <xf numFmtId="0" fontId="28" fillId="0" borderId="0"/>
    <xf numFmtId="0" fontId="2" fillId="0" borderId="0"/>
    <xf numFmtId="0" fontId="28" fillId="0" borderId="0"/>
    <xf numFmtId="0" fontId="28" fillId="0" borderId="0"/>
    <xf numFmtId="0" fontId="28" fillId="0" borderId="0"/>
    <xf numFmtId="0" fontId="28" fillId="0" borderId="0"/>
    <xf numFmtId="0" fontId="28" fillId="0" borderId="0"/>
    <xf numFmtId="0" fontId="2"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 fillId="0" borderId="0"/>
    <xf numFmtId="0" fontId="28" fillId="0" borderId="0"/>
    <xf numFmtId="0" fontId="2" fillId="0" borderId="0"/>
    <xf numFmtId="0" fontId="2" fillId="0" borderId="0"/>
    <xf numFmtId="0" fontId="28" fillId="0" borderId="0"/>
    <xf numFmtId="0" fontId="2" fillId="0" borderId="0"/>
    <xf numFmtId="0" fontId="2" fillId="0" borderId="0"/>
  </cellStyleXfs>
  <cellXfs count="1114">
    <xf numFmtId="0" fontId="0" fillId="0" borderId="0" xfId="0"/>
    <xf numFmtId="0" fontId="4" fillId="0" borderId="0" xfId="0" applyFont="1"/>
    <xf numFmtId="0" fontId="4" fillId="0" borderId="0" xfId="0" applyFont="1" applyProtection="1">
      <protection locked="0"/>
    </xf>
    <xf numFmtId="0" fontId="4" fillId="2" borderId="1" xfId="0" applyFont="1" applyFill="1" applyBorder="1" applyProtection="1"/>
    <xf numFmtId="0" fontId="4" fillId="2" borderId="0" xfId="0" applyFont="1" applyFill="1" applyProtection="1"/>
    <xf numFmtId="0" fontId="4" fillId="2" borderId="0" xfId="0" applyFont="1" applyFill="1" applyAlignment="1" applyProtection="1">
      <alignment horizontal="right"/>
    </xf>
    <xf numFmtId="37" fontId="4" fillId="2" borderId="0" xfId="0" applyNumberFormat="1" applyFont="1" applyFill="1" applyAlignment="1" applyProtection="1">
      <alignment horizontal="right"/>
    </xf>
    <xf numFmtId="0" fontId="4" fillId="2" borderId="0" xfId="0" applyFont="1" applyFill="1" applyAlignment="1" applyProtection="1">
      <alignment horizontal="centerContinuous"/>
    </xf>
    <xf numFmtId="0" fontId="4" fillId="2" borderId="2" xfId="0" applyFont="1" applyFill="1" applyBorder="1" applyProtection="1"/>
    <xf numFmtId="37" fontId="4" fillId="2" borderId="0" xfId="0" applyNumberFormat="1" applyFont="1" applyFill="1" applyProtection="1"/>
    <xf numFmtId="0" fontId="3" fillId="2" borderId="0" xfId="517" applyFont="1" applyFill="1" applyAlignment="1" applyProtection="1">
      <alignment horizontal="centerContinuous"/>
    </xf>
    <xf numFmtId="0" fontId="4" fillId="2" borderId="1" xfId="0" applyFont="1" applyFill="1" applyBorder="1" applyAlignment="1" applyProtection="1">
      <alignment horizontal="fill"/>
    </xf>
    <xf numFmtId="0" fontId="3" fillId="2" borderId="0" xfId="0" applyFont="1" applyFill="1" applyAlignment="1" applyProtection="1">
      <alignment horizontal="left"/>
    </xf>
    <xf numFmtId="0" fontId="4" fillId="2" borderId="0" xfId="0" applyFont="1" applyFill="1" applyAlignment="1" applyProtection="1">
      <alignment horizontal="center"/>
    </xf>
    <xf numFmtId="0" fontId="4" fillId="2" borderId="0" xfId="0" applyNumberFormat="1" applyFont="1" applyFill="1" applyAlignment="1" applyProtection="1">
      <alignment horizontal="right"/>
    </xf>
    <xf numFmtId="0" fontId="4" fillId="3" borderId="0" xfId="516" applyFont="1" applyFill="1" applyProtection="1"/>
    <xf numFmtId="0" fontId="4" fillId="3" borderId="0" xfId="0" applyFont="1" applyFill="1" applyProtection="1"/>
    <xf numFmtId="0" fontId="3" fillId="0" borderId="0" xfId="0" applyFont="1" applyAlignment="1">
      <alignment horizontal="center" vertical="center"/>
    </xf>
    <xf numFmtId="0" fontId="4" fillId="0" borderId="0" xfId="0" applyFont="1" applyAlignment="1">
      <alignment vertical="center"/>
    </xf>
    <xf numFmtId="0" fontId="4" fillId="0" borderId="0" xfId="0" applyFont="1" applyAlignment="1">
      <alignment horizontal="left" vertical="center"/>
    </xf>
    <xf numFmtId="0" fontId="4" fillId="0" borderId="0" xfId="0" applyFont="1" applyAlignment="1">
      <alignment vertical="center" wrapText="1"/>
    </xf>
    <xf numFmtId="0" fontId="4" fillId="0" borderId="0" xfId="0" applyFont="1" applyAlignment="1" applyProtection="1">
      <alignment vertical="center" wrapText="1"/>
    </xf>
    <xf numFmtId="0" fontId="16" fillId="0" borderId="0" xfId="0" applyFont="1" applyAlignment="1">
      <alignment vertical="center" wrapText="1"/>
    </xf>
    <xf numFmtId="0" fontId="4" fillId="4" borderId="0" xfId="0" applyFont="1" applyFill="1" applyAlignment="1">
      <alignment vertical="center"/>
    </xf>
    <xf numFmtId="0" fontId="4" fillId="0" borderId="0" xfId="0" applyFont="1" applyFill="1" applyAlignment="1">
      <alignment vertical="center"/>
    </xf>
    <xf numFmtId="0" fontId="4" fillId="2" borderId="0" xfId="0" applyFont="1" applyFill="1" applyAlignment="1">
      <alignment vertical="center" wrapText="1"/>
    </xf>
    <xf numFmtId="0" fontId="4" fillId="0" borderId="0" xfId="0" applyFont="1" applyFill="1" applyAlignment="1">
      <alignment vertical="center" wrapText="1"/>
    </xf>
    <xf numFmtId="0" fontId="4" fillId="5" borderId="0" xfId="0" applyFont="1" applyFill="1" applyAlignment="1">
      <alignment vertical="center" wrapText="1"/>
    </xf>
    <xf numFmtId="0" fontId="4" fillId="3" borderId="0" xfId="0" applyFont="1" applyFill="1" applyAlignment="1">
      <alignment vertical="center"/>
    </xf>
    <xf numFmtId="37" fontId="4" fillId="0" borderId="0" xfId="0" applyNumberFormat="1" applyFont="1" applyFill="1" applyAlignment="1" applyProtection="1">
      <alignment horizontal="left" vertical="center" wrapText="1"/>
    </xf>
    <xf numFmtId="0" fontId="4" fillId="0" borderId="0" xfId="0" applyFont="1" applyAlignment="1" applyProtection="1">
      <alignment vertical="center"/>
      <protection locked="0"/>
    </xf>
    <xf numFmtId="37" fontId="3" fillId="2" borderId="0" xfId="0" applyNumberFormat="1" applyFont="1" applyFill="1" applyAlignment="1" applyProtection="1">
      <alignment horizontal="left" vertical="center"/>
    </xf>
    <xf numFmtId="0" fontId="4" fillId="2" borderId="0" xfId="0" applyFont="1" applyFill="1" applyAlignment="1" applyProtection="1">
      <alignment vertical="center"/>
    </xf>
    <xf numFmtId="37" fontId="4" fillId="2" borderId="0" xfId="0" applyNumberFormat="1" applyFont="1" applyFill="1" applyAlignment="1" applyProtection="1">
      <alignment horizontal="left" vertical="center"/>
    </xf>
    <xf numFmtId="37" fontId="4" fillId="2" borderId="0" xfId="0" applyNumberFormat="1" applyFont="1" applyFill="1" applyBorder="1" applyAlignment="1" applyProtection="1">
      <alignment horizontal="left" vertical="center"/>
      <protection locked="0"/>
    </xf>
    <xf numFmtId="0" fontId="3" fillId="4" borderId="3" xfId="0" applyFont="1" applyFill="1" applyBorder="1" applyAlignment="1" applyProtection="1">
      <alignment horizontal="center" vertical="center"/>
      <protection locked="0"/>
    </xf>
    <xf numFmtId="37" fontId="3" fillId="2" borderId="0" xfId="0" applyNumberFormat="1" applyFont="1" applyFill="1" applyAlignment="1" applyProtection="1">
      <alignment horizontal="centerContinuous" vertical="center"/>
    </xf>
    <xf numFmtId="0" fontId="4" fillId="2" borderId="0" xfId="0" applyFont="1" applyFill="1" applyAlignment="1" applyProtection="1">
      <alignment horizontal="centerContinuous" vertical="center"/>
    </xf>
    <xf numFmtId="0" fontId="3" fillId="6" borderId="0" xfId="0" applyFont="1" applyFill="1" applyAlignment="1" applyProtection="1">
      <alignment vertical="center"/>
    </xf>
    <xf numFmtId="0" fontId="4" fillId="6" borderId="0" xfId="0" applyFont="1" applyFill="1" applyAlignment="1" applyProtection="1">
      <alignment vertical="center"/>
    </xf>
    <xf numFmtId="37" fontId="3" fillId="7" borderId="0" xfId="0" applyNumberFormat="1" applyFont="1" applyFill="1" applyAlignment="1" applyProtection="1">
      <alignment horizontal="left" vertical="center"/>
    </xf>
    <xf numFmtId="0" fontId="4" fillId="7" borderId="0" xfId="0" applyFont="1" applyFill="1" applyAlignment="1" applyProtection="1">
      <alignment vertical="center"/>
    </xf>
    <xf numFmtId="0" fontId="4" fillId="5" borderId="2" xfId="0" applyNumberFormat="1" applyFont="1" applyFill="1" applyBorder="1" applyAlignment="1" applyProtection="1">
      <alignment horizontal="center" vertical="center"/>
    </xf>
    <xf numFmtId="37" fontId="4" fillId="2" borderId="4" xfId="0" applyNumberFormat="1" applyFont="1" applyFill="1" applyBorder="1" applyAlignment="1" applyProtection="1">
      <alignment horizontal="center" vertical="center"/>
    </xf>
    <xf numFmtId="37" fontId="4" fillId="5" borderId="5" xfId="0" applyNumberFormat="1" applyFont="1" applyFill="1" applyBorder="1" applyAlignment="1" applyProtection="1">
      <alignment horizontal="center" vertical="center"/>
    </xf>
    <xf numFmtId="37" fontId="4" fillId="2" borderId="3" xfId="0" applyNumberFormat="1" applyFont="1" applyFill="1" applyBorder="1" applyAlignment="1" applyProtection="1">
      <alignment horizontal="left" vertical="center"/>
    </xf>
    <xf numFmtId="0" fontId="4" fillId="2" borderId="3" xfId="0" applyFont="1" applyFill="1" applyBorder="1" applyAlignment="1" applyProtection="1">
      <alignment vertical="center"/>
    </xf>
    <xf numFmtId="3" fontId="4" fillId="8" borderId="5" xfId="0" applyNumberFormat="1" applyFont="1" applyFill="1" applyBorder="1" applyAlignment="1" applyProtection="1">
      <alignment vertical="center"/>
      <protection locked="0"/>
    </xf>
    <xf numFmtId="3" fontId="4" fillId="8" borderId="3" xfId="0" applyNumberFormat="1" applyFont="1" applyFill="1" applyBorder="1" applyAlignment="1" applyProtection="1">
      <alignment vertical="center"/>
      <protection locked="0"/>
    </xf>
    <xf numFmtId="0" fontId="0" fillId="2" borderId="0" xfId="0" applyFill="1" applyAlignment="1">
      <alignment vertical="center"/>
    </xf>
    <xf numFmtId="0" fontId="4" fillId="8" borderId="3" xfId="0" applyFont="1" applyFill="1" applyBorder="1" applyAlignment="1" applyProtection="1">
      <alignment vertical="center"/>
      <protection locked="0"/>
    </xf>
    <xf numFmtId="37" fontId="4" fillId="2" borderId="1" xfId="0" applyNumberFormat="1" applyFont="1" applyFill="1" applyBorder="1" applyAlignment="1" applyProtection="1">
      <alignment horizontal="left" vertical="center"/>
    </xf>
    <xf numFmtId="0" fontId="4" fillId="2" borderId="1" xfId="0" applyFont="1" applyFill="1" applyBorder="1" applyAlignment="1" applyProtection="1">
      <alignment vertical="center"/>
    </xf>
    <xf numFmtId="0" fontId="4" fillId="2" borderId="6" xfId="0" applyFont="1" applyFill="1" applyBorder="1" applyAlignment="1" applyProtection="1">
      <alignment vertical="center"/>
    </xf>
    <xf numFmtId="37" fontId="4" fillId="2" borderId="7" xfId="0" applyNumberFormat="1" applyFont="1" applyFill="1" applyBorder="1" applyAlignment="1" applyProtection="1">
      <alignment vertical="center"/>
    </xf>
    <xf numFmtId="37" fontId="4" fillId="9" borderId="7" xfId="0" applyNumberFormat="1" applyFont="1" applyFill="1" applyBorder="1" applyAlignment="1" applyProtection="1">
      <alignment vertical="center"/>
    </xf>
    <xf numFmtId="37" fontId="4" fillId="2" borderId="0" xfId="0" applyNumberFormat="1" applyFont="1" applyFill="1" applyBorder="1" applyAlignment="1" applyProtection="1">
      <alignment horizontal="left" vertical="center"/>
    </xf>
    <xf numFmtId="0" fontId="4" fillId="2" borderId="0" xfId="0" applyFont="1" applyFill="1" applyBorder="1" applyAlignment="1" applyProtection="1">
      <alignment vertical="center"/>
    </xf>
    <xf numFmtId="37" fontId="4" fillId="2" borderId="0" xfId="0" applyNumberFormat="1" applyFont="1" applyFill="1" applyBorder="1" applyAlignment="1" applyProtection="1">
      <alignment vertical="center"/>
    </xf>
    <xf numFmtId="164" fontId="4" fillId="8" borderId="3" xfId="0" applyNumberFormat="1" applyFont="1" applyFill="1" applyBorder="1" applyAlignment="1" applyProtection="1">
      <alignment vertical="center"/>
      <protection locked="0"/>
    </xf>
    <xf numFmtId="164" fontId="4" fillId="2" borderId="3" xfId="0" applyNumberFormat="1" applyFont="1" applyFill="1" applyBorder="1" applyAlignment="1" applyProtection="1">
      <alignment vertical="center"/>
      <protection locked="0"/>
    </xf>
    <xf numFmtId="164" fontId="4" fillId="2" borderId="1" xfId="0" applyNumberFormat="1" applyFont="1" applyFill="1" applyBorder="1" applyAlignment="1" applyProtection="1">
      <alignment vertical="center"/>
      <protection locked="0"/>
    </xf>
    <xf numFmtId="0" fontId="4" fillId="2" borderId="4" xfId="0" applyFont="1" applyFill="1" applyBorder="1" applyAlignment="1" applyProtection="1">
      <alignment vertical="center"/>
    </xf>
    <xf numFmtId="3" fontId="4" fillId="9" borderId="3" xfId="0" applyNumberFormat="1" applyFont="1" applyFill="1" applyBorder="1" applyAlignment="1" applyProtection="1">
      <alignment vertical="center"/>
    </xf>
    <xf numFmtId="164" fontId="4" fillId="2" borderId="5" xfId="0" applyNumberFormat="1" applyFont="1" applyFill="1" applyBorder="1" applyAlignment="1" applyProtection="1">
      <alignment vertical="center"/>
      <protection locked="0"/>
    </xf>
    <xf numFmtId="3" fontId="4" fillId="2" borderId="0" xfId="0" applyNumberFormat="1" applyFont="1" applyFill="1" applyBorder="1" applyAlignment="1" applyProtection="1">
      <alignment vertical="center"/>
      <protection locked="0"/>
    </xf>
    <xf numFmtId="37" fontId="4" fillId="6" borderId="0" xfId="0" applyNumberFormat="1" applyFont="1" applyFill="1" applyAlignment="1" applyProtection="1">
      <alignment horizontal="center" vertical="center"/>
    </xf>
    <xf numFmtId="0" fontId="4" fillId="6" borderId="1" xfId="0" applyFont="1" applyFill="1" applyBorder="1" applyAlignment="1">
      <alignment horizontal="center" vertical="center"/>
    </xf>
    <xf numFmtId="37" fontId="4" fillId="2" borderId="3" xfId="0" applyNumberFormat="1" applyFont="1" applyFill="1" applyBorder="1" applyAlignment="1" applyProtection="1">
      <alignment vertical="center"/>
    </xf>
    <xf numFmtId="164" fontId="4" fillId="9" borderId="3" xfId="0" applyNumberFormat="1" applyFont="1" applyFill="1" applyBorder="1" applyAlignment="1" applyProtection="1">
      <alignment vertical="center"/>
    </xf>
    <xf numFmtId="37" fontId="4" fillId="5" borderId="1" xfId="0" applyNumberFormat="1" applyFont="1" applyFill="1" applyBorder="1" applyAlignment="1" applyProtection="1">
      <alignment horizontal="left" vertical="center"/>
    </xf>
    <xf numFmtId="0" fontId="4" fillId="5" borderId="1" xfId="0" applyFont="1" applyFill="1" applyBorder="1" applyAlignment="1" applyProtection="1">
      <alignment vertical="center"/>
    </xf>
    <xf numFmtId="37" fontId="4" fillId="5" borderId="6" xfId="0" applyNumberFormat="1" applyFont="1" applyFill="1" applyBorder="1" applyAlignment="1" applyProtection="1">
      <alignment horizontal="left" vertical="center"/>
    </xf>
    <xf numFmtId="0" fontId="4" fillId="5" borderId="6" xfId="0" applyFont="1" applyFill="1" applyBorder="1" applyAlignment="1" applyProtection="1">
      <alignment vertical="center"/>
    </xf>
    <xf numFmtId="0" fontId="4" fillId="2" borderId="7" xfId="0" applyFont="1" applyFill="1" applyBorder="1" applyAlignment="1" applyProtection="1">
      <alignment vertical="center"/>
    </xf>
    <xf numFmtId="37" fontId="12" fillId="6" borderId="0" xfId="0" applyNumberFormat="1" applyFont="1" applyFill="1" applyAlignment="1" applyProtection="1">
      <alignment horizontal="left" vertical="center"/>
    </xf>
    <xf numFmtId="0" fontId="5" fillId="5" borderId="0" xfId="0" applyFont="1" applyFill="1" applyAlignment="1" applyProtection="1">
      <alignment vertical="center"/>
    </xf>
    <xf numFmtId="0" fontId="5" fillId="2" borderId="0" xfId="0" applyFont="1" applyFill="1" applyAlignment="1" applyProtection="1">
      <alignment horizontal="center" vertical="center"/>
    </xf>
    <xf numFmtId="3" fontId="4" fillId="2" borderId="0" xfId="0" applyNumberFormat="1" applyFont="1" applyFill="1" applyAlignment="1" applyProtection="1">
      <alignment vertical="center"/>
    </xf>
    <xf numFmtId="0" fontId="4" fillId="2" borderId="0" xfId="0" applyFont="1" applyFill="1" applyAlignment="1" applyProtection="1">
      <alignment vertical="center"/>
      <protection locked="0"/>
    </xf>
    <xf numFmtId="0" fontId="4" fillId="2" borderId="1" xfId="0" applyFont="1" applyFill="1" applyBorder="1" applyAlignment="1" applyProtection="1">
      <alignment horizontal="center" vertical="center"/>
    </xf>
    <xf numFmtId="0" fontId="4" fillId="2" borderId="1" xfId="0" applyFont="1" applyFill="1" applyBorder="1" applyAlignment="1" applyProtection="1">
      <alignment horizontal="center" vertical="center"/>
      <protection locked="0"/>
    </xf>
    <xf numFmtId="0" fontId="4" fillId="6" borderId="1" xfId="0" applyFont="1" applyFill="1" applyBorder="1" applyAlignment="1" applyProtection="1">
      <alignment vertical="center"/>
    </xf>
    <xf numFmtId="0" fontId="4" fillId="2" borderId="4" xfId="0" applyFont="1" applyFill="1" applyBorder="1" applyAlignment="1" applyProtection="1">
      <alignment vertical="center"/>
      <protection locked="0"/>
    </xf>
    <xf numFmtId="3" fontId="4" fillId="4" borderId="3" xfId="0" applyNumberFormat="1" applyFont="1" applyFill="1" applyBorder="1" applyAlignment="1" applyProtection="1">
      <alignment vertical="center"/>
      <protection locked="0"/>
    </xf>
    <xf numFmtId="0" fontId="4" fillId="6" borderId="6" xfId="0" applyFont="1" applyFill="1" applyBorder="1" applyAlignment="1" applyProtection="1">
      <alignment vertical="center"/>
    </xf>
    <xf numFmtId="0" fontId="4" fillId="2" borderId="7" xfId="0" applyFont="1" applyFill="1" applyBorder="1" applyAlignment="1" applyProtection="1">
      <alignment vertical="center"/>
      <protection locked="0"/>
    </xf>
    <xf numFmtId="0" fontId="0" fillId="0" borderId="0" xfId="0" applyAlignment="1">
      <alignment vertical="center"/>
    </xf>
    <xf numFmtId="37" fontId="4" fillId="2" borderId="6" xfId="0" applyNumberFormat="1" applyFont="1" applyFill="1" applyBorder="1" applyAlignment="1" applyProtection="1">
      <alignment horizontal="left" vertical="center"/>
    </xf>
    <xf numFmtId="37" fontId="4" fillId="4" borderId="3" xfId="0" applyNumberFormat="1" applyFont="1" applyFill="1" applyBorder="1" applyAlignment="1" applyProtection="1">
      <alignment vertical="center"/>
      <protection locked="0"/>
    </xf>
    <xf numFmtId="37" fontId="3" fillId="2" borderId="6" xfId="0" applyNumberFormat="1" applyFont="1" applyFill="1" applyBorder="1" applyAlignment="1" applyProtection="1">
      <alignment horizontal="left" vertical="center"/>
    </xf>
    <xf numFmtId="0" fontId="12" fillId="2" borderId="0" xfId="0" applyFont="1" applyFill="1" applyBorder="1" applyAlignment="1" applyProtection="1">
      <alignment horizontal="center" vertical="center"/>
    </xf>
    <xf numFmtId="171" fontId="4" fillId="4" borderId="1" xfId="0" applyNumberFormat="1" applyFont="1" applyFill="1" applyBorder="1" applyAlignment="1" applyProtection="1">
      <alignment vertical="center"/>
      <protection locked="0"/>
    </xf>
    <xf numFmtId="171" fontId="4" fillId="4" borderId="6" xfId="0" applyNumberFormat="1" applyFont="1" applyFill="1" applyBorder="1" applyAlignment="1" applyProtection="1">
      <alignment vertical="center"/>
      <protection locked="0"/>
    </xf>
    <xf numFmtId="0" fontId="4" fillId="2" borderId="8" xfId="0" applyFont="1" applyFill="1" applyBorder="1" applyAlignment="1" applyProtection="1">
      <alignment vertical="center"/>
    </xf>
    <xf numFmtId="171" fontId="4" fillId="4" borderId="8" xfId="0" applyNumberFormat="1" applyFont="1" applyFill="1" applyBorder="1" applyAlignment="1" applyProtection="1">
      <alignment vertical="center"/>
      <protection locked="0"/>
    </xf>
    <xf numFmtId="0" fontId="0" fillId="2" borderId="0" xfId="0" applyFill="1" applyAlignment="1" applyProtection="1">
      <alignment vertical="center"/>
    </xf>
    <xf numFmtId="0" fontId="0" fillId="2" borderId="0" xfId="0" applyFill="1" applyBorder="1" applyAlignment="1" applyProtection="1">
      <alignment vertical="center"/>
    </xf>
    <xf numFmtId="171" fontId="4" fillId="2" borderId="3" xfId="0" applyNumberFormat="1" applyFont="1" applyFill="1" applyBorder="1" applyAlignment="1" applyProtection="1">
      <alignment vertical="center"/>
    </xf>
    <xf numFmtId="0" fontId="0" fillId="2" borderId="1" xfId="0" applyFill="1" applyBorder="1" applyAlignment="1" applyProtection="1">
      <alignment vertical="center"/>
    </xf>
    <xf numFmtId="37" fontId="3" fillId="6" borderId="0" xfId="0" applyNumberFormat="1" applyFont="1" applyFill="1" applyAlignment="1" applyProtection="1">
      <alignment horizontal="left" vertical="center"/>
    </xf>
    <xf numFmtId="3" fontId="4" fillId="6" borderId="0" xfId="0" applyNumberFormat="1" applyFont="1" applyFill="1" applyAlignment="1" applyProtection="1">
      <alignment vertical="center"/>
    </xf>
    <xf numFmtId="3" fontId="4" fillId="2" borderId="4" xfId="0" applyNumberFormat="1" applyFont="1" applyFill="1" applyBorder="1" applyAlignment="1" applyProtection="1">
      <alignment vertical="center"/>
    </xf>
    <xf numFmtId="3" fontId="4" fillId="2" borderId="7" xfId="0" applyNumberFormat="1" applyFont="1" applyFill="1" applyBorder="1" applyAlignment="1" applyProtection="1">
      <alignment vertical="center"/>
    </xf>
    <xf numFmtId="0" fontId="3" fillId="6" borderId="0" xfId="0" applyFont="1" applyFill="1" applyAlignment="1">
      <alignment vertical="center"/>
    </xf>
    <xf numFmtId="0" fontId="1" fillId="6" borderId="0" xfId="0" applyFont="1" applyFill="1" applyAlignment="1">
      <alignment vertical="center"/>
    </xf>
    <xf numFmtId="0" fontId="0" fillId="6" borderId="0" xfId="0" applyFill="1" applyAlignment="1" applyProtection="1">
      <alignment vertical="center"/>
      <protection locked="0"/>
    </xf>
    <xf numFmtId="0" fontId="4" fillId="2" borderId="1" xfId="0" applyFont="1" applyFill="1" applyBorder="1" applyAlignment="1">
      <alignment vertical="center"/>
    </xf>
    <xf numFmtId="0" fontId="0" fillId="2" borderId="1" xfId="0" applyFill="1" applyBorder="1" applyAlignment="1">
      <alignment vertical="center"/>
    </xf>
    <xf numFmtId="0" fontId="0" fillId="2" borderId="4" xfId="0" applyFill="1" applyBorder="1" applyAlignment="1">
      <alignment vertical="center"/>
    </xf>
    <xf numFmtId="0" fontId="4" fillId="2" borderId="6" xfId="0" applyFont="1" applyFill="1" applyBorder="1" applyAlignment="1">
      <alignment vertical="center"/>
    </xf>
    <xf numFmtId="0" fontId="0" fillId="2" borderId="6" xfId="0" applyFill="1" applyBorder="1" applyAlignment="1">
      <alignment vertical="center"/>
    </xf>
    <xf numFmtId="0" fontId="0" fillId="2" borderId="7" xfId="0" applyFill="1" applyBorder="1" applyAlignment="1">
      <alignment vertical="center"/>
    </xf>
    <xf numFmtId="0" fontId="0" fillId="3" borderId="0" xfId="0" applyFill="1" applyAlignment="1">
      <alignment vertical="center"/>
    </xf>
    <xf numFmtId="0" fontId="4" fillId="5" borderId="2" xfId="0" applyFont="1" applyFill="1" applyBorder="1" applyAlignment="1">
      <alignment horizontal="center" vertical="center"/>
    </xf>
    <xf numFmtId="0" fontId="4" fillId="5" borderId="5" xfId="0" applyFont="1" applyFill="1" applyBorder="1" applyAlignment="1">
      <alignment horizontal="center" vertical="center"/>
    </xf>
    <xf numFmtId="0" fontId="15" fillId="2" borderId="0" xfId="0" applyFont="1" applyFill="1" applyAlignment="1">
      <alignment vertical="center"/>
    </xf>
    <xf numFmtId="0" fontId="18" fillId="2" borderId="0" xfId="0" applyFont="1" applyFill="1" applyAlignment="1">
      <alignment vertical="center"/>
    </xf>
    <xf numFmtId="37" fontId="4" fillId="2" borderId="3" xfId="0" applyNumberFormat="1" applyFont="1" applyFill="1" applyBorder="1" applyAlignment="1">
      <alignment vertical="center"/>
    </xf>
    <xf numFmtId="0" fontId="4" fillId="2" borderId="0" xfId="0" applyFont="1" applyFill="1" applyAlignment="1" applyProtection="1">
      <alignment horizontal="right" vertical="center"/>
    </xf>
    <xf numFmtId="37" fontId="4" fillId="2" borderId="0" xfId="0" applyNumberFormat="1" applyFont="1" applyFill="1" applyAlignment="1" applyProtection="1">
      <alignment horizontal="center" vertical="center"/>
    </xf>
    <xf numFmtId="37" fontId="4" fillId="2" borderId="0" xfId="0" applyNumberFormat="1" applyFont="1" applyFill="1" applyAlignment="1" applyProtection="1">
      <alignment horizontal="centerContinuous" vertical="center"/>
    </xf>
    <xf numFmtId="37" fontId="4" fillId="2" borderId="9" xfId="0" applyNumberFormat="1" applyFont="1" applyFill="1" applyBorder="1" applyAlignment="1" applyProtection="1">
      <alignment horizontal="centerContinuous" vertical="center"/>
    </xf>
    <xf numFmtId="0" fontId="4" fillId="2" borderId="6" xfId="0" applyFont="1" applyFill="1" applyBorder="1" applyAlignment="1" applyProtection="1">
      <alignment horizontal="centerContinuous" vertical="center"/>
    </xf>
    <xf numFmtId="0" fontId="4" fillId="2" borderId="7" xfId="0" applyFont="1" applyFill="1" applyBorder="1" applyAlignment="1" applyProtection="1">
      <alignment horizontal="centerContinuous" vertical="center"/>
    </xf>
    <xf numFmtId="37" fontId="4" fillId="2" borderId="1" xfId="0" applyNumberFormat="1" applyFont="1" applyFill="1" applyBorder="1" applyAlignment="1" applyProtection="1">
      <alignment horizontal="fill" vertical="center"/>
    </xf>
    <xf numFmtId="37" fontId="4" fillId="2" borderId="2" xfId="0" applyNumberFormat="1" applyFont="1" applyFill="1" applyBorder="1" applyAlignment="1" applyProtection="1">
      <alignment horizontal="left" vertical="center"/>
    </xf>
    <xf numFmtId="37" fontId="4" fillId="2" borderId="2" xfId="0" applyNumberFormat="1" applyFont="1" applyFill="1" applyBorder="1" applyAlignment="1" applyProtection="1">
      <alignment horizontal="center" vertical="center"/>
    </xf>
    <xf numFmtId="37" fontId="4" fillId="2" borderId="10" xfId="0" applyNumberFormat="1" applyFont="1" applyFill="1" applyBorder="1" applyAlignment="1" applyProtection="1">
      <alignment horizontal="center" vertical="center"/>
    </xf>
    <xf numFmtId="0" fontId="4" fillId="2" borderId="10" xfId="0" applyFont="1" applyFill="1" applyBorder="1" applyAlignment="1">
      <alignment horizontal="center" vertical="center"/>
    </xf>
    <xf numFmtId="37" fontId="3" fillId="2" borderId="1" xfId="0" applyNumberFormat="1" applyFont="1" applyFill="1" applyBorder="1" applyAlignment="1" applyProtection="1">
      <alignment horizontal="left" vertical="center"/>
    </xf>
    <xf numFmtId="37" fontId="4" fillId="2" borderId="5" xfId="0" applyNumberFormat="1" applyFont="1" applyFill="1" applyBorder="1" applyAlignment="1" applyProtection="1">
      <alignment horizontal="center" vertical="center"/>
    </xf>
    <xf numFmtId="0" fontId="4" fillId="2" borderId="5" xfId="0" applyFont="1" applyFill="1" applyBorder="1" applyAlignment="1">
      <alignment horizontal="center" vertical="center"/>
    </xf>
    <xf numFmtId="37" fontId="4" fillId="2" borderId="9" xfId="0" applyNumberFormat="1" applyFont="1" applyFill="1" applyBorder="1" applyAlignment="1" applyProtection="1">
      <alignment horizontal="left" vertical="center"/>
    </xf>
    <xf numFmtId="37" fontId="4" fillId="2" borderId="3" xfId="0" applyNumberFormat="1" applyFont="1" applyFill="1" applyBorder="1" applyAlignment="1" applyProtection="1">
      <alignment horizontal="center" vertical="center"/>
    </xf>
    <xf numFmtId="0" fontId="4" fillId="2" borderId="2" xfId="0" applyFont="1" applyFill="1" applyBorder="1" applyAlignment="1" applyProtection="1">
      <alignment vertical="center"/>
    </xf>
    <xf numFmtId="0" fontId="4" fillId="2" borderId="10" xfId="0" applyFont="1" applyFill="1" applyBorder="1" applyAlignment="1" applyProtection="1">
      <alignment vertical="center"/>
    </xf>
    <xf numFmtId="37" fontId="12" fillId="2" borderId="9" xfId="0" applyNumberFormat="1" applyFont="1" applyFill="1" applyBorder="1" applyAlignment="1" applyProtection="1">
      <alignment horizontal="left" vertical="center"/>
    </xf>
    <xf numFmtId="37" fontId="12" fillId="2" borderId="7" xfId="0" applyNumberFormat="1" applyFont="1" applyFill="1" applyBorder="1" applyAlignment="1" applyProtection="1">
      <alignment horizontal="center" vertical="center"/>
    </xf>
    <xf numFmtId="0" fontId="4" fillId="2" borderId="3" xfId="0" applyFont="1" applyFill="1" applyBorder="1" applyAlignment="1" applyProtection="1">
      <alignment horizontal="center" vertical="center"/>
    </xf>
    <xf numFmtId="0" fontId="4" fillId="2" borderId="5" xfId="0" applyFont="1" applyFill="1" applyBorder="1" applyAlignment="1" applyProtection="1">
      <alignment vertical="center"/>
    </xf>
    <xf numFmtId="37" fontId="4" fillId="9" borderId="3" xfId="0" applyNumberFormat="1" applyFont="1" applyFill="1" applyBorder="1" applyAlignment="1" applyProtection="1">
      <alignment horizontal="center" vertical="center"/>
    </xf>
    <xf numFmtId="37" fontId="4" fillId="2" borderId="9" xfId="0" applyNumberFormat="1" applyFont="1" applyFill="1" applyBorder="1" applyAlignment="1" applyProtection="1">
      <alignment vertical="center"/>
    </xf>
    <xf numFmtId="0" fontId="4" fillId="2" borderId="7" xfId="0" applyFont="1" applyFill="1" applyBorder="1" applyAlignment="1" applyProtection="1">
      <alignment horizontal="center" vertical="center"/>
    </xf>
    <xf numFmtId="37" fontId="4" fillId="2" borderId="7" xfId="0" applyNumberFormat="1" applyFont="1" applyFill="1" applyBorder="1" applyAlignment="1" applyProtection="1">
      <alignment horizontal="center" vertical="center"/>
    </xf>
    <xf numFmtId="0" fontId="4" fillId="2" borderId="11" xfId="0" applyFont="1" applyFill="1" applyBorder="1" applyAlignment="1" applyProtection="1">
      <alignment horizontal="center" vertical="center"/>
    </xf>
    <xf numFmtId="0" fontId="4" fillId="2" borderId="12" xfId="0" applyFont="1" applyFill="1" applyBorder="1" applyAlignment="1" applyProtection="1">
      <alignment horizontal="center" vertical="center"/>
    </xf>
    <xf numFmtId="0" fontId="4" fillId="10" borderId="3" xfId="0" applyFont="1" applyFill="1" applyBorder="1" applyAlignment="1" applyProtection="1">
      <alignment vertical="center"/>
    </xf>
    <xf numFmtId="37" fontId="4" fillId="10" borderId="3" xfId="0" applyNumberFormat="1" applyFont="1" applyFill="1" applyBorder="1" applyAlignment="1" applyProtection="1">
      <alignment vertical="center"/>
    </xf>
    <xf numFmtId="0" fontId="0" fillId="10" borderId="3" xfId="0" applyFill="1" applyBorder="1" applyAlignment="1" applyProtection="1">
      <alignment vertical="center"/>
    </xf>
    <xf numFmtId="0" fontId="15" fillId="10" borderId="7" xfId="0" applyFont="1" applyFill="1" applyBorder="1" applyAlignment="1" applyProtection="1">
      <alignment horizontal="center" vertical="center"/>
    </xf>
    <xf numFmtId="37" fontId="4" fillId="2" borderId="0" xfId="0" applyNumberFormat="1" applyFont="1" applyFill="1" applyAlignment="1" applyProtection="1">
      <alignment horizontal="right" vertical="center"/>
    </xf>
    <xf numFmtId="0" fontId="4" fillId="2" borderId="0" xfId="0" applyFont="1" applyFill="1" applyBorder="1" applyAlignment="1" applyProtection="1">
      <alignment horizontal="right" vertical="center"/>
    </xf>
    <xf numFmtId="0" fontId="4" fillId="2" borderId="0" xfId="0" applyFont="1" applyFill="1" applyAlignment="1" applyProtection="1">
      <alignment horizontal="left" vertical="center"/>
    </xf>
    <xf numFmtId="0" fontId="4" fillId="2" borderId="0" xfId="0" applyFont="1" applyFill="1" applyAlignment="1" applyProtection="1">
      <alignment horizontal="center" vertical="center"/>
    </xf>
    <xf numFmtId="0" fontId="4" fillId="2" borderId="0" xfId="0" applyFont="1" applyFill="1" applyAlignment="1">
      <alignment vertical="center"/>
    </xf>
    <xf numFmtId="37" fontId="4" fillId="2" borderId="0" xfId="0" applyNumberFormat="1" applyFont="1" applyFill="1" applyAlignment="1">
      <alignment vertical="center"/>
    </xf>
    <xf numFmtId="0" fontId="3" fillId="2" borderId="0" xfId="0" applyFont="1" applyFill="1" applyAlignment="1">
      <alignment horizontal="center" vertical="center"/>
    </xf>
    <xf numFmtId="0" fontId="3" fillId="2" borderId="0" xfId="0" applyFont="1" applyFill="1" applyAlignment="1">
      <alignment horizontal="center" vertical="center" wrapText="1"/>
    </xf>
    <xf numFmtId="0" fontId="4" fillId="2" borderId="0" xfId="0" quotePrefix="1" applyFont="1" applyFill="1" applyAlignment="1">
      <alignment horizontal="right" vertical="center"/>
    </xf>
    <xf numFmtId="3" fontId="4" fillId="2" borderId="0" xfId="0" applyNumberFormat="1" applyFont="1" applyFill="1" applyAlignment="1">
      <alignment vertical="center"/>
    </xf>
    <xf numFmtId="3" fontId="4" fillId="2" borderId="0" xfId="0" quotePrefix="1" applyNumberFormat="1" applyFont="1" applyFill="1" applyAlignment="1">
      <alignment vertical="center"/>
    </xf>
    <xf numFmtId="3" fontId="4" fillId="2" borderId="1" xfId="0" applyNumberFormat="1" applyFont="1" applyFill="1" applyBorder="1" applyAlignment="1">
      <alignment vertical="center"/>
    </xf>
    <xf numFmtId="3" fontId="4" fillId="2" borderId="6" xfId="0" applyNumberFormat="1" applyFont="1" applyFill="1" applyBorder="1" applyAlignment="1" applyProtection="1">
      <alignment horizontal="right" vertical="center"/>
    </xf>
    <xf numFmtId="0" fontId="3" fillId="2" borderId="0" xfId="0" applyFont="1" applyFill="1" applyAlignment="1">
      <alignment vertical="center"/>
    </xf>
    <xf numFmtId="3" fontId="4" fillId="2" borderId="6" xfId="0" applyNumberFormat="1" applyFont="1" applyFill="1" applyBorder="1" applyAlignment="1">
      <alignment vertical="center"/>
    </xf>
    <xf numFmtId="3" fontId="4" fillId="2" borderId="0" xfId="0" applyNumberFormat="1" applyFont="1" applyFill="1" applyBorder="1" applyAlignment="1">
      <alignment vertical="center"/>
    </xf>
    <xf numFmtId="0" fontId="4" fillId="2" borderId="0" xfId="0" quotePrefix="1" applyFont="1" applyFill="1" applyAlignment="1">
      <alignment vertical="center"/>
    </xf>
    <xf numFmtId="0" fontId="4" fillId="2" borderId="0" xfId="0" applyFont="1" applyFill="1" applyAlignment="1">
      <alignment horizontal="right" vertical="center"/>
    </xf>
    <xf numFmtId="3" fontId="4" fillId="2" borderId="8" xfId="0" applyNumberFormat="1" applyFont="1" applyFill="1" applyBorder="1" applyAlignment="1">
      <alignment vertical="center"/>
    </xf>
    <xf numFmtId="0" fontId="4" fillId="2" borderId="8" xfId="0" applyFont="1" applyFill="1" applyBorder="1" applyAlignment="1">
      <alignment vertical="center"/>
    </xf>
    <xf numFmtId="0" fontId="4" fillId="2" borderId="0" xfId="0" applyFont="1" applyFill="1" applyBorder="1" applyAlignment="1">
      <alignment vertical="center"/>
    </xf>
    <xf numFmtId="167" fontId="4" fillId="2" borderId="1" xfId="0" applyNumberFormat="1" applyFont="1" applyFill="1" applyBorder="1" applyAlignment="1">
      <alignment vertical="center"/>
    </xf>
    <xf numFmtId="0" fontId="4" fillId="2" borderId="0" xfId="0" quotePrefix="1" applyFont="1" applyFill="1" applyBorder="1" applyAlignment="1">
      <alignment vertical="center"/>
    </xf>
    <xf numFmtId="3" fontId="4" fillId="2" borderId="13" xfId="0" applyNumberFormat="1" applyFont="1" applyFill="1" applyBorder="1" applyAlignment="1">
      <alignment vertical="center"/>
    </xf>
    <xf numFmtId="3" fontId="4" fillId="2" borderId="1" xfId="1" applyNumberFormat="1" applyFont="1" applyFill="1" applyBorder="1" applyAlignment="1" applyProtection="1">
      <alignment vertical="center"/>
    </xf>
    <xf numFmtId="37" fontId="4" fillId="2" borderId="0" xfId="0" applyNumberFormat="1" applyFont="1" applyFill="1" applyAlignment="1" applyProtection="1">
      <alignment vertical="center"/>
    </xf>
    <xf numFmtId="0" fontId="4" fillId="2" borderId="1" xfId="0" applyFont="1" applyFill="1" applyBorder="1" applyAlignment="1" applyProtection="1">
      <alignment horizontal="centerContinuous" vertical="center"/>
    </xf>
    <xf numFmtId="0" fontId="4" fillId="2" borderId="2" xfId="0" applyFont="1" applyFill="1" applyBorder="1" applyAlignment="1" applyProtection="1">
      <alignment horizontal="center" vertical="center"/>
    </xf>
    <xf numFmtId="37" fontId="4" fillId="2" borderId="12" xfId="0" applyNumberFormat="1" applyFont="1" applyFill="1" applyBorder="1" applyAlignment="1" applyProtection="1">
      <alignment horizontal="center" vertical="center"/>
    </xf>
    <xf numFmtId="0" fontId="4" fillId="2" borderId="5" xfId="0" applyFont="1" applyFill="1" applyBorder="1" applyAlignment="1" applyProtection="1">
      <alignment horizontal="center" vertical="center"/>
    </xf>
    <xf numFmtId="37" fontId="4" fillId="9" borderId="14" xfId="0" applyNumberFormat="1" applyFont="1" applyFill="1" applyBorder="1" applyAlignment="1" applyProtection="1">
      <alignment horizontal="center" vertical="center"/>
    </xf>
    <xf numFmtId="166" fontId="4" fillId="2" borderId="0" xfId="0" applyNumberFormat="1" applyFont="1" applyFill="1" applyAlignment="1" applyProtection="1">
      <alignment vertical="center"/>
    </xf>
    <xf numFmtId="165" fontId="4" fillId="9" borderId="1" xfId="0" applyNumberFormat="1" applyFont="1" applyFill="1" applyBorder="1" applyAlignment="1" applyProtection="1">
      <alignment vertical="center"/>
    </xf>
    <xf numFmtId="0" fontId="3" fillId="2" borderId="1" xfId="0"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0" fontId="3" fillId="2" borderId="10" xfId="0" applyFont="1" applyFill="1" applyBorder="1" applyAlignment="1" applyProtection="1">
      <alignment horizontal="center" vertical="center"/>
    </xf>
    <xf numFmtId="0" fontId="3" fillId="2" borderId="5" xfId="0" applyFont="1" applyFill="1" applyBorder="1" applyAlignment="1" applyProtection="1">
      <alignment horizontal="center" vertical="center"/>
    </xf>
    <xf numFmtId="1" fontId="4" fillId="2" borderId="5" xfId="0" applyNumberFormat="1" applyFont="1" applyFill="1" applyBorder="1" applyAlignment="1" applyProtection="1">
      <alignment horizontal="center" vertical="center"/>
    </xf>
    <xf numFmtId="0" fontId="4" fillId="4" borderId="5" xfId="0" applyFont="1" applyFill="1" applyBorder="1" applyAlignment="1" applyProtection="1">
      <alignment vertical="center"/>
      <protection locked="0"/>
    </xf>
    <xf numFmtId="170" fontId="4" fillId="4" borderId="5" xfId="1" applyNumberFormat="1" applyFont="1" applyFill="1" applyBorder="1" applyAlignment="1" applyProtection="1">
      <alignment horizontal="center" vertical="center"/>
      <protection locked="0"/>
    </xf>
    <xf numFmtId="0" fontId="4" fillId="4" borderId="5" xfId="0" applyFont="1" applyFill="1" applyBorder="1" applyAlignment="1" applyProtection="1">
      <alignment horizontal="center" vertical="center"/>
      <protection locked="0"/>
    </xf>
    <xf numFmtId="0" fontId="4" fillId="4" borderId="3" xfId="0" applyFont="1" applyFill="1" applyBorder="1" applyAlignment="1" applyProtection="1">
      <alignment vertical="center"/>
      <protection locked="0"/>
    </xf>
    <xf numFmtId="170" fontId="4" fillId="4" borderId="3" xfId="1" applyNumberFormat="1"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xf>
    <xf numFmtId="3" fontId="4" fillId="9" borderId="3" xfId="0" applyNumberFormat="1" applyFont="1" applyFill="1" applyBorder="1" applyAlignment="1" applyProtection="1">
      <alignment horizontal="center" vertical="center"/>
    </xf>
    <xf numFmtId="0" fontId="4" fillId="2" borderId="0" xfId="0" applyFont="1" applyFill="1" applyAlignment="1" applyProtection="1">
      <alignment horizontal="center" vertical="center"/>
      <protection locked="0"/>
    </xf>
    <xf numFmtId="37" fontId="3" fillId="2" borderId="3" xfId="0" applyNumberFormat="1" applyFont="1" applyFill="1" applyBorder="1" applyAlignment="1" applyProtection="1">
      <alignment horizontal="center" vertical="center"/>
    </xf>
    <xf numFmtId="0" fontId="4" fillId="4" borderId="3" xfId="0" applyFont="1" applyFill="1" applyBorder="1" applyAlignment="1" applyProtection="1">
      <alignment horizontal="center" vertical="center"/>
      <protection locked="0"/>
    </xf>
    <xf numFmtId="1" fontId="4" fillId="2" borderId="0" xfId="0" applyNumberFormat="1" applyFont="1" applyFill="1" applyBorder="1" applyAlignment="1" applyProtection="1">
      <alignment horizontal="right" vertical="center"/>
    </xf>
    <xf numFmtId="0" fontId="3" fillId="2" borderId="0" xfId="517" applyFont="1" applyFill="1" applyAlignment="1" applyProtection="1">
      <alignment horizontal="centerContinuous" vertical="center"/>
    </xf>
    <xf numFmtId="0" fontId="4" fillId="2" borderId="1" xfId="0" applyFont="1" applyFill="1" applyBorder="1" applyAlignment="1" applyProtection="1">
      <alignment horizontal="fill" vertical="center"/>
    </xf>
    <xf numFmtId="0" fontId="4" fillId="2" borderId="15" xfId="0" applyFont="1" applyFill="1" applyBorder="1" applyAlignment="1" applyProtection="1">
      <alignment horizontal="centerContinuous" vertical="center"/>
    </xf>
    <xf numFmtId="0" fontId="4" fillId="2" borderId="12" xfId="0" applyFont="1" applyFill="1" applyBorder="1" applyAlignment="1" applyProtection="1">
      <alignment horizontal="centerContinuous" vertical="center"/>
    </xf>
    <xf numFmtId="0" fontId="4" fillId="2" borderId="10" xfId="0" applyFont="1" applyFill="1" applyBorder="1" applyAlignment="1" applyProtection="1">
      <alignment horizontal="center" vertical="center"/>
    </xf>
    <xf numFmtId="1" fontId="4" fillId="2" borderId="16" xfId="0" applyNumberFormat="1" applyFont="1" applyFill="1" applyBorder="1" applyAlignment="1" applyProtection="1">
      <alignment horizontal="center" vertical="center"/>
    </xf>
    <xf numFmtId="0" fontId="4" fillId="2" borderId="3" xfId="0" applyFont="1" applyFill="1" applyBorder="1" applyAlignment="1" applyProtection="1">
      <alignment horizontal="left" vertical="center"/>
    </xf>
    <xf numFmtId="2" fontId="4" fillId="2" borderId="3" xfId="0" applyNumberFormat="1" applyFont="1" applyFill="1" applyBorder="1" applyAlignment="1" applyProtection="1">
      <alignment vertical="center"/>
    </xf>
    <xf numFmtId="3" fontId="4" fillId="2" borderId="3" xfId="0" applyNumberFormat="1" applyFont="1" applyFill="1" applyBorder="1" applyAlignment="1" applyProtection="1">
      <alignment vertical="center"/>
    </xf>
    <xf numFmtId="2" fontId="4" fillId="8" borderId="3" xfId="0" applyNumberFormat="1" applyFont="1" applyFill="1" applyBorder="1" applyAlignment="1" applyProtection="1">
      <alignment horizontal="center" vertical="center"/>
      <protection locked="0"/>
    </xf>
    <xf numFmtId="3" fontId="4" fillId="8" borderId="3" xfId="0" applyNumberFormat="1" applyFont="1" applyFill="1" applyBorder="1" applyAlignment="1" applyProtection="1">
      <alignment horizontal="center" vertical="center"/>
      <protection locked="0"/>
    </xf>
    <xf numFmtId="37" fontId="4" fillId="8" borderId="3" xfId="0" applyNumberFormat="1" applyFont="1" applyFill="1" applyBorder="1" applyAlignment="1" applyProtection="1">
      <alignment horizontal="center" vertical="center"/>
      <protection locked="0"/>
    </xf>
    <xf numFmtId="169" fontId="4" fillId="8" borderId="3" xfId="0" applyNumberFormat="1" applyFont="1" applyFill="1" applyBorder="1" applyAlignment="1" applyProtection="1">
      <alignment horizontal="center" vertical="center"/>
      <protection locked="0"/>
    </xf>
    <xf numFmtId="0" fontId="3" fillId="2" borderId="3" xfId="0" applyFont="1" applyFill="1" applyBorder="1" applyAlignment="1" applyProtection="1">
      <alignment horizontal="left" vertical="center"/>
    </xf>
    <xf numFmtId="168" fontId="3" fillId="2" borderId="3" xfId="0" applyNumberFormat="1" applyFont="1" applyFill="1" applyBorder="1" applyAlignment="1" applyProtection="1">
      <alignment horizontal="center" vertical="center"/>
    </xf>
    <xf numFmtId="2" fontId="3" fillId="2" borderId="3" xfId="0" applyNumberFormat="1" applyFont="1" applyFill="1" applyBorder="1" applyAlignment="1" applyProtection="1">
      <alignment horizontal="center" vertical="center"/>
    </xf>
    <xf numFmtId="3" fontId="3" fillId="2" borderId="3" xfId="0" applyNumberFormat="1" applyFont="1" applyFill="1" applyBorder="1" applyAlignment="1" applyProtection="1">
      <alignment horizontal="center" vertical="center"/>
    </xf>
    <xf numFmtId="37" fontId="3" fillId="9" borderId="3" xfId="0" applyNumberFormat="1" applyFont="1" applyFill="1" applyBorder="1" applyAlignment="1" applyProtection="1">
      <alignment horizontal="center" vertical="center"/>
    </xf>
    <xf numFmtId="169" fontId="3" fillId="2" borderId="3" xfId="0" applyNumberFormat="1" applyFont="1" applyFill="1" applyBorder="1" applyAlignment="1" applyProtection="1">
      <alignment horizontal="center" vertical="center"/>
    </xf>
    <xf numFmtId="168" fontId="4" fillId="2" borderId="3" xfId="0" applyNumberFormat="1" applyFont="1" applyFill="1" applyBorder="1" applyAlignment="1" applyProtection="1">
      <alignment horizontal="center" vertical="center"/>
    </xf>
    <xf numFmtId="2" fontId="4" fillId="2" borderId="3" xfId="0" applyNumberFormat="1" applyFont="1" applyFill="1" applyBorder="1" applyAlignment="1" applyProtection="1">
      <alignment horizontal="center" vertical="center"/>
    </xf>
    <xf numFmtId="3" fontId="4" fillId="2" borderId="3" xfId="0" applyNumberFormat="1" applyFont="1" applyFill="1" applyBorder="1" applyAlignment="1" applyProtection="1">
      <alignment horizontal="center" vertical="center"/>
    </xf>
    <xf numFmtId="169" fontId="4" fillId="2" borderId="3" xfId="0" applyNumberFormat="1" applyFont="1" applyFill="1" applyBorder="1" applyAlignment="1" applyProtection="1">
      <alignment horizontal="center" vertical="center"/>
    </xf>
    <xf numFmtId="1" fontId="3" fillId="2" borderId="3" xfId="0" applyNumberFormat="1" applyFont="1" applyFill="1" applyBorder="1" applyAlignment="1" applyProtection="1">
      <alignment horizontal="center" vertical="center"/>
    </xf>
    <xf numFmtId="3" fontId="3" fillId="9" borderId="3" xfId="0" applyNumberFormat="1" applyFont="1" applyFill="1" applyBorder="1" applyAlignment="1" applyProtection="1">
      <alignment horizontal="center" vertical="center"/>
    </xf>
    <xf numFmtId="1" fontId="4" fillId="2" borderId="3" xfId="0" applyNumberFormat="1" applyFont="1" applyFill="1" applyBorder="1" applyAlignment="1" applyProtection="1">
      <alignment horizontal="center" vertical="center"/>
    </xf>
    <xf numFmtId="37" fontId="4" fillId="0" borderId="0" xfId="0" applyNumberFormat="1" applyFont="1" applyAlignment="1" applyProtection="1">
      <alignment vertical="center"/>
      <protection locked="0"/>
    </xf>
    <xf numFmtId="0" fontId="4" fillId="0" borderId="0" xfId="0" applyFont="1" applyAlignment="1" applyProtection="1">
      <alignment horizontal="left" vertical="center"/>
      <protection locked="0"/>
    </xf>
    <xf numFmtId="0" fontId="4" fillId="2" borderId="0" xfId="0" applyNumberFormat="1" applyFont="1" applyFill="1" applyAlignment="1" applyProtection="1">
      <alignment horizontal="right" vertical="center"/>
    </xf>
    <xf numFmtId="0" fontId="3" fillId="2" borderId="0" xfId="0" applyFont="1" applyFill="1" applyAlignment="1" applyProtection="1">
      <alignment vertical="center"/>
    </xf>
    <xf numFmtId="0" fontId="4" fillId="2" borderId="0" xfId="0" applyFont="1" applyFill="1" applyBorder="1" applyAlignment="1" applyProtection="1">
      <alignment horizontal="fill" vertical="center"/>
    </xf>
    <xf numFmtId="1" fontId="4" fillId="2" borderId="15" xfId="0" applyNumberFormat="1" applyFont="1" applyFill="1" applyBorder="1" applyAlignment="1" applyProtection="1">
      <alignment horizontal="center" vertical="center"/>
    </xf>
    <xf numFmtId="37" fontId="4" fillId="2" borderId="15" xfId="0" applyNumberFormat="1" applyFont="1" applyFill="1" applyBorder="1" applyAlignment="1" applyProtection="1">
      <alignment horizontal="center" vertical="center"/>
    </xf>
    <xf numFmtId="0" fontId="4" fillId="2" borderId="5" xfId="0" applyNumberFormat="1" applyFont="1" applyFill="1" applyBorder="1" applyAlignment="1" applyProtection="1">
      <alignment horizontal="center" vertical="center"/>
    </xf>
    <xf numFmtId="0" fontId="4" fillId="2" borderId="9" xfId="0" applyFont="1" applyFill="1" applyBorder="1" applyAlignment="1" applyProtection="1">
      <alignment horizontal="left" vertical="center"/>
    </xf>
    <xf numFmtId="37" fontId="4" fillId="8" borderId="9" xfId="0" applyNumberFormat="1" applyFont="1" applyFill="1" applyBorder="1" applyAlignment="1" applyProtection="1">
      <alignment vertical="center"/>
      <protection locked="0"/>
    </xf>
    <xf numFmtId="37" fontId="4" fillId="8" borderId="7" xfId="0" applyNumberFormat="1" applyFont="1" applyFill="1" applyBorder="1" applyAlignment="1" applyProtection="1">
      <alignment vertical="center"/>
      <protection locked="0"/>
    </xf>
    <xf numFmtId="3" fontId="4" fillId="2" borderId="9" xfId="0" applyNumberFormat="1" applyFont="1" applyFill="1" applyBorder="1" applyAlignment="1" applyProtection="1">
      <alignment vertical="center"/>
    </xf>
    <xf numFmtId="0" fontId="4" fillId="2" borderId="16" xfId="0" applyFont="1" applyFill="1" applyBorder="1" applyAlignment="1" applyProtection="1">
      <alignment horizontal="left" vertical="center"/>
    </xf>
    <xf numFmtId="3" fontId="4" fillId="8" borderId="9" xfId="0" applyNumberFormat="1" applyFont="1" applyFill="1" applyBorder="1" applyAlignment="1" applyProtection="1">
      <alignment vertical="center"/>
      <protection locked="0"/>
    </xf>
    <xf numFmtId="3" fontId="4" fillId="8" borderId="7" xfId="0" applyNumberFormat="1" applyFont="1" applyFill="1" applyBorder="1" applyAlignment="1" applyProtection="1">
      <alignment vertical="center"/>
      <protection locked="0"/>
    </xf>
    <xf numFmtId="37" fontId="4" fillId="2" borderId="3" xfId="0" applyNumberFormat="1" applyFont="1" applyFill="1" applyBorder="1" applyAlignment="1" applyProtection="1">
      <alignment horizontal="fill" vertical="center"/>
    </xf>
    <xf numFmtId="37" fontId="4" fillId="8" borderId="3" xfId="0" applyNumberFormat="1" applyFont="1" applyFill="1" applyBorder="1" applyAlignment="1" applyProtection="1">
      <alignment vertical="center"/>
      <protection locked="0"/>
    </xf>
    <xf numFmtId="0" fontId="4" fillId="8" borderId="9" xfId="0" applyFont="1" applyFill="1" applyBorder="1" applyAlignment="1" applyProtection="1">
      <alignment horizontal="left" vertical="center"/>
      <protection locked="0"/>
    </xf>
    <xf numFmtId="37" fontId="15" fillId="10" borderId="9" xfId="0" applyNumberFormat="1" applyFont="1" applyFill="1" applyBorder="1" applyAlignment="1" applyProtection="1">
      <alignment horizontal="center" vertical="center"/>
    </xf>
    <xf numFmtId="37" fontId="15" fillId="10" borderId="7" xfId="0" applyNumberFormat="1" applyFont="1" applyFill="1" applyBorder="1" applyAlignment="1" applyProtection="1">
      <alignment horizontal="center" vertical="center"/>
    </xf>
    <xf numFmtId="37" fontId="3" fillId="2" borderId="9" xfId="0" applyNumberFormat="1" applyFont="1" applyFill="1" applyBorder="1" applyAlignment="1" applyProtection="1">
      <alignment horizontal="left" vertical="center"/>
    </xf>
    <xf numFmtId="37" fontId="3" fillId="9" borderId="3" xfId="0" applyNumberFormat="1" applyFont="1" applyFill="1" applyBorder="1" applyAlignment="1" applyProtection="1">
      <alignment vertical="center"/>
    </xf>
    <xf numFmtId="3" fontId="3" fillId="9" borderId="9" xfId="0" applyNumberFormat="1" applyFont="1" applyFill="1" applyBorder="1" applyAlignment="1" applyProtection="1">
      <alignment vertical="center"/>
    </xf>
    <xf numFmtId="3" fontId="3" fillId="9" borderId="3" xfId="0" applyNumberFormat="1" applyFont="1" applyFill="1" applyBorder="1" applyAlignment="1" applyProtection="1">
      <alignment vertical="center"/>
    </xf>
    <xf numFmtId="0" fontId="3" fillId="2" borderId="0" xfId="0" applyFont="1" applyFill="1" applyAlignment="1" applyProtection="1">
      <alignment horizontal="left" vertical="center"/>
    </xf>
    <xf numFmtId="0" fontId="3" fillId="2" borderId="9" xfId="0" applyFont="1" applyFill="1" applyBorder="1" applyAlignment="1" applyProtection="1">
      <alignment horizontal="left" vertical="center"/>
    </xf>
    <xf numFmtId="3" fontId="4" fillId="9" borderId="9" xfId="0" applyNumberFormat="1" applyFont="1" applyFill="1" applyBorder="1" applyAlignment="1" applyProtection="1">
      <alignment vertical="center"/>
    </xf>
    <xf numFmtId="3" fontId="4" fillId="0" borderId="0" xfId="0" applyNumberFormat="1" applyFont="1" applyFill="1" applyBorder="1" applyAlignment="1" applyProtection="1">
      <alignment vertical="center"/>
      <protection locked="0"/>
    </xf>
    <xf numFmtId="0" fontId="4" fillId="9" borderId="9" xfId="0" applyFont="1" applyFill="1" applyBorder="1" applyAlignment="1" applyProtection="1">
      <alignment vertical="center"/>
    </xf>
    <xf numFmtId="0" fontId="4" fillId="8" borderId="9" xfId="0" applyFont="1" applyFill="1" applyBorder="1" applyAlignment="1" applyProtection="1">
      <alignment vertical="center"/>
      <protection locked="0"/>
    </xf>
    <xf numFmtId="0" fontId="4" fillId="2" borderId="9" xfId="0" applyFont="1" applyFill="1" applyBorder="1" applyAlignment="1" applyProtection="1">
      <alignment vertical="center"/>
    </xf>
    <xf numFmtId="37" fontId="4" fillId="9" borderId="3" xfId="0" applyNumberFormat="1" applyFont="1" applyFill="1" applyBorder="1" applyAlignment="1" applyProtection="1">
      <alignment vertical="center"/>
    </xf>
    <xf numFmtId="0" fontId="15" fillId="0" borderId="0" xfId="0" applyFont="1" applyAlignment="1" applyProtection="1">
      <alignment vertical="center"/>
    </xf>
    <xf numFmtId="0" fontId="13" fillId="2" borderId="0" xfId="0" applyFont="1" applyFill="1" applyAlignment="1" applyProtection="1">
      <alignment horizontal="center" vertical="center"/>
    </xf>
    <xf numFmtId="0" fontId="4" fillId="2" borderId="0" xfId="0" applyFont="1" applyFill="1" applyAlignment="1" applyProtection="1">
      <alignment horizontal="fill" vertical="center"/>
    </xf>
    <xf numFmtId="1" fontId="4" fillId="2" borderId="2" xfId="0" applyNumberFormat="1" applyFont="1" applyFill="1" applyBorder="1" applyAlignment="1" applyProtection="1">
      <alignment horizontal="center" vertical="center"/>
    </xf>
    <xf numFmtId="0" fontId="4" fillId="8" borderId="3" xfId="0" applyFont="1" applyFill="1" applyBorder="1" applyAlignment="1" applyProtection="1">
      <alignment horizontal="left" vertical="center"/>
      <protection locked="0"/>
    </xf>
    <xf numFmtId="0" fontId="4" fillId="4" borderId="0" xfId="0" applyFont="1" applyFill="1" applyAlignment="1" applyProtection="1">
      <alignment horizontal="left" vertical="center"/>
      <protection locked="0"/>
    </xf>
    <xf numFmtId="37" fontId="3" fillId="9" borderId="14" xfId="0" applyNumberFormat="1" applyFont="1" applyFill="1" applyBorder="1" applyAlignment="1" applyProtection="1">
      <alignment vertical="center"/>
    </xf>
    <xf numFmtId="0" fontId="15" fillId="2" borderId="0" xfId="0" applyFont="1" applyFill="1" applyAlignment="1" applyProtection="1">
      <alignment vertical="center"/>
    </xf>
    <xf numFmtId="37" fontId="4" fillId="2" borderId="16" xfId="0" applyNumberFormat="1" applyFont="1" applyFill="1" applyBorder="1" applyAlignment="1" applyProtection="1">
      <alignment horizontal="left" vertical="center"/>
    </xf>
    <xf numFmtId="3" fontId="4" fillId="2" borderId="3" xfId="0" applyNumberFormat="1" applyFont="1" applyFill="1" applyBorder="1" applyAlignment="1" applyProtection="1">
      <alignment horizontal="fill" vertical="center"/>
    </xf>
    <xf numFmtId="3" fontId="4" fillId="11" borderId="3" xfId="0" applyNumberFormat="1" applyFont="1" applyFill="1" applyBorder="1" applyAlignment="1" applyProtection="1">
      <alignment vertical="center"/>
    </xf>
    <xf numFmtId="1" fontId="4" fillId="2" borderId="0" xfId="0" applyNumberFormat="1" applyFont="1" applyFill="1" applyAlignment="1" applyProtection="1">
      <alignment horizontal="right" vertical="center"/>
    </xf>
    <xf numFmtId="37" fontId="4" fillId="2" borderId="0" xfId="0" applyNumberFormat="1" applyFont="1" applyFill="1" applyBorder="1" applyAlignment="1" applyProtection="1">
      <alignment horizontal="fill" vertical="center"/>
    </xf>
    <xf numFmtId="3" fontId="4" fillId="10" borderId="3" xfId="0" applyNumberFormat="1" applyFont="1" applyFill="1" applyBorder="1" applyAlignment="1" applyProtection="1">
      <alignment vertical="center"/>
    </xf>
    <xf numFmtId="3" fontId="4" fillId="0" borderId="0" xfId="0" applyNumberFormat="1" applyFont="1" applyAlignment="1" applyProtection="1">
      <alignment horizontal="fill" vertical="center"/>
      <protection locked="0"/>
    </xf>
    <xf numFmtId="0" fontId="4" fillId="4" borderId="9" xfId="0" applyFont="1" applyFill="1" applyBorder="1" applyAlignment="1" applyProtection="1">
      <alignment vertical="center"/>
      <protection locked="0"/>
    </xf>
    <xf numFmtId="3" fontId="4" fillId="2" borderId="3" xfId="0" applyNumberFormat="1" applyFont="1" applyFill="1" applyBorder="1" applyAlignment="1" applyProtection="1">
      <alignment vertical="center"/>
      <protection locked="0"/>
    </xf>
    <xf numFmtId="0" fontId="4" fillId="2" borderId="9" xfId="0" applyFont="1" applyFill="1" applyBorder="1" applyAlignment="1" applyProtection="1">
      <alignment vertical="center"/>
      <protection locked="0"/>
    </xf>
    <xf numFmtId="3" fontId="4" fillId="2" borderId="1" xfId="0" applyNumberFormat="1" applyFont="1" applyFill="1" applyBorder="1" applyAlignment="1" applyProtection="1">
      <alignment horizontal="fill" vertical="center"/>
    </xf>
    <xf numFmtId="0" fontId="4" fillId="2" borderId="15" xfId="0" applyFont="1" applyFill="1" applyBorder="1" applyAlignment="1" applyProtection="1">
      <alignment vertical="center"/>
    </xf>
    <xf numFmtId="166" fontId="4" fillId="2" borderId="1" xfId="0" applyNumberFormat="1" applyFont="1" applyFill="1" applyBorder="1" applyAlignment="1" applyProtection="1">
      <alignment vertical="center"/>
    </xf>
    <xf numFmtId="37" fontId="4" fillId="2" borderId="1" xfId="0" quotePrefix="1" applyNumberFormat="1" applyFont="1" applyFill="1" applyBorder="1" applyAlignment="1" applyProtection="1">
      <alignment horizontal="right" vertical="center"/>
    </xf>
    <xf numFmtId="37" fontId="4" fillId="8" borderId="9" xfId="0" applyNumberFormat="1" applyFont="1" applyFill="1" applyBorder="1" applyAlignment="1" applyProtection="1">
      <alignment horizontal="left" vertical="center"/>
      <protection locked="0"/>
    </xf>
    <xf numFmtId="37" fontId="15" fillId="10" borderId="3" xfId="0" applyNumberFormat="1" applyFont="1" applyFill="1" applyBorder="1" applyAlignment="1" applyProtection="1">
      <alignment horizontal="center" vertical="center"/>
    </xf>
    <xf numFmtId="0" fontId="4" fillId="2" borderId="0" xfId="0" applyFont="1" applyFill="1" applyAlignment="1">
      <alignment horizontal="center" vertical="center"/>
    </xf>
    <xf numFmtId="0" fontId="19" fillId="2" borderId="0" xfId="0" applyFont="1" applyFill="1" applyAlignment="1">
      <alignment horizontal="center" vertical="center"/>
    </xf>
    <xf numFmtId="0" fontId="12" fillId="2" borderId="0" xfId="0" applyFont="1" applyFill="1" applyAlignment="1">
      <alignment horizontal="center" vertical="center"/>
    </xf>
    <xf numFmtId="0" fontId="4" fillId="2" borderId="7" xfId="0" applyFont="1" applyFill="1" applyBorder="1" applyAlignment="1">
      <alignment horizontal="center" vertical="center"/>
    </xf>
    <xf numFmtId="0" fontId="11" fillId="2" borderId="2" xfId="0" applyFont="1" applyFill="1" applyBorder="1" applyAlignment="1">
      <alignment vertical="center"/>
    </xf>
    <xf numFmtId="0" fontId="11" fillId="2" borderId="7" xfId="0" applyFont="1" applyFill="1" applyBorder="1" applyAlignment="1">
      <alignment horizontal="center" vertical="center"/>
    </xf>
    <xf numFmtId="0" fontId="11" fillId="2" borderId="12" xfId="0" applyFont="1" applyFill="1" applyBorder="1" applyAlignment="1">
      <alignment vertical="center"/>
    </xf>
    <xf numFmtId="0" fontId="11" fillId="2" borderId="3" xfId="0" applyFont="1" applyFill="1" applyBorder="1" applyAlignment="1">
      <alignment horizontal="center" vertical="center"/>
    </xf>
    <xf numFmtId="0" fontId="4" fillId="2" borderId="7" xfId="0" applyFont="1" applyFill="1" applyBorder="1" applyAlignment="1">
      <alignment vertical="center"/>
    </xf>
    <xf numFmtId="0" fontId="4" fillId="2" borderId="3" xfId="0" applyFont="1" applyFill="1" applyBorder="1" applyAlignment="1">
      <alignment horizontal="center" vertical="center"/>
    </xf>
    <xf numFmtId="0" fontId="11" fillId="2" borderId="16" xfId="0" applyFont="1" applyFill="1" applyBorder="1" applyAlignment="1">
      <alignment vertical="center"/>
    </xf>
    <xf numFmtId="3" fontId="11" fillId="4" borderId="3" xfId="0" applyNumberFormat="1" applyFont="1" applyFill="1" applyBorder="1" applyAlignment="1" applyProtection="1">
      <alignment horizontal="center" vertical="center"/>
      <protection locked="0"/>
    </xf>
    <xf numFmtId="0" fontId="11" fillId="2" borderId="1" xfId="0" applyFont="1" applyFill="1" applyBorder="1" applyAlignment="1">
      <alignment vertical="center"/>
    </xf>
    <xf numFmtId="3" fontId="11" fillId="9" borderId="3" xfId="0" applyNumberFormat="1" applyFont="1" applyFill="1" applyBorder="1" applyAlignment="1">
      <alignment horizontal="center" vertical="center"/>
    </xf>
    <xf numFmtId="0" fontId="11" fillId="2" borderId="0" xfId="0" applyFont="1" applyFill="1" applyAlignment="1">
      <alignment vertical="center"/>
    </xf>
    <xf numFmtId="3" fontId="11" fillId="2" borderId="0" xfId="0" applyNumberFormat="1" applyFont="1" applyFill="1" applyAlignment="1">
      <alignment horizontal="center" vertical="center"/>
    </xf>
    <xf numFmtId="0" fontId="11" fillId="2" borderId="0" xfId="0" applyFont="1" applyFill="1" applyAlignment="1">
      <alignment horizontal="center" vertical="center"/>
    </xf>
    <xf numFmtId="0" fontId="11" fillId="4" borderId="3" xfId="0" applyFont="1" applyFill="1" applyBorder="1" applyAlignment="1" applyProtection="1">
      <alignment vertical="center"/>
      <protection locked="0"/>
    </xf>
    <xf numFmtId="0" fontId="11" fillId="4" borderId="12" xfId="0" applyFont="1" applyFill="1" applyBorder="1" applyAlignment="1" applyProtection="1">
      <alignment vertical="center"/>
      <protection locked="0"/>
    </xf>
    <xf numFmtId="0" fontId="11" fillId="4" borderId="0" xfId="0" applyFont="1" applyFill="1" applyAlignment="1" applyProtection="1">
      <alignment vertical="center"/>
      <protection locked="0"/>
    </xf>
    <xf numFmtId="0" fontId="11" fillId="4" borderId="7" xfId="0" applyFont="1" applyFill="1" applyBorder="1" applyAlignment="1" applyProtection="1">
      <alignment vertical="center"/>
      <protection locked="0"/>
    </xf>
    <xf numFmtId="0" fontId="11" fillId="4" borderId="5" xfId="0" applyFont="1" applyFill="1" applyBorder="1" applyAlignment="1" applyProtection="1">
      <alignment vertical="center"/>
      <protection locked="0"/>
    </xf>
    <xf numFmtId="0" fontId="11" fillId="4" borderId="11" xfId="0" applyFont="1" applyFill="1" applyBorder="1" applyAlignment="1" applyProtection="1">
      <alignment vertical="center"/>
      <protection locked="0"/>
    </xf>
    <xf numFmtId="3" fontId="17" fillId="10" borderId="3" xfId="0" applyNumberFormat="1" applyFont="1" applyFill="1" applyBorder="1" applyAlignment="1">
      <alignment horizontal="center" vertical="center"/>
    </xf>
    <xf numFmtId="3" fontId="4" fillId="0" borderId="0" xfId="0" applyNumberFormat="1" applyFont="1" applyAlignment="1">
      <alignment vertical="center"/>
    </xf>
    <xf numFmtId="0" fontId="4" fillId="9" borderId="0" xfId="0" applyFont="1" applyFill="1" applyAlignment="1">
      <alignment vertical="center"/>
    </xf>
    <xf numFmtId="0" fontId="4" fillId="0" borderId="0" xfId="0" applyFont="1" applyAlignment="1">
      <alignment horizontal="centerContinuous" vertical="center"/>
    </xf>
    <xf numFmtId="1" fontId="4" fillId="2" borderId="9" xfId="0" applyNumberFormat="1" applyFont="1" applyFill="1" applyBorder="1" applyAlignment="1" applyProtection="1">
      <alignment horizontal="centerContinuous" vertical="center"/>
    </xf>
    <xf numFmtId="164" fontId="4" fillId="2" borderId="3" xfId="0" applyNumberFormat="1" applyFont="1" applyFill="1" applyBorder="1" applyAlignment="1" applyProtection="1">
      <alignment vertical="center"/>
    </xf>
    <xf numFmtId="37" fontId="4" fillId="2" borderId="5" xfId="0" applyNumberFormat="1" applyFont="1" applyFill="1" applyBorder="1" applyAlignment="1" applyProtection="1">
      <alignment horizontal="fill" vertical="center"/>
    </xf>
    <xf numFmtId="1" fontId="5" fillId="2" borderId="0" xfId="0" applyNumberFormat="1" applyFont="1" applyFill="1" applyAlignment="1" applyProtection="1">
      <alignment horizontal="center" vertical="center"/>
    </xf>
    <xf numFmtId="3" fontId="4" fillId="2" borderId="1" xfId="0" applyNumberFormat="1" applyFont="1" applyFill="1" applyBorder="1" applyAlignment="1" applyProtection="1">
      <alignment horizontal="center" vertical="center"/>
    </xf>
    <xf numFmtId="0" fontId="4" fillId="2" borderId="2" xfId="0" applyFont="1" applyFill="1" applyBorder="1" applyAlignment="1" applyProtection="1">
      <alignment horizontal="center" vertical="center" wrapText="1"/>
    </xf>
    <xf numFmtId="0" fontId="4" fillId="2" borderId="12"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3" fontId="4" fillId="4" borderId="3" xfId="0" applyNumberFormat="1" applyFont="1" applyFill="1" applyBorder="1" applyAlignment="1" applyProtection="1">
      <alignment horizontal="center" vertical="center"/>
      <protection locked="0"/>
    </xf>
    <xf numFmtId="172" fontId="4" fillId="2" borderId="3" xfId="0" applyNumberFormat="1" applyFont="1" applyFill="1" applyBorder="1" applyAlignment="1" applyProtection="1">
      <alignment horizontal="center" vertical="center"/>
    </xf>
    <xf numFmtId="3" fontId="4" fillId="4" borderId="2" xfId="0" applyNumberFormat="1" applyFont="1" applyFill="1" applyBorder="1" applyAlignment="1" applyProtection="1">
      <alignment horizontal="center" vertical="center"/>
      <protection locked="0"/>
    </xf>
    <xf numFmtId="3" fontId="4" fillId="2" borderId="14" xfId="0" applyNumberFormat="1" applyFont="1" applyFill="1" applyBorder="1" applyAlignment="1" applyProtection="1">
      <alignment horizontal="center" vertical="center"/>
    </xf>
    <xf numFmtId="172" fontId="4" fillId="2" borderId="14" xfId="0" applyNumberFormat="1" applyFont="1" applyFill="1" applyBorder="1" applyAlignment="1" applyProtection="1">
      <alignment horizontal="center" vertical="center"/>
    </xf>
    <xf numFmtId="172" fontId="4" fillId="2" borderId="1" xfId="0" applyNumberFormat="1" applyFont="1" applyFill="1" applyBorder="1" applyAlignment="1" applyProtection="1">
      <alignment horizontal="center" vertical="center"/>
    </xf>
    <xf numFmtId="172" fontId="4" fillId="2" borderId="0" xfId="0" applyNumberFormat="1" applyFont="1" applyFill="1" applyBorder="1" applyAlignment="1" applyProtection="1">
      <alignment horizontal="center" vertical="center"/>
    </xf>
    <xf numFmtId="3" fontId="4" fillId="2" borderId="1" xfId="0" applyNumberFormat="1" applyFont="1" applyFill="1" applyBorder="1" applyAlignment="1">
      <alignment horizontal="center" vertical="center"/>
    </xf>
    <xf numFmtId="0" fontId="0" fillId="2" borderId="0" xfId="0" applyFill="1" applyAlignment="1">
      <alignment horizontal="center" vertical="center"/>
    </xf>
    <xf numFmtId="172" fontId="4" fillId="2" borderId="1" xfId="0" applyNumberFormat="1" applyFont="1" applyFill="1" applyBorder="1" applyAlignment="1">
      <alignment horizontal="center" vertical="center"/>
    </xf>
    <xf numFmtId="171" fontId="4" fillId="2" borderId="0" xfId="0" applyNumberFormat="1" applyFont="1" applyFill="1" applyBorder="1" applyAlignment="1" applyProtection="1">
      <alignment vertical="center"/>
    </xf>
    <xf numFmtId="0" fontId="5" fillId="0" borderId="0" xfId="0" applyFont="1" applyAlignment="1">
      <alignment vertical="center"/>
    </xf>
    <xf numFmtId="3" fontId="26" fillId="10" borderId="0" xfId="0" applyNumberFormat="1" applyFont="1" applyFill="1" applyAlignment="1">
      <alignment horizontal="center" vertical="center"/>
    </xf>
    <xf numFmtId="37" fontId="3" fillId="12" borderId="3" xfId="0" applyNumberFormat="1" applyFont="1" applyFill="1" applyBorder="1" applyAlignment="1" applyProtection="1">
      <alignment vertical="center"/>
    </xf>
    <xf numFmtId="37" fontId="4" fillId="12" borderId="3" xfId="0" applyNumberFormat="1" applyFont="1" applyFill="1" applyBorder="1" applyAlignment="1" applyProtection="1">
      <alignment vertical="center"/>
    </xf>
    <xf numFmtId="0" fontId="4" fillId="0" borderId="0" xfId="476" applyFont="1" applyAlignment="1">
      <alignment vertical="center"/>
    </xf>
    <xf numFmtId="0" fontId="4" fillId="0" borderId="0" xfId="130" applyFont="1" applyAlignment="1">
      <alignment vertical="center" wrapText="1"/>
    </xf>
    <xf numFmtId="0" fontId="4" fillId="4" borderId="1" xfId="0" applyFont="1" applyFill="1" applyBorder="1" applyAlignment="1" applyProtection="1">
      <alignment vertical="center"/>
      <protection locked="0"/>
    </xf>
    <xf numFmtId="0" fontId="4" fillId="4" borderId="6" xfId="0" applyFont="1" applyFill="1" applyBorder="1" applyAlignment="1" applyProtection="1">
      <alignment vertical="center"/>
      <protection locked="0"/>
    </xf>
    <xf numFmtId="0" fontId="28" fillId="0" borderId="0" xfId="481"/>
    <xf numFmtId="0" fontId="4" fillId="0" borderId="0" xfId="481" applyFont="1" applyAlignment="1">
      <alignment horizontal="left" vertical="center"/>
    </xf>
    <xf numFmtId="173" fontId="11" fillId="0" borderId="0" xfId="481" applyNumberFormat="1" applyFont="1" applyAlignment="1">
      <alignment horizontal="left" vertical="center"/>
    </xf>
    <xf numFmtId="49" fontId="4" fillId="0" borderId="0" xfId="481" applyNumberFormat="1" applyFont="1" applyAlignment="1">
      <alignment horizontal="left" vertical="center"/>
    </xf>
    <xf numFmtId="0" fontId="11" fillId="0" borderId="0" xfId="481" applyFont="1" applyAlignment="1">
      <alignment horizontal="left" vertical="center"/>
    </xf>
    <xf numFmtId="174" fontId="11" fillId="0" borderId="0" xfId="481" applyNumberFormat="1" applyFont="1" applyAlignment="1">
      <alignment horizontal="left" vertical="center"/>
    </xf>
    <xf numFmtId="0" fontId="27" fillId="0" borderId="0" xfId="182" applyFont="1" applyFill="1"/>
    <xf numFmtId="0" fontId="27" fillId="0" borderId="0" xfId="182" applyFont="1"/>
    <xf numFmtId="0" fontId="29" fillId="0" borderId="0" xfId="0" applyFont="1" applyAlignment="1">
      <alignment horizontal="center"/>
    </xf>
    <xf numFmtId="0" fontId="27" fillId="0" borderId="0" xfId="0" applyFont="1"/>
    <xf numFmtId="0" fontId="30" fillId="0" borderId="0" xfId="0" applyFont="1"/>
    <xf numFmtId="0" fontId="30" fillId="0" borderId="0" xfId="0" applyFont="1" applyAlignment="1"/>
    <xf numFmtId="0" fontId="27" fillId="0" borderId="0" xfId="0" quotePrefix="1" applyFont="1"/>
    <xf numFmtId="0" fontId="27" fillId="0" borderId="0" xfId="0" applyFont="1" applyAlignment="1"/>
    <xf numFmtId="0" fontId="0" fillId="0" borderId="0" xfId="0" applyAlignment="1"/>
    <xf numFmtId="0" fontId="30" fillId="0" borderId="0" xfId="0" applyFont="1" applyAlignment="1">
      <alignment horizontal="center"/>
    </xf>
    <xf numFmtId="0" fontId="4" fillId="0" borderId="0" xfId="94" applyFont="1" applyAlignment="1">
      <alignment vertical="center"/>
    </xf>
    <xf numFmtId="0" fontId="5" fillId="0" borderId="0" xfId="99" applyFont="1" applyAlignment="1">
      <alignment vertical="center"/>
    </xf>
    <xf numFmtId="0" fontId="4" fillId="0" borderId="0" xfId="298" applyFont="1" applyAlignment="1">
      <alignment vertical="center" wrapText="1"/>
    </xf>
    <xf numFmtId="0" fontId="4" fillId="0" borderId="0" xfId="120" applyFont="1" applyAlignment="1">
      <alignment vertical="center" wrapText="1"/>
    </xf>
    <xf numFmtId="0" fontId="4" fillId="2" borderId="0" xfId="0" applyFont="1" applyFill="1"/>
    <xf numFmtId="0" fontId="51" fillId="2" borderId="0" xfId="0" applyFont="1" applyFill="1" applyAlignment="1" applyProtection="1">
      <alignment horizontal="right" vertical="center"/>
      <protection locked="0"/>
    </xf>
    <xf numFmtId="0" fontId="7" fillId="2" borderId="0" xfId="0" applyFont="1" applyFill="1" applyAlignment="1" applyProtection="1">
      <alignment horizontal="left" vertical="center"/>
      <protection locked="0"/>
    </xf>
    <xf numFmtId="14" fontId="4" fillId="8" borderId="3" xfId="0" applyNumberFormat="1" applyFont="1" applyFill="1" applyBorder="1" applyAlignment="1" applyProtection="1">
      <alignment horizontal="center" vertical="center"/>
      <protection locked="0"/>
    </xf>
    <xf numFmtId="3" fontId="11" fillId="9" borderId="5" xfId="0" applyNumberFormat="1" applyFont="1" applyFill="1" applyBorder="1" applyAlignment="1">
      <alignment horizontal="center" vertical="center"/>
    </xf>
    <xf numFmtId="0" fontId="4" fillId="2" borderId="16" xfId="0" applyNumberFormat="1" applyFont="1" applyFill="1" applyBorder="1" applyAlignment="1" applyProtection="1">
      <alignment horizontal="center" vertical="center"/>
    </xf>
    <xf numFmtId="3" fontId="4" fillId="11" borderId="9" xfId="0" applyNumberFormat="1" applyFont="1" applyFill="1" applyBorder="1" applyAlignment="1" applyProtection="1">
      <alignment vertical="center"/>
    </xf>
    <xf numFmtId="0" fontId="13" fillId="2" borderId="0" xfId="0" applyFont="1" applyFill="1" applyBorder="1" applyAlignment="1" applyProtection="1">
      <alignment horizontal="center" vertical="center"/>
    </xf>
    <xf numFmtId="3" fontId="4" fillId="2" borderId="0" xfId="0" applyNumberFormat="1" applyFont="1" applyFill="1" applyBorder="1" applyAlignment="1" applyProtection="1">
      <alignment vertical="center"/>
    </xf>
    <xf numFmtId="3" fontId="4" fillId="2" borderId="0" xfId="0" applyNumberFormat="1" applyFont="1" applyFill="1" applyBorder="1" applyAlignment="1" applyProtection="1">
      <alignment horizontal="fill" vertical="center"/>
    </xf>
    <xf numFmtId="49" fontId="4" fillId="12" borderId="3" xfId="64" applyNumberFormat="1" applyFont="1" applyFill="1" applyBorder="1" applyAlignment="1" applyProtection="1">
      <alignment horizontal="center" vertical="center"/>
    </xf>
    <xf numFmtId="37" fontId="15" fillId="4" borderId="3" xfId="0" applyNumberFormat="1" applyFont="1" applyFill="1" applyBorder="1" applyAlignment="1" applyProtection="1">
      <alignment horizontal="center" vertical="center"/>
    </xf>
    <xf numFmtId="49" fontId="4" fillId="8" borderId="3" xfId="0" applyNumberFormat="1" applyFont="1" applyFill="1" applyBorder="1" applyAlignment="1" applyProtection="1">
      <alignment horizontal="center" vertical="center"/>
      <protection locked="0"/>
    </xf>
    <xf numFmtId="0" fontId="4" fillId="2" borderId="0" xfId="64" applyFont="1" applyFill="1" applyAlignment="1" applyProtection="1">
      <alignment horizontal="right" vertical="center"/>
    </xf>
    <xf numFmtId="172" fontId="4" fillId="2" borderId="0" xfId="501" applyNumberFormat="1" applyFont="1" applyFill="1" applyAlignment="1" applyProtection="1">
      <alignment horizontal="center" vertical="center"/>
    </xf>
    <xf numFmtId="0" fontId="2" fillId="0" borderId="0" xfId="59"/>
    <xf numFmtId="0" fontId="4" fillId="2" borderId="0" xfId="59" applyFont="1" applyFill="1" applyAlignment="1" applyProtection="1">
      <alignment vertical="center"/>
    </xf>
    <xf numFmtId="0" fontId="4" fillId="0" borderId="0" xfId="59" applyFont="1" applyAlignment="1" applyProtection="1">
      <alignment vertical="center"/>
      <protection locked="0"/>
    </xf>
    <xf numFmtId="37" fontId="4" fillId="2" borderId="0" xfId="59" applyNumberFormat="1" applyFont="1" applyFill="1" applyAlignment="1" applyProtection="1">
      <alignment horizontal="left" vertical="center"/>
    </xf>
    <xf numFmtId="0" fontId="3" fillId="2" borderId="0" xfId="59" applyFont="1" applyFill="1" applyAlignment="1" applyProtection="1">
      <alignment vertical="center"/>
    </xf>
    <xf numFmtId="3" fontId="4" fillId="8" borderId="3" xfId="59" applyNumberFormat="1" applyFont="1" applyFill="1" applyBorder="1" applyAlignment="1" applyProtection="1">
      <alignment vertical="center"/>
      <protection locked="0"/>
    </xf>
    <xf numFmtId="3" fontId="4" fillId="9" borderId="3" xfId="59" applyNumberFormat="1" applyFont="1" applyFill="1" applyBorder="1" applyAlignment="1" applyProtection="1">
      <alignment vertical="center"/>
    </xf>
    <xf numFmtId="0" fontId="4" fillId="2" borderId="0" xfId="59" applyFont="1" applyFill="1" applyAlignment="1" applyProtection="1">
      <alignment vertical="center"/>
      <protection locked="0"/>
    </xf>
    <xf numFmtId="0" fontId="2" fillId="0" borderId="0" xfId="59" applyAlignment="1">
      <alignment vertical="center"/>
    </xf>
    <xf numFmtId="1" fontId="4" fillId="2" borderId="0" xfId="59" applyNumberFormat="1" applyFont="1" applyFill="1" applyBorder="1" applyAlignment="1" applyProtection="1">
      <alignment horizontal="right" vertical="center"/>
    </xf>
    <xf numFmtId="37" fontId="4" fillId="2" borderId="0" xfId="59" quotePrefix="1" applyNumberFormat="1" applyFont="1" applyFill="1" applyAlignment="1" applyProtection="1">
      <alignment horizontal="right" vertical="center"/>
    </xf>
    <xf numFmtId="37" fontId="4" fillId="2" borderId="2" xfId="59" applyNumberFormat="1" applyFont="1" applyFill="1" applyBorder="1" applyAlignment="1" applyProtection="1">
      <alignment horizontal="center" vertical="center"/>
    </xf>
    <xf numFmtId="37" fontId="4" fillId="2" borderId="9" xfId="59" applyNumberFormat="1" applyFont="1" applyFill="1" applyBorder="1" applyAlignment="1" applyProtection="1">
      <alignment horizontal="left" vertical="center"/>
    </xf>
    <xf numFmtId="3" fontId="4" fillId="2" borderId="3" xfId="59" applyNumberFormat="1" applyFont="1" applyFill="1" applyBorder="1" applyAlignment="1" applyProtection="1">
      <alignment vertical="center"/>
    </xf>
    <xf numFmtId="37" fontId="4" fillId="2" borderId="9" xfId="59" applyNumberFormat="1" applyFont="1" applyFill="1" applyBorder="1" applyAlignment="1" applyProtection="1">
      <alignment vertical="center"/>
    </xf>
    <xf numFmtId="0" fontId="4" fillId="2" borderId="9" xfId="59" applyFont="1" applyFill="1" applyBorder="1" applyAlignment="1" applyProtection="1">
      <alignment vertical="center"/>
    </xf>
    <xf numFmtId="37" fontId="4" fillId="2" borderId="0" xfId="59" applyNumberFormat="1" applyFont="1" applyFill="1" applyAlignment="1" applyProtection="1">
      <alignment vertical="center"/>
    </xf>
    <xf numFmtId="0" fontId="4" fillId="2" borderId="0" xfId="59" applyFont="1" applyFill="1" applyAlignment="1" applyProtection="1">
      <alignment horizontal="right" vertical="center"/>
    </xf>
    <xf numFmtId="37" fontId="4" fillId="2" borderId="0" xfId="59" applyNumberFormat="1" applyFont="1" applyFill="1" applyAlignment="1" applyProtection="1">
      <alignment horizontal="right" vertical="center"/>
    </xf>
    <xf numFmtId="1" fontId="4" fillId="2" borderId="5" xfId="59" applyNumberFormat="1" applyFont="1" applyFill="1" applyBorder="1" applyAlignment="1" applyProtection="1">
      <alignment horizontal="center" vertical="center"/>
    </xf>
    <xf numFmtId="37" fontId="4" fillId="2" borderId="0" xfId="59" applyNumberFormat="1" applyFont="1" applyFill="1" applyAlignment="1" applyProtection="1">
      <alignment horizontal="fill" vertical="center"/>
    </xf>
    <xf numFmtId="37" fontId="4" fillId="2" borderId="16" xfId="59" applyNumberFormat="1" applyFont="1" applyFill="1" applyBorder="1" applyAlignment="1" applyProtection="1">
      <alignment horizontal="left" vertical="center"/>
    </xf>
    <xf numFmtId="37" fontId="3" fillId="2" borderId="9" xfId="59" applyNumberFormat="1" applyFont="1" applyFill="1" applyBorder="1" applyAlignment="1" applyProtection="1">
      <alignment horizontal="left" vertical="center"/>
    </xf>
    <xf numFmtId="0" fontId="15" fillId="0" borderId="0" xfId="59" applyFont="1" applyAlignment="1" applyProtection="1">
      <alignment vertical="center"/>
    </xf>
    <xf numFmtId="0" fontId="13" fillId="2" borderId="0" xfId="59" applyFont="1" applyFill="1" applyAlignment="1" applyProtection="1">
      <alignment horizontal="center" vertical="center"/>
    </xf>
    <xf numFmtId="37" fontId="4" fillId="8" borderId="9" xfId="59" applyNumberFormat="1" applyFont="1" applyFill="1" applyBorder="1" applyAlignment="1" applyProtection="1">
      <alignment horizontal="left" vertical="center"/>
      <protection locked="0"/>
    </xf>
    <xf numFmtId="3" fontId="3" fillId="9" borderId="3" xfId="59" applyNumberFormat="1" applyFont="1" applyFill="1" applyBorder="1" applyAlignment="1" applyProtection="1">
      <alignment vertical="center"/>
    </xf>
    <xf numFmtId="0" fontId="4" fillId="2" borderId="9" xfId="59" applyFont="1" applyFill="1" applyBorder="1" applyAlignment="1" applyProtection="1">
      <alignment vertical="center"/>
      <protection locked="0"/>
    </xf>
    <xf numFmtId="3" fontId="4" fillId="2" borderId="3" xfId="59" applyNumberFormat="1" applyFont="1" applyFill="1" applyBorder="1" applyAlignment="1" applyProtection="1">
      <alignment horizontal="fill" vertical="center"/>
    </xf>
    <xf numFmtId="37" fontId="4" fillId="4" borderId="0" xfId="59" applyNumberFormat="1" applyFont="1" applyFill="1" applyAlignment="1" applyProtection="1">
      <alignment horizontal="left" vertical="center"/>
      <protection locked="0"/>
    </xf>
    <xf numFmtId="0" fontId="4" fillId="8" borderId="9" xfId="59" applyFont="1" applyFill="1" applyBorder="1" applyAlignment="1" applyProtection="1">
      <alignment horizontal="left" vertical="center"/>
      <protection locked="0"/>
    </xf>
    <xf numFmtId="3" fontId="3" fillId="2" borderId="3" xfId="59" applyNumberFormat="1" applyFont="1" applyFill="1" applyBorder="1" applyAlignment="1" applyProtection="1">
      <alignment vertical="center"/>
    </xf>
    <xf numFmtId="37" fontId="4" fillId="2" borderId="15" xfId="59" applyNumberFormat="1" applyFont="1" applyFill="1" applyBorder="1" applyAlignment="1" applyProtection="1">
      <alignment horizontal="center" vertical="center"/>
    </xf>
    <xf numFmtId="1" fontId="4" fillId="2" borderId="15" xfId="59" applyNumberFormat="1" applyFont="1" applyFill="1" applyBorder="1" applyAlignment="1" applyProtection="1">
      <alignment horizontal="center" vertical="center"/>
    </xf>
    <xf numFmtId="1" fontId="4" fillId="2" borderId="16" xfId="59" applyNumberFormat="1" applyFont="1" applyFill="1" applyBorder="1" applyAlignment="1" applyProtection="1">
      <alignment horizontal="center" vertical="center"/>
    </xf>
    <xf numFmtId="37" fontId="4" fillId="4" borderId="9" xfId="59" applyNumberFormat="1" applyFont="1" applyFill="1" applyBorder="1" applyAlignment="1" applyProtection="1">
      <alignment horizontal="right" vertical="center"/>
      <protection locked="0"/>
    </xf>
    <xf numFmtId="3" fontId="3" fillId="9" borderId="9" xfId="59" applyNumberFormat="1" applyFont="1" applyFill="1" applyBorder="1" applyAlignment="1" applyProtection="1">
      <alignment vertical="center"/>
    </xf>
    <xf numFmtId="3" fontId="4" fillId="2" borderId="9" xfId="59" applyNumberFormat="1" applyFont="1" applyFill="1" applyBorder="1" applyAlignment="1" applyProtection="1">
      <alignment vertical="center"/>
    </xf>
    <xf numFmtId="37" fontId="4" fillId="4" borderId="9" xfId="59" applyNumberFormat="1" applyFont="1" applyFill="1" applyBorder="1" applyAlignment="1" applyProtection="1">
      <alignment vertical="center"/>
      <protection locked="0"/>
    </xf>
    <xf numFmtId="3" fontId="4" fillId="8" borderId="9" xfId="59" applyNumberFormat="1" applyFont="1" applyFill="1" applyBorder="1" applyAlignment="1" applyProtection="1">
      <alignment vertical="center"/>
      <protection locked="0"/>
    </xf>
    <xf numFmtId="3" fontId="3" fillId="2" borderId="9" xfId="59" applyNumberFormat="1" applyFont="1" applyFill="1" applyBorder="1" applyAlignment="1" applyProtection="1">
      <alignment vertical="center"/>
    </xf>
    <xf numFmtId="3" fontId="4" fillId="9" borderId="9" xfId="59" applyNumberFormat="1" applyFont="1" applyFill="1" applyBorder="1" applyAlignment="1" applyProtection="1">
      <alignment vertical="center"/>
    </xf>
    <xf numFmtId="37" fontId="3" fillId="2" borderId="1" xfId="59" applyNumberFormat="1" applyFont="1" applyFill="1" applyBorder="1" applyAlignment="1" applyProtection="1">
      <alignment vertical="center"/>
    </xf>
    <xf numFmtId="37" fontId="3" fillId="2" borderId="0" xfId="59" applyNumberFormat="1" applyFont="1" applyFill="1" applyBorder="1" applyAlignment="1" applyProtection="1">
      <alignment vertical="center"/>
    </xf>
    <xf numFmtId="37" fontId="4" fillId="2" borderId="0" xfId="64" applyNumberFormat="1" applyFont="1" applyFill="1" applyBorder="1" applyAlignment="1" applyProtection="1">
      <alignment horizontal="left" vertical="center"/>
    </xf>
    <xf numFmtId="37" fontId="4" fillId="2" borderId="3" xfId="64" applyNumberFormat="1" applyFont="1" applyFill="1" applyBorder="1" applyAlignment="1" applyProtection="1">
      <alignment horizontal="left" vertical="center"/>
    </xf>
    <xf numFmtId="3" fontId="4" fillId="8" borderId="3" xfId="64" applyNumberFormat="1" applyFont="1" applyFill="1" applyBorder="1" applyAlignment="1" applyProtection="1">
      <alignment vertical="center"/>
      <protection locked="0"/>
    </xf>
    <xf numFmtId="49" fontId="4" fillId="2" borderId="3" xfId="64" applyNumberFormat="1" applyFont="1" applyFill="1" applyBorder="1" applyAlignment="1" applyProtection="1">
      <alignment horizontal="center" vertical="center"/>
    </xf>
    <xf numFmtId="0" fontId="8" fillId="5" borderId="3" xfId="0" applyFont="1" applyFill="1" applyBorder="1" applyAlignment="1" applyProtection="1">
      <alignment vertical="center" shrinkToFit="1"/>
    </xf>
    <xf numFmtId="37" fontId="3" fillId="2" borderId="15" xfId="59" applyNumberFormat="1" applyFont="1" applyFill="1" applyBorder="1" applyAlignment="1" applyProtection="1">
      <alignment horizontal="left" vertical="center"/>
    </xf>
    <xf numFmtId="49" fontId="4" fillId="2" borderId="0" xfId="64" applyNumberFormat="1" applyFont="1" applyFill="1" applyBorder="1" applyAlignment="1" applyProtection="1">
      <alignment horizontal="center" vertical="center"/>
    </xf>
    <xf numFmtId="37" fontId="13" fillId="2" borderId="0" xfId="59" applyNumberFormat="1" applyFont="1" applyFill="1" applyAlignment="1" applyProtection="1">
      <alignment horizontal="center" vertical="center"/>
    </xf>
    <xf numFmtId="37" fontId="4" fillId="2" borderId="3" xfId="59" applyNumberFormat="1" applyFont="1" applyFill="1" applyBorder="1" applyAlignment="1" applyProtection="1">
      <alignment horizontal="center" vertical="center"/>
    </xf>
    <xf numFmtId="37" fontId="13" fillId="2" borderId="0" xfId="59" applyNumberFormat="1" applyFont="1" applyFill="1" applyAlignment="1" applyProtection="1">
      <alignment horizontal="right" vertical="center"/>
    </xf>
    <xf numFmtId="37" fontId="12" fillId="2" borderId="0" xfId="59" applyNumberFormat="1" applyFont="1" applyFill="1" applyAlignment="1" applyProtection="1">
      <alignment horizontal="center" vertical="center"/>
    </xf>
    <xf numFmtId="37" fontId="52" fillId="2" borderId="0" xfId="59" applyNumberFormat="1" applyFont="1" applyFill="1" applyAlignment="1" applyProtection="1">
      <alignment horizontal="center" vertical="center"/>
    </xf>
    <xf numFmtId="37" fontId="4" fillId="2" borderId="10" xfId="59" applyNumberFormat="1" applyFont="1" applyFill="1" applyBorder="1" applyAlignment="1" applyProtection="1">
      <alignment horizontal="center" vertical="center"/>
    </xf>
    <xf numFmtId="37" fontId="4" fillId="2" borderId="5" xfId="59" applyNumberFormat="1" applyFont="1" applyFill="1" applyBorder="1" applyAlignment="1" applyProtection="1">
      <alignment horizontal="center" vertical="center"/>
    </xf>
    <xf numFmtId="0" fontId="35" fillId="0" borderId="0" xfId="0" applyFont="1" applyAlignment="1" applyProtection="1">
      <alignment vertical="center"/>
    </xf>
    <xf numFmtId="0" fontId="36" fillId="0" borderId="0" xfId="0" applyFont="1"/>
    <xf numFmtId="0" fontId="36" fillId="13" borderId="0" xfId="0" applyFont="1" applyFill="1"/>
    <xf numFmtId="0" fontId="36" fillId="14" borderId="0" xfId="0" applyFont="1" applyFill="1"/>
    <xf numFmtId="0" fontId="53" fillId="13" borderId="0" xfId="0" applyFont="1" applyFill="1" applyAlignment="1">
      <alignment horizontal="center" wrapText="1"/>
    </xf>
    <xf numFmtId="0" fontId="53" fillId="14" borderId="0" xfId="0" applyFont="1" applyFill="1"/>
    <xf numFmtId="0" fontId="36" fillId="14" borderId="0" xfId="0" applyFont="1" applyFill="1" applyAlignment="1">
      <alignment horizontal="center"/>
    </xf>
    <xf numFmtId="0" fontId="53" fillId="14" borderId="17" xfId="0" applyFont="1" applyFill="1" applyBorder="1"/>
    <xf numFmtId="0" fontId="36" fillId="14" borderId="18" xfId="0" applyFont="1" applyFill="1" applyBorder="1"/>
    <xf numFmtId="0" fontId="36" fillId="14" borderId="19" xfId="0" applyFont="1" applyFill="1" applyBorder="1"/>
    <xf numFmtId="175" fontId="36" fillId="14" borderId="20" xfId="0" applyNumberFormat="1" applyFont="1" applyFill="1" applyBorder="1"/>
    <xf numFmtId="0" fontId="36" fillId="14" borderId="0" xfId="0" applyFont="1" applyFill="1" applyBorder="1"/>
    <xf numFmtId="175" fontId="36" fillId="14" borderId="1" xfId="0" applyNumberFormat="1" applyFont="1" applyFill="1" applyBorder="1" applyAlignment="1">
      <alignment horizontal="center"/>
    </xf>
    <xf numFmtId="0" fontId="36" fillId="14" borderId="21" xfId="0" applyFont="1" applyFill="1" applyBorder="1"/>
    <xf numFmtId="0" fontId="36" fillId="14" borderId="22" xfId="0" applyFont="1" applyFill="1" applyBorder="1"/>
    <xf numFmtId="0" fontId="36" fillId="14" borderId="23" xfId="0" applyFont="1" applyFill="1" applyBorder="1"/>
    <xf numFmtId="0" fontId="36" fillId="14" borderId="24" xfId="0" applyFont="1" applyFill="1" applyBorder="1"/>
    <xf numFmtId="175" fontId="36" fillId="14" borderId="0" xfId="0" applyNumberFormat="1" applyFont="1" applyFill="1"/>
    <xf numFmtId="0" fontId="36" fillId="14" borderId="17" xfId="0" applyFont="1" applyFill="1" applyBorder="1"/>
    <xf numFmtId="0" fontId="36" fillId="14" borderId="25" xfId="0" applyFont="1" applyFill="1" applyBorder="1"/>
    <xf numFmtId="175" fontId="36" fillId="15" borderId="20" xfId="0" applyNumberFormat="1" applyFont="1" applyFill="1" applyBorder="1" applyAlignment="1" applyProtection="1">
      <alignment horizontal="center"/>
      <protection locked="0"/>
    </xf>
    <xf numFmtId="172" fontId="36" fillId="14" borderId="0" xfId="0" applyNumberFormat="1" applyFont="1" applyFill="1" applyBorder="1" applyAlignment="1">
      <alignment horizontal="center"/>
    </xf>
    <xf numFmtId="0" fontId="54" fillId="0" borderId="0" xfId="0" applyFont="1" applyBorder="1"/>
    <xf numFmtId="0" fontId="36" fillId="0" borderId="0" xfId="0" applyFont="1" applyBorder="1"/>
    <xf numFmtId="0" fontId="53" fillId="0" borderId="0" xfId="0" applyFont="1" applyBorder="1" applyAlignment="1">
      <alignment horizontal="centerContinuous"/>
    </xf>
    <xf numFmtId="0" fontId="36" fillId="0" borderId="0" xfId="0" applyFont="1" applyBorder="1" applyAlignment="1">
      <alignment horizontal="centerContinuous"/>
    </xf>
    <xf numFmtId="0" fontId="36" fillId="13" borderId="0" xfId="0" applyFont="1" applyFill="1" applyBorder="1"/>
    <xf numFmtId="0" fontId="36" fillId="14" borderId="26" xfId="0" applyFont="1" applyFill="1" applyBorder="1"/>
    <xf numFmtId="0" fontId="36" fillId="14" borderId="8" xfId="0" applyFont="1" applyFill="1" applyBorder="1"/>
    <xf numFmtId="0" fontId="36" fillId="14" borderId="27" xfId="0" applyFont="1" applyFill="1" applyBorder="1"/>
    <xf numFmtId="5" fontId="36" fillId="14" borderId="23" xfId="0" applyNumberFormat="1" applyFont="1" applyFill="1" applyBorder="1" applyAlignment="1">
      <alignment horizontal="center"/>
    </xf>
    <xf numFmtId="0" fontId="36" fillId="14" borderId="23" xfId="0" applyFont="1" applyFill="1" applyBorder="1" applyAlignment="1">
      <alignment horizontal="center"/>
    </xf>
    <xf numFmtId="172" fontId="36" fillId="14" borderId="23" xfId="0" applyNumberFormat="1" applyFont="1" applyFill="1" applyBorder="1" applyAlignment="1">
      <alignment horizontal="center"/>
    </xf>
    <xf numFmtId="176" fontId="36" fillId="14" borderId="23" xfId="0" applyNumberFormat="1" applyFont="1" applyFill="1" applyBorder="1" applyAlignment="1">
      <alignment horizontal="center"/>
    </xf>
    <xf numFmtId="0" fontId="36" fillId="14" borderId="0" xfId="0" applyFont="1" applyFill="1" applyAlignment="1">
      <alignment horizontal="center" wrapText="1"/>
    </xf>
    <xf numFmtId="0" fontId="53" fillId="14" borderId="17" xfId="0" applyFont="1" applyFill="1" applyBorder="1" applyAlignment="1"/>
    <xf numFmtId="0" fontId="36" fillId="14" borderId="18" xfId="0" applyFont="1" applyFill="1" applyBorder="1" applyAlignment="1"/>
    <xf numFmtId="0" fontId="36" fillId="14" borderId="19" xfId="0" applyFont="1" applyFill="1" applyBorder="1" applyAlignment="1"/>
    <xf numFmtId="0" fontId="36" fillId="14" borderId="25" xfId="0" applyFont="1" applyFill="1" applyBorder="1" applyAlignment="1"/>
    <xf numFmtId="0" fontId="36" fillId="14" borderId="21" xfId="0" applyFont="1" applyFill="1" applyBorder="1" applyAlignment="1"/>
    <xf numFmtId="0" fontId="36" fillId="14" borderId="26" xfId="0" applyFont="1" applyFill="1" applyBorder="1" applyAlignment="1"/>
    <xf numFmtId="0" fontId="36" fillId="14" borderId="8" xfId="0" applyFont="1" applyFill="1" applyBorder="1" applyAlignment="1"/>
    <xf numFmtId="0" fontId="36" fillId="14" borderId="27" xfId="0" applyFont="1" applyFill="1" applyBorder="1" applyAlignment="1"/>
    <xf numFmtId="171" fontId="36" fillId="14" borderId="0" xfId="0" applyNumberFormat="1" applyFont="1" applyFill="1" applyBorder="1" applyAlignment="1">
      <alignment horizontal="center"/>
    </xf>
    <xf numFmtId="0" fontId="36" fillId="14" borderId="22" xfId="0" applyFont="1" applyFill="1" applyBorder="1" applyAlignment="1"/>
    <xf numFmtId="5" fontId="36" fillId="14" borderId="0" xfId="0" applyNumberFormat="1" applyFont="1" applyFill="1" applyBorder="1" applyAlignment="1">
      <alignment horizontal="center"/>
    </xf>
    <xf numFmtId="0" fontId="36" fillId="13" borderId="0" xfId="0" applyFont="1" applyFill="1" applyAlignment="1"/>
    <xf numFmtId="172" fontId="36" fillId="15" borderId="1" xfId="0" applyNumberFormat="1" applyFont="1" applyFill="1" applyBorder="1" applyAlignment="1" applyProtection="1">
      <alignment horizontal="center"/>
      <protection locked="0"/>
    </xf>
    <xf numFmtId="176" fontId="36" fillId="14" borderId="0" xfId="0" applyNumberFormat="1" applyFont="1" applyFill="1" applyBorder="1"/>
    <xf numFmtId="0" fontId="36" fillId="16" borderId="0" xfId="0" applyFont="1" applyFill="1"/>
    <xf numFmtId="0" fontId="38" fillId="0" borderId="0" xfId="0" applyFont="1" applyAlignment="1">
      <alignment horizontal="center"/>
    </xf>
    <xf numFmtId="0" fontId="4" fillId="0" borderId="0" xfId="0" applyFont="1" applyAlignment="1">
      <alignment wrapText="1"/>
    </xf>
    <xf numFmtId="0" fontId="39" fillId="0" borderId="0" xfId="14" applyFont="1" applyAlignment="1" applyProtection="1"/>
    <xf numFmtId="3" fontId="4" fillId="2" borderId="5" xfId="0" applyNumberFormat="1" applyFont="1" applyFill="1" applyBorder="1" applyAlignment="1" applyProtection="1">
      <alignment horizontal="center" vertical="center"/>
    </xf>
    <xf numFmtId="172" fontId="4" fillId="15" borderId="3" xfId="59" applyNumberFormat="1" applyFont="1" applyFill="1" applyBorder="1" applyAlignment="1" applyProtection="1">
      <alignment horizontal="center" vertical="center"/>
      <protection locked="0"/>
    </xf>
    <xf numFmtId="49" fontId="13" fillId="15" borderId="3" xfId="59" applyNumberFormat="1" applyFont="1" applyFill="1" applyBorder="1" applyAlignment="1" applyProtection="1">
      <alignment horizontal="center" vertical="center"/>
      <protection locked="0"/>
    </xf>
    <xf numFmtId="3" fontId="4" fillId="4" borderId="9" xfId="59" applyNumberFormat="1" applyFont="1" applyFill="1" applyBorder="1" applyAlignment="1" applyProtection="1">
      <alignment horizontal="right" vertical="center"/>
      <protection locked="0"/>
    </xf>
    <xf numFmtId="0" fontId="4" fillId="0" borderId="0" xfId="64" applyFont="1" applyAlignment="1">
      <alignment vertical="center" wrapText="1"/>
    </xf>
    <xf numFmtId="0" fontId="4" fillId="0" borderId="0" xfId="407" applyFont="1" applyAlignment="1">
      <alignment vertical="center" wrapText="1"/>
    </xf>
    <xf numFmtId="0" fontId="4" fillId="0" borderId="0" xfId="440" applyNumberFormat="1" applyFont="1" applyAlignment="1">
      <alignment vertical="center" wrapText="1"/>
    </xf>
    <xf numFmtId="37" fontId="4" fillId="2" borderId="3" xfId="0" applyNumberFormat="1" applyFont="1" applyFill="1" applyBorder="1" applyAlignment="1" applyProtection="1">
      <alignment horizontal="left"/>
    </xf>
    <xf numFmtId="37" fontId="4" fillId="2" borderId="3" xfId="0" applyNumberFormat="1" applyFont="1" applyFill="1" applyBorder="1" applyProtection="1"/>
    <xf numFmtId="0" fontId="20" fillId="0" borderId="0" xfId="0" applyFont="1"/>
    <xf numFmtId="0" fontId="21" fillId="0" borderId="0" xfId="0" applyFont="1" applyAlignment="1">
      <alignment horizontal="center"/>
    </xf>
    <xf numFmtId="0" fontId="3" fillId="0" borderId="0" xfId="0" applyFont="1" applyAlignment="1">
      <alignment wrapText="1"/>
    </xf>
    <xf numFmtId="0" fontId="0"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vertical="center"/>
    </xf>
    <xf numFmtId="0" fontId="3" fillId="0" borderId="0" xfId="0" applyNumberFormat="1" applyFont="1" applyFill="1" applyBorder="1" applyAlignment="1" applyProtection="1">
      <alignment vertical="center" wrapText="1"/>
    </xf>
    <xf numFmtId="0" fontId="20" fillId="0" borderId="0" xfId="0" applyNumberFormat="1" applyFont="1" applyFill="1" applyBorder="1" applyAlignment="1" applyProtection="1">
      <alignment vertical="center"/>
    </xf>
    <xf numFmtId="0" fontId="23" fillId="0" borderId="0" xfId="0" applyNumberFormat="1" applyFont="1" applyFill="1" applyBorder="1" applyAlignment="1" applyProtection="1">
      <alignment vertical="center" wrapText="1"/>
    </xf>
    <xf numFmtId="0" fontId="7" fillId="0" borderId="0" xfId="0" applyNumberFormat="1" applyFont="1" applyFill="1" applyBorder="1" applyAlignment="1" applyProtection="1">
      <alignment vertical="center"/>
    </xf>
    <xf numFmtId="0" fontId="22" fillId="0" borderId="0" xfId="0" applyNumberFormat="1" applyFont="1" applyFill="1" applyBorder="1" applyAlignment="1" applyProtection="1">
      <alignment vertical="center" wrapText="1"/>
    </xf>
    <xf numFmtId="0" fontId="24" fillId="0" borderId="0" xfId="0" applyNumberFormat="1" applyFont="1" applyFill="1" applyBorder="1" applyAlignment="1" applyProtection="1">
      <alignment vertical="center"/>
    </xf>
    <xf numFmtId="0" fontId="4" fillId="0" borderId="0" xfId="64" applyFont="1" applyAlignment="1">
      <alignment vertical="center"/>
    </xf>
    <xf numFmtId="0" fontId="55" fillId="0" borderId="0" xfId="0" applyFont="1" applyAlignment="1">
      <alignment wrapText="1"/>
    </xf>
    <xf numFmtId="0" fontId="23" fillId="0" borderId="0" xfId="0" applyFont="1" applyAlignment="1">
      <alignment wrapText="1"/>
    </xf>
    <xf numFmtId="172" fontId="4" fillId="15" borderId="11" xfId="59" applyNumberFormat="1" applyFont="1" applyFill="1" applyBorder="1" applyAlignment="1" applyProtection="1">
      <alignment horizontal="center"/>
      <protection locked="0"/>
    </xf>
    <xf numFmtId="0" fontId="40" fillId="14" borderId="28" xfId="59" applyFont="1" applyFill="1" applyBorder="1" applyProtection="1"/>
    <xf numFmtId="0" fontId="4" fillId="14" borderId="0" xfId="59" applyFont="1" applyFill="1" applyBorder="1" applyProtection="1"/>
    <xf numFmtId="175" fontId="4" fillId="14" borderId="11" xfId="59" applyNumberFormat="1" applyFont="1" applyFill="1" applyBorder="1" applyAlignment="1" applyProtection="1">
      <alignment horizontal="center"/>
    </xf>
    <xf numFmtId="0" fontId="4" fillId="14" borderId="16" xfId="59" applyFont="1" applyFill="1" applyBorder="1" applyProtection="1"/>
    <xf numFmtId="0" fontId="4" fillId="14" borderId="1" xfId="59" applyFont="1" applyFill="1" applyBorder="1" applyProtection="1"/>
    <xf numFmtId="175" fontId="4" fillId="17" borderId="4" xfId="59" applyNumberFormat="1" applyFont="1" applyFill="1" applyBorder="1" applyAlignment="1" applyProtection="1">
      <alignment horizontal="center"/>
    </xf>
    <xf numFmtId="0" fontId="4" fillId="0" borderId="0" xfId="59" applyFont="1" applyFill="1" applyBorder="1" applyProtection="1"/>
    <xf numFmtId="0" fontId="4" fillId="14" borderId="28" xfId="59" applyFont="1" applyFill="1" applyBorder="1" applyProtection="1"/>
    <xf numFmtId="0" fontId="4" fillId="14" borderId="11" xfId="59" applyFont="1" applyFill="1" applyBorder="1" applyProtection="1"/>
    <xf numFmtId="171" fontId="4" fillId="14" borderId="11" xfId="59" applyNumberFormat="1" applyFont="1" applyFill="1" applyBorder="1" applyAlignment="1" applyProtection="1">
      <alignment horizontal="center"/>
    </xf>
    <xf numFmtId="0" fontId="4" fillId="17" borderId="28" xfId="59" applyFont="1" applyFill="1" applyBorder="1" applyProtection="1"/>
    <xf numFmtId="0" fontId="4" fillId="17" borderId="0" xfId="59" applyFont="1" applyFill="1" applyBorder="1" applyProtection="1"/>
    <xf numFmtId="0" fontId="4" fillId="17" borderId="16" xfId="59" applyFont="1" applyFill="1" applyBorder="1" applyProtection="1"/>
    <xf numFmtId="0" fontId="4" fillId="17" borderId="1" xfId="59" applyFont="1" applyFill="1" applyBorder="1" applyProtection="1"/>
    <xf numFmtId="0" fontId="4" fillId="0" borderId="0" xfId="59" applyFont="1" applyProtection="1"/>
    <xf numFmtId="175" fontId="4" fillId="14" borderId="4" xfId="59" applyNumberFormat="1" applyFont="1" applyFill="1" applyBorder="1" applyAlignment="1" applyProtection="1">
      <alignment horizontal="center"/>
    </xf>
    <xf numFmtId="0" fontId="5" fillId="0" borderId="0" xfId="100" applyFont="1" applyAlignment="1">
      <alignment vertical="center"/>
    </xf>
    <xf numFmtId="0" fontId="56" fillId="0" borderId="0" xfId="0" applyFont="1" applyAlignment="1">
      <alignment vertical="center"/>
    </xf>
    <xf numFmtId="0" fontId="57" fillId="0" borderId="0" xfId="0" applyFont="1" applyAlignment="1" applyProtection="1">
      <alignment horizontal="center" vertical="center"/>
      <protection locked="0"/>
    </xf>
    <xf numFmtId="0" fontId="58" fillId="2" borderId="0" xfId="0" applyFont="1" applyFill="1" applyAlignment="1" applyProtection="1">
      <alignment horizontal="center" vertical="center"/>
    </xf>
    <xf numFmtId="37" fontId="4" fillId="2" borderId="29" xfId="0" applyNumberFormat="1" applyFont="1" applyFill="1" applyBorder="1" applyAlignment="1" applyProtection="1">
      <alignment vertical="center"/>
    </xf>
    <xf numFmtId="0" fontId="4" fillId="2" borderId="29" xfId="0" applyFont="1" applyFill="1" applyBorder="1" applyAlignment="1" applyProtection="1">
      <alignment vertical="center"/>
    </xf>
    <xf numFmtId="170" fontId="4" fillId="4" borderId="3" xfId="1" applyNumberFormat="1" applyFont="1" applyFill="1" applyBorder="1" applyAlignment="1" applyProtection="1">
      <alignment vertical="center"/>
      <protection locked="0"/>
    </xf>
    <xf numFmtId="37" fontId="3" fillId="2" borderId="0" xfId="0" applyNumberFormat="1" applyFont="1" applyFill="1" applyBorder="1" applyAlignment="1" applyProtection="1">
      <alignment vertical="center"/>
    </xf>
    <xf numFmtId="0" fontId="4" fillId="8" borderId="9" xfId="40" applyNumberFormat="1" applyFont="1" applyFill="1" applyBorder="1" applyAlignment="1" applyProtection="1">
      <alignment horizontal="left" vertical="center"/>
      <protection locked="0"/>
    </xf>
    <xf numFmtId="0" fontId="4" fillId="8" borderId="9" xfId="64" applyNumberFormat="1" applyFont="1" applyFill="1" applyBorder="1" applyAlignment="1" applyProtection="1">
      <alignment horizontal="left" vertical="center"/>
      <protection locked="0"/>
    </xf>
    <xf numFmtId="37" fontId="4" fillId="2" borderId="2" xfId="40" applyNumberFormat="1" applyFont="1" applyFill="1" applyBorder="1" applyAlignment="1" applyProtection="1">
      <alignment horizontal="center"/>
    </xf>
    <xf numFmtId="37" fontId="4" fillId="2" borderId="5" xfId="40" applyNumberFormat="1" applyFont="1" applyFill="1" applyBorder="1" applyAlignment="1" applyProtection="1">
      <alignment horizontal="center"/>
    </xf>
    <xf numFmtId="0" fontId="53" fillId="14" borderId="25" xfId="0" applyFont="1" applyFill="1" applyBorder="1" applyAlignment="1">
      <alignment horizontal="centerContinuous" vertical="center"/>
    </xf>
    <xf numFmtId="175" fontId="53" fillId="14" borderId="0" xfId="0" applyNumberFormat="1" applyFont="1" applyFill="1" applyBorder="1" applyAlignment="1">
      <alignment horizontal="centerContinuous" vertical="center"/>
    </xf>
    <xf numFmtId="0" fontId="53" fillId="14" borderId="0" xfId="0" applyFont="1" applyFill="1" applyBorder="1" applyAlignment="1">
      <alignment horizontal="centerContinuous" vertical="center"/>
    </xf>
    <xf numFmtId="172" fontId="53" fillId="14" borderId="0" xfId="0" applyNumberFormat="1" applyFont="1" applyFill="1" applyBorder="1" applyAlignment="1" applyProtection="1">
      <alignment horizontal="centerContinuous" vertical="center"/>
      <protection locked="0"/>
    </xf>
    <xf numFmtId="176" fontId="53" fillId="14" borderId="0" xfId="0" applyNumberFormat="1" applyFont="1" applyFill="1" applyBorder="1" applyAlignment="1">
      <alignment horizontal="centerContinuous" vertical="center"/>
    </xf>
    <xf numFmtId="0" fontId="53" fillId="14" borderId="21" xfId="0" applyFont="1" applyFill="1" applyBorder="1" applyAlignment="1">
      <alignment horizontal="centerContinuous" vertical="center"/>
    </xf>
    <xf numFmtId="0" fontId="53" fillId="14" borderId="25" xfId="0" applyFont="1" applyFill="1" applyBorder="1" applyAlignment="1">
      <alignment horizontal="centerContinuous"/>
    </xf>
    <xf numFmtId="175" fontId="53" fillId="14" borderId="0" xfId="0" applyNumberFormat="1" applyFont="1" applyFill="1" applyBorder="1" applyAlignment="1">
      <alignment horizontal="centerContinuous"/>
    </xf>
    <xf numFmtId="0" fontId="53" fillId="14" borderId="0" xfId="0" applyFont="1" applyFill="1" applyBorder="1" applyAlignment="1">
      <alignment horizontal="centerContinuous"/>
    </xf>
    <xf numFmtId="172" fontId="53" fillId="14" borderId="0" xfId="0" applyNumberFormat="1" applyFont="1" applyFill="1" applyBorder="1" applyAlignment="1" applyProtection="1">
      <alignment horizontal="centerContinuous"/>
      <protection locked="0"/>
    </xf>
    <xf numFmtId="176" fontId="53" fillId="14" borderId="0" xfId="0" applyNumberFormat="1" applyFont="1" applyFill="1" applyBorder="1" applyAlignment="1">
      <alignment horizontal="centerContinuous"/>
    </xf>
    <xf numFmtId="0" fontId="53" fillId="14" borderId="21" xfId="0" applyFont="1" applyFill="1" applyBorder="1" applyAlignment="1">
      <alignment horizontal="centerContinuous"/>
    </xf>
    <xf numFmtId="175" fontId="36" fillId="0" borderId="0" xfId="0" applyNumberFormat="1" applyFont="1"/>
    <xf numFmtId="175" fontId="36" fillId="14" borderId="23" xfId="0" applyNumberFormat="1" applyFont="1" applyFill="1" applyBorder="1" applyAlignment="1">
      <alignment horizontal="center"/>
    </xf>
    <xf numFmtId="172" fontId="36" fillId="14" borderId="23" xfId="0" applyNumberFormat="1" applyFont="1" applyFill="1" applyBorder="1" applyAlignment="1" applyProtection="1">
      <alignment horizontal="center"/>
      <protection locked="0"/>
    </xf>
    <xf numFmtId="176" fontId="36" fillId="14" borderId="23" xfId="0" applyNumberFormat="1" applyFont="1" applyFill="1" applyBorder="1"/>
    <xf numFmtId="172" fontId="36" fillId="14" borderId="0" xfId="0" applyNumberFormat="1" applyFont="1" applyFill="1" applyBorder="1" applyAlignment="1" applyProtection="1">
      <alignment horizontal="center"/>
      <protection locked="0"/>
    </xf>
    <xf numFmtId="175" fontId="36" fillId="14" borderId="18" xfId="0" applyNumberFormat="1" applyFont="1" applyFill="1" applyBorder="1" applyAlignment="1">
      <alignment horizontal="center"/>
    </xf>
    <xf numFmtId="0" fontId="36" fillId="14" borderId="18" xfId="0" applyFont="1" applyFill="1" applyBorder="1" applyAlignment="1">
      <alignment horizontal="center"/>
    </xf>
    <xf numFmtId="172" fontId="36" fillId="14" borderId="18" xfId="0" applyNumberFormat="1" applyFont="1" applyFill="1" applyBorder="1" applyAlignment="1" applyProtection="1">
      <alignment horizontal="center"/>
      <protection locked="0"/>
    </xf>
    <xf numFmtId="176" fontId="36" fillId="14" borderId="18" xfId="0" applyNumberFormat="1" applyFont="1" applyFill="1" applyBorder="1"/>
    <xf numFmtId="175" fontId="36" fillId="14" borderId="0" xfId="0" applyNumberFormat="1" applyFont="1" applyFill="1" applyBorder="1" applyAlignment="1" applyProtection="1">
      <alignment horizontal="center"/>
      <protection locked="0"/>
    </xf>
    <xf numFmtId="175" fontId="4" fillId="17" borderId="11" xfId="59" applyNumberFormat="1" applyFont="1" applyFill="1" applyBorder="1" applyAlignment="1" applyProtection="1">
      <alignment horizontal="center"/>
    </xf>
    <xf numFmtId="0" fontId="4" fillId="17" borderId="16" xfId="0" applyFont="1" applyFill="1" applyBorder="1" applyAlignment="1">
      <alignment vertical="center"/>
    </xf>
    <xf numFmtId="0" fontId="4" fillId="17" borderId="1" xfId="0" applyFont="1" applyFill="1" applyBorder="1" applyAlignment="1">
      <alignment vertical="center"/>
    </xf>
    <xf numFmtId="175" fontId="4" fillId="17" borderId="4" xfId="0" applyNumberFormat="1" applyFont="1" applyFill="1" applyBorder="1" applyAlignment="1">
      <alignment horizontal="center" vertical="center"/>
    </xf>
    <xf numFmtId="0" fontId="3" fillId="2" borderId="0" xfId="0" applyFont="1" applyFill="1" applyAlignment="1" applyProtection="1">
      <alignment horizontal="center" vertical="center"/>
    </xf>
    <xf numFmtId="0" fontId="4" fillId="2" borderId="0" xfId="14" applyNumberFormat="1" applyFont="1" applyFill="1" applyBorder="1" applyAlignment="1" applyProtection="1">
      <alignment horizontal="right" vertical="center"/>
    </xf>
    <xf numFmtId="175" fontId="36" fillId="15" borderId="1" xfId="0" applyNumberFormat="1" applyFont="1" applyFill="1" applyBorder="1" applyAlignment="1" applyProtection="1">
      <alignment horizontal="center"/>
      <protection locked="0"/>
    </xf>
    <xf numFmtId="175" fontId="36" fillId="14" borderId="0" xfId="0" applyNumberFormat="1" applyFont="1" applyFill="1" applyBorder="1" applyAlignment="1">
      <alignment horizontal="center"/>
    </xf>
    <xf numFmtId="0" fontId="36" fillId="14" borderId="8" xfId="0" applyFont="1" applyFill="1" applyBorder="1" applyAlignment="1">
      <alignment horizontal="center"/>
    </xf>
    <xf numFmtId="0" fontId="53" fillId="14" borderId="0" xfId="0" applyFont="1" applyFill="1" applyAlignment="1">
      <alignment horizontal="center" wrapText="1"/>
    </xf>
    <xf numFmtId="0" fontId="53" fillId="14" borderId="0" xfId="0" applyFont="1" applyFill="1" applyAlignment="1">
      <alignment horizontal="center"/>
    </xf>
    <xf numFmtId="175" fontId="36" fillId="14" borderId="0" xfId="0" applyNumberFormat="1" applyFont="1" applyFill="1" applyAlignment="1">
      <alignment horizontal="center"/>
    </xf>
    <xf numFmtId="0" fontId="36" fillId="14" borderId="0" xfId="0" applyFont="1" applyFill="1" applyBorder="1" applyAlignment="1"/>
    <xf numFmtId="0" fontId="36" fillId="14" borderId="24" xfId="0" applyFont="1" applyFill="1" applyBorder="1" applyAlignment="1"/>
    <xf numFmtId="0" fontId="36" fillId="14" borderId="0" xfId="0" applyFont="1" applyFill="1" applyBorder="1" applyAlignment="1">
      <alignment horizontal="center"/>
    </xf>
    <xf numFmtId="176" fontId="36" fillId="14" borderId="0" xfId="0" applyNumberFormat="1" applyFont="1" applyFill="1" applyBorder="1" applyAlignment="1">
      <alignment horizontal="center"/>
    </xf>
    <xf numFmtId="0" fontId="4" fillId="2" borderId="0" xfId="0" applyNumberFormat="1" applyFont="1" applyFill="1" applyBorder="1" applyAlignment="1" applyProtection="1">
      <alignment horizontal="right" vertical="center"/>
    </xf>
    <xf numFmtId="49" fontId="4" fillId="0" borderId="0" xfId="481" applyNumberFormat="1" applyFont="1" applyFill="1" applyAlignment="1" applyProtection="1">
      <alignment horizontal="left" vertical="center"/>
      <protection locked="0"/>
    </xf>
    <xf numFmtId="0" fontId="59" fillId="0" borderId="0" xfId="0" applyFont="1"/>
    <xf numFmtId="0" fontId="60" fillId="0" borderId="0" xfId="481" applyFont="1"/>
    <xf numFmtId="173" fontId="61" fillId="0" borderId="0" xfId="481" applyNumberFormat="1" applyFont="1" applyAlignment="1">
      <alignment horizontal="left" vertical="center"/>
    </xf>
    <xf numFmtId="0" fontId="61" fillId="0" borderId="0" xfId="481" applyNumberFormat="1" applyFont="1" applyAlignment="1">
      <alignment horizontal="left" vertical="center"/>
    </xf>
    <xf numFmtId="1" fontId="61" fillId="0" borderId="0" xfId="481" applyNumberFormat="1" applyFont="1" applyAlignment="1">
      <alignment horizontal="left" vertical="center"/>
    </xf>
    <xf numFmtId="0" fontId="62" fillId="0" borderId="0" xfId="481" applyFont="1" applyAlignment="1">
      <alignment horizontal="left" vertical="center"/>
    </xf>
    <xf numFmtId="37" fontId="4" fillId="2" borderId="0" xfId="40" applyNumberFormat="1" applyFont="1" applyFill="1" applyAlignment="1" applyProtection="1">
      <alignment vertical="center"/>
    </xf>
    <xf numFmtId="0" fontId="4" fillId="2" borderId="0" xfId="40" applyFont="1" applyFill="1" applyAlignment="1" applyProtection="1">
      <alignment vertical="center"/>
    </xf>
    <xf numFmtId="1" fontId="4" fillId="2" borderId="0" xfId="40" applyNumberFormat="1" applyFont="1" applyFill="1" applyBorder="1" applyAlignment="1" applyProtection="1">
      <alignment horizontal="right" vertical="center"/>
    </xf>
    <xf numFmtId="0" fontId="4" fillId="0" borderId="0" xfId="40" applyFont="1" applyAlignment="1" applyProtection="1">
      <alignment vertical="center"/>
      <protection locked="0"/>
    </xf>
    <xf numFmtId="37" fontId="4" fillId="2" borderId="0" xfId="40" applyNumberFormat="1" applyFont="1" applyFill="1" applyAlignment="1" applyProtection="1">
      <alignment horizontal="right" vertical="center"/>
    </xf>
    <xf numFmtId="0" fontId="3" fillId="2" borderId="0" xfId="40" applyFont="1" applyFill="1" applyAlignment="1" applyProtection="1">
      <alignment vertical="center"/>
    </xf>
    <xf numFmtId="37" fontId="4" fillId="2" borderId="0" xfId="40" applyNumberFormat="1" applyFont="1" applyFill="1" applyAlignment="1" applyProtection="1">
      <alignment horizontal="fill" vertical="center"/>
    </xf>
    <xf numFmtId="37" fontId="4" fillId="2" borderId="0" xfId="40" applyNumberFormat="1" applyFont="1" applyFill="1" applyAlignment="1" applyProtection="1">
      <alignment horizontal="left" vertical="center"/>
    </xf>
    <xf numFmtId="1" fontId="4" fillId="2" borderId="15" xfId="40" applyNumberFormat="1" applyFont="1" applyFill="1" applyBorder="1" applyAlignment="1" applyProtection="1">
      <alignment horizontal="center" vertical="center"/>
    </xf>
    <xf numFmtId="37" fontId="4" fillId="2" borderId="15" xfId="40" applyNumberFormat="1" applyFont="1" applyFill="1" applyBorder="1" applyAlignment="1" applyProtection="1">
      <alignment horizontal="center" vertical="center"/>
    </xf>
    <xf numFmtId="37" fontId="4" fillId="2" borderId="2" xfId="40" applyNumberFormat="1" applyFont="1" applyFill="1" applyBorder="1" applyAlignment="1" applyProtection="1">
      <alignment horizontal="center" vertical="center"/>
    </xf>
    <xf numFmtId="37" fontId="3" fillId="2" borderId="0" xfId="40" applyNumberFormat="1" applyFont="1" applyFill="1" applyBorder="1" applyAlignment="1" applyProtection="1">
      <alignment vertical="center"/>
    </xf>
    <xf numFmtId="0" fontId="4" fillId="2" borderId="16" xfId="40" applyNumberFormat="1" applyFont="1" applyFill="1" applyBorder="1" applyAlignment="1" applyProtection="1">
      <alignment horizontal="center" vertical="center"/>
    </xf>
    <xf numFmtId="1" fontId="4" fillId="2" borderId="5" xfId="40" applyNumberFormat="1" applyFont="1" applyFill="1" applyBorder="1" applyAlignment="1" applyProtection="1">
      <alignment horizontal="center" vertical="center"/>
    </xf>
    <xf numFmtId="37" fontId="4" fillId="2" borderId="9" xfId="40" applyNumberFormat="1" applyFont="1" applyFill="1" applyBorder="1" applyAlignment="1" applyProtection="1">
      <alignment horizontal="left" vertical="center"/>
    </xf>
    <xf numFmtId="3" fontId="4" fillId="8" borderId="15" xfId="40" applyNumberFormat="1" applyFont="1" applyFill="1" applyBorder="1" applyAlignment="1" applyProtection="1">
      <alignment horizontal="right" vertical="center"/>
      <protection locked="0"/>
    </xf>
    <xf numFmtId="3" fontId="4" fillId="2" borderId="3" xfId="1" applyNumberFormat="1" applyFont="1" applyFill="1" applyBorder="1" applyAlignment="1" applyProtection="1">
      <alignment horizontal="right" vertical="center"/>
    </xf>
    <xf numFmtId="3" fontId="4" fillId="2" borderId="4" xfId="1" applyNumberFormat="1" applyFont="1" applyFill="1" applyBorder="1" applyAlignment="1" applyProtection="1">
      <alignment horizontal="right" vertical="center"/>
    </xf>
    <xf numFmtId="37" fontId="4" fillId="2" borderId="16" xfId="40" applyNumberFormat="1" applyFont="1" applyFill="1" applyBorder="1" applyAlignment="1" applyProtection="1">
      <alignment horizontal="left" vertical="center"/>
    </xf>
    <xf numFmtId="3" fontId="4" fillId="2" borderId="15" xfId="40" applyNumberFormat="1" applyFont="1" applyFill="1" applyBorder="1" applyAlignment="1" applyProtection="1">
      <alignment horizontal="right" vertical="center"/>
      <protection locked="0"/>
    </xf>
    <xf numFmtId="3" fontId="4" fillId="2" borderId="7" xfId="1" applyNumberFormat="1" applyFont="1" applyFill="1" applyBorder="1" applyAlignment="1" applyProtection="1">
      <alignment horizontal="right" vertical="center"/>
    </xf>
    <xf numFmtId="3" fontId="4" fillId="2" borderId="7" xfId="40" applyNumberFormat="1" applyFont="1" applyFill="1" applyBorder="1" applyAlignment="1" applyProtection="1">
      <alignment horizontal="fill" vertical="center"/>
    </xf>
    <xf numFmtId="3" fontId="4" fillId="8" borderId="3" xfId="40" applyNumberFormat="1" applyFont="1" applyFill="1" applyBorder="1" applyAlignment="1" applyProtection="1">
      <alignment horizontal="right" vertical="center"/>
      <protection locked="0"/>
    </xf>
    <xf numFmtId="3" fontId="4" fillId="8" borderId="7" xfId="40" applyNumberFormat="1" applyFont="1" applyFill="1" applyBorder="1" applyAlignment="1" applyProtection="1">
      <alignment horizontal="right" vertical="center"/>
      <protection locked="0"/>
    </xf>
    <xf numFmtId="3" fontId="4" fillId="2" borderId="7" xfId="40" applyNumberFormat="1" applyFont="1" applyFill="1" applyBorder="1" applyAlignment="1" applyProtection="1">
      <alignment horizontal="right" vertical="center"/>
    </xf>
    <xf numFmtId="0" fontId="4" fillId="2" borderId="9" xfId="40" applyNumberFormat="1" applyFont="1" applyFill="1" applyBorder="1" applyAlignment="1" applyProtection="1">
      <alignment horizontal="left" vertical="center"/>
    </xf>
    <xf numFmtId="3" fontId="4" fillId="4" borderId="7" xfId="40" applyNumberFormat="1" applyFont="1" applyFill="1" applyBorder="1" applyAlignment="1" applyProtection="1">
      <alignment horizontal="right" vertical="center"/>
      <protection locked="0"/>
    </xf>
    <xf numFmtId="0" fontId="4" fillId="8" borderId="9" xfId="40" applyNumberFormat="1" applyFont="1" applyFill="1" applyBorder="1" applyAlignment="1" applyProtection="1">
      <alignment horizontal="left"/>
      <protection locked="0"/>
    </xf>
    <xf numFmtId="3" fontId="4" fillId="8" borderId="9" xfId="40" applyNumberFormat="1" applyFont="1" applyFill="1" applyBorder="1" applyAlignment="1" applyProtection="1">
      <alignment horizontal="right" vertical="center"/>
      <protection locked="0"/>
    </xf>
    <xf numFmtId="0" fontId="4" fillId="8" borderId="15" xfId="40" applyNumberFormat="1" applyFont="1" applyFill="1" applyBorder="1" applyAlignment="1" applyProtection="1">
      <alignment horizontal="left" vertical="center"/>
      <protection locked="0"/>
    </xf>
    <xf numFmtId="0" fontId="4" fillId="2" borderId="9" xfId="40" applyFont="1" applyFill="1" applyBorder="1" applyAlignment="1" applyProtection="1">
      <alignment vertical="center"/>
    </xf>
    <xf numFmtId="3" fontId="4" fillId="8" borderId="4" xfId="40" applyNumberFormat="1" applyFont="1" applyFill="1" applyBorder="1" applyAlignment="1" applyProtection="1">
      <alignment horizontal="right" vertical="center"/>
      <protection locked="0"/>
    </xf>
    <xf numFmtId="3" fontId="15" fillId="11" borderId="9" xfId="40" applyNumberFormat="1" applyFont="1" applyFill="1" applyBorder="1" applyAlignment="1" applyProtection="1">
      <alignment horizontal="center" vertical="center"/>
    </xf>
    <xf numFmtId="3" fontId="15" fillId="11" borderId="3" xfId="40" applyNumberFormat="1" applyFont="1" applyFill="1" applyBorder="1" applyAlignment="1" applyProtection="1">
      <alignment horizontal="center" vertical="center"/>
    </xf>
    <xf numFmtId="3" fontId="15" fillId="11" borderId="7" xfId="40" applyNumberFormat="1" applyFont="1" applyFill="1" applyBorder="1" applyAlignment="1" applyProtection="1">
      <alignment horizontal="center" vertical="center"/>
    </xf>
    <xf numFmtId="37" fontId="3" fillId="2" borderId="9" xfId="40" applyNumberFormat="1" applyFont="1" applyFill="1" applyBorder="1" applyAlignment="1" applyProtection="1">
      <alignment horizontal="left" vertical="center"/>
    </xf>
    <xf numFmtId="3" fontId="3" fillId="9" borderId="9" xfId="40" applyNumberFormat="1" applyFont="1" applyFill="1" applyBorder="1" applyAlignment="1" applyProtection="1">
      <alignment horizontal="right" vertical="center"/>
    </xf>
    <xf numFmtId="3" fontId="3" fillId="9" borderId="3" xfId="40" applyNumberFormat="1" applyFont="1" applyFill="1" applyBorder="1" applyAlignment="1" applyProtection="1">
      <alignment horizontal="right" vertical="center"/>
    </xf>
    <xf numFmtId="3" fontId="3" fillId="9" borderId="4" xfId="40" applyNumberFormat="1" applyFont="1" applyFill="1" applyBorder="1" applyAlignment="1" applyProtection="1">
      <alignment horizontal="right" vertical="center"/>
    </xf>
    <xf numFmtId="3" fontId="3" fillId="9" borderId="7" xfId="40" applyNumberFormat="1" applyFont="1" applyFill="1" applyBorder="1" applyAlignment="1" applyProtection="1">
      <alignment horizontal="right" vertical="center"/>
    </xf>
    <xf numFmtId="3" fontId="4" fillId="2" borderId="9" xfId="40" applyNumberFormat="1" applyFont="1" applyFill="1" applyBorder="1" applyAlignment="1" applyProtection="1">
      <alignment horizontal="right" vertical="center"/>
    </xf>
    <xf numFmtId="3" fontId="4" fillId="2" borderId="3" xfId="40" applyNumberFormat="1" applyFont="1" applyFill="1" applyBorder="1" applyAlignment="1" applyProtection="1">
      <alignment horizontal="right" vertical="center"/>
    </xf>
    <xf numFmtId="0" fontId="4" fillId="8" borderId="9" xfId="40" applyFont="1" applyFill="1" applyBorder="1" applyAlignment="1" applyProtection="1">
      <alignment vertical="center"/>
      <protection locked="0"/>
    </xf>
    <xf numFmtId="3" fontId="4" fillId="8" borderId="7" xfId="40" applyNumberFormat="1" applyFont="1" applyFill="1" applyBorder="1" applyAlignment="1" applyProtection="1">
      <alignment horizontal="right"/>
      <protection locked="0"/>
    </xf>
    <xf numFmtId="0" fontId="4" fillId="8" borderId="9" xfId="40" applyFont="1" applyFill="1" applyBorder="1" applyProtection="1">
      <protection locked="0"/>
    </xf>
    <xf numFmtId="0" fontId="4" fillId="8" borderId="9" xfId="111" applyFont="1" applyFill="1" applyBorder="1" applyProtection="1">
      <protection locked="0"/>
    </xf>
    <xf numFmtId="0" fontId="4" fillId="0" borderId="0" xfId="40" applyFont="1" applyFill="1" applyBorder="1" applyAlignment="1" applyProtection="1">
      <alignment horizontal="center" vertical="center"/>
      <protection locked="0"/>
    </xf>
    <xf numFmtId="0" fontId="2" fillId="0" borderId="0" xfId="40" applyFill="1" applyBorder="1" applyAlignment="1">
      <alignment vertical="center"/>
    </xf>
    <xf numFmtId="0" fontId="4" fillId="0" borderId="0" xfId="40" applyFont="1" applyFill="1" applyBorder="1" applyAlignment="1" applyProtection="1">
      <alignment vertical="center"/>
      <protection locked="0"/>
    </xf>
    <xf numFmtId="3" fontId="4" fillId="0" borderId="0" xfId="40" applyNumberFormat="1" applyFont="1" applyFill="1" applyBorder="1" applyAlignment="1" applyProtection="1">
      <alignment horizontal="center" vertical="center"/>
      <protection locked="0"/>
    </xf>
    <xf numFmtId="0" fontId="4" fillId="0" borderId="0" xfId="40" applyFont="1" applyFill="1" applyBorder="1" applyAlignment="1" applyProtection="1">
      <alignment horizontal="left" vertical="center"/>
      <protection locked="0"/>
    </xf>
    <xf numFmtId="3" fontId="4" fillId="15" borderId="7" xfId="40" applyNumberFormat="1" applyFont="1" applyFill="1" applyBorder="1" applyAlignment="1" applyProtection="1">
      <alignment horizontal="right" vertical="center"/>
      <protection locked="0"/>
    </xf>
    <xf numFmtId="0" fontId="40" fillId="14" borderId="28" xfId="40" applyFont="1" applyFill="1" applyBorder="1" applyAlignment="1" applyProtection="1">
      <alignment vertical="center"/>
    </xf>
    <xf numFmtId="0" fontId="4" fillId="14" borderId="0" xfId="40" applyFont="1" applyFill="1" applyBorder="1" applyAlignment="1" applyProtection="1">
      <alignment vertical="center"/>
    </xf>
    <xf numFmtId="0" fontId="40" fillId="14" borderId="0" xfId="40" applyFont="1" applyFill="1" applyBorder="1" applyAlignment="1" applyProtection="1">
      <alignment vertical="center"/>
    </xf>
    <xf numFmtId="175" fontId="40" fillId="14" borderId="11" xfId="40" applyNumberFormat="1" applyFont="1" applyFill="1" applyBorder="1" applyAlignment="1" applyProtection="1">
      <alignment horizontal="center" vertical="center"/>
    </xf>
    <xf numFmtId="0" fontId="40" fillId="14" borderId="28" xfId="40" applyFont="1" applyFill="1" applyBorder="1" applyAlignment="1" applyProtection="1">
      <alignment horizontal="left" vertical="center"/>
    </xf>
    <xf numFmtId="175" fontId="40" fillId="15" borderId="3" xfId="40" applyNumberFormat="1" applyFont="1" applyFill="1" applyBorder="1" applyAlignment="1" applyProtection="1">
      <alignment horizontal="center" vertical="center"/>
      <protection locked="0"/>
    </xf>
    <xf numFmtId="0" fontId="42" fillId="14" borderId="7" xfId="40" applyFont="1" applyFill="1" applyBorder="1" applyAlignment="1" applyProtection="1">
      <alignment horizontal="center" vertical="center"/>
    </xf>
    <xf numFmtId="0" fontId="42" fillId="17" borderId="28" xfId="40" applyFont="1" applyFill="1" applyBorder="1" applyAlignment="1" applyProtection="1">
      <alignment vertical="center"/>
    </xf>
    <xf numFmtId="0" fontId="4" fillId="17" borderId="0" xfId="40" applyFont="1" applyFill="1" applyBorder="1" applyAlignment="1" applyProtection="1">
      <alignment vertical="center"/>
    </xf>
    <xf numFmtId="0" fontId="40" fillId="17" borderId="0" xfId="40" applyFont="1" applyFill="1" applyBorder="1" applyAlignment="1" applyProtection="1">
      <alignment vertical="center"/>
    </xf>
    <xf numFmtId="175" fontId="42" fillId="17" borderId="7" xfId="40" applyNumberFormat="1" applyFont="1" applyFill="1" applyBorder="1" applyAlignment="1" applyProtection="1">
      <alignment horizontal="center" vertical="center"/>
    </xf>
    <xf numFmtId="37" fontId="40" fillId="2" borderId="16" xfId="40" applyNumberFormat="1" applyFont="1" applyFill="1" applyBorder="1" applyAlignment="1" applyProtection="1">
      <alignment horizontal="left" vertical="center"/>
    </xf>
    <xf numFmtId="0" fontId="43" fillId="14" borderId="1" xfId="40" applyFont="1" applyFill="1" applyBorder="1" applyAlignment="1">
      <alignment horizontal="left" vertical="center"/>
    </xf>
    <xf numFmtId="175" fontId="42" fillId="17" borderId="4" xfId="40" applyNumberFormat="1" applyFont="1" applyFill="1" applyBorder="1" applyAlignment="1" applyProtection="1">
      <alignment horizontal="center" vertical="center"/>
      <protection locked="0"/>
    </xf>
    <xf numFmtId="0" fontId="4" fillId="14" borderId="28" xfId="40" applyFont="1" applyFill="1" applyBorder="1" applyAlignment="1" applyProtection="1">
      <alignment vertical="center"/>
    </xf>
    <xf numFmtId="0" fontId="4" fillId="14" borderId="11" xfId="40" applyFont="1" applyFill="1" applyBorder="1" applyAlignment="1" applyProtection="1">
      <alignment vertical="center"/>
    </xf>
    <xf numFmtId="175" fontId="40" fillId="14" borderId="28" xfId="40" applyNumberFormat="1" applyFont="1" applyFill="1" applyBorder="1" applyAlignment="1" applyProtection="1">
      <alignment horizontal="center" vertical="center"/>
    </xf>
    <xf numFmtId="0" fontId="40" fillId="14" borderId="0" xfId="40" applyFont="1" applyFill="1" applyBorder="1" applyAlignment="1" applyProtection="1">
      <alignment horizontal="left" vertical="center"/>
    </xf>
    <xf numFmtId="0" fontId="40" fillId="14" borderId="11" xfId="40" applyFont="1" applyFill="1" applyBorder="1" applyAlignment="1" applyProtection="1">
      <alignment vertical="center"/>
    </xf>
    <xf numFmtId="3" fontId="4" fillId="9" borderId="9" xfId="40" applyNumberFormat="1" applyFont="1" applyFill="1" applyBorder="1" applyAlignment="1" applyProtection="1">
      <alignment horizontal="right" vertical="center"/>
    </xf>
    <xf numFmtId="3" fontId="4" fillId="9" borderId="3" xfId="40" applyNumberFormat="1" applyFont="1" applyFill="1" applyBorder="1" applyAlignment="1" applyProtection="1">
      <alignment horizontal="right" vertical="center"/>
    </xf>
    <xf numFmtId="0" fontId="4" fillId="2" borderId="0" xfId="40" applyFont="1" applyFill="1" applyAlignment="1" applyProtection="1">
      <alignment horizontal="right" vertical="center"/>
    </xf>
    <xf numFmtId="0" fontId="15" fillId="0" borderId="0" xfId="40" applyFont="1" applyAlignment="1" applyProtection="1">
      <alignment vertical="center"/>
    </xf>
    <xf numFmtId="175" fontId="40" fillId="14" borderId="16" xfId="40" applyNumberFormat="1" applyFont="1" applyFill="1" applyBorder="1" applyAlignment="1" applyProtection="1">
      <alignment horizontal="center" vertical="center"/>
    </xf>
    <xf numFmtId="0" fontId="56" fillId="0" borderId="0" xfId="40" applyFont="1" applyProtection="1">
      <protection locked="0"/>
    </xf>
    <xf numFmtId="3" fontId="4" fillId="8" borderId="3" xfId="40" applyNumberFormat="1" applyFont="1" applyFill="1" applyBorder="1" applyAlignment="1" applyProtection="1">
      <alignment vertical="center"/>
      <protection locked="0"/>
    </xf>
    <xf numFmtId="0" fontId="44" fillId="0" borderId="0" xfId="40" applyFont="1" applyAlignment="1" applyProtection="1">
      <alignment vertical="center"/>
    </xf>
    <xf numFmtId="0" fontId="58" fillId="2" borderId="0" xfId="40" applyFont="1" applyFill="1" applyAlignment="1" applyProtection="1">
      <alignment horizontal="center" vertical="center"/>
    </xf>
    <xf numFmtId="3" fontId="4" fillId="2" borderId="3" xfId="40" applyNumberFormat="1" applyFont="1" applyFill="1" applyBorder="1" applyAlignment="1" applyProtection="1">
      <alignment vertical="center"/>
    </xf>
    <xf numFmtId="175" fontId="40" fillId="14" borderId="28" xfId="40" applyNumberFormat="1" applyFont="1" applyFill="1" applyBorder="1" applyAlignment="1" applyProtection="1">
      <alignment vertical="center"/>
    </xf>
    <xf numFmtId="0" fontId="13" fillId="2" borderId="0" xfId="40" applyFont="1" applyFill="1" applyAlignment="1" applyProtection="1">
      <alignment horizontal="center" vertical="center"/>
    </xf>
    <xf numFmtId="3" fontId="4" fillId="9" borderId="3" xfId="40" applyNumberFormat="1" applyFont="1" applyFill="1" applyBorder="1" applyAlignment="1" applyProtection="1">
      <alignment vertical="center"/>
    </xf>
    <xf numFmtId="2" fontId="4" fillId="2" borderId="0" xfId="40" applyNumberFormat="1" applyFont="1" applyFill="1" applyAlignment="1" applyProtection="1">
      <alignment horizontal="right" vertical="center"/>
      <protection locked="0"/>
    </xf>
    <xf numFmtId="178" fontId="4" fillId="14" borderId="0" xfId="64" applyNumberFormat="1" applyFont="1" applyFill="1" applyAlignment="1">
      <alignment horizontal="center" vertical="center"/>
    </xf>
    <xf numFmtId="175" fontId="42" fillId="17" borderId="16" xfId="40" applyNumberFormat="1" applyFont="1" applyFill="1" applyBorder="1" applyAlignment="1" applyProtection="1">
      <alignment horizontal="center" vertical="center"/>
    </xf>
    <xf numFmtId="0" fontId="42" fillId="17" borderId="1" xfId="40" applyFont="1" applyFill="1" applyBorder="1" applyAlignment="1" applyProtection="1">
      <alignment vertical="center"/>
    </xf>
    <xf numFmtId="0" fontId="40" fillId="17" borderId="4" xfId="40" applyFont="1" applyFill="1" applyBorder="1" applyAlignment="1" applyProtection="1">
      <alignment vertical="center"/>
    </xf>
    <xf numFmtId="0" fontId="4" fillId="17" borderId="4" xfId="40" applyFont="1" applyFill="1" applyBorder="1" applyAlignment="1" applyProtection="1">
      <alignment vertical="center"/>
    </xf>
    <xf numFmtId="3" fontId="3" fillId="10" borderId="14" xfId="40" applyNumberFormat="1" applyFont="1" applyFill="1" applyBorder="1" applyAlignment="1" applyProtection="1">
      <alignment vertical="center"/>
    </xf>
    <xf numFmtId="0" fontId="4" fillId="4" borderId="0" xfId="40" applyFont="1" applyFill="1" applyAlignment="1" applyProtection="1">
      <alignment horizontal="left" vertical="center"/>
      <protection locked="0"/>
    </xf>
    <xf numFmtId="0" fontId="4" fillId="14" borderId="0" xfId="40" applyFont="1" applyFill="1" applyAlignment="1" applyProtection="1">
      <alignment vertical="center"/>
    </xf>
    <xf numFmtId="172" fontId="40" fillId="14" borderId="28" xfId="40" applyNumberFormat="1" applyFont="1" applyFill="1" applyBorder="1" applyAlignment="1" applyProtection="1">
      <alignment horizontal="center" vertical="center"/>
    </xf>
    <xf numFmtId="0" fontId="41" fillId="14" borderId="0" xfId="40" applyFont="1" applyFill="1" applyBorder="1" applyAlignment="1" applyProtection="1">
      <alignment horizontal="center" vertical="center"/>
    </xf>
    <xf numFmtId="0" fontId="2" fillId="14" borderId="11" xfId="40" applyFill="1" applyBorder="1" applyAlignment="1" applyProtection="1">
      <alignment vertical="center"/>
    </xf>
    <xf numFmtId="172" fontId="40" fillId="17" borderId="16" xfId="40" applyNumberFormat="1" applyFont="1" applyFill="1" applyBorder="1" applyAlignment="1" applyProtection="1">
      <alignment horizontal="center" vertical="center"/>
    </xf>
    <xf numFmtId="0" fontId="4" fillId="0" borderId="0" xfId="40" applyFont="1" applyFill="1" applyBorder="1" applyAlignment="1" applyProtection="1">
      <alignment vertical="center"/>
    </xf>
    <xf numFmtId="175" fontId="4" fillId="0" borderId="0" xfId="40" applyNumberFormat="1" applyFont="1" applyFill="1" applyBorder="1" applyAlignment="1" applyProtection="1">
      <alignment vertical="center"/>
      <protection locked="0"/>
    </xf>
    <xf numFmtId="172" fontId="40" fillId="14" borderId="9" xfId="40" applyNumberFormat="1" applyFont="1" applyFill="1" applyBorder="1" applyAlignment="1" applyProtection="1">
      <alignment horizontal="center" vertical="center"/>
    </xf>
    <xf numFmtId="175" fontId="4" fillId="0" borderId="0" xfId="40" applyNumberFormat="1" applyFont="1" applyAlignment="1" applyProtection="1">
      <alignment vertical="center"/>
      <protection locked="0"/>
    </xf>
    <xf numFmtId="0" fontId="40" fillId="0" borderId="0" xfId="40" applyFont="1" applyFill="1" applyBorder="1" applyAlignment="1" applyProtection="1">
      <alignment horizontal="left" vertical="center"/>
    </xf>
    <xf numFmtId="0" fontId="40" fillId="0" borderId="0" xfId="40" applyFont="1" applyFill="1" applyBorder="1" applyAlignment="1" applyProtection="1">
      <alignment vertical="center"/>
    </xf>
    <xf numFmtId="175" fontId="40" fillId="0" borderId="0" xfId="40" applyNumberFormat="1" applyFont="1" applyFill="1" applyBorder="1" applyAlignment="1" applyProtection="1">
      <alignment horizontal="center" vertical="center"/>
      <protection locked="0"/>
    </xf>
    <xf numFmtId="0" fontId="40" fillId="0" borderId="0" xfId="40" applyFont="1" applyFill="1" applyBorder="1" applyAlignment="1" applyProtection="1">
      <alignment vertical="center"/>
      <protection locked="0"/>
    </xf>
    <xf numFmtId="172" fontId="40" fillId="17" borderId="9" xfId="40" applyNumberFormat="1" applyFont="1" applyFill="1" applyBorder="1" applyAlignment="1" applyProtection="1">
      <alignment horizontal="center" vertical="center"/>
    </xf>
    <xf numFmtId="3" fontId="4" fillId="0" borderId="0" xfId="40" applyNumberFormat="1" applyFont="1" applyFill="1" applyBorder="1" applyAlignment="1" applyProtection="1">
      <alignment horizontal="left" vertical="center"/>
      <protection locked="0"/>
    </xf>
    <xf numFmtId="6" fontId="4" fillId="0" borderId="0" xfId="40" applyNumberFormat="1" applyFont="1" applyFill="1" applyBorder="1" applyAlignment="1" applyProtection="1">
      <alignment horizontal="left" vertical="center"/>
      <protection locked="0"/>
    </xf>
    <xf numFmtId="0" fontId="40" fillId="14" borderId="1" xfId="40" applyFont="1" applyFill="1" applyBorder="1" applyAlignment="1" applyProtection="1">
      <alignment horizontal="left" vertical="center"/>
    </xf>
    <xf numFmtId="0" fontId="41" fillId="14" borderId="1" xfId="40" applyFont="1" applyFill="1" applyBorder="1" applyAlignment="1" applyProtection="1">
      <alignment horizontal="center" vertical="center"/>
    </xf>
    <xf numFmtId="0" fontId="2" fillId="14" borderId="4" xfId="40" applyFill="1" applyBorder="1" applyAlignment="1" applyProtection="1">
      <alignment vertical="center"/>
    </xf>
    <xf numFmtId="172" fontId="40" fillId="0" borderId="0" xfId="40" applyNumberFormat="1" applyFont="1" applyFill="1" applyBorder="1" applyAlignment="1" applyProtection="1">
      <alignment horizontal="center" vertical="center"/>
      <protection locked="0"/>
    </xf>
    <xf numFmtId="0" fontId="42" fillId="0" borderId="0" xfId="40" applyFont="1" applyFill="1" applyBorder="1" applyAlignment="1" applyProtection="1">
      <alignment horizontal="center" vertical="center"/>
    </xf>
    <xf numFmtId="175" fontId="42" fillId="0" borderId="0" xfId="40" applyNumberFormat="1" applyFont="1" applyFill="1" applyBorder="1" applyAlignment="1" applyProtection="1">
      <alignment horizontal="center" vertical="center"/>
    </xf>
    <xf numFmtId="3" fontId="58" fillId="0" borderId="0" xfId="40" applyNumberFormat="1" applyFont="1" applyFill="1" applyBorder="1" applyAlignment="1" applyProtection="1">
      <alignment horizontal="center" vertical="center"/>
      <protection locked="0"/>
    </xf>
    <xf numFmtId="0" fontId="58" fillId="0" borderId="0" xfId="40" applyFont="1" applyFill="1" applyBorder="1" applyAlignment="1" applyProtection="1">
      <alignment horizontal="center" vertical="center"/>
      <protection locked="0"/>
    </xf>
    <xf numFmtId="0" fontId="58" fillId="0" borderId="0" xfId="40" applyFont="1" applyAlignment="1" applyProtection="1">
      <alignment horizontal="center" vertical="center"/>
      <protection locked="0"/>
    </xf>
    <xf numFmtId="0" fontId="4" fillId="14" borderId="0" xfId="40" applyFont="1" applyFill="1"/>
    <xf numFmtId="0" fontId="2" fillId="0" borderId="0" xfId="40"/>
    <xf numFmtId="0" fontId="4" fillId="14" borderId="0" xfId="40" applyFont="1" applyFill="1" applyAlignment="1">
      <alignment vertical="center"/>
    </xf>
    <xf numFmtId="37" fontId="4" fillId="14" borderId="0" xfId="40" applyNumberFormat="1" applyFont="1" applyFill="1" applyAlignment="1">
      <alignment vertical="center"/>
    </xf>
    <xf numFmtId="0" fontId="4" fillId="14" borderId="1" xfId="40" applyFont="1" applyFill="1" applyBorder="1" applyAlignment="1">
      <alignment vertical="center"/>
    </xf>
    <xf numFmtId="0" fontId="4" fillId="14" borderId="0" xfId="40" applyFont="1" applyFill="1" applyAlignment="1">
      <alignment horizontal="center" vertical="center"/>
    </xf>
    <xf numFmtId="0" fontId="5" fillId="14" borderId="0" xfId="40" applyFont="1" applyFill="1" applyAlignment="1">
      <alignment horizontal="center" vertical="center"/>
    </xf>
    <xf numFmtId="175" fontId="4" fillId="14" borderId="0" xfId="40" applyNumberFormat="1" applyFont="1" applyFill="1" applyAlignment="1">
      <alignment vertical="center"/>
    </xf>
    <xf numFmtId="175" fontId="4" fillId="14" borderId="8" xfId="40" applyNumberFormat="1" applyFont="1" applyFill="1" applyBorder="1" applyAlignment="1">
      <alignment vertical="center"/>
    </xf>
    <xf numFmtId="6" fontId="4" fillId="14" borderId="0" xfId="40" applyNumberFormat="1" applyFont="1" applyFill="1" applyBorder="1" applyAlignment="1">
      <alignment vertical="center"/>
    </xf>
    <xf numFmtId="175" fontId="4" fillId="14" borderId="0" xfId="40" applyNumberFormat="1" applyFont="1" applyFill="1" applyBorder="1" applyAlignment="1">
      <alignment vertical="center"/>
    </xf>
    <xf numFmtId="0" fontId="57" fillId="17" borderId="0" xfId="40" applyFont="1" applyFill="1" applyAlignment="1">
      <alignment vertical="center"/>
    </xf>
    <xf numFmtId="0" fontId="57" fillId="14" borderId="0" xfId="40" applyFont="1" applyFill="1" applyAlignment="1">
      <alignment horizontal="center" vertical="center"/>
    </xf>
    <xf numFmtId="172" fontId="4" fillId="14" borderId="0" xfId="40" applyNumberFormat="1" applyFont="1" applyFill="1" applyAlignment="1">
      <alignment horizontal="center" vertical="center"/>
    </xf>
    <xf numFmtId="179" fontId="57" fillId="14" borderId="0" xfId="40" applyNumberFormat="1" applyFont="1" applyFill="1" applyAlignment="1">
      <alignment horizontal="center" vertical="center"/>
    </xf>
    <xf numFmtId="0" fontId="57" fillId="17" borderId="0" xfId="40" applyFont="1" applyFill="1" applyAlignment="1">
      <alignment horizontal="center" vertical="center"/>
    </xf>
    <xf numFmtId="0" fontId="63" fillId="17" borderId="0" xfId="40" applyFont="1" applyFill="1" applyAlignment="1">
      <alignment horizontal="center" vertical="center"/>
    </xf>
    <xf numFmtId="0" fontId="4" fillId="14" borderId="0" xfId="40" applyFont="1" applyFill="1" applyAlignment="1">
      <alignment horizontal="right" vertical="center"/>
    </xf>
    <xf numFmtId="0" fontId="4" fillId="14" borderId="0" xfId="40" applyFont="1" applyFill="1" applyAlignment="1">
      <alignment horizontal="left" vertical="center"/>
    </xf>
    <xf numFmtId="0" fontId="4" fillId="14" borderId="0" xfId="30" applyFont="1" applyFill="1"/>
    <xf numFmtId="0" fontId="2" fillId="14" borderId="0" xfId="40" applyFill="1"/>
    <xf numFmtId="0" fontId="3" fillId="14" borderId="0" xfId="30" applyFont="1" applyFill="1"/>
    <xf numFmtId="0" fontId="2" fillId="14" borderId="0" xfId="30" applyFill="1"/>
    <xf numFmtId="0" fontId="10" fillId="0" borderId="0" xfId="14" applyAlignment="1" applyProtection="1"/>
    <xf numFmtId="0" fontId="4" fillId="2" borderId="10" xfId="0" applyFont="1" applyFill="1" applyBorder="1" applyProtection="1"/>
    <xf numFmtId="0" fontId="7" fillId="2" borderId="5" xfId="0" applyFont="1" applyFill="1" applyBorder="1" applyAlignment="1" applyProtection="1">
      <alignment horizontal="center" vertical="center"/>
    </xf>
    <xf numFmtId="14" fontId="4" fillId="2" borderId="5" xfId="0" quotePrefix="1" applyNumberFormat="1" applyFont="1" applyFill="1" applyBorder="1" applyAlignment="1" applyProtection="1">
      <alignment horizontal="center" vertical="center"/>
    </xf>
    <xf numFmtId="3" fontId="3" fillId="9" borderId="14" xfId="0" applyNumberFormat="1" applyFont="1" applyFill="1" applyBorder="1" applyAlignment="1" applyProtection="1">
      <alignment horizontal="center" vertical="center"/>
    </xf>
    <xf numFmtId="1" fontId="4" fillId="8" borderId="3" xfId="0" applyNumberFormat="1" applyFont="1" applyFill="1" applyBorder="1" applyAlignment="1" applyProtection="1">
      <alignment horizontal="center" vertical="center"/>
      <protection locked="0"/>
    </xf>
    <xf numFmtId="0" fontId="40" fillId="0" borderId="0" xfId="59" applyFont="1" applyFill="1" applyBorder="1" applyAlignment="1" applyProtection="1">
      <alignment vertical="center"/>
    </xf>
    <xf numFmtId="0" fontId="4" fillId="0" borderId="0" xfId="59" applyFont="1" applyFill="1" applyBorder="1" applyAlignment="1" applyProtection="1">
      <alignment vertical="center"/>
      <protection locked="0"/>
    </xf>
    <xf numFmtId="0" fontId="40" fillId="0" borderId="0" xfId="59" applyFont="1" applyFill="1" applyBorder="1" applyAlignment="1" applyProtection="1">
      <alignment vertical="center"/>
      <protection locked="0"/>
    </xf>
    <xf numFmtId="172" fontId="40" fillId="0" borderId="0" xfId="59" applyNumberFormat="1" applyFont="1" applyFill="1" applyBorder="1" applyAlignment="1" applyProtection="1">
      <alignment horizontal="center" vertical="center"/>
      <protection locked="0"/>
    </xf>
    <xf numFmtId="175" fontId="42" fillId="0" borderId="0" xfId="59" applyNumberFormat="1" applyFont="1" applyFill="1" applyBorder="1" applyAlignment="1" applyProtection="1">
      <alignment horizontal="center" vertical="center"/>
      <protection locked="0"/>
    </xf>
    <xf numFmtId="178" fontId="4" fillId="2" borderId="0" xfId="501" applyNumberFormat="1" applyFont="1" applyFill="1" applyAlignment="1" applyProtection="1">
      <alignment horizontal="center" vertical="center"/>
    </xf>
    <xf numFmtId="3" fontId="4" fillId="11" borderId="14" xfId="0" applyNumberFormat="1" applyFont="1" applyFill="1" applyBorder="1" applyAlignment="1" applyProtection="1">
      <alignment vertical="center"/>
    </xf>
    <xf numFmtId="3" fontId="4" fillId="10" borderId="14" xfId="59" applyNumberFormat="1" applyFont="1" applyFill="1" applyBorder="1" applyAlignment="1" applyProtection="1">
      <alignment vertical="center"/>
    </xf>
    <xf numFmtId="3" fontId="4" fillId="10" borderId="14" xfId="0" applyNumberFormat="1" applyFont="1" applyFill="1" applyBorder="1" applyAlignment="1" applyProtection="1">
      <alignment vertical="center"/>
    </xf>
    <xf numFmtId="0" fontId="4" fillId="0" borderId="0" xfId="0" applyFont="1" applyBorder="1" applyAlignment="1" applyProtection="1">
      <alignment vertical="center"/>
      <protection locked="0"/>
    </xf>
    <xf numFmtId="0" fontId="4" fillId="2" borderId="0" xfId="0" applyFont="1" applyFill="1" applyBorder="1" applyAlignment="1" applyProtection="1">
      <alignment vertical="center"/>
      <protection locked="0"/>
    </xf>
    <xf numFmtId="37" fontId="4" fillId="2" borderId="0" xfId="0" applyNumberFormat="1" applyFont="1" applyFill="1" applyBorder="1" applyAlignment="1" applyProtection="1">
      <alignment horizontal="fill" vertical="center"/>
      <protection locked="0"/>
    </xf>
    <xf numFmtId="37" fontId="4" fillId="2" borderId="0" xfId="0" applyNumberFormat="1" applyFont="1" applyFill="1" applyBorder="1" applyAlignment="1" applyProtection="1">
      <alignment horizontal="centerContinuous" vertical="center"/>
    </xf>
    <xf numFmtId="37" fontId="4" fillId="12" borderId="1" xfId="0" applyNumberFormat="1" applyFont="1" applyFill="1" applyBorder="1" applyAlignment="1" applyProtection="1">
      <alignment vertical="center"/>
    </xf>
    <xf numFmtId="0" fontId="4" fillId="2" borderId="0" xfId="0" applyFont="1" applyFill="1" applyBorder="1" applyAlignment="1" applyProtection="1">
      <alignment horizontal="center" vertical="center"/>
    </xf>
    <xf numFmtId="37" fontId="4" fillId="2" borderId="0" xfId="0" applyNumberFormat="1" applyFont="1" applyFill="1" applyBorder="1" applyAlignment="1" applyProtection="1">
      <alignment horizontal="center" vertical="center"/>
    </xf>
    <xf numFmtId="0" fontId="4" fillId="2" borderId="16" xfId="0" applyFont="1" applyFill="1" applyBorder="1" applyAlignment="1" applyProtection="1">
      <alignment vertical="center"/>
    </xf>
    <xf numFmtId="0" fontId="4" fillId="2" borderId="0" xfId="0" applyFont="1" applyFill="1" applyProtection="1">
      <protection locked="0"/>
    </xf>
    <xf numFmtId="178" fontId="4" fillId="8" borderId="3" xfId="0" applyNumberFormat="1" applyFont="1" applyFill="1" applyBorder="1" applyAlignment="1" applyProtection="1">
      <alignment vertical="center"/>
      <protection locked="0"/>
    </xf>
    <xf numFmtId="178" fontId="4" fillId="8" borderId="5" xfId="0" applyNumberFormat="1" applyFont="1" applyFill="1" applyBorder="1" applyAlignment="1" applyProtection="1">
      <alignment vertical="center"/>
      <protection locked="0"/>
    </xf>
    <xf numFmtId="0" fontId="4" fillId="14" borderId="28" xfId="59" applyFont="1" applyFill="1" applyBorder="1" applyAlignment="1" applyProtection="1">
      <alignment vertical="center"/>
    </xf>
    <xf numFmtId="0" fontId="4" fillId="14" borderId="0" xfId="59" applyFont="1" applyFill="1" applyBorder="1" applyAlignment="1" applyProtection="1">
      <alignment vertical="center"/>
    </xf>
    <xf numFmtId="0" fontId="4" fillId="14" borderId="11" xfId="59" applyFont="1" applyFill="1" applyBorder="1" applyAlignment="1" applyProtection="1">
      <alignment vertical="center"/>
    </xf>
    <xf numFmtId="0" fontId="40" fillId="14" borderId="0" xfId="59" applyFont="1" applyFill="1" applyBorder="1" applyAlignment="1" applyProtection="1">
      <alignment vertical="center"/>
    </xf>
    <xf numFmtId="0" fontId="4" fillId="14" borderId="0" xfId="59" applyFont="1" applyFill="1" applyBorder="1" applyAlignment="1" applyProtection="1">
      <alignment vertical="center"/>
      <protection locked="0"/>
    </xf>
    <xf numFmtId="175" fontId="42" fillId="17" borderId="4" xfId="0" applyNumberFormat="1" applyFont="1" applyFill="1" applyBorder="1" applyAlignment="1" applyProtection="1">
      <alignment horizontal="center" vertical="center"/>
      <protection locked="0"/>
    </xf>
    <xf numFmtId="175" fontId="40" fillId="14" borderId="28" xfId="59" applyNumberFormat="1" applyFont="1" applyFill="1" applyBorder="1" applyAlignment="1" applyProtection="1">
      <alignment horizontal="center" vertical="center"/>
    </xf>
    <xf numFmtId="0" fontId="40" fillId="14" borderId="0" xfId="59" applyFont="1" applyFill="1" applyBorder="1" applyAlignment="1" applyProtection="1">
      <alignment horizontal="left" vertical="center"/>
    </xf>
    <xf numFmtId="0" fontId="40" fillId="14" borderId="11" xfId="59" applyFont="1" applyFill="1" applyBorder="1" applyAlignment="1" applyProtection="1">
      <alignment vertical="center"/>
    </xf>
    <xf numFmtId="175" fontId="40" fillId="14" borderId="16" xfId="59" applyNumberFormat="1" applyFont="1" applyFill="1" applyBorder="1" applyAlignment="1" applyProtection="1">
      <alignment horizontal="center" vertical="center"/>
    </xf>
    <xf numFmtId="0" fontId="56" fillId="0" borderId="0" xfId="0" applyFont="1" applyProtection="1">
      <protection locked="0"/>
    </xf>
    <xf numFmtId="175" fontId="40" fillId="14" borderId="28" xfId="59" applyNumberFormat="1" applyFont="1" applyFill="1" applyBorder="1" applyAlignment="1" applyProtection="1">
      <alignment vertical="center"/>
    </xf>
    <xf numFmtId="175" fontId="42" fillId="17" borderId="16" xfId="59" applyNumberFormat="1" applyFont="1" applyFill="1" applyBorder="1" applyAlignment="1" applyProtection="1">
      <alignment horizontal="center" vertical="center"/>
    </xf>
    <xf numFmtId="0" fontId="42" fillId="17" borderId="1" xfId="59" applyFont="1" applyFill="1" applyBorder="1" applyAlignment="1" applyProtection="1">
      <alignment vertical="center"/>
    </xf>
    <xf numFmtId="0" fontId="40" fillId="17" borderId="4" xfId="59" applyFont="1" applyFill="1" applyBorder="1" applyAlignment="1" applyProtection="1">
      <alignment vertical="center"/>
    </xf>
    <xf numFmtId="0" fontId="4" fillId="17" borderId="4" xfId="59" applyFont="1" applyFill="1" applyBorder="1" applyAlignment="1" applyProtection="1">
      <alignment vertical="center"/>
    </xf>
    <xf numFmtId="172" fontId="40" fillId="14" borderId="28" xfId="0" applyNumberFormat="1" applyFont="1" applyFill="1" applyBorder="1" applyAlignment="1" applyProtection="1">
      <alignment horizontal="center" vertical="center"/>
    </xf>
    <xf numFmtId="0" fontId="40" fillId="14" borderId="0" xfId="0" applyFont="1" applyFill="1" applyBorder="1" applyAlignment="1" applyProtection="1">
      <alignment horizontal="left" vertical="center"/>
    </xf>
    <xf numFmtId="0" fontId="41" fillId="14" borderId="0" xfId="0" applyFont="1" applyFill="1" applyBorder="1" applyAlignment="1" applyProtection="1">
      <alignment horizontal="center" vertical="center"/>
    </xf>
    <xf numFmtId="0" fontId="0" fillId="14" borderId="11" xfId="0" applyFill="1" applyBorder="1" applyAlignment="1" applyProtection="1">
      <alignment vertical="center"/>
    </xf>
    <xf numFmtId="172" fontId="40" fillId="17" borderId="16" xfId="0" applyNumberFormat="1" applyFont="1" applyFill="1" applyBorder="1" applyAlignment="1" applyProtection="1">
      <alignment horizontal="center" vertical="center"/>
    </xf>
    <xf numFmtId="172" fontId="40" fillId="14" borderId="9" xfId="0" applyNumberFormat="1" applyFont="1" applyFill="1" applyBorder="1" applyAlignment="1" applyProtection="1">
      <alignment horizontal="center" vertical="center"/>
    </xf>
    <xf numFmtId="172" fontId="40" fillId="17" borderId="9" xfId="0" applyNumberFormat="1" applyFont="1" applyFill="1" applyBorder="1" applyAlignment="1" applyProtection="1">
      <alignment horizontal="center" vertical="center"/>
    </xf>
    <xf numFmtId="0" fontId="40" fillId="14" borderId="1" xfId="0" applyFont="1" applyFill="1" applyBorder="1" applyAlignment="1" applyProtection="1">
      <alignment horizontal="left" vertical="center"/>
    </xf>
    <xf numFmtId="0" fontId="41" fillId="14" borderId="1" xfId="0" applyFont="1" applyFill="1" applyBorder="1" applyAlignment="1" applyProtection="1">
      <alignment horizontal="center" vertical="center"/>
    </xf>
    <xf numFmtId="0" fontId="0" fillId="14" borderId="4" xfId="0" applyFill="1" applyBorder="1" applyAlignment="1" applyProtection="1">
      <alignment vertical="center"/>
    </xf>
    <xf numFmtId="0" fontId="40" fillId="14" borderId="28" xfId="0" applyFont="1" applyFill="1" applyBorder="1" applyAlignment="1" applyProtection="1">
      <alignment vertical="center"/>
    </xf>
    <xf numFmtId="0" fontId="4" fillId="14" borderId="0" xfId="0" applyFont="1" applyFill="1" applyBorder="1" applyAlignment="1" applyProtection="1">
      <alignment vertical="center"/>
    </xf>
    <xf numFmtId="0" fontId="40" fillId="14" borderId="0" xfId="0" applyFont="1" applyFill="1" applyBorder="1" applyAlignment="1" applyProtection="1">
      <alignment vertical="center"/>
    </xf>
    <xf numFmtId="175" fontId="40" fillId="14" borderId="11" xfId="0" applyNumberFormat="1" applyFont="1" applyFill="1" applyBorder="1" applyAlignment="1" applyProtection="1">
      <alignment horizontal="center" vertical="center"/>
    </xf>
    <xf numFmtId="0" fontId="40" fillId="14" borderId="28" xfId="0" applyFont="1" applyFill="1" applyBorder="1" applyAlignment="1" applyProtection="1">
      <alignment horizontal="left" vertical="center"/>
    </xf>
    <xf numFmtId="175" fontId="40" fillId="15" borderId="3" xfId="0" applyNumberFormat="1" applyFont="1" applyFill="1" applyBorder="1" applyAlignment="1" applyProtection="1">
      <alignment horizontal="center" vertical="center"/>
      <protection locked="0"/>
    </xf>
    <xf numFmtId="172" fontId="42" fillId="14" borderId="7" xfId="0" applyNumberFormat="1" applyFont="1" applyFill="1" applyBorder="1" applyAlignment="1" applyProtection="1">
      <alignment horizontal="center" vertical="center"/>
    </xf>
    <xf numFmtId="0" fontId="42" fillId="17" borderId="28" xfId="0" applyFont="1" applyFill="1" applyBorder="1" applyAlignment="1" applyProtection="1">
      <alignment vertical="center"/>
    </xf>
    <xf numFmtId="0" fontId="4" fillId="17" borderId="0" xfId="0" applyFont="1" applyFill="1" applyBorder="1" applyAlignment="1" applyProtection="1">
      <alignment vertical="center"/>
    </xf>
    <xf numFmtId="0" fontId="40" fillId="17" borderId="0" xfId="0" applyFont="1" applyFill="1" applyBorder="1" applyAlignment="1" applyProtection="1">
      <alignment vertical="center"/>
    </xf>
    <xf numFmtId="175" fontId="42" fillId="17" borderId="7" xfId="0" applyNumberFormat="1" applyFont="1" applyFill="1" applyBorder="1" applyAlignment="1" applyProtection="1">
      <alignment horizontal="center" vertical="center"/>
    </xf>
    <xf numFmtId="37" fontId="40" fillId="2" borderId="16" xfId="0" applyNumberFormat="1" applyFont="1" applyFill="1" applyBorder="1" applyAlignment="1" applyProtection="1">
      <alignment horizontal="left" vertical="center"/>
    </xf>
    <xf numFmtId="0" fontId="43" fillId="14" borderId="1" xfId="0" applyFont="1" applyFill="1" applyBorder="1" applyAlignment="1">
      <alignment horizontal="left" vertical="center"/>
    </xf>
    <xf numFmtId="0" fontId="4" fillId="14" borderId="28" xfId="59" applyFont="1" applyFill="1" applyBorder="1" applyAlignment="1" applyProtection="1">
      <alignment vertical="center"/>
      <protection locked="0"/>
    </xf>
    <xf numFmtId="0" fontId="4" fillId="14" borderId="11" xfId="0" applyFont="1" applyFill="1" applyBorder="1" applyAlignment="1" applyProtection="1">
      <alignment vertical="center"/>
      <protection locked="0"/>
    </xf>
    <xf numFmtId="175" fontId="11" fillId="14" borderId="28" xfId="59" applyNumberFormat="1" applyFont="1" applyFill="1" applyBorder="1" applyAlignment="1" applyProtection="1">
      <alignment horizontal="center" vertical="center"/>
      <protection locked="0"/>
    </xf>
    <xf numFmtId="0" fontId="11" fillId="14" borderId="0" xfId="59" applyFont="1" applyFill="1" applyBorder="1" applyAlignment="1" applyProtection="1">
      <alignment horizontal="left" vertical="center"/>
      <protection locked="0"/>
    </xf>
    <xf numFmtId="0" fontId="4" fillId="14" borderId="11" xfId="59" applyFont="1" applyFill="1" applyBorder="1" applyAlignment="1" applyProtection="1">
      <alignment vertical="center"/>
      <protection locked="0"/>
    </xf>
    <xf numFmtId="0" fontId="11" fillId="14" borderId="0" xfId="59" applyFont="1" applyFill="1" applyBorder="1" applyAlignment="1" applyProtection="1">
      <alignment vertical="center"/>
      <protection locked="0"/>
    </xf>
    <xf numFmtId="175" fontId="11" fillId="14" borderId="16" xfId="59" applyNumberFormat="1" applyFont="1" applyFill="1" applyBorder="1" applyAlignment="1" applyProtection="1">
      <alignment horizontal="center" vertical="center"/>
      <protection locked="0"/>
    </xf>
    <xf numFmtId="175" fontId="11" fillId="14" borderId="28" xfId="59" applyNumberFormat="1" applyFont="1" applyFill="1" applyBorder="1" applyAlignment="1" applyProtection="1">
      <alignment vertical="center"/>
      <protection locked="0"/>
    </xf>
    <xf numFmtId="175" fontId="11" fillId="17" borderId="16" xfId="59" applyNumberFormat="1" applyFont="1" applyFill="1" applyBorder="1" applyAlignment="1" applyProtection="1">
      <alignment horizontal="center" vertical="center"/>
      <protection locked="0"/>
    </xf>
    <xf numFmtId="0" fontId="11" fillId="17" borderId="1" xfId="59" applyFont="1" applyFill="1" applyBorder="1" applyAlignment="1" applyProtection="1">
      <alignment vertical="center"/>
      <protection locked="0"/>
    </xf>
    <xf numFmtId="0" fontId="4" fillId="17" borderId="4" xfId="59" applyFont="1" applyFill="1" applyBorder="1" applyAlignment="1" applyProtection="1">
      <alignment vertical="center"/>
      <protection locked="0"/>
    </xf>
    <xf numFmtId="0" fontId="4" fillId="17" borderId="4" xfId="0" applyFont="1" applyFill="1" applyBorder="1" applyAlignment="1" applyProtection="1">
      <alignment vertical="center"/>
      <protection locked="0"/>
    </xf>
    <xf numFmtId="0" fontId="4" fillId="14" borderId="28" xfId="0" applyFont="1" applyFill="1" applyBorder="1" applyAlignment="1" applyProtection="1">
      <alignment vertical="center"/>
    </xf>
    <xf numFmtId="0" fontId="4" fillId="14" borderId="11" xfId="0" applyFont="1" applyFill="1" applyBorder="1" applyProtection="1">
      <protection locked="0"/>
    </xf>
    <xf numFmtId="175" fontId="40" fillId="14" borderId="28" xfId="0" applyNumberFormat="1" applyFont="1" applyFill="1" applyBorder="1" applyAlignment="1" applyProtection="1">
      <alignment horizontal="center" vertical="center"/>
    </xf>
    <xf numFmtId="0" fontId="40" fillId="14" borderId="11" xfId="0" applyFont="1" applyFill="1" applyBorder="1" applyAlignment="1" applyProtection="1">
      <alignment vertical="center"/>
    </xf>
    <xf numFmtId="175" fontId="40" fillId="14" borderId="16" xfId="0" applyNumberFormat="1" applyFont="1" applyFill="1" applyBorder="1" applyAlignment="1" applyProtection="1">
      <alignment horizontal="center" vertical="center"/>
    </xf>
    <xf numFmtId="0" fontId="46" fillId="0" borderId="0" xfId="0" applyFont="1" applyAlignment="1" applyProtection="1">
      <alignment horizontal="right" vertical="center"/>
    </xf>
    <xf numFmtId="175" fontId="11" fillId="14" borderId="28" xfId="0" applyNumberFormat="1" applyFont="1" applyFill="1" applyBorder="1" applyAlignment="1" applyProtection="1">
      <alignment horizontal="center" vertical="center"/>
    </xf>
    <xf numFmtId="0" fontId="4" fillId="14" borderId="11" xfId="0" applyFont="1" applyFill="1" applyBorder="1" applyAlignment="1" applyProtection="1">
      <alignment vertical="center"/>
    </xf>
    <xf numFmtId="175" fontId="11" fillId="14" borderId="28" xfId="0" applyNumberFormat="1" applyFont="1" applyFill="1" applyBorder="1" applyAlignment="1" applyProtection="1">
      <alignment vertical="center"/>
    </xf>
    <xf numFmtId="0" fontId="11" fillId="14" borderId="0" xfId="0" applyFont="1" applyFill="1" applyBorder="1" applyAlignment="1" applyProtection="1">
      <alignment vertical="center"/>
    </xf>
    <xf numFmtId="175" fontId="11" fillId="14" borderId="16" xfId="0" applyNumberFormat="1" applyFont="1" applyFill="1" applyBorder="1" applyAlignment="1" applyProtection="1">
      <alignment horizontal="center" vertical="center"/>
    </xf>
    <xf numFmtId="175" fontId="11" fillId="17" borderId="16" xfId="0" applyNumberFormat="1" applyFont="1" applyFill="1" applyBorder="1" applyAlignment="1" applyProtection="1">
      <alignment horizontal="center" vertical="center"/>
    </xf>
    <xf numFmtId="0" fontId="11" fillId="17" borderId="1" xfId="0" applyFont="1" applyFill="1" applyBorder="1" applyAlignment="1" applyProtection="1">
      <alignment vertical="center"/>
    </xf>
    <xf numFmtId="0" fontId="4" fillId="17" borderId="4" xfId="0" applyFont="1" applyFill="1" applyBorder="1" applyAlignment="1" applyProtection="1">
      <alignment vertical="center"/>
    </xf>
    <xf numFmtId="0" fontId="4" fillId="17" borderId="4" xfId="0" applyFont="1" applyFill="1" applyBorder="1" applyProtection="1">
      <protection locked="0"/>
    </xf>
    <xf numFmtId="0" fontId="56" fillId="0" borderId="0" xfId="0" applyFont="1"/>
    <xf numFmtId="0" fontId="4" fillId="0" borderId="0" xfId="0" applyFont="1" applyBorder="1" applyProtection="1">
      <protection locked="0"/>
    </xf>
    <xf numFmtId="172" fontId="40" fillId="0" borderId="0" xfId="0" applyNumberFormat="1"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1" fillId="0" borderId="0" xfId="0" applyFont="1" applyFill="1" applyBorder="1" applyAlignment="1" applyProtection="1">
      <alignment horizontal="center" vertical="center"/>
    </xf>
    <xf numFmtId="0" fontId="0" fillId="0" borderId="0" xfId="0" applyFill="1" applyBorder="1" applyAlignment="1" applyProtection="1">
      <alignment vertical="center"/>
    </xf>
    <xf numFmtId="175" fontId="40" fillId="14" borderId="28" xfId="0" applyNumberFormat="1" applyFont="1" applyFill="1" applyBorder="1" applyAlignment="1" applyProtection="1">
      <alignment vertical="center"/>
    </xf>
    <xf numFmtId="175" fontId="40" fillId="17" borderId="16" xfId="0" applyNumberFormat="1" applyFont="1" applyFill="1" applyBorder="1" applyAlignment="1" applyProtection="1">
      <alignment horizontal="center" vertical="center"/>
    </xf>
    <xf numFmtId="0" fontId="40" fillId="17" borderId="1" xfId="0" applyFont="1" applyFill="1" applyBorder="1" applyAlignment="1" applyProtection="1">
      <alignment vertical="center"/>
    </xf>
    <xf numFmtId="0" fontId="40" fillId="17" borderId="4" xfId="0" applyFont="1" applyFill="1" applyBorder="1" applyAlignment="1" applyProtection="1">
      <alignment vertical="center"/>
    </xf>
    <xf numFmtId="3" fontId="4" fillId="2" borderId="3" xfId="0" applyNumberFormat="1" applyFont="1" applyFill="1" applyBorder="1" applyAlignment="1" applyProtection="1">
      <alignment horizontal="right"/>
    </xf>
    <xf numFmtId="3" fontId="4" fillId="2" borderId="3" xfId="0" applyNumberFormat="1" applyFont="1" applyFill="1" applyBorder="1" applyAlignment="1" applyProtection="1">
      <alignment horizontal="right" vertical="center"/>
    </xf>
    <xf numFmtId="172" fontId="4" fillId="2" borderId="3" xfId="0" applyNumberFormat="1" applyFont="1" applyFill="1" applyBorder="1" applyAlignment="1" applyProtection="1">
      <alignment horizontal="right" vertical="center"/>
    </xf>
    <xf numFmtId="171" fontId="4" fillId="2" borderId="3" xfId="0" applyNumberFormat="1" applyFont="1" applyFill="1" applyBorder="1" applyAlignment="1" applyProtection="1">
      <alignment horizontal="right" vertical="center"/>
    </xf>
    <xf numFmtId="38" fontId="4" fillId="2" borderId="3" xfId="0" applyNumberFormat="1" applyFont="1" applyFill="1" applyBorder="1" applyAlignment="1" applyProtection="1">
      <alignment horizontal="right"/>
    </xf>
    <xf numFmtId="38" fontId="4" fillId="2" borderId="3" xfId="0" applyNumberFormat="1" applyFont="1" applyFill="1" applyBorder="1" applyAlignment="1" applyProtection="1">
      <alignment horizontal="right" vertical="center"/>
    </xf>
    <xf numFmtId="180" fontId="4" fillId="2" borderId="3" xfId="0" applyNumberFormat="1" applyFont="1" applyFill="1" applyBorder="1" applyAlignment="1" applyProtection="1">
      <alignment horizontal="right" vertical="center"/>
    </xf>
    <xf numFmtId="3" fontId="4" fillId="2" borderId="5" xfId="0" applyNumberFormat="1" applyFont="1" applyFill="1" applyBorder="1" applyAlignment="1" applyProtection="1">
      <alignment horizontal="right" vertical="center"/>
    </xf>
    <xf numFmtId="172" fontId="4" fillId="2" borderId="5" xfId="0" applyNumberFormat="1" applyFont="1" applyFill="1" applyBorder="1" applyAlignment="1" applyProtection="1">
      <alignment horizontal="right" vertical="center"/>
    </xf>
    <xf numFmtId="3" fontId="4" fillId="9" borderId="3" xfId="0" applyNumberFormat="1" applyFont="1" applyFill="1" applyBorder="1" applyAlignment="1" applyProtection="1">
      <alignment horizontal="right"/>
    </xf>
    <xf numFmtId="171" fontId="4" fillId="12" borderId="3" xfId="0" applyNumberFormat="1" applyFont="1" applyFill="1" applyBorder="1" applyAlignment="1" applyProtection="1">
      <alignment horizontal="right"/>
    </xf>
    <xf numFmtId="3" fontId="4" fillId="2" borderId="14" xfId="0" applyNumberFormat="1" applyFont="1" applyFill="1" applyBorder="1" applyAlignment="1" applyProtection="1">
      <alignment horizontal="right" vertical="center"/>
    </xf>
    <xf numFmtId="0" fontId="4" fillId="2" borderId="2" xfId="0" applyFont="1" applyFill="1" applyBorder="1" applyAlignment="1" applyProtection="1">
      <alignment horizontal="right" vertical="center"/>
    </xf>
    <xf numFmtId="3" fontId="4" fillId="2" borderId="2" xfId="0" applyNumberFormat="1" applyFont="1" applyFill="1" applyBorder="1" applyAlignment="1" applyProtection="1">
      <alignment horizontal="right" vertical="center"/>
    </xf>
    <xf numFmtId="177" fontId="4" fillId="2" borderId="3" xfId="0" applyNumberFormat="1" applyFont="1" applyFill="1" applyBorder="1" applyAlignment="1" applyProtection="1">
      <alignment horizontal="right" vertical="center"/>
    </xf>
    <xf numFmtId="0" fontId="4" fillId="2" borderId="3" xfId="0" applyFont="1" applyFill="1" applyBorder="1" applyAlignment="1" applyProtection="1">
      <alignment horizontal="right" vertical="center"/>
    </xf>
    <xf numFmtId="3" fontId="4" fillId="2" borderId="29" xfId="0" applyNumberFormat="1" applyFont="1" applyFill="1" applyBorder="1" applyAlignment="1" applyProtection="1">
      <alignment horizontal="right" vertical="center"/>
    </xf>
    <xf numFmtId="0" fontId="4" fillId="2" borderId="29" xfId="0" applyFont="1" applyFill="1" applyBorder="1" applyAlignment="1" applyProtection="1">
      <alignment horizontal="right" vertical="center"/>
    </xf>
    <xf numFmtId="3" fontId="4" fillId="12" borderId="5" xfId="0" applyNumberFormat="1" applyFont="1" applyFill="1" applyBorder="1" applyAlignment="1" applyProtection="1">
      <alignment horizontal="right" vertical="center"/>
    </xf>
    <xf numFmtId="172" fontId="4" fillId="12" borderId="5" xfId="0" applyNumberFormat="1" applyFont="1" applyFill="1" applyBorder="1" applyAlignment="1" applyProtection="1">
      <alignment horizontal="right" vertical="center"/>
    </xf>
    <xf numFmtId="3" fontId="4" fillId="9" borderId="14" xfId="59" applyNumberFormat="1" applyFont="1" applyFill="1" applyBorder="1" applyAlignment="1" applyProtection="1">
      <alignment horizontal="right" vertical="center"/>
    </xf>
    <xf numFmtId="172" fontId="4" fillId="9" borderId="2" xfId="59" applyNumberFormat="1" applyFont="1" applyFill="1" applyBorder="1" applyAlignment="1" applyProtection="1">
      <alignment horizontal="right" vertical="center"/>
    </xf>
    <xf numFmtId="0" fontId="4" fillId="14" borderId="0" xfId="0" applyFont="1" applyFill="1" applyAlignment="1" applyProtection="1">
      <alignment vertical="center"/>
      <protection locked="0"/>
    </xf>
    <xf numFmtId="10" fontId="4" fillId="8" borderId="3" xfId="0" applyNumberFormat="1" applyFont="1" applyFill="1" applyBorder="1" applyAlignment="1" applyProtection="1">
      <alignment vertical="center"/>
      <protection locked="0"/>
    </xf>
    <xf numFmtId="0" fontId="4" fillId="0" borderId="0" xfId="100" applyFont="1" applyAlignment="1">
      <alignment vertical="center"/>
    </xf>
    <xf numFmtId="0" fontId="4" fillId="0" borderId="0" xfId="504" applyFont="1" applyAlignment="1">
      <alignment vertical="center" wrapText="1"/>
    </xf>
    <xf numFmtId="0" fontId="4" fillId="0" borderId="0" xfId="110" applyFont="1" applyAlignment="1">
      <alignment vertical="center" wrapText="1"/>
    </xf>
    <xf numFmtId="0" fontId="4" fillId="0" borderId="0" xfId="29" applyFont="1" applyAlignment="1">
      <alignment vertical="center" wrapText="1"/>
    </xf>
    <xf numFmtId="0" fontId="4" fillId="0" borderId="0" xfId="30" applyFont="1" applyAlignment="1">
      <alignment vertical="center" wrapText="1"/>
    </xf>
    <xf numFmtId="0" fontId="4" fillId="0" borderId="0" xfId="299" applyFont="1" applyAlignment="1">
      <alignment vertical="center" wrapText="1"/>
    </xf>
    <xf numFmtId="0" fontId="4" fillId="0" borderId="0" xfId="48" applyFont="1" applyAlignment="1">
      <alignment vertical="center" wrapText="1"/>
    </xf>
    <xf numFmtId="0" fontId="4" fillId="0" borderId="0" xfId="87" applyFont="1" applyAlignment="1">
      <alignment vertical="center" wrapText="1"/>
    </xf>
    <xf numFmtId="0" fontId="4" fillId="0" borderId="0" xfId="95" applyFont="1" applyAlignment="1">
      <alignment vertical="center" wrapText="1"/>
    </xf>
    <xf numFmtId="0" fontId="4" fillId="0" borderId="0" xfId="121" applyFont="1" applyAlignment="1">
      <alignment vertical="center" wrapText="1"/>
    </xf>
    <xf numFmtId="0" fontId="56" fillId="14" borderId="11" xfId="0" applyFont="1" applyFill="1" applyBorder="1" applyAlignment="1" applyProtection="1">
      <alignment vertical="center"/>
    </xf>
    <xf numFmtId="0" fontId="57" fillId="0" borderId="0" xfId="0" applyFont="1" applyAlignment="1">
      <alignment horizontal="center"/>
    </xf>
    <xf numFmtId="181" fontId="57" fillId="0" borderId="0" xfId="0" applyNumberFormat="1" applyFont="1" applyAlignment="1" applyProtection="1">
      <alignment horizontal="center" vertical="center"/>
      <protection locked="0"/>
    </xf>
    <xf numFmtId="0" fontId="46" fillId="0" borderId="0" xfId="0" applyFont="1" applyAlignment="1" applyProtection="1">
      <alignment vertical="center"/>
    </xf>
    <xf numFmtId="0" fontId="10" fillId="18" borderId="0" xfId="14" applyFill="1" applyAlignment="1" applyProtection="1"/>
    <xf numFmtId="0" fontId="49" fillId="18" borderId="0" xfId="386" applyFill="1"/>
    <xf numFmtId="0" fontId="4" fillId="0" borderId="0" xfId="142" applyFont="1" applyAlignment="1">
      <alignment vertical="center"/>
    </xf>
    <xf numFmtId="0" fontId="64" fillId="14" borderId="7" xfId="0" applyFont="1" applyFill="1" applyBorder="1" applyAlignment="1">
      <alignment horizontal="center" vertical="center"/>
    </xf>
    <xf numFmtId="0" fontId="3" fillId="14" borderId="6" xfId="0" applyFont="1" applyFill="1" applyBorder="1" applyAlignment="1">
      <alignment horizontal="centerContinuous" vertical="center"/>
    </xf>
    <xf numFmtId="0" fontId="64" fillId="14" borderId="7" xfId="0" applyFont="1" applyFill="1" applyBorder="1" applyAlignment="1">
      <alignment horizontal="center" vertical="center"/>
    </xf>
    <xf numFmtId="0" fontId="3" fillId="14" borderId="6" xfId="0" applyFont="1" applyFill="1" applyBorder="1" applyAlignment="1">
      <alignment horizontal="centerContinuous" vertical="center"/>
    </xf>
    <xf numFmtId="0" fontId="64" fillId="14" borderId="7" xfId="0" applyFont="1" applyFill="1" applyBorder="1" applyAlignment="1">
      <alignment horizontal="center" vertical="center"/>
    </xf>
    <xf numFmtId="0" fontId="3" fillId="14" borderId="6" xfId="0" applyFont="1" applyFill="1" applyBorder="1" applyAlignment="1">
      <alignment horizontal="centerContinuous" vertical="center"/>
    </xf>
    <xf numFmtId="0" fontId="64" fillId="14" borderId="7" xfId="0" applyFont="1" applyFill="1" applyBorder="1" applyAlignment="1">
      <alignment horizontal="center" vertical="center"/>
    </xf>
    <xf numFmtId="0" fontId="3" fillId="14" borderId="6" xfId="0" applyFont="1" applyFill="1" applyBorder="1" applyAlignment="1">
      <alignment horizontal="centerContinuous" vertical="center"/>
    </xf>
    <xf numFmtId="0" fontId="64" fillId="14" borderId="7" xfId="0" applyFont="1" applyFill="1" applyBorder="1" applyAlignment="1">
      <alignment horizontal="center" vertical="center"/>
    </xf>
    <xf numFmtId="0" fontId="3" fillId="14" borderId="6" xfId="0" applyFont="1" applyFill="1" applyBorder="1" applyAlignment="1">
      <alignment horizontal="centerContinuous" vertical="center"/>
    </xf>
    <xf numFmtId="0" fontId="64" fillId="14" borderId="7" xfId="0" applyFont="1" applyFill="1" applyBorder="1" applyAlignment="1">
      <alignment horizontal="center" vertical="center"/>
    </xf>
    <xf numFmtId="0" fontId="3" fillId="14" borderId="6" xfId="0" applyFont="1" applyFill="1" applyBorder="1" applyAlignment="1">
      <alignment horizontal="centerContinuous" vertical="center"/>
    </xf>
    <xf numFmtId="0" fontId="64" fillId="14" borderId="7" xfId="0" applyFont="1" applyFill="1" applyBorder="1" applyAlignment="1">
      <alignment horizontal="center" vertical="center"/>
    </xf>
    <xf numFmtId="0" fontId="3" fillId="14" borderId="6" xfId="0" applyFont="1" applyFill="1" applyBorder="1" applyAlignment="1">
      <alignment horizontal="centerContinuous" vertical="center"/>
    </xf>
    <xf numFmtId="0" fontId="64" fillId="14" borderId="7" xfId="0" applyFont="1" applyFill="1" applyBorder="1" applyAlignment="1">
      <alignment horizontal="center" vertical="center"/>
    </xf>
    <xf numFmtId="0" fontId="3" fillId="14" borderId="6" xfId="0" applyFont="1" applyFill="1" applyBorder="1" applyAlignment="1">
      <alignment horizontal="centerContinuous" vertical="center"/>
    </xf>
    <xf numFmtId="0" fontId="64" fillId="14" borderId="7" xfId="0" applyFont="1" applyFill="1" applyBorder="1" applyAlignment="1">
      <alignment horizontal="center" vertical="center"/>
    </xf>
    <xf numFmtId="0" fontId="3" fillId="14" borderId="6" xfId="0" applyFont="1" applyFill="1" applyBorder="1" applyAlignment="1">
      <alignment horizontal="centerContinuous" vertical="center"/>
    </xf>
    <xf numFmtId="0" fontId="64" fillId="14" borderId="7" xfId="0" applyFont="1" applyFill="1" applyBorder="1" applyAlignment="1">
      <alignment horizontal="center" vertical="center"/>
    </xf>
    <xf numFmtId="0" fontId="3" fillId="14" borderId="6" xfId="0" applyFont="1" applyFill="1" applyBorder="1" applyAlignment="1">
      <alignment horizontal="centerContinuous" vertical="center"/>
    </xf>
    <xf numFmtId="0" fontId="64" fillId="14" borderId="7" xfId="0" applyFont="1" applyFill="1" applyBorder="1" applyAlignment="1">
      <alignment horizontal="center" vertical="center"/>
    </xf>
    <xf numFmtId="0" fontId="3" fillId="14" borderId="6" xfId="0" applyFont="1" applyFill="1" applyBorder="1" applyAlignment="1">
      <alignment horizontal="centerContinuous" vertical="center"/>
    </xf>
    <xf numFmtId="0" fontId="64" fillId="14" borderId="7" xfId="0" applyFont="1" applyFill="1" applyBorder="1" applyAlignment="1">
      <alignment horizontal="center" vertical="center"/>
    </xf>
    <xf numFmtId="0" fontId="3" fillId="14" borderId="6" xfId="0" applyFont="1" applyFill="1" applyBorder="1" applyAlignment="1">
      <alignment horizontal="centerContinuous" vertical="center"/>
    </xf>
    <xf numFmtId="0" fontId="64" fillId="14" borderId="7" xfId="0" applyFont="1" applyFill="1" applyBorder="1" applyAlignment="1">
      <alignment horizontal="center" vertical="center"/>
    </xf>
    <xf numFmtId="0" fontId="3" fillId="14" borderId="6" xfId="0" applyFont="1" applyFill="1" applyBorder="1" applyAlignment="1">
      <alignment horizontal="centerContinuous" vertical="center"/>
    </xf>
    <xf numFmtId="0" fontId="64" fillId="14" borderId="7" xfId="0" applyFont="1" applyFill="1" applyBorder="1" applyAlignment="1">
      <alignment horizontal="center" vertical="center"/>
    </xf>
    <xf numFmtId="0" fontId="3" fillId="14" borderId="6" xfId="0" applyFont="1" applyFill="1" applyBorder="1" applyAlignment="1">
      <alignment horizontal="centerContinuous" vertical="center"/>
    </xf>
    <xf numFmtId="3" fontId="4" fillId="2" borderId="7" xfId="40" applyNumberFormat="1" applyFont="1" applyFill="1" applyBorder="1" applyAlignment="1" applyProtection="1">
      <alignment vertical="center"/>
    </xf>
    <xf numFmtId="0" fontId="4" fillId="2" borderId="0" xfId="40" applyFont="1" applyFill="1" applyAlignment="1" applyProtection="1">
      <alignment horizontal="left" vertical="center"/>
    </xf>
    <xf numFmtId="3" fontId="4" fillId="2" borderId="0" xfId="59" applyNumberFormat="1" applyFont="1" applyFill="1" applyAlignment="1" applyProtection="1">
      <alignment horizontal="right" vertical="center"/>
    </xf>
    <xf numFmtId="3" fontId="4" fillId="2" borderId="3" xfId="59" applyNumberFormat="1" applyFont="1" applyFill="1" applyBorder="1" applyAlignment="1" applyProtection="1">
      <alignment horizontal="right" vertical="center"/>
    </xf>
    <xf numFmtId="0" fontId="4" fillId="2" borderId="0" xfId="59" applyFont="1" applyFill="1" applyAlignment="1" applyProtection="1">
      <alignment horizontal="left" vertical="center"/>
    </xf>
    <xf numFmtId="3" fontId="4" fillId="2" borderId="9" xfId="0" applyNumberFormat="1" applyFont="1" applyFill="1" applyBorder="1" applyAlignment="1" applyProtection="1">
      <alignment horizontal="right" vertical="center"/>
    </xf>
    <xf numFmtId="3" fontId="4" fillId="2" borderId="2" xfId="0" applyNumberFormat="1" applyFont="1" applyFill="1" applyBorder="1" applyAlignment="1" applyProtection="1">
      <alignment vertical="center"/>
    </xf>
    <xf numFmtId="37" fontId="13" fillId="2" borderId="8" xfId="0" applyNumberFormat="1" applyFont="1" applyFill="1" applyBorder="1" applyAlignment="1" applyProtection="1">
      <alignment horizontal="center" vertical="center"/>
    </xf>
    <xf numFmtId="0" fontId="4" fillId="0" borderId="0" xfId="30" applyFont="1" applyAlignment="1">
      <alignment horizontal="left" vertical="center"/>
    </xf>
    <xf numFmtId="37" fontId="4" fillId="4" borderId="9" xfId="0" applyNumberFormat="1" applyFont="1" applyFill="1" applyBorder="1" applyAlignment="1" applyProtection="1">
      <alignment horizontal="left" vertical="center"/>
      <protection locked="0"/>
    </xf>
    <xf numFmtId="0" fontId="4" fillId="4" borderId="7" xfId="0" applyFont="1" applyFill="1" applyBorder="1" applyAlignment="1" applyProtection="1">
      <alignment vertical="center"/>
    </xf>
    <xf numFmtId="49" fontId="4" fillId="4" borderId="9" xfId="481" applyNumberFormat="1" applyFont="1" applyFill="1" applyBorder="1" applyAlignment="1" applyProtection="1">
      <alignment horizontal="left" vertical="center"/>
      <protection locked="0"/>
    </xf>
    <xf numFmtId="49" fontId="4" fillId="4" borderId="7" xfId="481" applyNumberFormat="1" applyFont="1" applyFill="1" applyBorder="1" applyAlignment="1" applyProtection="1">
      <alignment horizontal="left" vertical="center"/>
      <protection locked="0"/>
    </xf>
    <xf numFmtId="49" fontId="4" fillId="4" borderId="3" xfId="481" applyNumberFormat="1" applyFont="1" applyFill="1" applyBorder="1" applyAlignment="1" applyProtection="1">
      <alignment horizontal="left" vertical="center"/>
      <protection locked="0"/>
    </xf>
    <xf numFmtId="0" fontId="4" fillId="4" borderId="9" xfId="481" applyFont="1" applyFill="1" applyBorder="1" applyAlignment="1" applyProtection="1">
      <alignment horizontal="left" vertical="center"/>
      <protection locked="0"/>
    </xf>
    <xf numFmtId="0" fontId="4" fillId="4" borderId="6" xfId="481" applyFont="1" applyFill="1" applyBorder="1" applyAlignment="1" applyProtection="1">
      <alignment horizontal="left" vertical="center"/>
      <protection locked="0"/>
    </xf>
    <xf numFmtId="0" fontId="28" fillId="4" borderId="7" xfId="481" applyFill="1" applyBorder="1" applyAlignment="1" applyProtection="1">
      <alignment horizontal="left" vertical="center"/>
      <protection locked="0"/>
    </xf>
    <xf numFmtId="0" fontId="6" fillId="2" borderId="0" xfId="0" applyFont="1" applyFill="1" applyAlignment="1" applyProtection="1">
      <alignment horizontal="center" vertical="center"/>
    </xf>
    <xf numFmtId="3" fontId="4" fillId="2" borderId="6" xfId="0" applyNumberFormat="1" applyFont="1" applyFill="1" applyBorder="1" applyAlignment="1" applyProtection="1">
      <alignment vertical="center"/>
    </xf>
    <xf numFmtId="3" fontId="4" fillId="2" borderId="1" xfId="0" applyNumberFormat="1" applyFont="1" applyFill="1" applyBorder="1" applyAlignment="1" applyProtection="1">
      <alignment vertical="center"/>
    </xf>
    <xf numFmtId="0" fontId="4" fillId="14" borderId="0" xfId="0" applyFont="1" applyFill="1" applyAlignment="1" applyProtection="1">
      <alignment vertical="center"/>
    </xf>
    <xf numFmtId="0" fontId="4" fillId="2" borderId="0" xfId="0" quotePrefix="1" applyFont="1" applyFill="1" applyAlignment="1" applyProtection="1">
      <alignment vertical="center"/>
    </xf>
    <xf numFmtId="3" fontId="4" fillId="2" borderId="13" xfId="0" applyNumberFormat="1" applyFont="1" applyFill="1" applyBorder="1" applyAlignment="1" applyProtection="1">
      <alignment vertical="center"/>
    </xf>
    <xf numFmtId="0" fontId="4" fillId="2" borderId="0" xfId="0" quotePrefix="1" applyFont="1" applyFill="1" applyAlignment="1" applyProtection="1">
      <alignment horizontal="left" vertical="center"/>
    </xf>
    <xf numFmtId="10" fontId="4" fillId="2" borderId="1" xfId="0" applyNumberFormat="1" applyFont="1" applyFill="1" applyBorder="1" applyAlignment="1" applyProtection="1">
      <alignment vertical="center"/>
    </xf>
    <xf numFmtId="10" fontId="4" fillId="2" borderId="0" xfId="0" applyNumberFormat="1" applyFont="1" applyFill="1" applyBorder="1" applyAlignment="1" applyProtection="1">
      <alignment vertical="center"/>
    </xf>
    <xf numFmtId="0" fontId="6" fillId="2" borderId="0" xfId="0" applyFont="1" applyFill="1" applyAlignment="1" applyProtection="1">
      <alignment horizontal="left" vertical="center"/>
    </xf>
    <xf numFmtId="37" fontId="4" fillId="17" borderId="3" xfId="0" applyNumberFormat="1" applyFont="1" applyFill="1" applyBorder="1" applyAlignment="1" applyProtection="1">
      <alignment horizontal="left" vertical="center"/>
    </xf>
    <xf numFmtId="0" fontId="42" fillId="14" borderId="3" xfId="179" applyFont="1" applyFill="1" applyBorder="1" applyAlignment="1">
      <alignment horizontal="left" vertical="center"/>
    </xf>
    <xf numFmtId="0" fontId="42" fillId="14" borderId="3" xfId="179" applyFont="1" applyFill="1" applyBorder="1" applyAlignment="1">
      <alignment horizontal="left" vertical="center"/>
    </xf>
    <xf numFmtId="0" fontId="42" fillId="14" borderId="3" xfId="179" applyFont="1" applyFill="1" applyBorder="1" applyAlignment="1">
      <alignment horizontal="left" vertical="center"/>
    </xf>
    <xf numFmtId="0" fontId="42" fillId="14" borderId="3" xfId="179" applyFont="1" applyFill="1" applyBorder="1" applyAlignment="1">
      <alignment horizontal="left" vertical="center"/>
    </xf>
    <xf numFmtId="0" fontId="42" fillId="14" borderId="3" xfId="179" applyFont="1" applyFill="1" applyBorder="1" applyAlignment="1">
      <alignment horizontal="left" vertical="center"/>
    </xf>
    <xf numFmtId="0" fontId="42" fillId="14" borderId="3" xfId="179" applyFont="1" applyFill="1" applyBorder="1" applyAlignment="1">
      <alignment horizontal="left" vertical="center"/>
    </xf>
    <xf numFmtId="0" fontId="42" fillId="14" borderId="3" xfId="179" applyFont="1" applyFill="1" applyBorder="1" applyAlignment="1">
      <alignment horizontal="left" vertical="center"/>
    </xf>
    <xf numFmtId="0" fontId="42" fillId="14" borderId="3" xfId="179" applyFont="1" applyFill="1" applyBorder="1" applyAlignment="1">
      <alignment horizontal="left" vertical="center"/>
    </xf>
    <xf numFmtId="0" fontId="42" fillId="14" borderId="3" xfId="179" applyFont="1" applyFill="1" applyBorder="1" applyAlignment="1">
      <alignment horizontal="left" vertical="center"/>
    </xf>
    <xf numFmtId="0" fontId="42" fillId="14" borderId="3" xfId="179" applyFont="1" applyFill="1" applyBorder="1" applyAlignment="1">
      <alignment horizontal="left" vertical="center"/>
    </xf>
    <xf numFmtId="0" fontId="42" fillId="14" borderId="3" xfId="179" applyFont="1" applyFill="1" applyBorder="1" applyAlignment="1">
      <alignment horizontal="left" vertical="center"/>
    </xf>
    <xf numFmtId="0" fontId="42" fillId="14" borderId="3" xfId="179" applyFont="1" applyFill="1" applyBorder="1" applyAlignment="1">
      <alignment horizontal="left" vertical="center"/>
    </xf>
    <xf numFmtId="0" fontId="42" fillId="14" borderId="3" xfId="179" applyFont="1" applyFill="1" applyBorder="1" applyAlignment="1">
      <alignment horizontal="left" vertical="center"/>
    </xf>
    <xf numFmtId="0" fontId="42" fillId="14" borderId="3" xfId="179" applyFont="1" applyFill="1" applyBorder="1" applyAlignment="1">
      <alignment horizontal="left" vertical="center"/>
    </xf>
    <xf numFmtId="0" fontId="49" fillId="16" borderId="0" xfId="387" applyFill="1" applyBorder="1"/>
    <xf numFmtId="0" fontId="49" fillId="16" borderId="0" xfId="387" applyFill="1" applyBorder="1" applyAlignment="1">
      <alignment horizontal="left" vertical="center"/>
    </xf>
    <xf numFmtId="0" fontId="49" fillId="16" borderId="0" xfId="387" applyFill="1" applyBorder="1" applyAlignment="1">
      <alignment horizontal="center" vertical="center"/>
    </xf>
    <xf numFmtId="0" fontId="48" fillId="0" borderId="0" xfId="0" applyFont="1"/>
    <xf numFmtId="0" fontId="49" fillId="16" borderId="0" xfId="387" applyFill="1"/>
    <xf numFmtId="0" fontId="50" fillId="16" borderId="0" xfId="387" applyFont="1" applyFill="1" applyBorder="1"/>
    <xf numFmtId="0" fontId="50" fillId="16" borderId="21" xfId="387" applyFont="1" applyFill="1" applyBorder="1"/>
    <xf numFmtId="0" fontId="50" fillId="16" borderId="25" xfId="387" applyFont="1" applyFill="1" applyBorder="1"/>
    <xf numFmtId="0" fontId="50" fillId="16" borderId="22" xfId="387" applyFont="1" applyFill="1" applyBorder="1"/>
    <xf numFmtId="0" fontId="50" fillId="16" borderId="23" xfId="387" applyFont="1" applyFill="1" applyBorder="1"/>
    <xf numFmtId="0" fontId="50" fillId="16" borderId="0" xfId="387" applyFont="1" applyFill="1" applyBorder="1" applyAlignment="1">
      <alignment horizontal="center"/>
    </xf>
    <xf numFmtId="0" fontId="50" fillId="16" borderId="0" xfId="387" applyFont="1" applyFill="1" applyBorder="1" applyAlignment="1">
      <alignment horizontal="right"/>
    </xf>
    <xf numFmtId="0" fontId="50" fillId="16" borderId="24" xfId="387" applyFont="1" applyFill="1" applyBorder="1"/>
    <xf numFmtId="3" fontId="50" fillId="16" borderId="1" xfId="387" applyNumberFormat="1" applyFont="1" applyFill="1" applyBorder="1"/>
    <xf numFmtId="3" fontId="50" fillId="16" borderId="6" xfId="387" applyNumberFormat="1" applyFont="1" applyFill="1" applyBorder="1"/>
    <xf numFmtId="0" fontId="50" fillId="16" borderId="1" xfId="387" applyFont="1" applyFill="1" applyBorder="1" applyAlignment="1" applyProtection="1">
      <alignment horizontal="center"/>
      <protection locked="0"/>
    </xf>
    <xf numFmtId="0" fontId="50" fillId="16" borderId="30" xfId="387" applyFont="1" applyFill="1" applyBorder="1" applyAlignment="1" applyProtection="1">
      <alignment horizontal="center"/>
      <protection locked="0"/>
    </xf>
    <xf numFmtId="0" fontId="4" fillId="0" borderId="0" xfId="30" applyFont="1" applyAlignment="1">
      <alignment vertical="center"/>
    </xf>
    <xf numFmtId="0" fontId="4" fillId="4" borderId="3" xfId="0" applyFont="1" applyFill="1" applyBorder="1" applyProtection="1">
      <protection locked="0"/>
    </xf>
    <xf numFmtId="0" fontId="4" fillId="8" borderId="3" xfId="0" applyFont="1" applyFill="1" applyBorder="1" applyProtection="1">
      <protection locked="0"/>
    </xf>
    <xf numFmtId="17" fontId="4" fillId="8" borderId="3" xfId="0" applyNumberFormat="1" applyFont="1" applyFill="1" applyBorder="1" applyProtection="1">
      <protection locked="0"/>
    </xf>
    <xf numFmtId="164" fontId="4" fillId="8" borderId="3" xfId="0" applyNumberFormat="1" applyFont="1" applyFill="1" applyBorder="1" applyProtection="1">
      <protection locked="0"/>
    </xf>
    <xf numFmtId="0" fontId="0" fillId="0" borderId="0" xfId="0" applyAlignment="1">
      <alignment vertical="center"/>
    </xf>
    <xf numFmtId="0" fontId="4" fillId="15" borderId="3" xfId="0" applyFont="1" applyFill="1" applyBorder="1" applyAlignment="1" applyProtection="1">
      <alignment horizontal="center"/>
      <protection locked="0"/>
    </xf>
    <xf numFmtId="168" fontId="4" fillId="15" borderId="3" xfId="0" applyNumberFormat="1" applyFont="1" applyFill="1" applyBorder="1" applyAlignment="1" applyProtection="1">
      <alignment horizontal="center"/>
      <protection locked="0"/>
    </xf>
    <xf numFmtId="2" fontId="4" fillId="15" borderId="3" xfId="0" applyNumberFormat="1" applyFont="1" applyFill="1" applyBorder="1" applyAlignment="1" applyProtection="1">
      <alignment horizontal="center"/>
      <protection locked="0"/>
    </xf>
    <xf numFmtId="3" fontId="4" fillId="15" borderId="3" xfId="0" applyNumberFormat="1" applyFont="1" applyFill="1" applyBorder="1" applyAlignment="1" applyProtection="1">
      <alignment horizontal="center"/>
      <protection locked="0"/>
    </xf>
    <xf numFmtId="37" fontId="4" fillId="15" borderId="3" xfId="0" applyNumberFormat="1" applyFont="1" applyFill="1" applyBorder="1" applyAlignment="1" applyProtection="1">
      <alignment horizontal="center"/>
      <protection locked="0"/>
    </xf>
    <xf numFmtId="169" fontId="4" fillId="15" borderId="3" xfId="0" applyNumberFormat="1" applyFont="1" applyFill="1" applyBorder="1" applyAlignment="1" applyProtection="1">
      <alignment horizontal="center"/>
      <protection locked="0"/>
    </xf>
    <xf numFmtId="0" fontId="4" fillId="8" borderId="3" xfId="0" applyFont="1" applyFill="1" applyBorder="1" applyAlignment="1" applyProtection="1">
      <alignment horizontal="center"/>
      <protection locked="0"/>
    </xf>
    <xf numFmtId="0" fontId="3" fillId="4" borderId="3" xfId="0" applyFont="1" applyFill="1" applyBorder="1" applyAlignment="1" applyProtection="1">
      <alignment horizontal="left" vertical="center"/>
      <protection locked="0"/>
    </xf>
    <xf numFmtId="0" fontId="3" fillId="4" borderId="0" xfId="0" applyFont="1" applyFill="1" applyAlignment="1" applyProtection="1">
      <alignment horizontal="left" vertical="center"/>
      <protection locked="0"/>
    </xf>
    <xf numFmtId="0" fontId="3" fillId="8" borderId="9" xfId="0" applyFont="1" applyFill="1" applyBorder="1" applyAlignment="1" applyProtection="1">
      <alignment vertical="center"/>
      <protection locked="0"/>
    </xf>
    <xf numFmtId="3" fontId="4" fillId="0" borderId="0" xfId="0" applyNumberFormat="1" applyFont="1" applyAlignment="1" applyProtection="1">
      <alignment vertical="center"/>
      <protection locked="0"/>
    </xf>
    <xf numFmtId="37" fontId="0" fillId="0" borderId="0" xfId="0" applyNumberFormat="1" applyAlignment="1">
      <alignment vertical="center"/>
    </xf>
    <xf numFmtId="37" fontId="7" fillId="2" borderId="3" xfId="0" applyNumberFormat="1" applyFont="1" applyFill="1" applyBorder="1" applyAlignment="1" applyProtection="1">
      <alignment vertical="center"/>
    </xf>
    <xf numFmtId="171" fontId="4" fillId="0" borderId="0" xfId="0" applyNumberFormat="1" applyFont="1" applyAlignment="1">
      <alignment vertical="center"/>
    </xf>
    <xf numFmtId="0" fontId="4" fillId="2" borderId="0" xfId="0" applyFont="1" applyFill="1" applyAlignment="1" applyProtection="1">
      <alignment horizontal="right" vertical="center"/>
    </xf>
    <xf numFmtId="37" fontId="13" fillId="2" borderId="0" xfId="0" applyNumberFormat="1" applyFont="1" applyFill="1" applyBorder="1" applyAlignment="1" applyProtection="1">
      <alignment horizontal="center" vertical="center"/>
    </xf>
    <xf numFmtId="37" fontId="13" fillId="2" borderId="0" xfId="0" applyNumberFormat="1" applyFont="1" applyFill="1" applyAlignment="1" applyProtection="1">
      <alignment horizontal="center" vertical="center"/>
    </xf>
    <xf numFmtId="0" fontId="14" fillId="0" borderId="0" xfId="0" applyFont="1" applyAlignment="1">
      <alignment horizontal="center" vertical="center"/>
    </xf>
    <xf numFmtId="37" fontId="12" fillId="2" borderId="0" xfId="0" applyNumberFormat="1" applyFont="1" applyFill="1" applyAlignment="1" applyProtection="1">
      <alignment horizontal="left" vertical="center"/>
    </xf>
    <xf numFmtId="0" fontId="0" fillId="0" borderId="0" xfId="0" applyAlignment="1">
      <alignment horizontal="left" vertical="center"/>
    </xf>
    <xf numFmtId="0" fontId="4" fillId="2" borderId="0" xfId="0" applyFont="1" applyFill="1" applyBorder="1" applyAlignment="1" applyProtection="1">
      <alignment vertical="center" wrapText="1"/>
    </xf>
    <xf numFmtId="0" fontId="0" fillId="0" borderId="0" xfId="0" applyAlignment="1">
      <alignment vertical="center" wrapText="1"/>
    </xf>
    <xf numFmtId="0" fontId="0" fillId="0" borderId="0" xfId="0" applyBorder="1" applyAlignment="1">
      <alignment vertical="center" wrapText="1"/>
    </xf>
    <xf numFmtId="0" fontId="15" fillId="2" borderId="0" xfId="0" applyFont="1" applyFill="1" applyBorder="1" applyAlignment="1">
      <alignment vertical="center"/>
    </xf>
    <xf numFmtId="0" fontId="18" fillId="0" borderId="0" xfId="0" applyFont="1" applyAlignment="1">
      <alignment vertical="center"/>
    </xf>
    <xf numFmtId="37" fontId="12" fillId="2" borderId="0" xfId="0" applyNumberFormat="1" applyFont="1" applyFill="1" applyBorder="1" applyAlignment="1" applyProtection="1">
      <alignment horizontal="center" vertical="center"/>
    </xf>
    <xf numFmtId="0" fontId="0" fillId="0" borderId="0" xfId="0" applyAlignment="1">
      <alignment horizontal="center" vertical="center"/>
    </xf>
    <xf numFmtId="0" fontId="4" fillId="3" borderId="8" xfId="0" applyFont="1" applyFill="1" applyBorder="1" applyAlignment="1">
      <alignment vertical="center" wrapText="1"/>
    </xf>
    <xf numFmtId="0" fontId="0" fillId="0" borderId="8" xfId="0" applyBorder="1" applyAlignment="1">
      <alignment vertical="center" wrapText="1"/>
    </xf>
    <xf numFmtId="0" fontId="3" fillId="5" borderId="0" xfId="0" applyFont="1" applyFill="1" applyBorder="1" applyAlignment="1">
      <alignment horizontal="center" vertical="center"/>
    </xf>
    <xf numFmtId="0" fontId="1" fillId="5" borderId="0" xfId="0" applyFont="1" applyFill="1" applyBorder="1" applyAlignment="1">
      <alignment horizontal="center" vertical="center"/>
    </xf>
    <xf numFmtId="37" fontId="3" fillId="19" borderId="0" xfId="59" applyNumberFormat="1" applyFont="1" applyFill="1" applyAlignment="1" applyProtection="1">
      <alignment horizontal="center" vertical="center"/>
    </xf>
    <xf numFmtId="0" fontId="2" fillId="0" borderId="0" xfId="59" applyAlignment="1">
      <alignment horizontal="center" vertical="center"/>
    </xf>
    <xf numFmtId="0" fontId="4" fillId="0" borderId="0" xfId="481" applyFont="1" applyAlignment="1">
      <alignment horizontal="left" vertical="center" wrapText="1"/>
    </xf>
    <xf numFmtId="0" fontId="28" fillId="0" borderId="0" xfId="481" applyAlignment="1">
      <alignment horizontal="left" vertical="center" wrapText="1"/>
    </xf>
    <xf numFmtId="0" fontId="12" fillId="0" borderId="0" xfId="481" applyFont="1" applyAlignment="1">
      <alignment horizontal="left" vertical="center"/>
    </xf>
    <xf numFmtId="37" fontId="12" fillId="2" borderId="0" xfId="0" applyNumberFormat="1" applyFont="1" applyFill="1" applyAlignment="1" applyProtection="1">
      <alignment horizontal="center" vertical="center"/>
    </xf>
    <xf numFmtId="0" fontId="30" fillId="2" borderId="0" xfId="0" applyFont="1" applyFill="1" applyAlignment="1" applyProtection="1">
      <alignment horizontal="center" vertical="center"/>
    </xf>
    <xf numFmtId="37" fontId="4" fillId="2" borderId="0" xfId="0" applyNumberFormat="1" applyFont="1" applyFill="1" applyAlignment="1" applyProtection="1">
      <alignment horizontal="center" vertical="center"/>
    </xf>
    <xf numFmtId="0" fontId="4" fillId="2" borderId="0" xfId="0" applyFont="1" applyFill="1" applyAlignment="1" applyProtection="1">
      <alignment horizontal="center" vertical="center"/>
    </xf>
    <xf numFmtId="0" fontId="0" fillId="0" borderId="0" xfId="0" applyAlignment="1">
      <alignment vertical="center"/>
    </xf>
    <xf numFmtId="0" fontId="8" fillId="5" borderId="2" xfId="0" applyFont="1" applyFill="1" applyBorder="1" applyAlignment="1" applyProtection="1">
      <alignment horizontal="center" vertical="center" wrapText="1" shrinkToFit="1"/>
    </xf>
    <xf numFmtId="0" fontId="0" fillId="0" borderId="5" xfId="0" applyBorder="1" applyAlignment="1" applyProtection="1">
      <alignment horizontal="center" vertical="center" wrapText="1"/>
    </xf>
    <xf numFmtId="0" fontId="4" fillId="2" borderId="0" xfId="31" applyFont="1" applyFill="1" applyAlignment="1">
      <alignment horizontal="center" vertical="center"/>
    </xf>
    <xf numFmtId="37" fontId="3" fillId="2" borderId="0" xfId="0" applyNumberFormat="1" applyFont="1" applyFill="1" applyAlignment="1">
      <alignment horizontal="center" vertical="center"/>
    </xf>
    <xf numFmtId="0" fontId="3" fillId="2" borderId="0" xfId="0" applyFont="1" applyFill="1" applyAlignment="1">
      <alignment horizontal="center" vertical="center"/>
    </xf>
    <xf numFmtId="0" fontId="6" fillId="2" borderId="0" xfId="0" applyFont="1" applyFill="1" applyAlignment="1" applyProtection="1">
      <alignment horizontal="center" vertical="center"/>
    </xf>
    <xf numFmtId="37" fontId="3" fillId="2" borderId="0" xfId="0" applyNumberFormat="1" applyFont="1" applyFill="1" applyAlignment="1" applyProtection="1">
      <alignment horizontal="center" vertical="center"/>
    </xf>
    <xf numFmtId="37" fontId="4" fillId="2" borderId="9" xfId="0" applyNumberFormat="1" applyFont="1" applyFill="1" applyBorder="1" applyAlignment="1" applyProtection="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3" fillId="2" borderId="0" xfId="0" applyFont="1" applyFill="1" applyAlignment="1" applyProtection="1">
      <alignment horizontal="center" vertical="center"/>
    </xf>
    <xf numFmtId="0" fontId="4" fillId="2" borderId="16" xfId="0" applyFont="1" applyFill="1" applyBorder="1" applyAlignment="1" applyProtection="1">
      <alignment horizontal="center" vertical="center"/>
    </xf>
    <xf numFmtId="0" fontId="0" fillId="0" borderId="4" xfId="0" applyBorder="1" applyAlignment="1" applyProtection="1">
      <alignment vertical="center"/>
    </xf>
    <xf numFmtId="1" fontId="4" fillId="2" borderId="16" xfId="0" applyNumberFormat="1" applyFont="1" applyFill="1" applyBorder="1" applyAlignment="1" applyProtection="1">
      <alignment horizontal="center" vertical="center"/>
    </xf>
    <xf numFmtId="0" fontId="0" fillId="0" borderId="4" xfId="0" applyBorder="1" applyAlignment="1" applyProtection="1">
      <alignment horizontal="center" vertical="center"/>
    </xf>
    <xf numFmtId="0" fontId="12" fillId="14" borderId="0" xfId="502" applyFont="1" applyFill="1" applyAlignment="1">
      <alignment horizontal="center"/>
    </xf>
    <xf numFmtId="0" fontId="2" fillId="14" borderId="0" xfId="40" applyFill="1" applyAlignment="1">
      <alignment horizontal="center"/>
    </xf>
    <xf numFmtId="0" fontId="3" fillId="14" borderId="0" xfId="40" applyFont="1" applyFill="1" applyAlignment="1">
      <alignment horizontal="center" vertical="center"/>
    </xf>
    <xf numFmtId="0" fontId="12" fillId="14" borderId="0" xfId="40" applyFont="1" applyFill="1" applyAlignment="1">
      <alignment horizontal="center" vertical="center"/>
    </xf>
    <xf numFmtId="0" fontId="4" fillId="14" borderId="0" xfId="40" applyFont="1" applyFill="1" applyAlignment="1">
      <alignment vertical="center" wrapText="1"/>
    </xf>
    <xf numFmtId="172" fontId="41" fillId="14" borderId="15" xfId="0" applyNumberFormat="1" applyFont="1" applyFill="1" applyBorder="1" applyAlignment="1" applyProtection="1">
      <alignment horizontal="center"/>
    </xf>
    <xf numFmtId="0" fontId="14" fillId="0" borderId="8" xfId="0" applyFont="1" applyBorder="1" applyAlignment="1"/>
    <xf numFmtId="0" fontId="14" fillId="0" borderId="12" xfId="0" applyFont="1" applyBorder="1" applyAlignment="1"/>
    <xf numFmtId="3" fontId="4" fillId="2" borderId="8" xfId="64" applyNumberFormat="1" applyFont="1" applyFill="1" applyBorder="1" applyAlignment="1" applyProtection="1">
      <alignment horizontal="right" vertical="center"/>
    </xf>
    <xf numFmtId="0" fontId="2" fillId="0" borderId="12" xfId="64" applyBorder="1" applyAlignment="1">
      <alignment horizontal="right" vertical="center"/>
    </xf>
    <xf numFmtId="0" fontId="4" fillId="2" borderId="0" xfId="64" applyFont="1" applyFill="1" applyAlignment="1" applyProtection="1">
      <alignment horizontal="right" vertical="center"/>
    </xf>
    <xf numFmtId="0" fontId="4" fillId="0" borderId="11" xfId="64" applyFont="1" applyBorder="1" applyAlignment="1">
      <alignment horizontal="right" vertical="center"/>
    </xf>
    <xf numFmtId="0" fontId="4" fillId="2" borderId="0" xfId="0" applyNumberFormat="1" applyFont="1" applyFill="1" applyBorder="1" applyAlignment="1" applyProtection="1">
      <alignment horizontal="right" vertical="center"/>
    </xf>
    <xf numFmtId="0" fontId="0" fillId="0" borderId="0" xfId="0" applyAlignment="1">
      <alignment horizontal="right" vertical="center"/>
    </xf>
    <xf numFmtId="0" fontId="41" fillId="14" borderId="15" xfId="59" applyFont="1" applyFill="1" applyBorder="1" applyAlignment="1" applyProtection="1">
      <alignment horizontal="center" vertical="center"/>
    </xf>
    <xf numFmtId="0" fontId="0" fillId="0" borderId="8" xfId="0" applyBorder="1" applyAlignment="1">
      <alignment vertical="center"/>
    </xf>
    <xf numFmtId="0" fontId="0" fillId="0" borderId="12" xfId="0" applyBorder="1" applyAlignment="1">
      <alignment vertical="center"/>
    </xf>
    <xf numFmtId="0" fontId="4" fillId="2" borderId="0" xfId="14" applyNumberFormat="1" applyFont="1" applyFill="1" applyBorder="1" applyAlignment="1" applyProtection="1">
      <alignment horizontal="right" vertical="center"/>
    </xf>
    <xf numFmtId="0" fontId="4" fillId="0" borderId="0" xfId="14" applyFont="1" applyAlignment="1" applyProtection="1">
      <alignment horizontal="right" vertical="center"/>
    </xf>
    <xf numFmtId="172" fontId="41" fillId="14" borderId="15" xfId="40" applyNumberFormat="1" applyFont="1" applyFill="1" applyBorder="1" applyAlignment="1" applyProtection="1">
      <alignment horizontal="center"/>
    </xf>
    <xf numFmtId="0" fontId="14" fillId="0" borderId="8" xfId="40" applyFont="1" applyBorder="1" applyAlignment="1"/>
    <xf numFmtId="0" fontId="14" fillId="0" borderId="12" xfId="40" applyFont="1" applyBorder="1" applyAlignment="1"/>
    <xf numFmtId="0" fontId="41" fillId="0" borderId="0" xfId="40" applyFont="1" applyFill="1" applyBorder="1" applyAlignment="1" applyProtection="1">
      <alignment horizontal="center" vertical="center"/>
    </xf>
    <xf numFmtId="0" fontId="2" fillId="0" borderId="0" xfId="40" applyFill="1" applyBorder="1" applyAlignment="1" applyProtection="1">
      <alignment vertical="center"/>
    </xf>
    <xf numFmtId="0" fontId="4" fillId="0" borderId="0" xfId="40" applyFont="1" applyFill="1" applyBorder="1" applyAlignment="1" applyProtection="1">
      <alignment horizontal="center" vertical="center"/>
      <protection locked="0"/>
    </xf>
    <xf numFmtId="0" fontId="2" fillId="0" borderId="0" xfId="40" applyFill="1" applyBorder="1" applyAlignment="1">
      <alignment vertical="center"/>
    </xf>
    <xf numFmtId="0" fontId="41" fillId="14" borderId="15" xfId="40" applyFont="1" applyFill="1" applyBorder="1" applyAlignment="1" applyProtection="1">
      <alignment horizontal="center" vertical="center"/>
    </xf>
    <xf numFmtId="0" fontId="2" fillId="0" borderId="8" xfId="40" applyBorder="1" applyAlignment="1">
      <alignment vertical="center"/>
    </xf>
    <xf numFmtId="0" fontId="2" fillId="0" borderId="12" xfId="40" applyBorder="1" applyAlignment="1">
      <alignment vertical="center"/>
    </xf>
    <xf numFmtId="0" fontId="41" fillId="14" borderId="15" xfId="0" applyFont="1" applyFill="1" applyBorder="1" applyAlignment="1" applyProtection="1">
      <alignment horizontal="center" vertical="center"/>
    </xf>
    <xf numFmtId="0" fontId="34" fillId="14" borderId="15" xfId="59" applyFont="1" applyFill="1" applyBorder="1" applyAlignment="1" applyProtection="1">
      <alignment horizontal="center" vertical="center"/>
      <protection locked="0"/>
    </xf>
    <xf numFmtId="172" fontId="41" fillId="14" borderId="8" xfId="0" applyNumberFormat="1" applyFont="1" applyFill="1" applyBorder="1" applyAlignment="1" applyProtection="1">
      <alignment horizontal="center"/>
    </xf>
    <xf numFmtId="172" fontId="41" fillId="14" borderId="12" xfId="0" applyNumberFormat="1" applyFont="1" applyFill="1" applyBorder="1" applyAlignment="1" applyProtection="1">
      <alignment horizontal="center"/>
    </xf>
    <xf numFmtId="0" fontId="43" fillId="0" borderId="8" xfId="0" applyFont="1" applyBorder="1" applyAlignment="1">
      <alignment horizontal="center" vertical="center"/>
    </xf>
    <xf numFmtId="0" fontId="0" fillId="0" borderId="12" xfId="0" applyBorder="1" applyAlignment="1"/>
    <xf numFmtId="0" fontId="0" fillId="0" borderId="8" xfId="0" applyBorder="1" applyAlignment="1">
      <alignment horizontal="center" vertical="center"/>
    </xf>
    <xf numFmtId="0" fontId="0" fillId="0" borderId="0" xfId="0" applyBorder="1" applyAlignment="1">
      <alignment horizontal="right" vertical="center"/>
    </xf>
    <xf numFmtId="0" fontId="3" fillId="2" borderId="9" xfId="0" applyFont="1" applyFill="1" applyBorder="1" applyAlignment="1">
      <alignment horizontal="center" vertical="center"/>
    </xf>
    <xf numFmtId="0" fontId="3" fillId="2" borderId="7" xfId="0" applyFont="1" applyFill="1" applyBorder="1" applyAlignment="1">
      <alignment horizontal="center" vertical="center"/>
    </xf>
    <xf numFmtId="0" fontId="23" fillId="2" borderId="9" xfId="0" applyFont="1" applyFill="1" applyBorder="1" applyAlignment="1">
      <alignment horizontal="center" vertical="center"/>
    </xf>
    <xf numFmtId="0" fontId="23" fillId="2" borderId="7" xfId="0" applyFont="1" applyFill="1" applyBorder="1" applyAlignment="1">
      <alignment horizontal="center" vertical="center"/>
    </xf>
    <xf numFmtId="37" fontId="4" fillId="14" borderId="0" xfId="0" applyNumberFormat="1" applyFont="1" applyFill="1" applyAlignment="1" applyProtection="1">
      <alignment horizontal="center" vertical="center"/>
    </xf>
    <xf numFmtId="37" fontId="4" fillId="2" borderId="8" xfId="0" applyNumberFormat="1" applyFont="1" applyFill="1" applyBorder="1" applyAlignment="1" applyProtection="1">
      <alignment horizontal="center" vertical="center"/>
    </xf>
    <xf numFmtId="37" fontId="4" fillId="14" borderId="0" xfId="86" applyNumberFormat="1" applyFont="1" applyFill="1" applyAlignment="1" applyProtection="1">
      <alignment horizontal="center"/>
    </xf>
    <xf numFmtId="37" fontId="3" fillId="2" borderId="1" xfId="0" applyNumberFormat="1" applyFont="1" applyFill="1" applyBorder="1" applyAlignment="1" applyProtection="1">
      <alignment horizontal="center" vertical="center"/>
      <protection locked="0"/>
    </xf>
    <xf numFmtId="0" fontId="12" fillId="14" borderId="15" xfId="59" applyFont="1" applyFill="1" applyBorder="1" applyAlignment="1" applyProtection="1">
      <alignment horizontal="center"/>
    </xf>
    <xf numFmtId="0" fontId="2" fillId="0" borderId="8" xfId="59" applyBorder="1" applyAlignment="1" applyProtection="1">
      <alignment horizontal="center"/>
    </xf>
    <xf numFmtId="0" fontId="2" fillId="0" borderId="12" xfId="59" applyBorder="1" applyAlignment="1" applyProtection="1">
      <alignment horizontal="center"/>
    </xf>
    <xf numFmtId="0" fontId="12" fillId="14" borderId="8" xfId="59" applyFont="1" applyFill="1" applyBorder="1" applyAlignment="1" applyProtection="1">
      <alignment horizontal="center"/>
    </xf>
    <xf numFmtId="0" fontId="12" fillId="14" borderId="12" xfId="59" applyFont="1" applyFill="1" applyBorder="1" applyAlignment="1" applyProtection="1">
      <alignment horizontal="center"/>
    </xf>
    <xf numFmtId="0" fontId="0" fillId="0" borderId="8" xfId="0" applyBorder="1" applyAlignment="1">
      <alignment horizontal="center"/>
    </xf>
    <xf numFmtId="0" fontId="0" fillId="0" borderId="12" xfId="0" applyBorder="1" applyAlignment="1">
      <alignment horizontal="center"/>
    </xf>
    <xf numFmtId="0" fontId="4" fillId="2" borderId="0" xfId="0" applyFont="1" applyFill="1" applyAlignment="1">
      <alignment horizontal="right" vertical="center"/>
    </xf>
    <xf numFmtId="0" fontId="0" fillId="0" borderId="0" xfId="0" applyAlignment="1" applyProtection="1">
      <alignment vertical="center"/>
    </xf>
    <xf numFmtId="0" fontId="4" fillId="2" borderId="0" xfId="0" applyFont="1" applyFill="1" applyAlignment="1" applyProtection="1">
      <alignment horizontal="right" vertical="center"/>
    </xf>
    <xf numFmtId="0" fontId="50" fillId="16" borderId="22" xfId="387" applyFont="1" applyFill="1" applyBorder="1" applyAlignment="1">
      <alignment horizontal="left" vertical="top" wrapText="1"/>
    </xf>
    <xf numFmtId="0" fontId="50" fillId="16" borderId="23" xfId="387" applyFont="1" applyFill="1" applyBorder="1" applyAlignment="1">
      <alignment horizontal="left" vertical="top" wrapText="1"/>
    </xf>
    <xf numFmtId="0" fontId="50" fillId="16" borderId="24" xfId="387" applyFont="1" applyFill="1" applyBorder="1" applyAlignment="1">
      <alignment horizontal="left" vertical="top" wrapText="1"/>
    </xf>
    <xf numFmtId="0" fontId="65" fillId="16" borderId="31" xfId="387" applyFont="1" applyFill="1" applyBorder="1" applyAlignment="1">
      <alignment horizontal="center"/>
    </xf>
    <xf numFmtId="0" fontId="49" fillId="16" borderId="32" xfId="387" applyFill="1" applyBorder="1" applyAlignment="1">
      <alignment horizontal="center"/>
    </xf>
    <xf numFmtId="0" fontId="49" fillId="16" borderId="33" xfId="387" applyFill="1" applyBorder="1" applyAlignment="1">
      <alignment horizontal="center"/>
    </xf>
    <xf numFmtId="0" fontId="50" fillId="16" borderId="17" xfId="387" applyFont="1" applyFill="1" applyBorder="1" applyAlignment="1">
      <alignment horizontal="center"/>
    </xf>
    <xf numFmtId="0" fontId="50" fillId="16" borderId="18" xfId="387" applyFont="1" applyFill="1" applyBorder="1" applyAlignment="1">
      <alignment horizontal="center"/>
    </xf>
    <xf numFmtId="0" fontId="50" fillId="16" borderId="19" xfId="387" applyFont="1" applyFill="1" applyBorder="1" applyAlignment="1">
      <alignment horizontal="center"/>
    </xf>
    <xf numFmtId="0" fontId="65" fillId="0" borderId="31" xfId="387" applyFont="1" applyBorder="1" applyAlignment="1">
      <alignment horizontal="center"/>
    </xf>
    <xf numFmtId="0" fontId="65" fillId="0" borderId="32" xfId="387" applyFont="1" applyBorder="1" applyAlignment="1">
      <alignment horizontal="center"/>
    </xf>
    <xf numFmtId="0" fontId="65" fillId="0" borderId="33" xfId="387" applyFont="1" applyBorder="1" applyAlignment="1">
      <alignment horizontal="center"/>
    </xf>
    <xf numFmtId="0" fontId="50" fillId="16" borderId="25" xfId="387" applyFont="1" applyFill="1" applyBorder="1" applyAlignment="1">
      <alignment horizontal="center"/>
    </xf>
    <xf numFmtId="0" fontId="50" fillId="16" borderId="0" xfId="387" applyFont="1" applyFill="1" applyBorder="1" applyAlignment="1">
      <alignment horizontal="center"/>
    </xf>
    <xf numFmtId="0" fontId="50" fillId="16" borderId="21" xfId="387" applyFont="1" applyFill="1" applyBorder="1" applyAlignment="1">
      <alignment horizontal="center"/>
    </xf>
    <xf numFmtId="175" fontId="36" fillId="15" borderId="1" xfId="0" applyNumberFormat="1" applyFont="1" applyFill="1" applyBorder="1" applyAlignment="1" applyProtection="1">
      <alignment horizontal="center"/>
      <protection locked="0"/>
    </xf>
    <xf numFmtId="175" fontId="36" fillId="14" borderId="0" xfId="0" applyNumberFormat="1" applyFont="1" applyFill="1" applyBorder="1" applyAlignment="1">
      <alignment horizontal="center"/>
    </xf>
    <xf numFmtId="0" fontId="36" fillId="14" borderId="8" xfId="0" applyFont="1" applyFill="1" applyBorder="1" applyAlignment="1">
      <alignment horizontal="center"/>
    </xf>
    <xf numFmtId="0" fontId="36" fillId="14" borderId="0" xfId="0" applyFont="1" applyFill="1" applyAlignment="1">
      <alignment wrapText="1"/>
    </xf>
    <xf numFmtId="5" fontId="36" fillId="14" borderId="1" xfId="0" applyNumberFormat="1" applyFont="1" applyFill="1" applyBorder="1" applyAlignment="1">
      <alignment horizontal="center"/>
    </xf>
    <xf numFmtId="0" fontId="53" fillId="14" borderId="18" xfId="0" applyFont="1" applyFill="1" applyBorder="1" applyAlignment="1">
      <alignment horizontal="center" vertical="center"/>
    </xf>
    <xf numFmtId="0" fontId="36" fillId="0" borderId="18" xfId="0" applyFont="1" applyBorder="1" applyAlignment="1">
      <alignment horizontal="center" vertical="center"/>
    </xf>
    <xf numFmtId="0" fontId="53" fillId="14" borderId="0" xfId="0" applyFont="1" applyFill="1" applyBorder="1" applyAlignment="1">
      <alignment horizontal="center" wrapText="1"/>
    </xf>
    <xf numFmtId="0" fontId="36" fillId="0" borderId="0" xfId="0" applyFont="1" applyAlignment="1">
      <alignment horizontal="center" wrapText="1"/>
    </xf>
    <xf numFmtId="0" fontId="53" fillId="0" borderId="0" xfId="0" applyFont="1" applyAlignment="1">
      <alignment horizontal="center" wrapText="1"/>
    </xf>
    <xf numFmtId="0" fontId="36" fillId="14" borderId="0" xfId="0" applyFont="1" applyFill="1" applyBorder="1" applyAlignment="1">
      <alignment wrapText="1"/>
    </xf>
    <xf numFmtId="0" fontId="36" fillId="0" borderId="0" xfId="0" applyFont="1" applyAlignment="1">
      <alignment wrapText="1"/>
    </xf>
    <xf numFmtId="175" fontId="36" fillId="14" borderId="0" xfId="0" applyNumberFormat="1" applyFont="1" applyFill="1" applyAlignment="1"/>
    <xf numFmtId="0" fontId="53" fillId="14" borderId="0" xfId="0" applyFont="1" applyFill="1" applyAlignment="1">
      <alignment horizontal="center"/>
    </xf>
    <xf numFmtId="0" fontId="53" fillId="14" borderId="0" xfId="0" applyFont="1" applyFill="1" applyAlignment="1">
      <alignment horizontal="center" wrapText="1"/>
    </xf>
    <xf numFmtId="175" fontId="36" fillId="14" borderId="0" xfId="0" applyNumberFormat="1" applyFont="1" applyFill="1" applyAlignment="1">
      <alignment horizontal="center"/>
    </xf>
    <xf numFmtId="175" fontId="36" fillId="15" borderId="20" xfId="0" applyNumberFormat="1" applyFont="1" applyFill="1" applyBorder="1" applyAlignment="1" applyProtection="1">
      <alignment horizontal="center"/>
      <protection locked="0"/>
    </xf>
    <xf numFmtId="0" fontId="36" fillId="14" borderId="0" xfId="0" applyFont="1" applyFill="1" applyBorder="1" applyAlignment="1"/>
    <xf numFmtId="0" fontId="36" fillId="0" borderId="0" xfId="0" applyFont="1" applyBorder="1" applyAlignment="1"/>
    <xf numFmtId="0" fontId="36" fillId="14" borderId="23" xfId="0" applyFont="1" applyFill="1" applyBorder="1" applyAlignment="1"/>
    <xf numFmtId="0" fontId="36" fillId="14" borderId="24" xfId="0" applyFont="1" applyFill="1" applyBorder="1" applyAlignment="1"/>
    <xf numFmtId="0" fontId="53" fillId="14" borderId="0" xfId="0" applyFont="1" applyFill="1" applyAlignment="1">
      <alignment horizontal="center" vertical="center"/>
    </xf>
    <xf numFmtId="0" fontId="53" fillId="0" borderId="0" xfId="0" applyFont="1" applyAlignment="1">
      <alignment horizontal="center" vertical="center"/>
    </xf>
    <xf numFmtId="0" fontId="36" fillId="14" borderId="0" xfId="0" applyFont="1" applyFill="1" applyBorder="1" applyAlignment="1">
      <alignment horizontal="center"/>
    </xf>
    <xf numFmtId="0" fontId="36" fillId="14" borderId="25" xfId="0" applyFont="1" applyFill="1" applyBorder="1" applyAlignment="1">
      <alignment vertical="top" wrapText="1"/>
    </xf>
    <xf numFmtId="0" fontId="36" fillId="0" borderId="0" xfId="0" applyFont="1" applyAlignment="1">
      <alignment vertical="top" wrapText="1"/>
    </xf>
    <xf numFmtId="0" fontId="36" fillId="0" borderId="21" xfId="0" applyFont="1" applyBorder="1" applyAlignment="1">
      <alignment vertical="top" wrapText="1"/>
    </xf>
    <xf numFmtId="176" fontId="36" fillId="14" borderId="0" xfId="0" applyNumberFormat="1" applyFont="1" applyFill="1" applyBorder="1" applyAlignment="1">
      <alignment horizontal="center"/>
    </xf>
    <xf numFmtId="0" fontId="36" fillId="0" borderId="21" xfId="0" applyFont="1" applyBorder="1" applyAlignment="1">
      <alignment horizontal="center"/>
    </xf>
    <xf numFmtId="171" fontId="36" fillId="15" borderId="1" xfId="0" applyNumberFormat="1" applyFont="1" applyFill="1" applyBorder="1" applyAlignment="1" applyProtection="1">
      <alignment horizontal="center"/>
      <protection locked="0"/>
    </xf>
    <xf numFmtId="176" fontId="36" fillId="0" borderId="21" xfId="0" applyNumberFormat="1" applyFont="1" applyBorder="1" applyAlignment="1">
      <alignment horizontal="center"/>
    </xf>
  </cellXfs>
  <cellStyles count="518">
    <cellStyle name="Comma" xfId="1" builtinId="3"/>
    <cellStyle name="Comma 11 2" xfId="2"/>
    <cellStyle name="Comma 16" xfId="3"/>
    <cellStyle name="Comma 16 2" xfId="4"/>
    <cellStyle name="Comma 16 3" xfId="5"/>
    <cellStyle name="Comma 17" xfId="6"/>
    <cellStyle name="Comma 2 2" xfId="7"/>
    <cellStyle name="Comma 3 2" xfId="8"/>
    <cellStyle name="Comma 3 3" xfId="9"/>
    <cellStyle name="Comma 4 2" xfId="10"/>
    <cellStyle name="Comma 6 2" xfId="11"/>
    <cellStyle name="Comma 7 2" xfId="12"/>
    <cellStyle name="Comma 7 3" xfId="13"/>
    <cellStyle name="Hyperlink" xfId="14" builtinId="8"/>
    <cellStyle name="Hyperlink 16" xfId="15"/>
    <cellStyle name="Hyperlink 2 2" xfId="16"/>
    <cellStyle name="Hyperlink 2 3" xfId="17"/>
    <cellStyle name="Hyperlink 3 2" xfId="18"/>
    <cellStyle name="Hyperlink 3 3" xfId="19"/>
    <cellStyle name="Hyperlink 3 4" xfId="20"/>
    <cellStyle name="Hyperlink 4" xfId="21"/>
    <cellStyle name="Hyperlink 4 2" xfId="22"/>
    <cellStyle name="Hyperlink 7" xfId="23"/>
    <cellStyle name="Hyperlink 7 2" xfId="24"/>
    <cellStyle name="Hyperlink 7 3" xfId="25"/>
    <cellStyle name="Hyperlink 8" xfId="26"/>
    <cellStyle name="Hyperlink 8 2" xfId="27"/>
    <cellStyle name="Normal" xfId="0" builtinId="0"/>
    <cellStyle name="Normal 10" xfId="28"/>
    <cellStyle name="Normal 10 2" xfId="29"/>
    <cellStyle name="Normal 10 2 2" xfId="30"/>
    <cellStyle name="Normal 10 2 2 2" xfId="31"/>
    <cellStyle name="Normal 10 2 2 3" xfId="32"/>
    <cellStyle name="Normal 10 2 3" xfId="33"/>
    <cellStyle name="Normal 10 3" xfId="34"/>
    <cellStyle name="Normal 10 3 2" xfId="35"/>
    <cellStyle name="Normal 10 3 3" xfId="36"/>
    <cellStyle name="Normal 10 4" xfId="37"/>
    <cellStyle name="Normal 10 4 2" xfId="38"/>
    <cellStyle name="Normal 10 4 3" xfId="39"/>
    <cellStyle name="Normal 10 5" xfId="40"/>
    <cellStyle name="Normal 10 5 2" xfId="41"/>
    <cellStyle name="Normal 10 5 3" xfId="42"/>
    <cellStyle name="Normal 10 6" xfId="43"/>
    <cellStyle name="Normal 10 6 2" xfId="44"/>
    <cellStyle name="Normal 10 6 3" xfId="45"/>
    <cellStyle name="Normal 10 7" xfId="46"/>
    <cellStyle name="Normal 10 7 2" xfId="47"/>
    <cellStyle name="Normal 11" xfId="48"/>
    <cellStyle name="Normal 11 2" xfId="49"/>
    <cellStyle name="Normal 11 2 2" xfId="50"/>
    <cellStyle name="Normal 11 2 3" xfId="51"/>
    <cellStyle name="Normal 11 3" xfId="52"/>
    <cellStyle name="Normal 11 4" xfId="53"/>
    <cellStyle name="Normal 11 5" xfId="54"/>
    <cellStyle name="Normal 11 5 2" xfId="55"/>
    <cellStyle name="Normal 11 5 3" xfId="56"/>
    <cellStyle name="Normal 11 6" xfId="57"/>
    <cellStyle name="Normal 12" xfId="58"/>
    <cellStyle name="Normal 12 10" xfId="59"/>
    <cellStyle name="Normal 12 11" xfId="60"/>
    <cellStyle name="Normal 12 12" xfId="61"/>
    <cellStyle name="Normal 12 13" xfId="62"/>
    <cellStyle name="Normal 12 2" xfId="63"/>
    <cellStyle name="Normal 12 2 2" xfId="64"/>
    <cellStyle name="Normal 12 3" xfId="65"/>
    <cellStyle name="Normal 12 4" xfId="66"/>
    <cellStyle name="Normal 12 5" xfId="67"/>
    <cellStyle name="Normal 12 6" xfId="68"/>
    <cellStyle name="Normal 12 7" xfId="69"/>
    <cellStyle name="Normal 12 8" xfId="70"/>
    <cellStyle name="Normal 12 9" xfId="71"/>
    <cellStyle name="Normal 13" xfId="72"/>
    <cellStyle name="Normal 13 10" xfId="73"/>
    <cellStyle name="Normal 13 11" xfId="74"/>
    <cellStyle name="Normal 13 12" xfId="75"/>
    <cellStyle name="Normal 13 13" xfId="76"/>
    <cellStyle name="Normal 13 2" xfId="77"/>
    <cellStyle name="Normal 13 2 2" xfId="78"/>
    <cellStyle name="Normal 13 3" xfId="79"/>
    <cellStyle name="Normal 13 4" xfId="80"/>
    <cellStyle name="Normal 13 5" xfId="81"/>
    <cellStyle name="Normal 13 6" xfId="82"/>
    <cellStyle name="Normal 13 7" xfId="83"/>
    <cellStyle name="Normal 13 8" xfId="84"/>
    <cellStyle name="Normal 13 9" xfId="85"/>
    <cellStyle name="Normal 14" xfId="86"/>
    <cellStyle name="Normal 14 2" xfId="87"/>
    <cellStyle name="Normal 14 3" xfId="88"/>
    <cellStyle name="Normal 14 4" xfId="89"/>
    <cellStyle name="Normal 14 5" xfId="90"/>
    <cellStyle name="Normal 14 6" xfId="91"/>
    <cellStyle name="Normal 14 7" xfId="92"/>
    <cellStyle name="Normal 14 7 2" xfId="93"/>
    <cellStyle name="Normal 15" xfId="94"/>
    <cellStyle name="Normal 15 2" xfId="95"/>
    <cellStyle name="Normal 15 3" xfId="96"/>
    <cellStyle name="Normal 15 4" xfId="97"/>
    <cellStyle name="Normal 15 5" xfId="98"/>
    <cellStyle name="Normal 16" xfId="99"/>
    <cellStyle name="Normal 16 2" xfId="100"/>
    <cellStyle name="Normal 16 3" xfId="101"/>
    <cellStyle name="Normal 16 4" xfId="102"/>
    <cellStyle name="Normal 16 5" xfId="103"/>
    <cellStyle name="Normal 17" xfId="104"/>
    <cellStyle name="Normal 17 2" xfId="105"/>
    <cellStyle name="Normal 17 3" xfId="106"/>
    <cellStyle name="Normal 17 4" xfId="107"/>
    <cellStyle name="Normal 17 5" xfId="108"/>
    <cellStyle name="Normal 18" xfId="109"/>
    <cellStyle name="Normal 18 2" xfId="110"/>
    <cellStyle name="Normal 18 2 2" xfId="111"/>
    <cellStyle name="Normal 18 2 3" xfId="112"/>
    <cellStyle name="Normal 18 3" xfId="113"/>
    <cellStyle name="Normal 18 4" xfId="114"/>
    <cellStyle name="Normal 18 5" xfId="115"/>
    <cellStyle name="Normal 18 6" xfId="116"/>
    <cellStyle name="Normal 18 7" xfId="117"/>
    <cellStyle name="Normal 18 8" xfId="118"/>
    <cellStyle name="Normal 18 9" xfId="119"/>
    <cellStyle name="Normal 19" xfId="120"/>
    <cellStyle name="Normal 19 2" xfId="121"/>
    <cellStyle name="Normal 19 2 2" xfId="122"/>
    <cellStyle name="Normal 19 2 3" xfId="123"/>
    <cellStyle name="Normal 19 3" xfId="124"/>
    <cellStyle name="Normal 19 4" xfId="125"/>
    <cellStyle name="Normal 19 5" xfId="126"/>
    <cellStyle name="Normal 19 6" xfId="127"/>
    <cellStyle name="Normal 19 7" xfId="128"/>
    <cellStyle name="Normal 19 8" xfId="129"/>
    <cellStyle name="Normal 2" xfId="130"/>
    <cellStyle name="Normal 2 10" xfId="131"/>
    <cellStyle name="Normal 2 10 10" xfId="132"/>
    <cellStyle name="Normal 2 10 11" xfId="133"/>
    <cellStyle name="Normal 2 10 11 2" xfId="134"/>
    <cellStyle name="Normal 2 10 11 2 2" xfId="135"/>
    <cellStyle name="Normal 2 10 11 2 2 2" xfId="136"/>
    <cellStyle name="Normal 2 10 11 3" xfId="137"/>
    <cellStyle name="Normal 2 10 11 4" xfId="138"/>
    <cellStyle name="Normal 2 10 11 5" xfId="139"/>
    <cellStyle name="Normal 2 10 12" xfId="140"/>
    <cellStyle name="Normal 2 10 2" xfId="141"/>
    <cellStyle name="Normal 2 10 2 2" xfId="142"/>
    <cellStyle name="Normal 2 10 3" xfId="143"/>
    <cellStyle name="Normal 2 10 3 2" xfId="144"/>
    <cellStyle name="Normal 2 10 4" xfId="145"/>
    <cellStyle name="Normal 2 10 4 2" xfId="146"/>
    <cellStyle name="Normal 2 10 5" xfId="147"/>
    <cellStyle name="Normal 2 10 5 2" xfId="148"/>
    <cellStyle name="Normal 2 10 6" xfId="149"/>
    <cellStyle name="Normal 2 10 6 2" xfId="150"/>
    <cellStyle name="Normal 2 10 7" xfId="151"/>
    <cellStyle name="Normal 2 10 7 2" xfId="152"/>
    <cellStyle name="Normal 2 10 8" xfId="153"/>
    <cellStyle name="Normal 2 10 8 2" xfId="154"/>
    <cellStyle name="Normal 2 10 9" xfId="155"/>
    <cellStyle name="Normal 2 11" xfId="156"/>
    <cellStyle name="Normal 2 11 10" xfId="157"/>
    <cellStyle name="Normal 2 11 11" xfId="158"/>
    <cellStyle name="Normal 2 11 2" xfId="159"/>
    <cellStyle name="Normal 2 11 2 2" xfId="160"/>
    <cellStyle name="Normal 2 11 3" xfId="161"/>
    <cellStyle name="Normal 2 11 3 2" xfId="162"/>
    <cellStyle name="Normal 2 11 4" xfId="163"/>
    <cellStyle name="Normal 2 11 4 2" xfId="164"/>
    <cellStyle name="Normal 2 11 5" xfId="165"/>
    <cellStyle name="Normal 2 11 5 2" xfId="166"/>
    <cellStyle name="Normal 2 11 6" xfId="167"/>
    <cellStyle name="Normal 2 11 6 2" xfId="168"/>
    <cellStyle name="Normal 2 11 7" xfId="169"/>
    <cellStyle name="Normal 2 11 7 2" xfId="170"/>
    <cellStyle name="Normal 2 11 8" xfId="171"/>
    <cellStyle name="Normal 2 11 8 2" xfId="172"/>
    <cellStyle name="Normal 2 11 9" xfId="173"/>
    <cellStyle name="Normal 2 12" xfId="174"/>
    <cellStyle name="Normal 2 13" xfId="175"/>
    <cellStyle name="Normal 2 14" xfId="176"/>
    <cellStyle name="Normal 2 15" xfId="177"/>
    <cellStyle name="Normal 2 16" xfId="178"/>
    <cellStyle name="Normal 2 17" xfId="179"/>
    <cellStyle name="Normal 2 17 2" xfId="180"/>
    <cellStyle name="Normal 2 17 3" xfId="181"/>
    <cellStyle name="Normal 2 2" xfId="182"/>
    <cellStyle name="Normal 2 2 10" xfId="183"/>
    <cellStyle name="Normal 2 2 10 2" xfId="184"/>
    <cellStyle name="Normal 2 2 11" xfId="185"/>
    <cellStyle name="Normal 2 2 11 2" xfId="186"/>
    <cellStyle name="Normal 2 2 12" xfId="187"/>
    <cellStyle name="Normal 2 2 12 2" xfId="188"/>
    <cellStyle name="Normal 2 2 12 2 2" xfId="189"/>
    <cellStyle name="Normal 2 2 12 2 3" xfId="190"/>
    <cellStyle name="Normal 2 2 12 2 4" xfId="191"/>
    <cellStyle name="Normal 2 2 12 3" xfId="192"/>
    <cellStyle name="Normal 2 2 12 4" xfId="193"/>
    <cellStyle name="Normal 2 2 13" xfId="194"/>
    <cellStyle name="Normal 2 2 13 2" xfId="195"/>
    <cellStyle name="Normal 2 2 13 2 2" xfId="196"/>
    <cellStyle name="Normal 2 2 13 2 3" xfId="197"/>
    <cellStyle name="Normal 2 2 13 2 4" xfId="198"/>
    <cellStyle name="Normal 2 2 13 3" xfId="199"/>
    <cellStyle name="Normal 2 2 13 4" xfId="200"/>
    <cellStyle name="Normal 2 2 14" xfId="201"/>
    <cellStyle name="Normal 2 2 14 2" xfId="202"/>
    <cellStyle name="Normal 2 2 15" xfId="203"/>
    <cellStyle name="Normal 2 2 15 2" xfId="204"/>
    <cellStyle name="Normal 2 2 16" xfId="205"/>
    <cellStyle name="Normal 2 2 16 2" xfId="206"/>
    <cellStyle name="Normal 2 2 16 3" xfId="207"/>
    <cellStyle name="Normal 2 2 17" xfId="208"/>
    <cellStyle name="Normal 2 2 18" xfId="209"/>
    <cellStyle name="Normal 2 2 19" xfId="210"/>
    <cellStyle name="Normal 2 2 2" xfId="211"/>
    <cellStyle name="Normal 2 2 2 2" xfId="212"/>
    <cellStyle name="Normal 2 2 2 2 2" xfId="213"/>
    <cellStyle name="Normal 2 2 2 2 3" xfId="214"/>
    <cellStyle name="Normal 2 2 2 2 3 2" xfId="215"/>
    <cellStyle name="Normal 2 2 2 2 3 3" xfId="216"/>
    <cellStyle name="Normal 2 2 2 3" xfId="217"/>
    <cellStyle name="Normal 2 2 2 3 2" xfId="218"/>
    <cellStyle name="Normal 2 2 2 3 3" xfId="219"/>
    <cellStyle name="Normal 2 2 2 3 4" xfId="220"/>
    <cellStyle name="Normal 2 2 2 4" xfId="221"/>
    <cellStyle name="Normal 2 2 2 4 2" xfId="222"/>
    <cellStyle name="Normal 2 2 2 5" xfId="223"/>
    <cellStyle name="Normal 2 2 2 5 2" xfId="224"/>
    <cellStyle name="Normal 2 2 2 5 3" xfId="225"/>
    <cellStyle name="Normal 2 2 2 5 4" xfId="226"/>
    <cellStyle name="Normal 2 2 2 6" xfId="227"/>
    <cellStyle name="Normal 2 2 2 6 2" xfId="228"/>
    <cellStyle name="Normal 2 2 2 7" xfId="229"/>
    <cellStyle name="Normal 2 2 2 7 2" xfId="230"/>
    <cellStyle name="Normal 2 2 2 7 3" xfId="231"/>
    <cellStyle name="Normal 2 2 2 8" xfId="232"/>
    <cellStyle name="Normal 2 2 20" xfId="233"/>
    <cellStyle name="Normal 2 2 21" xfId="234"/>
    <cellStyle name="Normal 2 2 22" xfId="235"/>
    <cellStyle name="Normal 2 2 3" xfId="236"/>
    <cellStyle name="Normal 2 2 3 2" xfId="237"/>
    <cellStyle name="Normal 2 2 4" xfId="238"/>
    <cellStyle name="Normal 2 2 4 2" xfId="239"/>
    <cellStyle name="Normal 2 2 5" xfId="240"/>
    <cellStyle name="Normal 2 2 5 2" xfId="241"/>
    <cellStyle name="Normal 2 2 6" xfId="242"/>
    <cellStyle name="Normal 2 2 6 2" xfId="243"/>
    <cellStyle name="Normal 2 2 7" xfId="244"/>
    <cellStyle name="Normal 2 2 7 2" xfId="245"/>
    <cellStyle name="Normal 2 2 8" xfId="246"/>
    <cellStyle name="Normal 2 2 8 2" xfId="247"/>
    <cellStyle name="Normal 2 2 9" xfId="248"/>
    <cellStyle name="Normal 2 2 9 2" xfId="249"/>
    <cellStyle name="Normal 2 3" xfId="250"/>
    <cellStyle name="Normal 2 3 10" xfId="251"/>
    <cellStyle name="Normal 2 3 11" xfId="252"/>
    <cellStyle name="Normal 2 3 12" xfId="253"/>
    <cellStyle name="Normal 2 3 13" xfId="254"/>
    <cellStyle name="Normal 2 3 14" xfId="255"/>
    <cellStyle name="Normal 2 3 15" xfId="256"/>
    <cellStyle name="Normal 2 3 2" xfId="257"/>
    <cellStyle name="Normal 2 3 2 2" xfId="258"/>
    <cellStyle name="Normal 2 3 2 2 2" xfId="259"/>
    <cellStyle name="Normal 2 3 2 2 3" xfId="260"/>
    <cellStyle name="Normal 2 3 2 3" xfId="261"/>
    <cellStyle name="Normal 2 3 2 4" xfId="262"/>
    <cellStyle name="Normal 2 3 2 5" xfId="263"/>
    <cellStyle name="Normal 2 3 3" xfId="264"/>
    <cellStyle name="Normal 2 3 3 2" xfId="265"/>
    <cellStyle name="Normal 2 3 3 3" xfId="266"/>
    <cellStyle name="Normal 2 3 4" xfId="267"/>
    <cellStyle name="Normal 2 3 5" xfId="268"/>
    <cellStyle name="Normal 2 3 6" xfId="269"/>
    <cellStyle name="Normal 2 3 7" xfId="270"/>
    <cellStyle name="Normal 2 3 8" xfId="271"/>
    <cellStyle name="Normal 2 3 9" xfId="272"/>
    <cellStyle name="Normal 2 4" xfId="273"/>
    <cellStyle name="Normal 2 4 10" xfId="274"/>
    <cellStyle name="Normal 2 4 11" xfId="275"/>
    <cellStyle name="Normal 2 4 12" xfId="276"/>
    <cellStyle name="Normal 2 4 12 2" xfId="277"/>
    <cellStyle name="Normal 2 4 12 3" xfId="278"/>
    <cellStyle name="Normal 2 4 13" xfId="279"/>
    <cellStyle name="Normal 2 4 13 2" xfId="280"/>
    <cellStyle name="Normal 2 4 13 3" xfId="281"/>
    <cellStyle name="Normal 2 4 2" xfId="282"/>
    <cellStyle name="Normal 2 4 2 2" xfId="283"/>
    <cellStyle name="Normal 2 4 2 2 2" xfId="284"/>
    <cellStyle name="Normal 2 4 2 2 3" xfId="285"/>
    <cellStyle name="Normal 2 4 2 3" xfId="286"/>
    <cellStyle name="Normal 2 4 2 4" xfId="287"/>
    <cellStyle name="Normal 2 4 2 5" xfId="288"/>
    <cellStyle name="Normal 2 4 3" xfId="289"/>
    <cellStyle name="Normal 2 4 3 2" xfId="290"/>
    <cellStyle name="Normal 2 4 3 3" xfId="291"/>
    <cellStyle name="Normal 2 4 4" xfId="292"/>
    <cellStyle name="Normal 2 4 5" xfId="293"/>
    <cellStyle name="Normal 2 4 6" xfId="294"/>
    <cellStyle name="Normal 2 4 7" xfId="295"/>
    <cellStyle name="Normal 2 4 8" xfId="296"/>
    <cellStyle name="Normal 2 4 9" xfId="297"/>
    <cellStyle name="Normal 2 5" xfId="298"/>
    <cellStyle name="Normal 2 5 10" xfId="299"/>
    <cellStyle name="Normal 2 5 11" xfId="300"/>
    <cellStyle name="Normal 2 5 12" xfId="301"/>
    <cellStyle name="Normal 2 5 12 2" xfId="302"/>
    <cellStyle name="Normal 2 5 12 3" xfId="303"/>
    <cellStyle name="Normal 2 5 2" xfId="304"/>
    <cellStyle name="Normal 2 5 2 2" xfId="305"/>
    <cellStyle name="Normal 2 5 3" xfId="306"/>
    <cellStyle name="Normal 2 5 3 2" xfId="307"/>
    <cellStyle name="Normal 2 5 4" xfId="308"/>
    <cellStyle name="Normal 2 5 5" xfId="309"/>
    <cellStyle name="Normal 2 5 6" xfId="310"/>
    <cellStyle name="Normal 2 5 7" xfId="311"/>
    <cellStyle name="Normal 2 5 8" xfId="312"/>
    <cellStyle name="Normal 2 5 9" xfId="313"/>
    <cellStyle name="Normal 2 6" xfId="314"/>
    <cellStyle name="Normal 2 6 10" xfId="315"/>
    <cellStyle name="Normal 2 6 11" xfId="316"/>
    <cellStyle name="Normal 2 6 12" xfId="317"/>
    <cellStyle name="Normal 2 6 2" xfId="318"/>
    <cellStyle name="Normal 2 6 2 2" xfId="319"/>
    <cellStyle name="Normal 2 6 3" xfId="320"/>
    <cellStyle name="Normal 2 6 3 2" xfId="321"/>
    <cellStyle name="Normal 2 6 4" xfId="322"/>
    <cellStyle name="Normal 2 6 5" xfId="323"/>
    <cellStyle name="Normal 2 6 6" xfId="324"/>
    <cellStyle name="Normal 2 6 7" xfId="325"/>
    <cellStyle name="Normal 2 6 8" xfId="326"/>
    <cellStyle name="Normal 2 6 9" xfId="327"/>
    <cellStyle name="Normal 2 7" xfId="328"/>
    <cellStyle name="Normal 2 7 10" xfId="329"/>
    <cellStyle name="Normal 2 7 11" xfId="330"/>
    <cellStyle name="Normal 2 7 2" xfId="331"/>
    <cellStyle name="Normal 2 7 2 2" xfId="332"/>
    <cellStyle name="Normal 2 7 2 3" xfId="333"/>
    <cellStyle name="Normal 2 7 3" xfId="334"/>
    <cellStyle name="Normal 2 7 3 2" xfId="335"/>
    <cellStyle name="Normal 2 7 4" xfId="336"/>
    <cellStyle name="Normal 2 7 4 2" xfId="337"/>
    <cellStyle name="Normal 2 7 5" xfId="338"/>
    <cellStyle name="Normal 2 7 5 2" xfId="339"/>
    <cellStyle name="Normal 2 7 6" xfId="340"/>
    <cellStyle name="Normal 2 7 6 2" xfId="341"/>
    <cellStyle name="Normal 2 7 7" xfId="342"/>
    <cellStyle name="Normal 2 7 7 2" xfId="343"/>
    <cellStyle name="Normal 2 7 8" xfId="344"/>
    <cellStyle name="Normal 2 7 8 2" xfId="345"/>
    <cellStyle name="Normal 2 7 9" xfId="346"/>
    <cellStyle name="Normal 2 8" xfId="347"/>
    <cellStyle name="Normal 2 8 10" xfId="348"/>
    <cellStyle name="Normal 2 8 11" xfId="349"/>
    <cellStyle name="Normal 2 8 2" xfId="350"/>
    <cellStyle name="Normal 2 8 2 2" xfId="351"/>
    <cellStyle name="Normal 2 8 3" xfId="352"/>
    <cellStyle name="Normal 2 8 3 2" xfId="353"/>
    <cellStyle name="Normal 2 8 4" xfId="354"/>
    <cellStyle name="Normal 2 8 4 2" xfId="355"/>
    <cellStyle name="Normal 2 8 5" xfId="356"/>
    <cellStyle name="Normal 2 8 5 2" xfId="357"/>
    <cellStyle name="Normal 2 8 6" xfId="358"/>
    <cellStyle name="Normal 2 8 6 2" xfId="359"/>
    <cellStyle name="Normal 2 8 7" xfId="360"/>
    <cellStyle name="Normal 2 8 7 2" xfId="361"/>
    <cellStyle name="Normal 2 8 8" xfId="362"/>
    <cellStyle name="Normal 2 8 8 2" xfId="363"/>
    <cellStyle name="Normal 2 8 9" xfId="364"/>
    <cellStyle name="Normal 2 9" xfId="365"/>
    <cellStyle name="Normal 2 9 10" xfId="366"/>
    <cellStyle name="Normal 2 9 11" xfId="367"/>
    <cellStyle name="Normal 2 9 2" xfId="368"/>
    <cellStyle name="Normal 2 9 2 2" xfId="369"/>
    <cellStyle name="Normal 2 9 3" xfId="370"/>
    <cellStyle name="Normal 2 9 3 2" xfId="371"/>
    <cellStyle name="Normal 2 9 4" xfId="372"/>
    <cellStyle name="Normal 2 9 4 2" xfId="373"/>
    <cellStyle name="Normal 2 9 5" xfId="374"/>
    <cellStyle name="Normal 2 9 5 2" xfId="375"/>
    <cellStyle name="Normal 2 9 6" xfId="376"/>
    <cellStyle name="Normal 2 9 6 2" xfId="377"/>
    <cellStyle name="Normal 2 9 7" xfId="378"/>
    <cellStyle name="Normal 2 9 7 2" xfId="379"/>
    <cellStyle name="Normal 2 9 8" xfId="380"/>
    <cellStyle name="Normal 2 9 8 2" xfId="381"/>
    <cellStyle name="Normal 2 9 9" xfId="382"/>
    <cellStyle name="Normal 20" xfId="383"/>
    <cellStyle name="Normal 20 2" xfId="384"/>
    <cellStyle name="Normal 20 3" xfId="385"/>
    <cellStyle name="Normal 21" xfId="386"/>
    <cellStyle name="Normal 21 2" xfId="387"/>
    <cellStyle name="Normal 21 2 2" xfId="388"/>
    <cellStyle name="Normal 21 2 3" xfId="389"/>
    <cellStyle name="Normal 21 3" xfId="390"/>
    <cellStyle name="Normal 21 4" xfId="391"/>
    <cellStyle name="Normal 21 5" xfId="392"/>
    <cellStyle name="Normal 22" xfId="393"/>
    <cellStyle name="Normal 22 2" xfId="394"/>
    <cellStyle name="Normal 22 3" xfId="395"/>
    <cellStyle name="Normal 23" xfId="396"/>
    <cellStyle name="Normal 23 2" xfId="397"/>
    <cellStyle name="Normal 23 3" xfId="398"/>
    <cellStyle name="Normal 24" xfId="399"/>
    <cellStyle name="Normal 24 2" xfId="400"/>
    <cellStyle name="Normal 24 3" xfId="401"/>
    <cellStyle name="Normal 25" xfId="402"/>
    <cellStyle name="Normal 25 2" xfId="403"/>
    <cellStyle name="Normal 25 3" xfId="404"/>
    <cellStyle name="Normal 26" xfId="405"/>
    <cellStyle name="Normal 27" xfId="406"/>
    <cellStyle name="Normal 3" xfId="407"/>
    <cellStyle name="Normal 3 10" xfId="408"/>
    <cellStyle name="Normal 3 10 2" xfId="409"/>
    <cellStyle name="Normal 3 11" xfId="410"/>
    <cellStyle name="Normal 3 12" xfId="411"/>
    <cellStyle name="Normal 3 13" xfId="412"/>
    <cellStyle name="Normal 3 14" xfId="413"/>
    <cellStyle name="Normal 3 15" xfId="414"/>
    <cellStyle name="Normal 3 2" xfId="415"/>
    <cellStyle name="Normal 3 2 2" xfId="416"/>
    <cellStyle name="Normal 3 2 2 2" xfId="417"/>
    <cellStyle name="Normal 3 2 2 3" xfId="418"/>
    <cellStyle name="Normal 3 2 3" xfId="419"/>
    <cellStyle name="Normal 3 2 4" xfId="420"/>
    <cellStyle name="Normal 3 2 5" xfId="421"/>
    <cellStyle name="Normal 3 3" xfId="422"/>
    <cellStyle name="Normal 3 3 2" xfId="423"/>
    <cellStyle name="Normal 3 3 2 2" xfId="424"/>
    <cellStyle name="Normal 3 3 2 3" xfId="425"/>
    <cellStyle name="Normal 3 3 3" xfId="426"/>
    <cellStyle name="Normal 3 3 4" xfId="427"/>
    <cellStyle name="Normal 3 4" xfId="428"/>
    <cellStyle name="Normal 3 5" xfId="429"/>
    <cellStyle name="Normal 3 6" xfId="430"/>
    <cellStyle name="Normal 3 7" xfId="431"/>
    <cellStyle name="Normal 3 7 2" xfId="432"/>
    <cellStyle name="Normal 3 7 3" xfId="433"/>
    <cellStyle name="Normal 3 8" xfId="434"/>
    <cellStyle name="Normal 3 8 2" xfId="435"/>
    <cellStyle name="Normal 3 8 3" xfId="436"/>
    <cellStyle name="Normal 3 9" xfId="437"/>
    <cellStyle name="Normal 3 9 2" xfId="438"/>
    <cellStyle name="Normal 3 9 3" xfId="439"/>
    <cellStyle name="Normal 4" xfId="440"/>
    <cellStyle name="Normal 4 10" xfId="441"/>
    <cellStyle name="Normal 4 11" xfId="442"/>
    <cellStyle name="Normal 4 12" xfId="443"/>
    <cellStyle name="Normal 4 13" xfId="444"/>
    <cellStyle name="Normal 4 2" xfId="445"/>
    <cellStyle name="Normal 4 2 2" xfId="446"/>
    <cellStyle name="Normal 4 2 2 2" xfId="447"/>
    <cellStyle name="Normal 4 2 2 3" xfId="448"/>
    <cellStyle name="Normal 4 2 2 3 2" xfId="449"/>
    <cellStyle name="Normal 4 2 3" xfId="450"/>
    <cellStyle name="Normal 4 2 4" xfId="451"/>
    <cellStyle name="Normal 4 2 5" xfId="452"/>
    <cellStyle name="Normal 4 3" xfId="453"/>
    <cellStyle name="Normal 4 3 2" xfId="454"/>
    <cellStyle name="Normal 4 3 3" xfId="455"/>
    <cellStyle name="Normal 4 4" xfId="456"/>
    <cellStyle name="Normal 4 5" xfId="457"/>
    <cellStyle name="Normal 4 5 2" xfId="458"/>
    <cellStyle name="Normal 4 5 3" xfId="459"/>
    <cellStyle name="Normal 4 6" xfId="460"/>
    <cellStyle name="Normal 4 6 2" xfId="461"/>
    <cellStyle name="Normal 4 6 3" xfId="462"/>
    <cellStyle name="Normal 4 7" xfId="463"/>
    <cellStyle name="Normal 4 8" xfId="464"/>
    <cellStyle name="Normal 4 9" xfId="465"/>
    <cellStyle name="Normal 5" xfId="466"/>
    <cellStyle name="Normal 5 2" xfId="467"/>
    <cellStyle name="Normal 5 3" xfId="468"/>
    <cellStyle name="Normal 5 3 2" xfId="469"/>
    <cellStyle name="Normal 5 3 3" xfId="470"/>
    <cellStyle name="Normal 5 4" xfId="471"/>
    <cellStyle name="Normal 5 5" xfId="472"/>
    <cellStyle name="Normal 5 5 2" xfId="473"/>
    <cellStyle name="Normal 5 5 3" xfId="474"/>
    <cellStyle name="Normal 5 6" xfId="475"/>
    <cellStyle name="Normal 6" xfId="476"/>
    <cellStyle name="Normal 6 2" xfId="477"/>
    <cellStyle name="Normal 6 3" xfId="478"/>
    <cellStyle name="Normal 6 4" xfId="479"/>
    <cellStyle name="Normal 6 5" xfId="480"/>
    <cellStyle name="Normal 7 2" xfId="481"/>
    <cellStyle name="Normal 7 2 2" xfId="482"/>
    <cellStyle name="Normal 7 2 2 2" xfId="483"/>
    <cellStyle name="Normal 7 2 2 3" xfId="484"/>
    <cellStyle name="Normal 7 2 3" xfId="485"/>
    <cellStyle name="Normal 7 2 4" xfId="486"/>
    <cellStyle name="Normal 7 2 4 2" xfId="487"/>
    <cellStyle name="Normal 7 2 4 3" xfId="488"/>
    <cellStyle name="Normal 7 2 5" xfId="489"/>
    <cellStyle name="Normal 7 3" xfId="490"/>
    <cellStyle name="Normal 7 4" xfId="491"/>
    <cellStyle name="Normal 7 4 2" xfId="492"/>
    <cellStyle name="Normal 7 4 3" xfId="493"/>
    <cellStyle name="Normal 7 5" xfId="494"/>
    <cellStyle name="Normal 7 5 2" xfId="495"/>
    <cellStyle name="Normal 7 5 3" xfId="496"/>
    <cellStyle name="Normal 7 5 4" xfId="497"/>
    <cellStyle name="Normal 7 5 5" xfId="498"/>
    <cellStyle name="Normal 7 6" xfId="499"/>
    <cellStyle name="Normal 7 7" xfId="500"/>
    <cellStyle name="Normal 8" xfId="501"/>
    <cellStyle name="Normal 8 2" xfId="502"/>
    <cellStyle name="Normal 8 3" xfId="503"/>
    <cellStyle name="Normal 9" xfId="504"/>
    <cellStyle name="Normal 9 2" xfId="505"/>
    <cellStyle name="Normal 9 2 2" xfId="506"/>
    <cellStyle name="Normal 9 2 3" xfId="507"/>
    <cellStyle name="Normal 9 3" xfId="508"/>
    <cellStyle name="Normal 9 4" xfId="509"/>
    <cellStyle name="Normal 9 5" xfId="510"/>
    <cellStyle name="Normal 9 5 2" xfId="511"/>
    <cellStyle name="Normal 9 5 3" xfId="512"/>
    <cellStyle name="Normal 9 6" xfId="513"/>
    <cellStyle name="Normal 9 6 2" xfId="514"/>
    <cellStyle name="Normal 9 6 3" xfId="515"/>
    <cellStyle name="Normal_debt" xfId="516"/>
    <cellStyle name="Normal_lpform" xfId="517"/>
  </cellStyles>
  <dxfs count="327">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condense val="0"/>
        <extend val="0"/>
      </font>
      <fill>
        <patternFill>
          <bgColor indexed="10"/>
        </patternFill>
      </fill>
    </dxf>
    <dxf>
      <fill>
        <patternFill>
          <bgColor indexed="10"/>
        </patternFill>
      </fill>
    </dxf>
    <dxf>
      <fill>
        <patternFill>
          <bgColor rgb="FFFF0000"/>
        </patternFill>
      </fill>
    </dxf>
    <dxf>
      <fill>
        <patternFill>
          <bgColor rgb="FFFF0000"/>
        </patternFill>
      </fill>
    </dxf>
    <dxf>
      <fill>
        <patternFill>
          <bgColor rgb="FFFF000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rgb="FFFF000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mailto:peter.haxton@library.ks.gov"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8" Type="http://schemas.openxmlformats.org/officeDocument/2006/relationships/hyperlink" Target="http://www.ksrevenue.org/" TargetMode="External"/><Relationship Id="rId3" Type="http://schemas.openxmlformats.org/officeDocument/2006/relationships/hyperlink" Target="http://www.lkm.org/resources/budgettips/" TargetMode="External"/><Relationship Id="rId7" Type="http://schemas.openxmlformats.org/officeDocument/2006/relationships/hyperlink" Target="http://www.kansasstatetreasurer.com/prodweb/dist/index.php" TargetMode="External"/><Relationship Id="rId2" Type="http://schemas.openxmlformats.org/officeDocument/2006/relationships/hyperlink" Target="http://www.da.ks.gov/ar/setoff/" TargetMode="External"/><Relationship Id="rId1" Type="http://schemas.openxmlformats.org/officeDocument/2006/relationships/hyperlink" Target="http://www.da.ks.gov/ar/muniserv/" TargetMode="External"/><Relationship Id="rId6" Type="http://schemas.openxmlformats.org/officeDocument/2006/relationships/hyperlink" Target="http://ksag.washburnlaw.edu/" TargetMode="External"/><Relationship Id="rId11" Type="http://schemas.openxmlformats.org/officeDocument/2006/relationships/printerSettings" Target="../printerSettings/printerSettings49.bin"/><Relationship Id="rId5" Type="http://schemas.openxmlformats.org/officeDocument/2006/relationships/hyperlink" Target="http://www.kslegislature.org/legsrv-statutes/index.do" TargetMode="External"/><Relationship Id="rId10" Type="http://schemas.openxmlformats.org/officeDocument/2006/relationships/hyperlink" Target="https://www.pooledmoneyinvestmentboard.com/" TargetMode="External"/><Relationship Id="rId4" Type="http://schemas.openxmlformats.org/officeDocument/2006/relationships/hyperlink" Target="http://www.lkm.org/publications/dokpopop.html" TargetMode="External"/><Relationship Id="rId9" Type="http://schemas.openxmlformats.org/officeDocument/2006/relationships/hyperlink" Target="http://www.ksrevenue.org/pvd.htm"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6"/>
  <sheetViews>
    <sheetView topLeftCell="A49" zoomScale="80" workbookViewId="0">
      <selection activeCell="B54" sqref="B54"/>
    </sheetView>
  </sheetViews>
  <sheetFormatPr defaultColWidth="8.9140625" defaultRowHeight="15.6" x14ac:dyDescent="0.25"/>
  <cols>
    <col min="1" max="1" width="75.75" style="18" customWidth="1"/>
    <col min="2" max="16384" width="8.9140625" style="18"/>
  </cols>
  <sheetData>
    <row r="1" spans="1:1" x14ac:dyDescent="0.25">
      <c r="A1" s="17" t="s">
        <v>786</v>
      </c>
    </row>
    <row r="3" spans="1:1" ht="39.75" customHeight="1" x14ac:dyDescent="0.3">
      <c r="A3" s="480" t="s">
        <v>960</v>
      </c>
    </row>
    <row r="4" spans="1:1" x14ac:dyDescent="0.25">
      <c r="A4" s="19"/>
    </row>
    <row r="5" spans="1:1" ht="49.5" customHeight="1" x14ac:dyDescent="0.25">
      <c r="A5" s="20" t="s">
        <v>7</v>
      </c>
    </row>
    <row r="6" spans="1:1" x14ac:dyDescent="0.25">
      <c r="A6" s="20"/>
    </row>
    <row r="7" spans="1:1" ht="85.5" customHeight="1" x14ac:dyDescent="0.25">
      <c r="A7" s="20" t="s">
        <v>953</v>
      </c>
    </row>
    <row r="8" spans="1:1" x14ac:dyDescent="0.25">
      <c r="A8" s="20"/>
    </row>
    <row r="9" spans="1:1" ht="32.25" customHeight="1" x14ac:dyDescent="0.25">
      <c r="A9" s="20" t="s">
        <v>288</v>
      </c>
    </row>
    <row r="11" spans="1:1" ht="51" customHeight="1" x14ac:dyDescent="0.25">
      <c r="A11" s="20" t="s">
        <v>64</v>
      </c>
    </row>
    <row r="13" spans="1:1" x14ac:dyDescent="0.25">
      <c r="A13" s="17" t="s">
        <v>16</v>
      </c>
    </row>
    <row r="14" spans="1:1" x14ac:dyDescent="0.25">
      <c r="A14" s="17"/>
    </row>
    <row r="15" spans="1:1" x14ac:dyDescent="0.25">
      <c r="A15" s="19" t="s">
        <v>17</v>
      </c>
    </row>
    <row r="17" spans="1:1" ht="37.5" customHeight="1" x14ac:dyDescent="0.25">
      <c r="A17" s="21" t="s">
        <v>314</v>
      </c>
    </row>
    <row r="18" spans="1:1" ht="9" customHeight="1" x14ac:dyDescent="0.25">
      <c r="A18" s="21"/>
    </row>
    <row r="20" spans="1:1" x14ac:dyDescent="0.25">
      <c r="A20" s="17" t="s">
        <v>70</v>
      </c>
    </row>
    <row r="22" spans="1:1" ht="36" customHeight="1" x14ac:dyDescent="0.25">
      <c r="A22" s="20" t="s">
        <v>289</v>
      </c>
    </row>
    <row r="23" spans="1:1" x14ac:dyDescent="0.25">
      <c r="A23" s="20"/>
    </row>
    <row r="24" spans="1:1" x14ac:dyDescent="0.25">
      <c r="A24" s="22" t="s">
        <v>290</v>
      </c>
    </row>
    <row r="25" spans="1:1" ht="12" customHeight="1" x14ac:dyDescent="0.25">
      <c r="A25" s="20"/>
    </row>
    <row r="26" spans="1:1" x14ac:dyDescent="0.25">
      <c r="A26" s="23" t="s">
        <v>215</v>
      </c>
    </row>
    <row r="27" spans="1:1" x14ac:dyDescent="0.25">
      <c r="A27" s="24"/>
    </row>
    <row r="28" spans="1:1" ht="84.75" customHeight="1" x14ac:dyDescent="0.25">
      <c r="A28" s="25" t="s">
        <v>2</v>
      </c>
    </row>
    <row r="29" spans="1:1" ht="12.75" customHeight="1" x14ac:dyDescent="0.25">
      <c r="A29" s="26"/>
    </row>
    <row r="30" spans="1:1" x14ac:dyDescent="0.25">
      <c r="A30" s="27" t="s">
        <v>291</v>
      </c>
    </row>
    <row r="31" spans="1:1" x14ac:dyDescent="0.25">
      <c r="A31" s="26"/>
    </row>
    <row r="32" spans="1:1" x14ac:dyDescent="0.25">
      <c r="A32" s="28" t="s">
        <v>15</v>
      </c>
    </row>
    <row r="33" spans="1:1" x14ac:dyDescent="0.25">
      <c r="A33" s="26"/>
    </row>
    <row r="34" spans="1:1" x14ac:dyDescent="0.25">
      <c r="A34" s="20" t="s">
        <v>163</v>
      </c>
    </row>
    <row r="36" spans="1:1" x14ac:dyDescent="0.25">
      <c r="A36" s="17" t="s">
        <v>164</v>
      </c>
    </row>
    <row r="38" spans="1:1" ht="66.75" customHeight="1" x14ac:dyDescent="0.25">
      <c r="A38" s="20" t="s">
        <v>716</v>
      </c>
    </row>
    <row r="39" spans="1:1" ht="35.25" customHeight="1" x14ac:dyDescent="0.25">
      <c r="A39" s="20" t="s">
        <v>225</v>
      </c>
    </row>
    <row r="40" spans="1:1" ht="53.25" customHeight="1" x14ac:dyDescent="0.25">
      <c r="A40" s="29" t="s">
        <v>292</v>
      </c>
    </row>
    <row r="42" spans="1:1" ht="84" customHeight="1" x14ac:dyDescent="0.25">
      <c r="A42" s="20" t="s">
        <v>717</v>
      </c>
    </row>
    <row r="43" spans="1:1" ht="53.25" customHeight="1" x14ac:dyDescent="0.25">
      <c r="A43" s="20" t="s">
        <v>293</v>
      </c>
    </row>
    <row r="44" spans="1:1" ht="102" customHeight="1" x14ac:dyDescent="0.25">
      <c r="A44" s="20" t="s">
        <v>65</v>
      </c>
    </row>
    <row r="45" spans="1:1" ht="102" customHeight="1" x14ac:dyDescent="0.25">
      <c r="A45" s="486" t="s">
        <v>718</v>
      </c>
    </row>
    <row r="46" spans="1:1" ht="15.75" customHeight="1" x14ac:dyDescent="0.25">
      <c r="A46" s="20"/>
    </row>
    <row r="47" spans="1:1" ht="74.099999999999994" customHeight="1" x14ac:dyDescent="0.25">
      <c r="A47" s="848" t="s">
        <v>918</v>
      </c>
    </row>
    <row r="48" spans="1:1" ht="69.900000000000006" customHeight="1" x14ac:dyDescent="0.25">
      <c r="A48" s="849" t="s">
        <v>603</v>
      </c>
    </row>
    <row r="49" spans="1:1" ht="69.900000000000006" customHeight="1" x14ac:dyDescent="0.25">
      <c r="A49" s="850" t="s">
        <v>919</v>
      </c>
    </row>
    <row r="50" spans="1:1" ht="15.75" customHeight="1" x14ac:dyDescent="0.25">
      <c r="A50" s="20"/>
    </row>
    <row r="51" spans="1:1" ht="69.75" customHeight="1" x14ac:dyDescent="0.25">
      <c r="A51" s="20" t="s">
        <v>604</v>
      </c>
    </row>
    <row r="52" spans="1:1" ht="37.5" customHeight="1" x14ac:dyDescent="0.25">
      <c r="A52" s="20" t="s">
        <v>605</v>
      </c>
    </row>
    <row r="53" spans="1:1" ht="87" customHeight="1" x14ac:dyDescent="0.25">
      <c r="A53" s="20" t="s">
        <v>964</v>
      </c>
    </row>
    <row r="54" spans="1:1" ht="94.5" customHeight="1" x14ac:dyDescent="0.25">
      <c r="A54" s="486" t="s">
        <v>719</v>
      </c>
    </row>
    <row r="55" spans="1:1" ht="101.25" customHeight="1" x14ac:dyDescent="0.25">
      <c r="A55" s="851" t="s">
        <v>954</v>
      </c>
    </row>
    <row r="57" spans="1:1" ht="84.75" customHeight="1" x14ac:dyDescent="0.25">
      <c r="A57" s="20" t="s">
        <v>965</v>
      </c>
    </row>
    <row r="58" spans="1:1" ht="159" customHeight="1" x14ac:dyDescent="0.25">
      <c r="A58" s="20" t="s">
        <v>966</v>
      </c>
    </row>
    <row r="59" spans="1:1" ht="38.25" customHeight="1" x14ac:dyDescent="0.25">
      <c r="A59" s="20" t="s">
        <v>967</v>
      </c>
    </row>
    <row r="60" spans="1:1" x14ac:dyDescent="0.25">
      <c r="A60" s="20"/>
    </row>
    <row r="61" spans="1:1" ht="68.25" customHeight="1" x14ac:dyDescent="0.25">
      <c r="A61" s="851" t="s">
        <v>920</v>
      </c>
    </row>
    <row r="62" spans="1:1" x14ac:dyDescent="0.25">
      <c r="A62" s="20"/>
    </row>
    <row r="63" spans="1:1" ht="66.75" customHeight="1" x14ac:dyDescent="0.25">
      <c r="A63" s="20" t="s">
        <v>606</v>
      </c>
    </row>
    <row r="64" spans="1:1" ht="37.5" customHeight="1" x14ac:dyDescent="0.25">
      <c r="A64" s="20" t="s">
        <v>614</v>
      </c>
    </row>
    <row r="65" spans="1:1" ht="91.5" customHeight="1" x14ac:dyDescent="0.25">
      <c r="A65" s="20" t="s">
        <v>615</v>
      </c>
    </row>
    <row r="66" spans="1:1" ht="47.25" customHeight="1" x14ac:dyDescent="0.25">
      <c r="A66" s="333" t="s">
        <v>616</v>
      </c>
    </row>
    <row r="68" spans="1:1" s="20" customFormat="1" ht="66.75" customHeight="1" x14ac:dyDescent="0.25">
      <c r="A68" s="20" t="s">
        <v>607</v>
      </c>
    </row>
    <row r="70" spans="1:1" ht="67.5" customHeight="1" x14ac:dyDescent="0.25">
      <c r="A70" s="20" t="s">
        <v>608</v>
      </c>
    </row>
    <row r="71" spans="1:1" ht="15" customHeight="1" x14ac:dyDescent="0.25">
      <c r="A71" s="20"/>
    </row>
    <row r="72" spans="1:1" ht="161.25" customHeight="1" x14ac:dyDescent="0.25">
      <c r="A72" s="851" t="s">
        <v>921</v>
      </c>
    </row>
    <row r="74" spans="1:1" ht="95.25" customHeight="1" x14ac:dyDescent="0.25">
      <c r="A74" s="20" t="s">
        <v>922</v>
      </c>
    </row>
    <row r="75" spans="1:1" ht="70.5" customHeight="1" x14ac:dyDescent="0.25">
      <c r="A75" s="851" t="s">
        <v>923</v>
      </c>
    </row>
    <row r="76" spans="1:1" ht="103.5" customHeight="1" x14ac:dyDescent="0.25">
      <c r="A76" s="486" t="s">
        <v>924</v>
      </c>
    </row>
    <row r="77" spans="1:1" ht="81" customHeight="1" x14ac:dyDescent="0.25">
      <c r="A77" s="486" t="s">
        <v>925</v>
      </c>
    </row>
    <row r="78" spans="1:1" ht="93" customHeight="1" x14ac:dyDescent="0.25">
      <c r="A78" s="486" t="s">
        <v>926</v>
      </c>
    </row>
    <row r="79" spans="1:1" ht="138.75" customHeight="1" x14ac:dyDescent="0.25">
      <c r="A79" s="20" t="s">
        <v>927</v>
      </c>
    </row>
    <row r="80" spans="1:1" ht="83.25" customHeight="1" x14ac:dyDescent="0.25">
      <c r="A80" s="851" t="s">
        <v>928</v>
      </c>
    </row>
    <row r="81" spans="1:1" ht="123" customHeight="1" x14ac:dyDescent="0.25">
      <c r="A81" s="20" t="s">
        <v>929</v>
      </c>
    </row>
    <row r="82" spans="1:1" ht="135" customHeight="1" x14ac:dyDescent="0.25">
      <c r="A82" s="20" t="s">
        <v>930</v>
      </c>
    </row>
    <row r="83" spans="1:1" ht="65.25" customHeight="1" x14ac:dyDescent="0.25">
      <c r="A83" s="20" t="s">
        <v>931</v>
      </c>
    </row>
    <row r="84" spans="1:1" ht="114" customHeight="1" x14ac:dyDescent="0.25">
      <c r="A84" s="20" t="s">
        <v>932</v>
      </c>
    </row>
    <row r="85" spans="1:1" ht="61.5" customHeight="1" x14ac:dyDescent="0.25">
      <c r="A85" s="20" t="s">
        <v>933</v>
      </c>
    </row>
    <row r="86" spans="1:1" ht="117" customHeight="1" x14ac:dyDescent="0.25">
      <c r="A86" s="20" t="s">
        <v>934</v>
      </c>
    </row>
    <row r="87" spans="1:1" ht="117" customHeight="1" x14ac:dyDescent="0.25">
      <c r="A87" s="487" t="s">
        <v>935</v>
      </c>
    </row>
    <row r="88" spans="1:1" ht="117" customHeight="1" x14ac:dyDescent="0.25">
      <c r="A88" s="488" t="s">
        <v>936</v>
      </c>
    </row>
    <row r="89" spans="1:1" ht="77.25" customHeight="1" x14ac:dyDescent="0.25">
      <c r="A89" s="852" t="s">
        <v>937</v>
      </c>
    </row>
    <row r="90" spans="1:1" ht="94.5" customHeight="1" x14ac:dyDescent="0.25">
      <c r="A90" s="852" t="s">
        <v>952</v>
      </c>
    </row>
    <row r="91" spans="1:1" ht="15" customHeight="1" x14ac:dyDescent="0.25">
      <c r="A91" s="354"/>
    </row>
    <row r="92" spans="1:1" ht="67.5" customHeight="1" x14ac:dyDescent="0.25">
      <c r="A92" s="851" t="s">
        <v>609</v>
      </c>
    </row>
    <row r="93" spans="1:1" ht="29.25" customHeight="1" x14ac:dyDescent="0.25">
      <c r="A93" s="853" t="s">
        <v>610</v>
      </c>
    </row>
    <row r="94" spans="1:1" ht="44.25" customHeight="1" x14ac:dyDescent="0.25">
      <c r="A94" s="486" t="s">
        <v>938</v>
      </c>
    </row>
    <row r="95" spans="1:1" ht="129.75" customHeight="1" x14ac:dyDescent="0.25">
      <c r="A95" s="486" t="s">
        <v>939</v>
      </c>
    </row>
    <row r="96" spans="1:1" ht="155.25" customHeight="1" x14ac:dyDescent="0.25">
      <c r="A96" s="486" t="s">
        <v>940</v>
      </c>
    </row>
    <row r="97" spans="1:1" ht="84.75" customHeight="1" x14ac:dyDescent="0.25">
      <c r="A97" s="854" t="s">
        <v>941</v>
      </c>
    </row>
    <row r="98" spans="1:1" ht="89.25" customHeight="1" x14ac:dyDescent="0.25">
      <c r="A98" s="855" t="s">
        <v>942</v>
      </c>
    </row>
    <row r="99" spans="1:1" ht="15" customHeight="1" x14ac:dyDescent="0.25">
      <c r="A99" s="354"/>
    </row>
    <row r="100" spans="1:1" ht="150" customHeight="1" x14ac:dyDescent="0.25">
      <c r="A100" s="20" t="s">
        <v>943</v>
      </c>
    </row>
    <row r="101" spans="1:1" ht="138" customHeight="1" x14ac:dyDescent="0.25">
      <c r="A101" s="20" t="s">
        <v>944</v>
      </c>
    </row>
    <row r="102" spans="1:1" ht="74.25" customHeight="1" x14ac:dyDescent="0.25">
      <c r="A102" s="20" t="s">
        <v>945</v>
      </c>
    </row>
    <row r="103" spans="1:1" ht="28.5" customHeight="1" x14ac:dyDescent="0.25">
      <c r="A103" s="20" t="s">
        <v>946</v>
      </c>
    </row>
    <row r="104" spans="1:1" ht="15" customHeight="1" x14ac:dyDescent="0.25">
      <c r="A104" s="354"/>
    </row>
    <row r="105" spans="1:1" ht="68.25" customHeight="1" x14ac:dyDescent="0.25">
      <c r="A105" s="851" t="s">
        <v>947</v>
      </c>
    </row>
    <row r="106" spans="1:1" ht="15" customHeight="1" x14ac:dyDescent="0.25">
      <c r="A106" s="856"/>
    </row>
    <row r="107" spans="1:1" ht="67.5" customHeight="1" x14ac:dyDescent="0.25">
      <c r="A107" s="486" t="s">
        <v>948</v>
      </c>
    </row>
    <row r="108" spans="1:1" ht="125.25" customHeight="1" x14ac:dyDescent="0.25">
      <c r="A108" s="486" t="s">
        <v>949</v>
      </c>
    </row>
    <row r="109" spans="1:1" ht="134.25" customHeight="1" x14ac:dyDescent="0.25">
      <c r="A109" s="486" t="s">
        <v>950</v>
      </c>
    </row>
    <row r="110" spans="1:1" ht="59.25" customHeight="1" x14ac:dyDescent="0.25">
      <c r="A110" s="20"/>
    </row>
    <row r="111" spans="1:1" ht="30.75" customHeight="1" x14ac:dyDescent="0.25">
      <c r="A111" s="20"/>
    </row>
    <row r="112" spans="1:1" ht="15" customHeight="1" x14ac:dyDescent="0.25"/>
    <row r="113" spans="1:1" ht="36.75" customHeight="1" x14ac:dyDescent="0.25">
      <c r="A113" s="20"/>
    </row>
    <row r="114" spans="1:1" ht="34.5" customHeight="1" x14ac:dyDescent="0.25">
      <c r="A114" s="355"/>
    </row>
    <row r="115" spans="1:1" ht="99.75" customHeight="1" x14ac:dyDescent="0.25">
      <c r="A115" s="486"/>
    </row>
    <row r="116" spans="1:1" ht="34.5" customHeight="1" x14ac:dyDescent="0.25">
      <c r="A116" s="486"/>
    </row>
    <row r="117" spans="1:1" ht="85.5" customHeight="1" x14ac:dyDescent="0.25">
      <c r="A117" s="486"/>
    </row>
    <row r="118" spans="1:1" ht="91.5" customHeight="1" x14ac:dyDescent="0.25">
      <c r="A118" s="486"/>
    </row>
    <row r="119" spans="1:1" ht="58.5" customHeight="1" x14ac:dyDescent="0.25">
      <c r="A119" s="355"/>
    </row>
    <row r="120" spans="1:1" ht="66" customHeight="1" x14ac:dyDescent="0.25">
      <c r="A120" s="355"/>
    </row>
    <row r="121" spans="1:1" ht="16.5" customHeight="1" x14ac:dyDescent="0.25">
      <c r="A121" s="20"/>
    </row>
    <row r="122" spans="1:1" ht="72.75" customHeight="1" x14ac:dyDescent="0.25">
      <c r="A122" s="20"/>
    </row>
    <row r="124" spans="1:1" ht="69" customHeight="1" x14ac:dyDescent="0.25">
      <c r="A124" s="486"/>
    </row>
    <row r="125" spans="1:1" ht="110.25" customHeight="1" x14ac:dyDescent="0.25">
      <c r="A125" s="486"/>
    </row>
    <row r="126" spans="1:1" ht="132" customHeight="1" x14ac:dyDescent="0.25">
      <c r="A126" s="486"/>
    </row>
  </sheetData>
  <sheetProtection sheet="1"/>
  <phoneticPr fontId="0" type="noConversion"/>
  <pageMargins left="0.5" right="0.5" top="0.5" bottom="0.5" header="0.5" footer="0"/>
  <pageSetup scale="90" fitToHeight="2" orientation="portrait" blackAndWhite="1"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C48"/>
  <sheetViews>
    <sheetView view="pageBreakPreview" topLeftCell="B13" zoomScale="70" zoomScaleNormal="75" zoomScaleSheetLayoutView="70" workbookViewId="0">
      <selection activeCell="K13" sqref="K13"/>
    </sheetView>
  </sheetViews>
  <sheetFormatPr defaultColWidth="8.9140625" defaultRowHeight="15.6" x14ac:dyDescent="0.25"/>
  <cols>
    <col min="1" max="1" width="8.9140625" style="30"/>
    <col min="2" max="2" width="20.75" style="30" customWidth="1"/>
    <col min="3" max="3" width="9.33203125" style="30" customWidth="1"/>
    <col min="4" max="4" width="8.6640625" style="30" customWidth="1"/>
    <col min="5" max="5" width="8.75" style="30" customWidth="1"/>
    <col min="6" max="6" width="12.75" style="30" customWidth="1"/>
    <col min="7" max="7" width="14.33203125" style="30" customWidth="1"/>
    <col min="8" max="13" width="9.75" style="30" customWidth="1"/>
    <col min="14" max="16384" width="8.9140625" style="30"/>
  </cols>
  <sheetData>
    <row r="1" spans="2:13" x14ac:dyDescent="0.25">
      <c r="B1" s="176" t="str">
        <f>inputPrYr!$D$2</f>
        <v>City of Osawatomie</v>
      </c>
      <c r="C1" s="32"/>
      <c r="D1" s="32"/>
      <c r="E1" s="32"/>
      <c r="F1" s="32"/>
      <c r="G1" s="32"/>
      <c r="H1" s="32"/>
      <c r="I1" s="32"/>
      <c r="J1" s="32"/>
      <c r="K1" s="32"/>
      <c r="L1" s="32"/>
      <c r="M1" s="199">
        <f>inputPrYr!$C$5</f>
        <v>2015</v>
      </c>
    </row>
    <row r="2" spans="2:13" x14ac:dyDescent="0.25">
      <c r="B2" s="176"/>
      <c r="C2" s="32"/>
      <c r="D2" s="32"/>
      <c r="E2" s="32"/>
      <c r="F2" s="32"/>
      <c r="G2" s="32"/>
      <c r="H2" s="32"/>
      <c r="I2" s="32"/>
      <c r="J2" s="32"/>
      <c r="K2" s="32"/>
      <c r="L2" s="32"/>
      <c r="M2" s="151"/>
    </row>
    <row r="3" spans="2:13" x14ac:dyDescent="0.25">
      <c r="B3" s="200" t="s">
        <v>172</v>
      </c>
      <c r="C3" s="37"/>
      <c r="D3" s="37"/>
      <c r="E3" s="37"/>
      <c r="F3" s="37"/>
      <c r="G3" s="37"/>
      <c r="H3" s="37"/>
      <c r="I3" s="37"/>
      <c r="J3" s="37"/>
      <c r="K3" s="37"/>
      <c r="L3" s="37"/>
      <c r="M3" s="37"/>
    </row>
    <row r="4" spans="2:13" ht="10.5" customHeight="1" x14ac:dyDescent="0.25">
      <c r="B4" s="32"/>
      <c r="C4" s="201"/>
      <c r="D4" s="201"/>
      <c r="E4" s="201"/>
      <c r="F4" s="201"/>
      <c r="G4" s="201"/>
      <c r="H4" s="201"/>
      <c r="I4" s="201"/>
      <c r="J4" s="201"/>
      <c r="K4" s="201"/>
      <c r="L4" s="201"/>
      <c r="M4" s="201"/>
    </row>
    <row r="5" spans="2:13" ht="18" customHeight="1" x14ac:dyDescent="0.25">
      <c r="B5" s="135"/>
      <c r="C5" s="178" t="s">
        <v>140</v>
      </c>
      <c r="D5" s="178" t="s">
        <v>140</v>
      </c>
      <c r="E5" s="178" t="s">
        <v>154</v>
      </c>
      <c r="F5" s="178"/>
      <c r="G5" s="178" t="s">
        <v>256</v>
      </c>
      <c r="H5" s="32"/>
      <c r="I5" s="32"/>
      <c r="J5" s="202" t="s">
        <v>141</v>
      </c>
      <c r="K5" s="203"/>
      <c r="L5" s="202" t="s">
        <v>141</v>
      </c>
      <c r="M5" s="203"/>
    </row>
    <row r="6" spans="2:13" x14ac:dyDescent="0.25">
      <c r="B6" s="204" t="s">
        <v>868</v>
      </c>
      <c r="C6" s="204" t="s">
        <v>142</v>
      </c>
      <c r="D6" s="204" t="s">
        <v>257</v>
      </c>
      <c r="E6" s="204" t="s">
        <v>143</v>
      </c>
      <c r="F6" s="204" t="s">
        <v>97</v>
      </c>
      <c r="G6" s="204" t="s">
        <v>258</v>
      </c>
      <c r="H6" s="1009" t="s">
        <v>144</v>
      </c>
      <c r="I6" s="1010"/>
      <c r="J6" s="1011">
        <f>M1-1</f>
        <v>2014</v>
      </c>
      <c r="K6" s="1012"/>
      <c r="L6" s="1011">
        <f>M1</f>
        <v>2015</v>
      </c>
      <c r="M6" s="1012"/>
    </row>
    <row r="7" spans="2:13" x14ac:dyDescent="0.25">
      <c r="B7" s="180" t="s">
        <v>867</v>
      </c>
      <c r="C7" s="180" t="s">
        <v>145</v>
      </c>
      <c r="D7" s="180" t="s">
        <v>259</v>
      </c>
      <c r="E7" s="180" t="s">
        <v>120</v>
      </c>
      <c r="F7" s="180" t="s">
        <v>146</v>
      </c>
      <c r="G7" s="205" t="str">
        <f>CONCATENATE("Jan 1,",M1-1,"")</f>
        <v>Jan 1,2014</v>
      </c>
      <c r="H7" s="139" t="s">
        <v>154</v>
      </c>
      <c r="I7" s="139" t="s">
        <v>156</v>
      </c>
      <c r="J7" s="139" t="s">
        <v>154</v>
      </c>
      <c r="K7" s="139" t="s">
        <v>156</v>
      </c>
      <c r="L7" s="139" t="s">
        <v>154</v>
      </c>
      <c r="M7" s="139" t="s">
        <v>156</v>
      </c>
    </row>
    <row r="8" spans="2:13" x14ac:dyDescent="0.25">
      <c r="B8" s="206" t="s">
        <v>147</v>
      </c>
      <c r="C8" s="46"/>
      <c r="D8" s="46"/>
      <c r="E8" s="207"/>
      <c r="F8" s="208"/>
      <c r="G8" s="208"/>
      <c r="H8" s="46"/>
      <c r="I8" s="46"/>
      <c r="J8" s="208"/>
      <c r="K8" s="208"/>
      <c r="L8" s="208"/>
      <c r="M8" s="208"/>
    </row>
    <row r="9" spans="2:13" x14ac:dyDescent="0.3">
      <c r="B9" s="957" t="s">
        <v>1093</v>
      </c>
      <c r="C9" s="958">
        <v>39753</v>
      </c>
      <c r="D9" s="958">
        <v>17777</v>
      </c>
      <c r="E9" s="959">
        <v>4.5</v>
      </c>
      <c r="F9" s="960">
        <v>3550000</v>
      </c>
      <c r="G9" s="961">
        <v>3374000</v>
      </c>
      <c r="H9" s="962">
        <v>40114</v>
      </c>
      <c r="I9" s="962">
        <v>40114</v>
      </c>
      <c r="J9" s="211">
        <v>151830</v>
      </c>
      <c r="K9" s="211">
        <v>42000</v>
      </c>
      <c r="L9" s="211">
        <v>149940</v>
      </c>
      <c r="M9" s="211">
        <v>43000</v>
      </c>
    </row>
    <row r="10" spans="2:13" x14ac:dyDescent="0.3">
      <c r="B10" s="957" t="s">
        <v>1094</v>
      </c>
      <c r="C10" s="958">
        <v>39753</v>
      </c>
      <c r="D10" s="958">
        <v>46997</v>
      </c>
      <c r="E10" s="959" t="s">
        <v>1095</v>
      </c>
      <c r="F10" s="960">
        <v>2435000</v>
      </c>
      <c r="G10" s="961">
        <v>2120000</v>
      </c>
      <c r="H10" s="962" t="s">
        <v>1096</v>
      </c>
      <c r="I10" s="962">
        <v>39692</v>
      </c>
      <c r="J10" s="211">
        <v>95465</v>
      </c>
      <c r="K10" s="211">
        <v>80000</v>
      </c>
      <c r="L10" s="211">
        <v>91265</v>
      </c>
      <c r="M10" s="211">
        <v>75000</v>
      </c>
    </row>
    <row r="11" spans="2:13" x14ac:dyDescent="0.3">
      <c r="B11" s="963" t="s">
        <v>1097</v>
      </c>
      <c r="C11" s="359">
        <v>41037</v>
      </c>
      <c r="D11" s="359">
        <v>46631</v>
      </c>
      <c r="E11" s="209" t="s">
        <v>1098</v>
      </c>
      <c r="F11" s="210">
        <v>2810000</v>
      </c>
      <c r="G11" s="211">
        <v>2310000</v>
      </c>
      <c r="H11" s="962" t="s">
        <v>1096</v>
      </c>
      <c r="I11" s="962">
        <v>39692</v>
      </c>
      <c r="J11" s="211">
        <v>49200</v>
      </c>
      <c r="K11" s="211">
        <v>335000</v>
      </c>
      <c r="L11" s="211">
        <v>42500</v>
      </c>
      <c r="M11" s="211">
        <v>350000</v>
      </c>
    </row>
    <row r="12" spans="2:13" x14ac:dyDescent="0.25">
      <c r="B12" s="50" t="s">
        <v>1248</v>
      </c>
      <c r="C12" s="359">
        <v>41547</v>
      </c>
      <c r="D12" s="359">
        <v>41883</v>
      </c>
      <c r="E12" s="209">
        <v>1.85</v>
      </c>
      <c r="F12" s="210">
        <v>590000</v>
      </c>
      <c r="G12" s="211">
        <v>590000</v>
      </c>
      <c r="H12" s="212">
        <v>41883</v>
      </c>
      <c r="I12" s="212">
        <v>41883</v>
      </c>
      <c r="J12" s="211">
        <v>10036</v>
      </c>
      <c r="K12" s="211">
        <v>590000</v>
      </c>
      <c r="L12" s="211"/>
      <c r="M12" s="211"/>
    </row>
    <row r="13" spans="2:13" x14ac:dyDescent="0.25">
      <c r="B13" s="50" t="s">
        <v>1249</v>
      </c>
      <c r="C13" s="359">
        <v>41882</v>
      </c>
      <c r="D13" s="359">
        <v>42248</v>
      </c>
      <c r="E13" s="209">
        <v>1</v>
      </c>
      <c r="F13" s="210">
        <v>590000</v>
      </c>
      <c r="G13" s="211">
        <v>0</v>
      </c>
      <c r="H13" s="212">
        <v>41883</v>
      </c>
      <c r="I13" s="212">
        <v>41883</v>
      </c>
      <c r="J13" s="211"/>
      <c r="K13" s="211"/>
      <c r="L13" s="211">
        <f>+F13*0.01</f>
        <v>5900</v>
      </c>
      <c r="M13" s="211">
        <v>590000</v>
      </c>
    </row>
    <row r="14" spans="2:13" x14ac:dyDescent="0.25">
      <c r="B14" s="50"/>
      <c r="C14" s="359"/>
      <c r="D14" s="359"/>
      <c r="E14" s="209"/>
      <c r="F14" s="210"/>
      <c r="G14" s="211"/>
      <c r="H14" s="212"/>
      <c r="I14" s="212"/>
      <c r="J14" s="211"/>
      <c r="K14" s="211"/>
      <c r="L14" s="211"/>
      <c r="M14" s="211"/>
    </row>
    <row r="15" spans="2:13" x14ac:dyDescent="0.25">
      <c r="B15" s="50"/>
      <c r="C15" s="359"/>
      <c r="D15" s="359"/>
      <c r="E15" s="209"/>
      <c r="F15" s="210"/>
      <c r="G15" s="211"/>
      <c r="H15" s="212"/>
      <c r="I15" s="212"/>
      <c r="J15" s="211"/>
      <c r="K15" s="211"/>
      <c r="L15" s="211"/>
      <c r="M15" s="211"/>
    </row>
    <row r="16" spans="2:13" x14ac:dyDescent="0.25">
      <c r="B16" s="50"/>
      <c r="C16" s="359"/>
      <c r="D16" s="359"/>
      <c r="E16" s="209"/>
      <c r="F16" s="210"/>
      <c r="G16" s="211"/>
      <c r="H16" s="212"/>
      <c r="I16" s="212"/>
      <c r="J16" s="211"/>
      <c r="K16" s="211"/>
      <c r="L16" s="211"/>
      <c r="M16" s="211"/>
    </row>
    <row r="17" spans="2:13" x14ac:dyDescent="0.25">
      <c r="B17" s="50"/>
      <c r="C17" s="359"/>
      <c r="D17" s="359"/>
      <c r="E17" s="209"/>
      <c r="F17" s="210"/>
      <c r="G17" s="211"/>
      <c r="H17" s="212"/>
      <c r="I17" s="212"/>
      <c r="J17" s="211"/>
      <c r="K17" s="211"/>
      <c r="L17" s="211"/>
      <c r="M17" s="211"/>
    </row>
    <row r="18" spans="2:13" x14ac:dyDescent="0.25">
      <c r="B18" s="50"/>
      <c r="C18" s="359"/>
      <c r="D18" s="359"/>
      <c r="E18" s="209"/>
      <c r="F18" s="210"/>
      <c r="G18" s="211"/>
      <c r="H18" s="212"/>
      <c r="I18" s="212"/>
      <c r="J18" s="211"/>
      <c r="K18" s="211"/>
      <c r="L18" s="211"/>
      <c r="M18" s="211"/>
    </row>
    <row r="19" spans="2:13" x14ac:dyDescent="0.25">
      <c r="B19" s="50"/>
      <c r="C19" s="359"/>
      <c r="D19" s="359"/>
      <c r="E19" s="209"/>
      <c r="F19" s="210"/>
      <c r="G19" s="211"/>
      <c r="H19" s="212"/>
      <c r="I19" s="212"/>
      <c r="J19" s="211"/>
      <c r="K19" s="211"/>
      <c r="L19" s="211"/>
      <c r="M19" s="211"/>
    </row>
    <row r="20" spans="2:13" x14ac:dyDescent="0.25">
      <c r="B20" s="213" t="s">
        <v>148</v>
      </c>
      <c r="C20" s="214"/>
      <c r="D20" s="214"/>
      <c r="E20" s="215"/>
      <c r="F20" s="216"/>
      <c r="G20" s="217">
        <f>SUM(G9:G19)</f>
        <v>8394000</v>
      </c>
      <c r="H20" s="218"/>
      <c r="I20" s="218"/>
      <c r="J20" s="217">
        <f>SUM(J9:J19)</f>
        <v>306531</v>
      </c>
      <c r="K20" s="217">
        <f>SUM(K9:K19)</f>
        <v>1047000</v>
      </c>
      <c r="L20" s="217">
        <f>SUM(L9:L19)</f>
        <v>289605</v>
      </c>
      <c r="M20" s="217">
        <f>SUM(M9:M19)</f>
        <v>1058000</v>
      </c>
    </row>
    <row r="21" spans="2:13" x14ac:dyDescent="0.25">
      <c r="B21" s="206" t="s">
        <v>149</v>
      </c>
      <c r="C21" s="219"/>
      <c r="D21" s="219"/>
      <c r="E21" s="220"/>
      <c r="F21" s="221"/>
      <c r="G21" s="221"/>
      <c r="H21" s="222"/>
      <c r="I21" s="222"/>
      <c r="J21" s="221"/>
      <c r="K21" s="221"/>
      <c r="L21" s="221"/>
      <c r="M21" s="221"/>
    </row>
    <row r="22" spans="2:13" x14ac:dyDescent="0.25">
      <c r="B22" s="50"/>
      <c r="C22" s="359"/>
      <c r="D22" s="359"/>
      <c r="E22" s="209"/>
      <c r="F22" s="210"/>
      <c r="G22" s="211"/>
      <c r="H22" s="212"/>
      <c r="I22" s="212"/>
      <c r="J22" s="211"/>
      <c r="K22" s="211"/>
      <c r="L22" s="211"/>
      <c r="M22" s="211"/>
    </row>
    <row r="23" spans="2:13" x14ac:dyDescent="0.25">
      <c r="B23" s="50"/>
      <c r="C23" s="359"/>
      <c r="D23" s="359"/>
      <c r="E23" s="209"/>
      <c r="F23" s="210"/>
      <c r="G23" s="211"/>
      <c r="H23" s="212"/>
      <c r="I23" s="212"/>
      <c r="J23" s="211"/>
      <c r="K23" s="211"/>
      <c r="L23" s="211"/>
      <c r="M23" s="211"/>
    </row>
    <row r="24" spans="2:13" x14ac:dyDescent="0.25">
      <c r="B24" s="50"/>
      <c r="C24" s="359"/>
      <c r="D24" s="359"/>
      <c r="E24" s="209"/>
      <c r="F24" s="210"/>
      <c r="G24" s="211"/>
      <c r="H24" s="212"/>
      <c r="I24" s="212"/>
      <c r="J24" s="211"/>
      <c r="K24" s="211"/>
      <c r="L24" s="211"/>
      <c r="M24" s="211"/>
    </row>
    <row r="25" spans="2:13" x14ac:dyDescent="0.25">
      <c r="B25" s="50"/>
      <c r="C25" s="359"/>
      <c r="D25" s="359"/>
      <c r="E25" s="209"/>
      <c r="F25" s="210"/>
      <c r="G25" s="211"/>
      <c r="H25" s="212"/>
      <c r="I25" s="212"/>
      <c r="J25" s="211"/>
      <c r="K25" s="211"/>
      <c r="L25" s="211"/>
      <c r="M25" s="211"/>
    </row>
    <row r="26" spans="2:13" x14ac:dyDescent="0.25">
      <c r="B26" s="50"/>
      <c r="C26" s="359"/>
      <c r="D26" s="359"/>
      <c r="E26" s="209"/>
      <c r="F26" s="210"/>
      <c r="G26" s="211"/>
      <c r="H26" s="212"/>
      <c r="I26" s="212"/>
      <c r="J26" s="211"/>
      <c r="K26" s="211"/>
      <c r="L26" s="211"/>
      <c r="M26" s="211"/>
    </row>
    <row r="27" spans="2:13" x14ac:dyDescent="0.25">
      <c r="B27" s="50"/>
      <c r="C27" s="359"/>
      <c r="D27" s="359"/>
      <c r="E27" s="209"/>
      <c r="F27" s="210"/>
      <c r="G27" s="211"/>
      <c r="H27" s="212"/>
      <c r="I27" s="212"/>
      <c r="J27" s="211"/>
      <c r="K27" s="211"/>
      <c r="L27" s="211"/>
      <c r="M27" s="211"/>
    </row>
    <row r="28" spans="2:13" x14ac:dyDescent="0.25">
      <c r="B28" s="50"/>
      <c r="C28" s="359"/>
      <c r="D28" s="359"/>
      <c r="E28" s="209"/>
      <c r="F28" s="210"/>
      <c r="G28" s="211"/>
      <c r="H28" s="212"/>
      <c r="I28" s="212"/>
      <c r="J28" s="211"/>
      <c r="K28" s="211"/>
      <c r="L28" s="211"/>
      <c r="M28" s="211"/>
    </row>
    <row r="29" spans="2:13" x14ac:dyDescent="0.25">
      <c r="B29" s="50"/>
      <c r="C29" s="359"/>
      <c r="D29" s="359"/>
      <c r="E29" s="209"/>
      <c r="F29" s="210"/>
      <c r="G29" s="211"/>
      <c r="H29" s="212"/>
      <c r="I29" s="212"/>
      <c r="J29" s="211"/>
      <c r="K29" s="211"/>
      <c r="L29" s="211"/>
      <c r="M29" s="211"/>
    </row>
    <row r="30" spans="2:13" x14ac:dyDescent="0.25">
      <c r="B30" s="50"/>
      <c r="C30" s="359"/>
      <c r="D30" s="359"/>
      <c r="E30" s="209"/>
      <c r="F30" s="210"/>
      <c r="G30" s="211"/>
      <c r="H30" s="212"/>
      <c r="I30" s="212"/>
      <c r="J30" s="211"/>
      <c r="K30" s="211"/>
      <c r="L30" s="211"/>
      <c r="M30" s="211"/>
    </row>
    <row r="31" spans="2:13" x14ac:dyDescent="0.25">
      <c r="B31" s="50"/>
      <c r="C31" s="359"/>
      <c r="D31" s="359"/>
      <c r="E31" s="209"/>
      <c r="F31" s="210"/>
      <c r="G31" s="211"/>
      <c r="H31" s="212"/>
      <c r="I31" s="212"/>
      <c r="J31" s="211"/>
      <c r="K31" s="211"/>
      <c r="L31" s="211"/>
      <c r="M31" s="211"/>
    </row>
    <row r="32" spans="2:13" x14ac:dyDescent="0.25">
      <c r="B32" s="213" t="s">
        <v>150</v>
      </c>
      <c r="C32" s="214"/>
      <c r="D32" s="214"/>
      <c r="E32" s="223"/>
      <c r="F32" s="216"/>
      <c r="G32" s="224">
        <f>SUM(G22:G31)</f>
        <v>0</v>
      </c>
      <c r="H32" s="218"/>
      <c r="I32" s="218"/>
      <c r="J32" s="224">
        <f>SUM(J22:J31)</f>
        <v>0</v>
      </c>
      <c r="K32" s="224">
        <f>SUM(K22:K31)</f>
        <v>0</v>
      </c>
      <c r="L32" s="217">
        <f>SUM(L22:L31)</f>
        <v>0</v>
      </c>
      <c r="M32" s="224">
        <f>SUM(M22:M31)</f>
        <v>0</v>
      </c>
    </row>
    <row r="33" spans="2:29" x14ac:dyDescent="0.25">
      <c r="B33" s="206" t="s">
        <v>151</v>
      </c>
      <c r="C33" s="219"/>
      <c r="D33" s="219"/>
      <c r="E33" s="220"/>
      <c r="F33" s="221"/>
      <c r="G33" s="225"/>
      <c r="H33" s="222"/>
      <c r="I33" s="222"/>
      <c r="J33" s="221"/>
      <c r="K33" s="221"/>
      <c r="L33" s="221"/>
      <c r="M33" s="221"/>
    </row>
    <row r="34" spans="2:29" x14ac:dyDescent="0.3">
      <c r="B34" s="50" t="s">
        <v>1241</v>
      </c>
      <c r="C34" s="359">
        <v>41598</v>
      </c>
      <c r="D34" s="359">
        <v>47362</v>
      </c>
      <c r="E34" s="209">
        <v>2.83</v>
      </c>
      <c r="F34" s="210">
        <v>1273000</v>
      </c>
      <c r="G34" s="211">
        <v>1273000</v>
      </c>
      <c r="H34" s="962" t="s">
        <v>1096</v>
      </c>
      <c r="I34" s="962">
        <v>39692</v>
      </c>
      <c r="J34" s="211">
        <v>0</v>
      </c>
      <c r="K34" s="211">
        <v>0</v>
      </c>
      <c r="L34" s="211">
        <v>35998</v>
      </c>
      <c r="M34" s="211">
        <v>4002</v>
      </c>
    </row>
    <row r="35" spans="2:29" x14ac:dyDescent="0.25">
      <c r="B35" s="50"/>
      <c r="C35" s="359"/>
      <c r="D35" s="359"/>
      <c r="E35" s="209"/>
      <c r="F35" s="210"/>
      <c r="G35" s="211"/>
      <c r="H35" s="212"/>
      <c r="I35" s="212"/>
      <c r="J35" s="211"/>
      <c r="K35" s="211"/>
      <c r="L35" s="211"/>
      <c r="M35" s="211"/>
    </row>
    <row r="36" spans="2:29" x14ac:dyDescent="0.25">
      <c r="B36" s="50"/>
      <c r="C36" s="359"/>
      <c r="D36" s="359"/>
      <c r="E36" s="209"/>
      <c r="F36" s="210"/>
      <c r="G36" s="211"/>
      <c r="H36" s="212"/>
      <c r="I36" s="212"/>
      <c r="J36" s="211"/>
      <c r="K36" s="211"/>
      <c r="L36" s="211"/>
      <c r="M36" s="211"/>
    </row>
    <row r="37" spans="2:29" x14ac:dyDescent="0.25">
      <c r="B37" s="50"/>
      <c r="C37" s="359"/>
      <c r="D37" s="359"/>
      <c r="E37" s="209"/>
      <c r="F37" s="210"/>
      <c r="G37" s="211"/>
      <c r="H37" s="212"/>
      <c r="I37" s="212"/>
      <c r="J37" s="211"/>
      <c r="K37" s="211"/>
      <c r="L37" s="211"/>
      <c r="M37" s="211"/>
    </row>
    <row r="38" spans="2:29" x14ac:dyDescent="0.25">
      <c r="B38" s="50"/>
      <c r="C38" s="359"/>
      <c r="D38" s="359"/>
      <c r="E38" s="209"/>
      <c r="F38" s="210"/>
      <c r="G38" s="211"/>
      <c r="H38" s="212"/>
      <c r="I38" s="212"/>
      <c r="J38" s="211"/>
      <c r="K38" s="211"/>
      <c r="L38" s="211"/>
      <c r="M38" s="211"/>
    </row>
    <row r="39" spans="2:29" x14ac:dyDescent="0.25">
      <c r="B39" s="50"/>
      <c r="C39" s="359"/>
      <c r="D39" s="359"/>
      <c r="E39" s="209"/>
      <c r="F39" s="210"/>
      <c r="G39" s="211"/>
      <c r="H39" s="212"/>
      <c r="I39" s="212"/>
      <c r="J39" s="211"/>
      <c r="K39" s="211"/>
      <c r="L39" s="211"/>
      <c r="M39" s="211"/>
    </row>
    <row r="40" spans="2:29" x14ac:dyDescent="0.25">
      <c r="B40" s="50"/>
      <c r="C40" s="359"/>
      <c r="D40" s="359"/>
      <c r="E40" s="209"/>
      <c r="F40" s="210"/>
      <c r="G40" s="211"/>
      <c r="H40" s="212"/>
      <c r="I40" s="212"/>
      <c r="J40" s="211"/>
      <c r="K40" s="211"/>
      <c r="L40" s="211"/>
      <c r="M40" s="211"/>
    </row>
    <row r="41" spans="2:29" x14ac:dyDescent="0.25">
      <c r="B41" s="50"/>
      <c r="C41" s="359"/>
      <c r="D41" s="359"/>
      <c r="E41" s="209"/>
      <c r="F41" s="210"/>
      <c r="G41" s="211"/>
      <c r="H41" s="212"/>
      <c r="I41" s="212"/>
      <c r="J41" s="211"/>
      <c r="K41" s="211"/>
      <c r="L41" s="211"/>
      <c r="M41" s="211"/>
      <c r="N41" s="18"/>
      <c r="O41" s="18"/>
      <c r="P41" s="18"/>
      <c r="Q41" s="18"/>
      <c r="R41" s="18"/>
      <c r="S41" s="18"/>
      <c r="T41" s="18"/>
      <c r="U41" s="18"/>
      <c r="V41" s="18"/>
      <c r="W41" s="18"/>
      <c r="X41" s="18"/>
      <c r="Y41" s="18"/>
      <c r="Z41" s="18"/>
      <c r="AA41" s="18"/>
      <c r="AB41" s="18"/>
      <c r="AC41" s="18"/>
    </row>
    <row r="42" spans="2:29" x14ac:dyDescent="0.25">
      <c r="B42" s="213" t="s">
        <v>260</v>
      </c>
      <c r="C42" s="194"/>
      <c r="D42" s="194"/>
      <c r="E42" s="223"/>
      <c r="F42" s="216"/>
      <c r="G42" s="224">
        <f>SUM(G34:G41)</f>
        <v>1273000</v>
      </c>
      <c r="H42" s="216"/>
      <c r="I42" s="216"/>
      <c r="J42" s="224">
        <f>SUM(J34:J41)</f>
        <v>0</v>
      </c>
      <c r="K42" s="224">
        <f>SUM(K34:K41)</f>
        <v>0</v>
      </c>
      <c r="L42" s="224">
        <f>SUM(L34:L41)</f>
        <v>35998</v>
      </c>
      <c r="M42" s="224">
        <f>SUM(M34:M41)</f>
        <v>4002</v>
      </c>
    </row>
    <row r="43" spans="2:29" x14ac:dyDescent="0.25">
      <c r="B43" s="213" t="s">
        <v>152</v>
      </c>
      <c r="C43" s="194"/>
      <c r="D43" s="194"/>
      <c r="E43" s="194"/>
      <c r="F43" s="216"/>
      <c r="G43" s="224">
        <f>SUM(G20+G32+G42)</f>
        <v>9667000</v>
      </c>
      <c r="H43" s="216"/>
      <c r="I43" s="216"/>
      <c r="J43" s="224">
        <f>SUM(J20+J32+J42)</f>
        <v>306531</v>
      </c>
      <c r="K43" s="224">
        <f>SUM(K20+K32+K42)</f>
        <v>1047000</v>
      </c>
      <c r="L43" s="224">
        <f>SUM(L20+L32+L42)</f>
        <v>325603</v>
      </c>
      <c r="M43" s="224">
        <f>SUM(M20+M32+M42)</f>
        <v>1062002</v>
      </c>
    </row>
    <row r="44" spans="2:29" x14ac:dyDescent="0.25">
      <c r="B44" s="18"/>
      <c r="C44" s="18"/>
      <c r="D44" s="18"/>
      <c r="E44" s="18"/>
      <c r="F44" s="18"/>
      <c r="G44" s="18"/>
      <c r="H44" s="18"/>
      <c r="I44" s="18"/>
      <c r="J44" s="18"/>
      <c r="K44" s="18"/>
      <c r="L44" s="18"/>
      <c r="M44" s="18"/>
    </row>
    <row r="45" spans="2:29" x14ac:dyDescent="0.25">
      <c r="F45" s="226"/>
      <c r="G45" s="226"/>
      <c r="J45" s="226"/>
      <c r="K45" s="226"/>
      <c r="L45" s="226"/>
      <c r="M45" s="226"/>
    </row>
    <row r="46" spans="2:29" x14ac:dyDescent="0.25">
      <c r="F46" s="18"/>
      <c r="H46" s="227"/>
      <c r="N46" s="18"/>
    </row>
    <row r="47" spans="2:29" x14ac:dyDescent="0.25">
      <c r="B47" s="18"/>
      <c r="C47" s="18"/>
      <c r="D47" s="18"/>
      <c r="E47" s="18"/>
      <c r="F47" s="18"/>
      <c r="G47" s="18"/>
      <c r="H47" s="18"/>
      <c r="I47" s="18"/>
      <c r="J47" s="18"/>
      <c r="K47" s="18"/>
      <c r="L47" s="18"/>
      <c r="M47" s="18"/>
    </row>
    <row r="48" spans="2:29" x14ac:dyDescent="0.25">
      <c r="B48" s="18"/>
      <c r="C48" s="18"/>
      <c r="D48" s="18"/>
      <c r="E48" s="18"/>
      <c r="F48" s="18"/>
      <c r="G48" s="18"/>
      <c r="H48" s="18"/>
      <c r="I48" s="18"/>
      <c r="J48" s="18"/>
      <c r="K48" s="18"/>
      <c r="L48" s="18"/>
      <c r="M48" s="18"/>
    </row>
  </sheetData>
  <sheetProtection sheet="1"/>
  <mergeCells count="3">
    <mergeCell ref="H6:I6"/>
    <mergeCell ref="J6:K6"/>
    <mergeCell ref="L6:M6"/>
  </mergeCells>
  <phoneticPr fontId="0" type="noConversion"/>
  <pageMargins left="0.25" right="0.34" top="1" bottom="0.5" header="0.5" footer="0.25"/>
  <pageSetup scale="76" orientation="landscape" blackAndWhite="1" horizontalDpi="120" verticalDpi="144" r:id="rId1"/>
  <headerFooter alignWithMargins="0">
    <oddHeader>&amp;RState of Kansas
City</oddHeader>
    <oddFooter>&amp;CPage No. 5</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
  <sheetViews>
    <sheetView view="pageBreakPreview" zoomScale="85" zoomScaleNormal="75" zoomScaleSheetLayoutView="85" workbookViewId="0">
      <selection activeCell="G11" sqref="G11"/>
    </sheetView>
  </sheetViews>
  <sheetFormatPr defaultColWidth="8.9140625" defaultRowHeight="15.6" x14ac:dyDescent="0.3"/>
  <cols>
    <col min="1" max="1" width="8.9140625" style="2"/>
    <col min="2" max="2" width="23.58203125" style="2" customWidth="1"/>
    <col min="3" max="5" width="9.75" style="2" customWidth="1"/>
    <col min="6" max="6" width="18.33203125" style="2" customWidth="1"/>
    <col min="7" max="9" width="15.75" style="2" customWidth="1"/>
    <col min="10" max="16384" width="8.9140625" style="2"/>
  </cols>
  <sheetData>
    <row r="1" spans="1:10" x14ac:dyDescent="0.3">
      <c r="A1" s="744"/>
      <c r="B1" s="9" t="str">
        <f>inputPrYr!$D$2</f>
        <v>City of Osawatomie</v>
      </c>
      <c r="C1" s="4"/>
      <c r="D1" s="4"/>
      <c r="E1" s="4"/>
      <c r="F1" s="4"/>
      <c r="G1" s="4"/>
      <c r="H1" s="4"/>
      <c r="I1" s="14">
        <f>inputPrYr!C5</f>
        <v>2015</v>
      </c>
      <c r="J1" s="744"/>
    </row>
    <row r="2" spans="1:10" x14ac:dyDescent="0.3">
      <c r="A2" s="744"/>
      <c r="B2" s="9"/>
      <c r="C2" s="4"/>
      <c r="D2" s="4"/>
      <c r="E2" s="4"/>
      <c r="F2" s="4"/>
      <c r="G2" s="4"/>
      <c r="H2" s="4"/>
      <c r="I2" s="6"/>
      <c r="J2" s="744"/>
    </row>
    <row r="3" spans="1:10" x14ac:dyDescent="0.3">
      <c r="A3" s="744"/>
      <c r="B3" s="4"/>
      <c r="C3" s="4"/>
      <c r="D3" s="4"/>
      <c r="E3" s="4"/>
      <c r="F3" s="4"/>
      <c r="G3" s="4"/>
      <c r="H3" s="4"/>
      <c r="I3" s="5"/>
      <c r="J3" s="744"/>
    </row>
    <row r="4" spans="1:10" x14ac:dyDescent="0.3">
      <c r="A4" s="744"/>
      <c r="B4" s="10" t="s">
        <v>166</v>
      </c>
      <c r="C4" s="7"/>
      <c r="D4" s="7"/>
      <c r="E4" s="7"/>
      <c r="F4" s="7"/>
      <c r="G4" s="7"/>
      <c r="H4" s="7"/>
      <c r="I4" s="7"/>
      <c r="J4" s="744"/>
    </row>
    <row r="5" spans="1:10" x14ac:dyDescent="0.3">
      <c r="A5" s="744"/>
      <c r="B5" s="3"/>
      <c r="C5" s="11"/>
      <c r="D5" s="11"/>
      <c r="E5" s="11"/>
      <c r="F5" s="11"/>
      <c r="G5" s="11"/>
      <c r="H5" s="11"/>
      <c r="I5" s="11"/>
      <c r="J5" s="744"/>
    </row>
    <row r="6" spans="1:10" x14ac:dyDescent="0.3">
      <c r="A6" s="744"/>
      <c r="B6" s="8"/>
      <c r="C6" s="178"/>
      <c r="D6" s="178"/>
      <c r="E6" s="178"/>
      <c r="F6" s="178" t="s">
        <v>76</v>
      </c>
      <c r="G6" s="178"/>
      <c r="H6" s="178"/>
      <c r="I6" s="178"/>
      <c r="J6" s="744"/>
    </row>
    <row r="7" spans="1:10" x14ac:dyDescent="0.3">
      <c r="A7" s="744"/>
      <c r="B7" s="722"/>
      <c r="C7" s="204"/>
      <c r="D7" s="204" t="s">
        <v>153</v>
      </c>
      <c r="E7" s="204" t="s">
        <v>154</v>
      </c>
      <c r="F7" s="204" t="s">
        <v>97</v>
      </c>
      <c r="G7" s="204" t="s">
        <v>156</v>
      </c>
      <c r="H7" s="204" t="s">
        <v>157</v>
      </c>
      <c r="I7" s="204" t="s">
        <v>157</v>
      </c>
      <c r="J7" s="744"/>
    </row>
    <row r="8" spans="1:10" x14ac:dyDescent="0.3">
      <c r="A8" s="744"/>
      <c r="B8" s="204" t="s">
        <v>870</v>
      </c>
      <c r="C8" s="204" t="s">
        <v>158</v>
      </c>
      <c r="D8" s="204" t="s">
        <v>159</v>
      </c>
      <c r="E8" s="204" t="s">
        <v>143</v>
      </c>
      <c r="F8" s="204" t="s">
        <v>160</v>
      </c>
      <c r="G8" s="204" t="s">
        <v>205</v>
      </c>
      <c r="H8" s="204" t="s">
        <v>161</v>
      </c>
      <c r="I8" s="204" t="s">
        <v>161</v>
      </c>
      <c r="J8" s="744"/>
    </row>
    <row r="9" spans="1:10" x14ac:dyDescent="0.3">
      <c r="A9" s="744"/>
      <c r="B9" s="180" t="s">
        <v>869</v>
      </c>
      <c r="C9" s="180" t="s">
        <v>140</v>
      </c>
      <c r="D9" s="723" t="s">
        <v>162</v>
      </c>
      <c r="E9" s="180" t="s">
        <v>120</v>
      </c>
      <c r="F9" s="723" t="s">
        <v>218</v>
      </c>
      <c r="G9" s="724" t="str">
        <f>CONCATENATE("Jan 1,",I1-1,"")</f>
        <v>Jan 1,2014</v>
      </c>
      <c r="H9" s="180">
        <f>I1-1</f>
        <v>2014</v>
      </c>
      <c r="I9" s="180">
        <f>I1</f>
        <v>2015</v>
      </c>
      <c r="J9" s="744"/>
    </row>
    <row r="10" spans="1:10" x14ac:dyDescent="0.3">
      <c r="A10" s="744"/>
      <c r="B10" s="957" t="s">
        <v>1099</v>
      </c>
      <c r="C10" s="359">
        <v>40991</v>
      </c>
      <c r="D10" s="726">
        <v>114</v>
      </c>
      <c r="E10" s="209">
        <v>3.25</v>
      </c>
      <c r="F10" s="210">
        <v>147514</v>
      </c>
      <c r="G10" s="210">
        <v>119942</v>
      </c>
      <c r="H10" s="960">
        <v>17290</v>
      </c>
      <c r="I10" s="960">
        <v>17290</v>
      </c>
      <c r="J10" s="744"/>
    </row>
    <row r="11" spans="1:10" x14ac:dyDescent="0.3">
      <c r="A11" s="744"/>
      <c r="B11" s="50" t="s">
        <v>1242</v>
      </c>
      <c r="C11" s="359">
        <v>41631</v>
      </c>
      <c r="D11" s="726">
        <v>48</v>
      </c>
      <c r="E11" s="209">
        <v>3.1</v>
      </c>
      <c r="F11" s="210">
        <v>92250</v>
      </c>
      <c r="G11" s="210">
        <v>92250</v>
      </c>
      <c r="H11" s="210">
        <f>12740*2</f>
        <v>25480</v>
      </c>
      <c r="I11" s="210">
        <f>12740*2</f>
        <v>25480</v>
      </c>
      <c r="J11" s="744"/>
    </row>
    <row r="12" spans="1:10" x14ac:dyDescent="0.3">
      <c r="A12" s="744"/>
      <c r="B12" s="50"/>
      <c r="C12" s="359"/>
      <c r="D12" s="726"/>
      <c r="E12" s="209"/>
      <c r="F12" s="210"/>
      <c r="G12" s="210"/>
      <c r="H12" s="210"/>
      <c r="I12" s="210"/>
      <c r="J12" s="744"/>
    </row>
    <row r="13" spans="1:10" x14ac:dyDescent="0.3">
      <c r="A13" s="744"/>
      <c r="B13" s="50"/>
      <c r="C13" s="359"/>
      <c r="D13" s="726"/>
      <c r="E13" s="209"/>
      <c r="F13" s="210"/>
      <c r="G13" s="210"/>
      <c r="H13" s="210"/>
      <c r="I13" s="210"/>
      <c r="J13" s="744"/>
    </row>
    <row r="14" spans="1:10" x14ac:dyDescent="0.3">
      <c r="A14" s="744"/>
      <c r="B14" s="50"/>
      <c r="C14" s="359"/>
      <c r="D14" s="726"/>
      <c r="E14" s="209"/>
      <c r="F14" s="210"/>
      <c r="G14" s="210"/>
      <c r="H14" s="210"/>
      <c r="I14" s="210"/>
      <c r="J14" s="744"/>
    </row>
    <row r="15" spans="1:10" x14ac:dyDescent="0.3">
      <c r="A15" s="744"/>
      <c r="B15" s="50"/>
      <c r="C15" s="359"/>
      <c r="D15" s="726"/>
      <c r="E15" s="209"/>
      <c r="F15" s="210"/>
      <c r="G15" s="210"/>
      <c r="H15" s="210"/>
      <c r="I15" s="210"/>
      <c r="J15" s="744"/>
    </row>
    <row r="16" spans="1:10" x14ac:dyDescent="0.3">
      <c r="A16" s="744"/>
      <c r="B16" s="50"/>
      <c r="C16" s="359"/>
      <c r="D16" s="726"/>
      <c r="E16" s="209"/>
      <c r="F16" s="210"/>
      <c r="G16" s="210"/>
      <c r="H16" s="210"/>
      <c r="I16" s="210"/>
      <c r="J16" s="744"/>
    </row>
    <row r="17" spans="1:10" x14ac:dyDescent="0.3">
      <c r="A17" s="744"/>
      <c r="B17" s="50"/>
      <c r="C17" s="359"/>
      <c r="D17" s="726"/>
      <c r="E17" s="209"/>
      <c r="F17" s="210"/>
      <c r="G17" s="210"/>
      <c r="H17" s="210"/>
      <c r="I17" s="210"/>
      <c r="J17" s="744"/>
    </row>
    <row r="18" spans="1:10" x14ac:dyDescent="0.3">
      <c r="A18" s="744"/>
      <c r="B18" s="50"/>
      <c r="C18" s="359"/>
      <c r="D18" s="726"/>
      <c r="E18" s="209"/>
      <c r="F18" s="210"/>
      <c r="G18" s="210"/>
      <c r="H18" s="210"/>
      <c r="I18" s="210"/>
      <c r="J18" s="744"/>
    </row>
    <row r="19" spans="1:10" x14ac:dyDescent="0.3">
      <c r="A19" s="744"/>
      <c r="B19" s="50"/>
      <c r="C19" s="359"/>
      <c r="D19" s="726"/>
      <c r="E19" s="209"/>
      <c r="F19" s="210"/>
      <c r="G19" s="210"/>
      <c r="H19" s="210"/>
      <c r="I19" s="210"/>
      <c r="J19" s="744"/>
    </row>
    <row r="20" spans="1:10" x14ac:dyDescent="0.3">
      <c r="A20" s="744"/>
      <c r="B20" s="50"/>
      <c r="C20" s="359"/>
      <c r="D20" s="726"/>
      <c r="E20" s="209"/>
      <c r="F20" s="210"/>
      <c r="G20" s="210"/>
      <c r="H20" s="210"/>
      <c r="I20" s="210"/>
      <c r="J20" s="744"/>
    </row>
    <row r="21" spans="1:10" x14ac:dyDescent="0.3">
      <c r="A21" s="744"/>
      <c r="B21" s="50"/>
      <c r="C21" s="359"/>
      <c r="D21" s="726"/>
      <c r="E21" s="209"/>
      <c r="F21" s="210"/>
      <c r="G21" s="210"/>
      <c r="H21" s="210"/>
      <c r="I21" s="210"/>
      <c r="J21" s="744"/>
    </row>
    <row r="22" spans="1:10" x14ac:dyDescent="0.3">
      <c r="A22" s="744"/>
      <c r="B22" s="50"/>
      <c r="C22" s="359"/>
      <c r="D22" s="726"/>
      <c r="E22" s="209"/>
      <c r="F22" s="210"/>
      <c r="G22" s="210"/>
      <c r="H22" s="210"/>
      <c r="I22" s="210"/>
      <c r="J22" s="744"/>
    </row>
    <row r="23" spans="1:10" x14ac:dyDescent="0.3">
      <c r="A23" s="744"/>
      <c r="B23" s="50"/>
      <c r="C23" s="359"/>
      <c r="D23" s="726"/>
      <c r="E23" s="209"/>
      <c r="F23" s="210"/>
      <c r="G23" s="210"/>
      <c r="H23" s="210"/>
      <c r="I23" s="210"/>
      <c r="J23" s="744"/>
    </row>
    <row r="24" spans="1:10" x14ac:dyDescent="0.3">
      <c r="A24" s="744"/>
      <c r="B24" s="50"/>
      <c r="C24" s="359"/>
      <c r="D24" s="726"/>
      <c r="E24" s="209"/>
      <c r="F24" s="210"/>
      <c r="G24" s="210"/>
      <c r="H24" s="210"/>
      <c r="I24" s="210"/>
      <c r="J24" s="744"/>
    </row>
    <row r="25" spans="1:10" x14ac:dyDescent="0.3">
      <c r="A25" s="744"/>
      <c r="B25" s="50"/>
      <c r="C25" s="359"/>
      <c r="D25" s="726"/>
      <c r="E25" s="209"/>
      <c r="F25" s="210"/>
      <c r="G25" s="210"/>
      <c r="H25" s="210"/>
      <c r="I25" s="210"/>
      <c r="J25" s="744"/>
    </row>
    <row r="26" spans="1:10" x14ac:dyDescent="0.3">
      <c r="A26" s="744"/>
      <c r="B26" s="50"/>
      <c r="C26" s="359"/>
      <c r="D26" s="726"/>
      <c r="E26" s="209"/>
      <c r="F26" s="210"/>
      <c r="G26" s="210"/>
      <c r="H26" s="210"/>
      <c r="I26" s="210"/>
      <c r="J26" s="744"/>
    </row>
    <row r="27" spans="1:10" x14ac:dyDescent="0.3">
      <c r="A27" s="744"/>
      <c r="B27" s="50"/>
      <c r="C27" s="359"/>
      <c r="D27" s="726"/>
      <c r="E27" s="209"/>
      <c r="F27" s="210"/>
      <c r="G27" s="210"/>
      <c r="H27" s="210"/>
      <c r="I27" s="210"/>
      <c r="J27" s="744"/>
    </row>
    <row r="28" spans="1:10" ht="16.2" thickBot="1" x14ac:dyDescent="0.35">
      <c r="A28" s="744"/>
      <c r="B28" s="12"/>
      <c r="C28" s="13"/>
      <c r="D28" s="13"/>
      <c r="E28" s="13"/>
      <c r="F28" s="561" t="s">
        <v>92</v>
      </c>
      <c r="G28" s="725">
        <f>SUM(G10:G27)</f>
        <v>212192</v>
      </c>
      <c r="H28" s="725">
        <f>SUM(H10:H27)</f>
        <v>42770</v>
      </c>
      <c r="I28" s="725">
        <f>SUM(I10:I27)</f>
        <v>42770</v>
      </c>
      <c r="J28" s="744"/>
    </row>
    <row r="29" spans="1:10" ht="16.2" thickTop="1" x14ac:dyDescent="0.3">
      <c r="A29" s="744"/>
      <c r="B29" s="4"/>
      <c r="C29" s="4"/>
      <c r="D29" s="4"/>
      <c r="E29" s="4"/>
      <c r="F29" s="4"/>
      <c r="G29" s="4"/>
      <c r="H29" s="9"/>
      <c r="I29" s="9"/>
      <c r="J29" s="744"/>
    </row>
    <row r="30" spans="1:10" x14ac:dyDescent="0.3">
      <c r="A30" s="744"/>
      <c r="B30" s="15" t="s">
        <v>21</v>
      </c>
      <c r="C30" s="16"/>
      <c r="D30" s="16"/>
      <c r="E30" s="16"/>
      <c r="F30" s="16"/>
      <c r="G30" s="16"/>
      <c r="H30" s="9"/>
      <c r="I30" s="9"/>
      <c r="J30" s="744"/>
    </row>
  </sheetData>
  <sheetProtection sheet="1" objects="1" scenarios="1"/>
  <phoneticPr fontId="0" type="noConversion"/>
  <pageMargins left="0.84" right="0.25" top="1" bottom="0.5" header="0.49" footer="0.5"/>
  <pageSetup scale="86" orientation="landscape" blackAndWhite="1" horizontalDpi="120" verticalDpi="144" r:id="rId1"/>
  <headerFooter alignWithMargins="0">
    <oddHeader>&amp;RState of Kansas
City</oddHeader>
    <oddFooter>&amp;CPage No. 6</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I108"/>
  <sheetViews>
    <sheetView view="pageBreakPreview" topLeftCell="A23" zoomScale="115" zoomScaleNormal="100" zoomScaleSheetLayoutView="115" workbookViewId="0">
      <selection activeCell="B37" sqref="B37"/>
    </sheetView>
  </sheetViews>
  <sheetFormatPr defaultColWidth="8.9140625" defaultRowHeight="15" x14ac:dyDescent="0.25"/>
  <cols>
    <col min="1" max="1" width="2.58203125" style="699" customWidth="1"/>
    <col min="2" max="4" width="8.9140625" style="699"/>
    <col min="5" max="5" width="9.6640625" style="699" customWidth="1"/>
    <col min="6" max="6" width="8.9140625" style="699"/>
    <col min="7" max="7" width="9.6640625" style="699" customWidth="1"/>
    <col min="8" max="16384" width="8.9140625" style="699"/>
  </cols>
  <sheetData>
    <row r="1" spans="2:9" ht="15.6" x14ac:dyDescent="0.3">
      <c r="B1" s="698"/>
      <c r="C1" s="698"/>
      <c r="D1" s="698"/>
      <c r="E1" s="698"/>
      <c r="F1" s="698"/>
      <c r="G1" s="698"/>
      <c r="H1" s="698"/>
      <c r="I1" s="698"/>
    </row>
    <row r="2" spans="2:9" ht="15.6" x14ac:dyDescent="0.25">
      <c r="B2" s="1015" t="s">
        <v>808</v>
      </c>
      <c r="C2" s="1015"/>
      <c r="D2" s="1015"/>
      <c r="E2" s="1015"/>
      <c r="F2" s="1015"/>
      <c r="G2" s="1015"/>
      <c r="H2" s="1015"/>
      <c r="I2" s="1015"/>
    </row>
    <row r="3" spans="2:9" ht="15.6" x14ac:dyDescent="0.25">
      <c r="B3" s="1015" t="s">
        <v>809</v>
      </c>
      <c r="C3" s="1015"/>
      <c r="D3" s="1015"/>
      <c r="E3" s="1015"/>
      <c r="F3" s="1015"/>
      <c r="G3" s="1015"/>
      <c r="H3" s="1015"/>
      <c r="I3" s="1015"/>
    </row>
    <row r="4" spans="2:9" ht="15.6" x14ac:dyDescent="0.25">
      <c r="B4" s="700"/>
      <c r="C4" s="700"/>
      <c r="D4" s="700"/>
      <c r="E4" s="700"/>
      <c r="F4" s="700"/>
      <c r="G4" s="700"/>
      <c r="H4" s="700"/>
      <c r="I4" s="700"/>
    </row>
    <row r="5" spans="2:9" ht="15.6" x14ac:dyDescent="0.25">
      <c r="B5" s="1016" t="str">
        <f>CONCATENATE("Budgeted Year: ",inputPrYr!C5,"")</f>
        <v>Budgeted Year: 2015</v>
      </c>
      <c r="C5" s="1016"/>
      <c r="D5" s="1016"/>
      <c r="E5" s="1016"/>
      <c r="F5" s="1016"/>
      <c r="G5" s="1016"/>
      <c r="H5" s="1016"/>
      <c r="I5" s="1016"/>
    </row>
    <row r="6" spans="2:9" ht="15.6" x14ac:dyDescent="0.25">
      <c r="B6" s="701"/>
      <c r="C6" s="700"/>
      <c r="D6" s="700"/>
      <c r="E6" s="700"/>
      <c r="F6" s="700"/>
      <c r="G6" s="700"/>
      <c r="H6" s="700"/>
      <c r="I6" s="700"/>
    </row>
    <row r="7" spans="2:9" ht="15.6" x14ac:dyDescent="0.25">
      <c r="B7" s="701" t="str">
        <f>CONCATENATE("Library found in: ",inputPrYr!D2,"")</f>
        <v>Library found in: City of Osawatomie</v>
      </c>
      <c r="C7" s="700"/>
      <c r="D7" s="700"/>
      <c r="E7" s="700"/>
      <c r="F7" s="700"/>
      <c r="G7" s="700"/>
      <c r="H7" s="700"/>
      <c r="I7" s="700"/>
    </row>
    <row r="8" spans="2:9" ht="15.6" x14ac:dyDescent="0.25">
      <c r="B8" s="701" t="str">
        <f>inputPrYr!D3</f>
        <v>Miami County</v>
      </c>
      <c r="C8" s="700"/>
      <c r="D8" s="700"/>
      <c r="E8" s="700"/>
      <c r="F8" s="700"/>
      <c r="G8" s="700"/>
      <c r="H8" s="700"/>
      <c r="I8" s="700"/>
    </row>
    <row r="9" spans="2:9" ht="15.6" x14ac:dyDescent="0.25">
      <c r="B9" s="700"/>
      <c r="C9" s="700"/>
      <c r="D9" s="700"/>
      <c r="E9" s="700"/>
      <c r="F9" s="700"/>
      <c r="G9" s="700"/>
      <c r="H9" s="700"/>
      <c r="I9" s="700"/>
    </row>
    <row r="10" spans="2:9" ht="39" customHeight="1" x14ac:dyDescent="0.25">
      <c r="B10" s="1017" t="s">
        <v>810</v>
      </c>
      <c r="C10" s="1017"/>
      <c r="D10" s="1017"/>
      <c r="E10" s="1017"/>
      <c r="F10" s="1017"/>
      <c r="G10" s="1017"/>
      <c r="H10" s="1017"/>
      <c r="I10" s="1017"/>
    </row>
    <row r="11" spans="2:9" ht="15.6" x14ac:dyDescent="0.25">
      <c r="B11" s="700"/>
      <c r="C11" s="700"/>
      <c r="D11" s="700"/>
      <c r="E11" s="700"/>
      <c r="F11" s="700"/>
      <c r="G11" s="700"/>
      <c r="H11" s="700"/>
      <c r="I11" s="700"/>
    </row>
    <row r="12" spans="2:9" ht="15.6" x14ac:dyDescent="0.25">
      <c r="B12" s="702" t="s">
        <v>811</v>
      </c>
      <c r="C12" s="700"/>
      <c r="D12" s="700"/>
      <c r="E12" s="700"/>
      <c r="F12" s="700"/>
      <c r="G12" s="700"/>
      <c r="H12" s="700"/>
      <c r="I12" s="700"/>
    </row>
    <row r="13" spans="2:9" ht="15.6" x14ac:dyDescent="0.25">
      <c r="B13" s="700"/>
      <c r="C13" s="700"/>
      <c r="D13" s="700"/>
      <c r="E13" s="703" t="s">
        <v>812</v>
      </c>
      <c r="F13" s="700"/>
      <c r="G13" s="703" t="s">
        <v>813</v>
      </c>
      <c r="H13" s="700"/>
      <c r="I13" s="700"/>
    </row>
    <row r="14" spans="2:9" ht="15.6" x14ac:dyDescent="0.25">
      <c r="B14" s="700"/>
      <c r="C14" s="700"/>
      <c r="D14" s="700"/>
      <c r="E14" s="704">
        <f>inputPrYr!C5-1</f>
        <v>2014</v>
      </c>
      <c r="F14" s="700"/>
      <c r="G14" s="704">
        <f>inputPrYr!C5</f>
        <v>2015</v>
      </c>
      <c r="H14" s="700"/>
      <c r="I14" s="700"/>
    </row>
    <row r="15" spans="2:9" ht="15.6" x14ac:dyDescent="0.25">
      <c r="B15" s="701" t="str">
        <f>'Library-Rec'!B8</f>
        <v>Ad Valorem Tax</v>
      </c>
      <c r="C15" s="700"/>
      <c r="D15" s="700"/>
      <c r="E15" s="705">
        <f>'Library-Rec'!D8</f>
        <v>0</v>
      </c>
      <c r="F15" s="700"/>
      <c r="G15" s="705">
        <f>'Library-Rec'!E40</f>
        <v>0</v>
      </c>
      <c r="H15" s="700"/>
      <c r="I15" s="700"/>
    </row>
    <row r="16" spans="2:9" ht="15.6" x14ac:dyDescent="0.25">
      <c r="B16" s="701" t="str">
        <f>'Library-Rec'!B9</f>
        <v>Delinquent Tax</v>
      </c>
      <c r="C16" s="700"/>
      <c r="D16" s="700"/>
      <c r="E16" s="705">
        <f>'Library-Rec'!D9</f>
        <v>0</v>
      </c>
      <c r="F16" s="700"/>
      <c r="G16" s="705">
        <f>'Library-Rec'!E9</f>
        <v>0</v>
      </c>
      <c r="H16" s="700"/>
      <c r="I16" s="700"/>
    </row>
    <row r="17" spans="2:9" ht="15.6" x14ac:dyDescent="0.25">
      <c r="B17" s="701" t="str">
        <f>'Library-Rec'!B10</f>
        <v>Motor Vehicle Tax</v>
      </c>
      <c r="C17" s="700"/>
      <c r="D17" s="700"/>
      <c r="E17" s="705">
        <f>'Library-Rec'!D10</f>
        <v>0</v>
      </c>
      <c r="F17" s="700"/>
      <c r="G17" s="705" t="str">
        <f>'Library-Rec'!E10</f>
        <v xml:space="preserve">  </v>
      </c>
      <c r="H17" s="700"/>
      <c r="I17" s="700"/>
    </row>
    <row r="18" spans="2:9" ht="15.6" x14ac:dyDescent="0.25">
      <c r="B18" s="701" t="str">
        <f>'Library-Rec'!B11</f>
        <v>Recreational Vehicle Tax</v>
      </c>
      <c r="C18" s="700"/>
      <c r="D18" s="700"/>
      <c r="E18" s="705">
        <f>'Library-Rec'!D11</f>
        <v>0</v>
      </c>
      <c r="F18" s="700"/>
      <c r="G18" s="705" t="str">
        <f>'Library-Rec'!E11</f>
        <v xml:space="preserve"> </v>
      </c>
      <c r="H18" s="700"/>
      <c r="I18" s="700"/>
    </row>
    <row r="19" spans="2:9" ht="15.6" x14ac:dyDescent="0.25">
      <c r="B19" s="701" t="str">
        <f>'Library-Rec'!B12</f>
        <v>16/20M Vehicle Tax</v>
      </c>
      <c r="C19" s="700"/>
      <c r="D19" s="700"/>
      <c r="E19" s="705">
        <f>'Library-Rec'!D12</f>
        <v>0</v>
      </c>
      <c r="F19" s="700"/>
      <c r="G19" s="705" t="str">
        <f>'Library-Rec'!E12</f>
        <v xml:space="preserve"> </v>
      </c>
      <c r="H19" s="700"/>
      <c r="I19" s="700"/>
    </row>
    <row r="20" spans="2:9" ht="15.6" x14ac:dyDescent="0.25">
      <c r="B20" s="700" t="s">
        <v>242</v>
      </c>
      <c r="C20" s="700"/>
      <c r="D20" s="700"/>
      <c r="E20" s="705">
        <v>0</v>
      </c>
      <c r="F20" s="700"/>
      <c r="G20" s="705">
        <v>0</v>
      </c>
      <c r="H20" s="700"/>
      <c r="I20" s="700"/>
    </row>
    <row r="21" spans="2:9" ht="15.6" x14ac:dyDescent="0.25">
      <c r="B21" s="700"/>
      <c r="C21" s="700"/>
      <c r="D21" s="700"/>
      <c r="E21" s="705">
        <v>0</v>
      </c>
      <c r="F21" s="700"/>
      <c r="G21" s="705">
        <v>0</v>
      </c>
      <c r="H21" s="700"/>
      <c r="I21" s="700"/>
    </row>
    <row r="22" spans="2:9" ht="15.6" x14ac:dyDescent="0.25">
      <c r="B22" s="700" t="s">
        <v>814</v>
      </c>
      <c r="C22" s="700"/>
      <c r="D22" s="700"/>
      <c r="E22" s="706">
        <f>SUM(E15:E21)</f>
        <v>0</v>
      </c>
      <c r="F22" s="700"/>
      <c r="G22" s="706">
        <f>SUM(G15:G21)</f>
        <v>0</v>
      </c>
      <c r="H22" s="700"/>
      <c r="I22" s="700"/>
    </row>
    <row r="23" spans="2:9" ht="15.6" x14ac:dyDescent="0.25">
      <c r="B23" s="700" t="s">
        <v>815</v>
      </c>
      <c r="C23" s="700"/>
      <c r="D23" s="700"/>
      <c r="E23" s="707">
        <f>G22-E22</f>
        <v>0</v>
      </c>
      <c r="F23" s="700"/>
      <c r="G23" s="708"/>
      <c r="H23" s="700"/>
      <c r="I23" s="700"/>
    </row>
    <row r="24" spans="2:9" ht="15.6" x14ac:dyDescent="0.25">
      <c r="B24" s="700" t="s">
        <v>816</v>
      </c>
      <c r="C24" s="700"/>
      <c r="D24" s="709" t="str">
        <f>IF((G22-E22)&gt;0,"Qualify","Not Qualify")</f>
        <v>Not Qualify</v>
      </c>
      <c r="E24" s="700"/>
      <c r="F24" s="700"/>
      <c r="G24" s="700"/>
      <c r="H24" s="700"/>
      <c r="I24" s="700"/>
    </row>
    <row r="25" spans="2:9" ht="15.6" x14ac:dyDescent="0.25">
      <c r="B25" s="700"/>
      <c r="C25" s="700"/>
      <c r="D25" s="700"/>
      <c r="E25" s="700"/>
      <c r="F25" s="700"/>
      <c r="G25" s="700"/>
      <c r="H25" s="700"/>
      <c r="I25" s="700"/>
    </row>
    <row r="26" spans="2:9" ht="15.6" x14ac:dyDescent="0.25">
      <c r="B26" s="702" t="s">
        <v>817</v>
      </c>
      <c r="C26" s="700"/>
      <c r="D26" s="700"/>
      <c r="E26" s="700"/>
      <c r="F26" s="700"/>
      <c r="G26" s="700"/>
      <c r="H26" s="700"/>
      <c r="I26" s="700"/>
    </row>
    <row r="27" spans="2:9" ht="15.6" x14ac:dyDescent="0.25">
      <c r="B27" s="700" t="s">
        <v>818</v>
      </c>
      <c r="C27" s="700"/>
      <c r="D27" s="700"/>
      <c r="E27" s="705">
        <f>summ!D59</f>
        <v>22523898</v>
      </c>
      <c r="F27" s="700"/>
      <c r="G27" s="705">
        <f>summ!F59</f>
        <v>22268068</v>
      </c>
      <c r="H27" s="700"/>
      <c r="I27" s="700"/>
    </row>
    <row r="28" spans="2:9" ht="15.6" x14ac:dyDescent="0.25">
      <c r="B28" s="700" t="s">
        <v>819</v>
      </c>
      <c r="C28" s="700"/>
      <c r="D28" s="700"/>
      <c r="E28" s="710" t="str">
        <f>IF(G27-E27&gt;=0,"No","Yes")</f>
        <v>Yes</v>
      </c>
      <c r="F28" s="700"/>
      <c r="G28" s="700"/>
      <c r="H28" s="700"/>
      <c r="I28" s="700"/>
    </row>
    <row r="29" spans="2:9" ht="15.6" x14ac:dyDescent="0.25">
      <c r="B29" s="700" t="s">
        <v>820</v>
      </c>
      <c r="C29" s="700"/>
      <c r="D29" s="700"/>
      <c r="E29" s="703" t="str">
        <f>summ!E17</f>
        <v xml:space="preserve">  </v>
      </c>
      <c r="F29" s="700"/>
      <c r="G29" s="711" t="str">
        <f>summ!H17</f>
        <v/>
      </c>
      <c r="H29" s="700"/>
      <c r="I29" s="700"/>
    </row>
    <row r="30" spans="2:9" ht="15.6" x14ac:dyDescent="0.25">
      <c r="B30" s="700" t="s">
        <v>821</v>
      </c>
      <c r="C30" s="700"/>
      <c r="D30" s="700"/>
      <c r="E30" s="712" t="e">
        <f>G29-E29</f>
        <v>#VALUE!</v>
      </c>
      <c r="F30" s="700"/>
      <c r="G30" s="700"/>
      <c r="H30" s="700"/>
      <c r="I30" s="700"/>
    </row>
    <row r="31" spans="2:9" ht="15.6" x14ac:dyDescent="0.25">
      <c r="B31" s="700" t="s">
        <v>816</v>
      </c>
      <c r="C31" s="700"/>
      <c r="D31" s="713" t="e">
        <f>IF(E30&gt;=0,"Qualify","Not Qualify")</f>
        <v>#VALUE!</v>
      </c>
      <c r="E31" s="700"/>
      <c r="F31" s="700"/>
      <c r="G31" s="700"/>
      <c r="H31" s="700"/>
      <c r="I31" s="700"/>
    </row>
    <row r="32" spans="2:9" ht="15.6" x14ac:dyDescent="0.25">
      <c r="B32" s="700"/>
      <c r="C32" s="700"/>
      <c r="D32" s="700"/>
      <c r="E32" s="700"/>
      <c r="F32" s="700"/>
      <c r="G32" s="700"/>
      <c r="H32" s="700"/>
      <c r="I32" s="700"/>
    </row>
    <row r="33" spans="2:9" ht="15.6" x14ac:dyDescent="0.25">
      <c r="B33" s="700" t="s">
        <v>822</v>
      </c>
      <c r="C33" s="700"/>
      <c r="D33" s="700"/>
      <c r="E33" s="700"/>
      <c r="F33" s="714" t="e">
        <f>IF(D24="Not Qualify",IF(D31="Not Qualify",IF(D31="Not Qualify","Not Qualify","Qualify"),"Qualify"),"Qualify")</f>
        <v>#VALUE!</v>
      </c>
      <c r="G33" s="700"/>
      <c r="H33" s="700"/>
      <c r="I33" s="700"/>
    </row>
    <row r="34" spans="2:9" ht="15.6" x14ac:dyDescent="0.25">
      <c r="B34" s="700"/>
      <c r="C34" s="700"/>
      <c r="D34" s="700"/>
      <c r="E34" s="700"/>
      <c r="F34" s="700"/>
      <c r="G34" s="700"/>
      <c r="H34" s="700"/>
      <c r="I34" s="700"/>
    </row>
    <row r="35" spans="2:9" ht="15.6" x14ac:dyDescent="0.25">
      <c r="B35" s="700"/>
      <c r="C35" s="700"/>
      <c r="D35" s="700"/>
      <c r="E35" s="700"/>
      <c r="F35" s="700"/>
      <c r="G35" s="700"/>
      <c r="H35" s="700"/>
      <c r="I35" s="700"/>
    </row>
    <row r="36" spans="2:9" ht="37.5" customHeight="1" x14ac:dyDescent="0.25">
      <c r="B36" s="1017" t="s">
        <v>823</v>
      </c>
      <c r="C36" s="1017"/>
      <c r="D36" s="1017"/>
      <c r="E36" s="1017"/>
      <c r="F36" s="1017"/>
      <c r="G36" s="1017"/>
      <c r="H36" s="1017"/>
      <c r="I36" s="1017"/>
    </row>
    <row r="37" spans="2:9" ht="15.6" x14ac:dyDescent="0.25">
      <c r="B37" s="700"/>
      <c r="C37" s="700"/>
      <c r="D37" s="700"/>
      <c r="E37" s="700"/>
      <c r="F37" s="700"/>
      <c r="G37" s="700"/>
      <c r="H37" s="700"/>
      <c r="I37" s="700"/>
    </row>
    <row r="38" spans="2:9" ht="15.6" x14ac:dyDescent="0.25">
      <c r="B38" s="700"/>
      <c r="C38" s="700"/>
      <c r="D38" s="700"/>
      <c r="E38" s="700"/>
      <c r="F38" s="700"/>
      <c r="G38" s="700"/>
      <c r="H38" s="700"/>
      <c r="I38" s="700"/>
    </row>
    <row r="39" spans="2:9" ht="15.6" x14ac:dyDescent="0.25">
      <c r="B39" s="700"/>
      <c r="C39" s="700"/>
      <c r="D39" s="700"/>
      <c r="E39" s="700"/>
      <c r="F39" s="700"/>
      <c r="G39" s="700"/>
      <c r="H39" s="700"/>
      <c r="I39" s="700"/>
    </row>
    <row r="40" spans="2:9" ht="15.6" x14ac:dyDescent="0.25">
      <c r="B40" s="700"/>
      <c r="C40" s="700"/>
      <c r="D40" s="700"/>
      <c r="E40" s="715" t="s">
        <v>113</v>
      </c>
      <c r="F40" s="716">
        <v>7</v>
      </c>
      <c r="G40" s="700"/>
      <c r="H40" s="700"/>
      <c r="I40" s="700"/>
    </row>
    <row r="41" spans="2:9" ht="15.6" x14ac:dyDescent="0.25">
      <c r="B41" s="700"/>
      <c r="C41" s="700"/>
      <c r="D41" s="700"/>
      <c r="E41" s="700"/>
      <c r="F41" s="700"/>
      <c r="G41" s="700"/>
      <c r="H41" s="700"/>
      <c r="I41" s="700"/>
    </row>
    <row r="42" spans="2:9" ht="15.6" x14ac:dyDescent="0.25">
      <c r="B42" s="700"/>
      <c r="C42" s="700"/>
      <c r="D42" s="700"/>
      <c r="E42" s="700"/>
      <c r="F42" s="700"/>
      <c r="G42" s="700"/>
      <c r="H42" s="700"/>
      <c r="I42" s="700"/>
    </row>
    <row r="43" spans="2:9" ht="15.6" x14ac:dyDescent="0.3">
      <c r="B43" s="1013" t="s">
        <v>824</v>
      </c>
      <c r="C43" s="1014"/>
      <c r="D43" s="1014"/>
      <c r="E43" s="1014"/>
      <c r="F43" s="1014"/>
      <c r="G43" s="1014"/>
      <c r="H43" s="1014"/>
      <c r="I43" s="1014"/>
    </row>
    <row r="44" spans="2:9" ht="15.6" x14ac:dyDescent="0.25">
      <c r="B44" s="700"/>
      <c r="C44" s="700"/>
      <c r="D44" s="700"/>
      <c r="E44" s="700"/>
      <c r="F44" s="700"/>
      <c r="G44" s="700"/>
      <c r="H44" s="700"/>
      <c r="I44" s="700"/>
    </row>
    <row r="45" spans="2:9" ht="15.6" x14ac:dyDescent="0.3">
      <c r="B45" s="717" t="s">
        <v>825</v>
      </c>
      <c r="C45" s="700"/>
      <c r="D45" s="700"/>
      <c r="E45" s="700"/>
      <c r="F45" s="700"/>
      <c r="G45" s="700"/>
      <c r="H45" s="700"/>
      <c r="I45" s="700"/>
    </row>
    <row r="46" spans="2:9" ht="15.6" x14ac:dyDescent="0.3">
      <c r="B46" s="717" t="str">
        <f>CONCATENATE("sources in your ",G14," library fund is not equal to or greater than the amount from the same")</f>
        <v>sources in your 2015 library fund is not equal to or greater than the amount from the same</v>
      </c>
      <c r="C46" s="700"/>
      <c r="D46" s="700"/>
      <c r="E46" s="700"/>
      <c r="F46" s="700"/>
      <c r="G46" s="700"/>
      <c r="H46" s="700"/>
      <c r="I46" s="700"/>
    </row>
    <row r="47" spans="2:9" ht="15.6" x14ac:dyDescent="0.3">
      <c r="B47" s="717" t="str">
        <f>CONCATENATE("sources in ",E14,".")</f>
        <v>sources in 2014.</v>
      </c>
      <c r="C47" s="698"/>
      <c r="D47" s="698"/>
      <c r="E47" s="698"/>
      <c r="F47" s="698"/>
      <c r="G47" s="698"/>
      <c r="H47" s="698"/>
      <c r="I47" s="698"/>
    </row>
    <row r="48" spans="2:9" ht="15.6" x14ac:dyDescent="0.3">
      <c r="B48" s="698"/>
      <c r="C48" s="698"/>
      <c r="D48" s="698"/>
      <c r="E48" s="698"/>
      <c r="F48" s="698"/>
      <c r="G48" s="698"/>
      <c r="H48" s="698"/>
      <c r="I48" s="698"/>
    </row>
    <row r="49" spans="2:9" ht="15.6" x14ac:dyDescent="0.3">
      <c r="B49" s="717" t="s">
        <v>826</v>
      </c>
      <c r="C49" s="717"/>
      <c r="D49" s="718"/>
      <c r="E49" s="718"/>
      <c r="F49" s="718"/>
      <c r="G49" s="718"/>
      <c r="H49" s="718"/>
      <c r="I49" s="718"/>
    </row>
    <row r="50" spans="2:9" ht="15.6" x14ac:dyDescent="0.3">
      <c r="B50" s="717" t="s">
        <v>827</v>
      </c>
      <c r="C50" s="717"/>
      <c r="D50" s="718"/>
      <c r="E50" s="718"/>
      <c r="F50" s="718"/>
      <c r="G50" s="718"/>
      <c r="H50" s="718"/>
      <c r="I50" s="718"/>
    </row>
    <row r="51" spans="2:9" ht="15.6" x14ac:dyDescent="0.3">
      <c r="B51" s="717" t="s">
        <v>828</v>
      </c>
      <c r="C51" s="717"/>
      <c r="D51" s="718"/>
      <c r="E51" s="718"/>
      <c r="F51" s="718"/>
      <c r="G51" s="718"/>
      <c r="H51" s="718"/>
      <c r="I51" s="718"/>
    </row>
    <row r="52" spans="2:9" x14ac:dyDescent="0.25">
      <c r="B52" s="718"/>
      <c r="C52" s="718"/>
      <c r="D52" s="718"/>
      <c r="E52" s="718"/>
      <c r="F52" s="718"/>
      <c r="G52" s="718"/>
      <c r="H52" s="718"/>
      <c r="I52" s="718"/>
    </row>
    <row r="53" spans="2:9" ht="15.6" x14ac:dyDescent="0.3">
      <c r="B53" s="719" t="s">
        <v>829</v>
      </c>
      <c r="C53" s="718"/>
      <c r="D53" s="718"/>
      <c r="E53" s="718"/>
      <c r="F53" s="718"/>
      <c r="G53" s="718"/>
      <c r="H53" s="718"/>
      <c r="I53" s="718"/>
    </row>
    <row r="54" spans="2:9" x14ac:dyDescent="0.25">
      <c r="B54" s="718"/>
      <c r="C54" s="718"/>
      <c r="D54" s="718"/>
      <c r="E54" s="718"/>
      <c r="F54" s="718"/>
      <c r="G54" s="718"/>
      <c r="H54" s="718"/>
      <c r="I54" s="718"/>
    </row>
    <row r="55" spans="2:9" ht="15.6" x14ac:dyDescent="0.3">
      <c r="B55" s="717" t="s">
        <v>830</v>
      </c>
      <c r="C55" s="718"/>
      <c r="D55" s="718"/>
      <c r="E55" s="718"/>
      <c r="F55" s="718"/>
      <c r="G55" s="718"/>
      <c r="H55" s="718"/>
      <c r="I55" s="718"/>
    </row>
    <row r="56" spans="2:9" ht="15.6" x14ac:dyDescent="0.3">
      <c r="B56" s="717" t="s">
        <v>831</v>
      </c>
      <c r="C56" s="718"/>
      <c r="D56" s="718"/>
      <c r="E56" s="718"/>
      <c r="F56" s="718"/>
      <c r="G56" s="718"/>
      <c r="H56" s="718"/>
      <c r="I56" s="718"/>
    </row>
    <row r="57" spans="2:9" x14ac:dyDescent="0.25">
      <c r="B57" s="718"/>
      <c r="C57" s="718"/>
      <c r="D57" s="718"/>
      <c r="E57" s="718"/>
      <c r="F57" s="718"/>
      <c r="G57" s="718"/>
      <c r="H57" s="718"/>
      <c r="I57" s="718"/>
    </row>
    <row r="58" spans="2:9" ht="15.6" x14ac:dyDescent="0.3">
      <c r="B58" s="719" t="s">
        <v>832</v>
      </c>
      <c r="C58" s="717"/>
      <c r="D58" s="717"/>
      <c r="E58" s="717"/>
      <c r="F58" s="717"/>
      <c r="G58" s="718"/>
      <c r="H58" s="718"/>
      <c r="I58" s="718"/>
    </row>
    <row r="59" spans="2:9" ht="15.6" x14ac:dyDescent="0.3">
      <c r="B59" s="717"/>
      <c r="C59" s="717"/>
      <c r="D59" s="717"/>
      <c r="E59" s="717"/>
      <c r="F59" s="717"/>
      <c r="G59" s="718"/>
      <c r="H59" s="718"/>
      <c r="I59" s="718"/>
    </row>
    <row r="60" spans="2:9" ht="15.6" x14ac:dyDescent="0.3">
      <c r="B60" s="717" t="s">
        <v>833</v>
      </c>
      <c r="C60" s="717"/>
      <c r="D60" s="717"/>
      <c r="E60" s="717"/>
      <c r="F60" s="717"/>
      <c r="G60" s="718"/>
      <c r="H60" s="718"/>
      <c r="I60" s="718"/>
    </row>
    <row r="61" spans="2:9" ht="15.6" x14ac:dyDescent="0.3">
      <c r="B61" s="717" t="s">
        <v>834</v>
      </c>
      <c r="C61" s="717"/>
      <c r="D61" s="717"/>
      <c r="E61" s="717"/>
      <c r="F61" s="717"/>
      <c r="G61" s="718"/>
      <c r="H61" s="718"/>
      <c r="I61" s="718"/>
    </row>
    <row r="62" spans="2:9" ht="15.6" x14ac:dyDescent="0.3">
      <c r="B62" s="717" t="s">
        <v>835</v>
      </c>
      <c r="C62" s="717"/>
      <c r="D62" s="717"/>
      <c r="E62" s="717"/>
      <c r="F62" s="717"/>
      <c r="G62" s="718"/>
      <c r="H62" s="718"/>
      <c r="I62" s="718"/>
    </row>
    <row r="63" spans="2:9" ht="15.6" x14ac:dyDescent="0.3">
      <c r="B63" s="717" t="s">
        <v>836</v>
      </c>
      <c r="C63" s="717"/>
      <c r="D63" s="717"/>
      <c r="E63" s="717"/>
      <c r="F63" s="717"/>
      <c r="G63" s="718"/>
      <c r="H63" s="718"/>
      <c r="I63" s="718"/>
    </row>
    <row r="64" spans="2:9" x14ac:dyDescent="0.25">
      <c r="B64" s="720"/>
      <c r="C64" s="720"/>
      <c r="D64" s="720"/>
      <c r="E64" s="720"/>
      <c r="F64" s="720"/>
      <c r="G64" s="718"/>
      <c r="H64" s="718"/>
      <c r="I64" s="718"/>
    </row>
    <row r="65" spans="2:9" ht="15.6" x14ac:dyDescent="0.3">
      <c r="B65" s="717" t="s">
        <v>837</v>
      </c>
      <c r="C65" s="720"/>
      <c r="D65" s="720"/>
      <c r="E65" s="720"/>
      <c r="F65" s="720"/>
      <c r="G65" s="718"/>
      <c r="H65" s="718"/>
      <c r="I65" s="718"/>
    </row>
    <row r="66" spans="2:9" ht="15.6" x14ac:dyDescent="0.3">
      <c r="B66" s="717" t="s">
        <v>838</v>
      </c>
      <c r="C66" s="720"/>
      <c r="D66" s="720"/>
      <c r="E66" s="720"/>
      <c r="F66" s="720"/>
      <c r="G66" s="718"/>
      <c r="H66" s="718"/>
      <c r="I66" s="718"/>
    </row>
    <row r="67" spans="2:9" x14ac:dyDescent="0.25">
      <c r="B67" s="720"/>
      <c r="C67" s="720"/>
      <c r="D67" s="720"/>
      <c r="E67" s="720"/>
      <c r="F67" s="720"/>
      <c r="G67" s="718"/>
      <c r="H67" s="718"/>
      <c r="I67" s="718"/>
    </row>
    <row r="68" spans="2:9" ht="15.6" x14ac:dyDescent="0.3">
      <c r="B68" s="717" t="s">
        <v>839</v>
      </c>
      <c r="C68" s="720"/>
      <c r="D68" s="720"/>
      <c r="E68" s="720"/>
      <c r="F68" s="720"/>
      <c r="G68" s="718"/>
      <c r="H68" s="718"/>
      <c r="I68" s="718"/>
    </row>
    <row r="69" spans="2:9" ht="15.6" x14ac:dyDescent="0.3">
      <c r="B69" s="717" t="s">
        <v>840</v>
      </c>
      <c r="C69" s="720"/>
      <c r="D69" s="720"/>
      <c r="E69" s="720"/>
      <c r="F69" s="720"/>
      <c r="G69" s="718"/>
      <c r="H69" s="718"/>
      <c r="I69" s="718"/>
    </row>
    <row r="70" spans="2:9" x14ac:dyDescent="0.25">
      <c r="B70" s="720"/>
      <c r="C70" s="720"/>
      <c r="D70" s="720"/>
      <c r="E70" s="720"/>
      <c r="F70" s="720"/>
      <c r="G70" s="718"/>
      <c r="H70" s="718"/>
      <c r="I70" s="718"/>
    </row>
    <row r="71" spans="2:9" ht="15.6" x14ac:dyDescent="0.3">
      <c r="B71" s="719" t="s">
        <v>841</v>
      </c>
      <c r="C71" s="720"/>
      <c r="D71" s="720"/>
      <c r="E71" s="720"/>
      <c r="F71" s="720"/>
      <c r="G71" s="718"/>
      <c r="H71" s="718"/>
      <c r="I71" s="718"/>
    </row>
    <row r="72" spans="2:9" x14ac:dyDescent="0.25">
      <c r="B72" s="720"/>
      <c r="C72" s="720"/>
      <c r="D72" s="720"/>
      <c r="E72" s="720"/>
      <c r="F72" s="720"/>
      <c r="G72" s="718"/>
      <c r="H72" s="718"/>
      <c r="I72" s="718"/>
    </row>
    <row r="73" spans="2:9" ht="15.6" x14ac:dyDescent="0.3">
      <c r="B73" s="717" t="s">
        <v>842</v>
      </c>
      <c r="C73" s="720"/>
      <c r="D73" s="720"/>
      <c r="E73" s="720"/>
      <c r="F73" s="720"/>
      <c r="G73" s="718"/>
      <c r="H73" s="718"/>
      <c r="I73" s="718"/>
    </row>
    <row r="74" spans="2:9" ht="15.6" x14ac:dyDescent="0.3">
      <c r="B74" s="717" t="s">
        <v>843</v>
      </c>
      <c r="C74" s="720"/>
      <c r="D74" s="720"/>
      <c r="E74" s="720"/>
      <c r="F74" s="720"/>
      <c r="G74" s="718"/>
      <c r="H74" s="718"/>
      <c r="I74" s="718"/>
    </row>
    <row r="75" spans="2:9" x14ac:dyDescent="0.25">
      <c r="B75" s="720"/>
      <c r="C75" s="720"/>
      <c r="D75" s="720"/>
      <c r="E75" s="720"/>
      <c r="F75" s="720"/>
      <c r="G75" s="718"/>
      <c r="H75" s="718"/>
      <c r="I75" s="718"/>
    </row>
    <row r="76" spans="2:9" ht="15.6" x14ac:dyDescent="0.3">
      <c r="B76" s="719" t="s">
        <v>844</v>
      </c>
      <c r="C76" s="720"/>
      <c r="D76" s="720"/>
      <c r="E76" s="720"/>
      <c r="F76" s="720"/>
      <c r="G76" s="718"/>
      <c r="H76" s="718"/>
      <c r="I76" s="718"/>
    </row>
    <row r="77" spans="2:9" x14ac:dyDescent="0.25">
      <c r="B77" s="720"/>
      <c r="C77" s="720"/>
      <c r="D77" s="720"/>
      <c r="E77" s="720"/>
      <c r="F77" s="720"/>
      <c r="G77" s="718"/>
      <c r="H77" s="718"/>
      <c r="I77" s="718"/>
    </row>
    <row r="78" spans="2:9" ht="15.6" x14ac:dyDescent="0.3">
      <c r="B78" s="717" t="str">
        <f>CONCATENATE("If the ",G14," municipal budget has not been published and has not been submitted to the County")</f>
        <v>If the 2015 municipal budget has not been published and has not been submitted to the County</v>
      </c>
      <c r="C78" s="720"/>
      <c r="D78" s="720"/>
      <c r="E78" s="720"/>
      <c r="F78" s="720"/>
      <c r="G78" s="718"/>
      <c r="H78" s="718"/>
      <c r="I78" s="718"/>
    </row>
    <row r="79" spans="2:9" ht="15.6" x14ac:dyDescent="0.3">
      <c r="B79" s="717" t="s">
        <v>845</v>
      </c>
      <c r="C79" s="720"/>
      <c r="D79" s="720"/>
      <c r="E79" s="720"/>
      <c r="F79" s="720"/>
      <c r="G79" s="718"/>
      <c r="H79" s="718"/>
      <c r="I79" s="718"/>
    </row>
    <row r="80" spans="2:9" x14ac:dyDescent="0.25">
      <c r="B80" s="720"/>
      <c r="C80" s="720"/>
      <c r="D80" s="720"/>
      <c r="E80" s="720"/>
      <c r="F80" s="720"/>
      <c r="G80" s="718"/>
      <c r="H80" s="718"/>
      <c r="I80" s="718"/>
    </row>
    <row r="81" spans="2:9" ht="15.6" x14ac:dyDescent="0.3">
      <c r="B81" s="719" t="s">
        <v>406</v>
      </c>
      <c r="C81" s="720"/>
      <c r="D81" s="720"/>
      <c r="E81" s="720"/>
      <c r="F81" s="720"/>
      <c r="G81" s="718"/>
      <c r="H81" s="718"/>
      <c r="I81" s="718"/>
    </row>
    <row r="82" spans="2:9" x14ac:dyDescent="0.25">
      <c r="B82" s="720"/>
      <c r="C82" s="720"/>
      <c r="D82" s="720"/>
      <c r="E82" s="720"/>
      <c r="F82" s="720"/>
      <c r="G82" s="718"/>
      <c r="H82" s="718"/>
      <c r="I82" s="718"/>
    </row>
    <row r="83" spans="2:9" ht="15.6" x14ac:dyDescent="0.3">
      <c r="B83" s="717" t="s">
        <v>846</v>
      </c>
      <c r="C83" s="720"/>
      <c r="D83" s="720"/>
      <c r="E83" s="720"/>
      <c r="F83" s="720"/>
      <c r="G83" s="718"/>
      <c r="H83" s="718"/>
      <c r="I83" s="718"/>
    </row>
    <row r="84" spans="2:9" ht="15.6" x14ac:dyDescent="0.3">
      <c r="B84" s="717" t="str">
        <f>CONCATENATE("Budget Year ",G14," is equal to or greater than that for Current Year Estimate ",E14,".")</f>
        <v>Budget Year 2015 is equal to or greater than that for Current Year Estimate 2014.</v>
      </c>
      <c r="C84" s="720"/>
      <c r="D84" s="720"/>
      <c r="E84" s="720"/>
      <c r="F84" s="720"/>
      <c r="G84" s="718"/>
      <c r="H84" s="718"/>
      <c r="I84" s="718"/>
    </row>
    <row r="85" spans="2:9" x14ac:dyDescent="0.25">
      <c r="B85" s="720"/>
      <c r="C85" s="720"/>
      <c r="D85" s="720"/>
      <c r="E85" s="720"/>
      <c r="F85" s="720"/>
      <c r="G85" s="718"/>
      <c r="H85" s="718"/>
      <c r="I85" s="718"/>
    </row>
    <row r="86" spans="2:9" ht="15.6" x14ac:dyDescent="0.3">
      <c r="B86" s="717" t="s">
        <v>847</v>
      </c>
      <c r="C86" s="720"/>
      <c r="D86" s="720"/>
      <c r="E86" s="720"/>
      <c r="F86" s="720"/>
      <c r="G86" s="718"/>
      <c r="H86" s="718"/>
      <c r="I86" s="718"/>
    </row>
    <row r="87" spans="2:9" ht="15.6" x14ac:dyDescent="0.3">
      <c r="B87" s="717" t="s">
        <v>848</v>
      </c>
      <c r="C87" s="720"/>
      <c r="D87" s="720"/>
      <c r="E87" s="720"/>
      <c r="F87" s="720"/>
      <c r="G87" s="718"/>
      <c r="H87" s="718"/>
      <c r="I87" s="718"/>
    </row>
    <row r="88" spans="2:9" ht="15.6" x14ac:dyDescent="0.3">
      <c r="B88" s="717" t="s">
        <v>849</v>
      </c>
      <c r="C88" s="720"/>
      <c r="D88" s="720"/>
      <c r="E88" s="720"/>
      <c r="F88" s="720"/>
      <c r="G88" s="718"/>
      <c r="H88" s="718"/>
      <c r="I88" s="718"/>
    </row>
    <row r="89" spans="2:9" ht="15.6" x14ac:dyDescent="0.3">
      <c r="B89" s="717" t="str">
        <f>CONCATENATE("purpose for the previous (",E14,") year.")</f>
        <v>purpose for the previous (2014) year.</v>
      </c>
      <c r="C89" s="720"/>
      <c r="D89" s="720"/>
      <c r="E89" s="720"/>
      <c r="F89" s="720"/>
      <c r="G89" s="718"/>
      <c r="H89" s="718"/>
      <c r="I89" s="718"/>
    </row>
    <row r="90" spans="2:9" x14ac:dyDescent="0.25">
      <c r="B90" s="720"/>
      <c r="C90" s="720"/>
      <c r="D90" s="720"/>
      <c r="E90" s="720"/>
      <c r="F90" s="720"/>
      <c r="G90" s="718"/>
      <c r="H90" s="718"/>
      <c r="I90" s="718"/>
    </row>
    <row r="91" spans="2:9" ht="15.6" x14ac:dyDescent="0.3">
      <c r="B91" s="717" t="str">
        <f>CONCATENATE("Next, look to see if delinquent tax for ",G14," is budgeted. Often this line is budgeted at $0 or left")</f>
        <v>Next, look to see if delinquent tax for 2015 is budgeted. Often this line is budgeted at $0 or left</v>
      </c>
      <c r="C91" s="720"/>
      <c r="D91" s="720"/>
      <c r="E91" s="720"/>
      <c r="F91" s="720"/>
      <c r="G91" s="718"/>
      <c r="H91" s="718"/>
      <c r="I91" s="718"/>
    </row>
    <row r="92" spans="2:9" ht="15.6" x14ac:dyDescent="0.3">
      <c r="B92" s="717" t="s">
        <v>850</v>
      </c>
      <c r="C92" s="720"/>
      <c r="D92" s="720"/>
      <c r="E92" s="720"/>
      <c r="F92" s="720"/>
      <c r="G92" s="718"/>
      <c r="H92" s="718"/>
      <c r="I92" s="718"/>
    </row>
    <row r="93" spans="2:9" ht="15.6" x14ac:dyDescent="0.3">
      <c r="B93" s="717" t="s">
        <v>851</v>
      </c>
      <c r="C93" s="720"/>
      <c r="D93" s="720"/>
      <c r="E93" s="720"/>
      <c r="F93" s="720"/>
      <c r="G93" s="718"/>
      <c r="H93" s="718"/>
      <c r="I93" s="718"/>
    </row>
    <row r="94" spans="2:9" ht="15.6" x14ac:dyDescent="0.3">
      <c r="B94" s="717" t="s">
        <v>852</v>
      </c>
      <c r="C94" s="720"/>
      <c r="D94" s="720"/>
      <c r="E94" s="720"/>
      <c r="F94" s="720"/>
      <c r="G94" s="718"/>
      <c r="H94" s="718"/>
      <c r="I94" s="718"/>
    </row>
    <row r="95" spans="2:9" x14ac:dyDescent="0.25">
      <c r="B95" s="720"/>
      <c r="C95" s="720"/>
      <c r="D95" s="720"/>
      <c r="E95" s="720"/>
      <c r="F95" s="720"/>
      <c r="G95" s="718"/>
      <c r="H95" s="718"/>
      <c r="I95" s="718"/>
    </row>
    <row r="96" spans="2:9" ht="15.6" x14ac:dyDescent="0.3">
      <c r="B96" s="719" t="s">
        <v>853</v>
      </c>
      <c r="C96" s="720"/>
      <c r="D96" s="720"/>
      <c r="E96" s="720"/>
      <c r="F96" s="720"/>
      <c r="G96" s="718"/>
      <c r="H96" s="718"/>
      <c r="I96" s="718"/>
    </row>
    <row r="97" spans="2:9" x14ac:dyDescent="0.25">
      <c r="B97" s="720"/>
      <c r="C97" s="720"/>
      <c r="D97" s="720"/>
      <c r="E97" s="720"/>
      <c r="F97" s="720"/>
      <c r="G97" s="718"/>
      <c r="H97" s="718"/>
      <c r="I97" s="718"/>
    </row>
    <row r="98" spans="2:9" ht="15.6" x14ac:dyDescent="0.3">
      <c r="B98" s="717" t="s">
        <v>854</v>
      </c>
      <c r="C98" s="720"/>
      <c r="D98" s="720"/>
      <c r="E98" s="720"/>
      <c r="F98" s="720"/>
      <c r="G98" s="718"/>
      <c r="H98" s="718"/>
      <c r="I98" s="718"/>
    </row>
    <row r="99" spans="2:9" ht="15.6" x14ac:dyDescent="0.3">
      <c r="B99" s="717" t="s">
        <v>855</v>
      </c>
      <c r="C99" s="720"/>
      <c r="D99" s="720"/>
      <c r="E99" s="720"/>
      <c r="F99" s="720"/>
      <c r="G99" s="718"/>
      <c r="H99" s="718"/>
      <c r="I99" s="718"/>
    </row>
    <row r="100" spans="2:9" x14ac:dyDescent="0.25">
      <c r="B100" s="720"/>
      <c r="C100" s="720"/>
      <c r="D100" s="720"/>
      <c r="E100" s="720"/>
      <c r="F100" s="720"/>
      <c r="G100" s="718"/>
      <c r="H100" s="718"/>
      <c r="I100" s="718"/>
    </row>
    <row r="101" spans="2:9" ht="15.6" x14ac:dyDescent="0.3">
      <c r="B101" s="717" t="s">
        <v>856</v>
      </c>
      <c r="C101" s="720"/>
      <c r="D101" s="720"/>
      <c r="E101" s="720"/>
      <c r="F101" s="720"/>
      <c r="G101" s="718"/>
      <c r="H101" s="718"/>
      <c r="I101" s="718"/>
    </row>
    <row r="102" spans="2:9" ht="15.6" x14ac:dyDescent="0.3">
      <c r="B102" s="717" t="s">
        <v>857</v>
      </c>
      <c r="C102" s="720"/>
      <c r="D102" s="720"/>
      <c r="E102" s="720"/>
      <c r="F102" s="720"/>
      <c r="G102" s="718"/>
      <c r="H102" s="718"/>
      <c r="I102" s="718"/>
    </row>
    <row r="103" spans="2:9" ht="15.6" x14ac:dyDescent="0.3">
      <c r="B103" s="717" t="s">
        <v>858</v>
      </c>
      <c r="C103" s="720"/>
      <c r="D103" s="720"/>
      <c r="E103" s="720"/>
      <c r="F103" s="720"/>
      <c r="G103" s="718"/>
      <c r="H103" s="718"/>
      <c r="I103" s="718"/>
    </row>
    <row r="104" spans="2:9" ht="15.6" x14ac:dyDescent="0.3">
      <c r="B104" s="717" t="s">
        <v>859</v>
      </c>
      <c r="C104" s="720"/>
      <c r="D104" s="720"/>
      <c r="E104" s="720"/>
      <c r="F104" s="720"/>
      <c r="G104" s="718"/>
      <c r="H104" s="718"/>
      <c r="I104" s="718"/>
    </row>
    <row r="105" spans="2:9" ht="15.6" x14ac:dyDescent="0.3">
      <c r="B105" s="861" t="s">
        <v>956</v>
      </c>
      <c r="C105" s="862"/>
      <c r="D105" s="862"/>
      <c r="E105" s="862"/>
      <c r="F105" s="862"/>
      <c r="G105" s="718"/>
      <c r="H105" s="718"/>
      <c r="I105" s="718"/>
    </row>
    <row r="108" spans="2:9" x14ac:dyDescent="0.25">
      <c r="G108" s="721"/>
    </row>
  </sheetData>
  <mergeCells count="6">
    <mergeCell ref="B43:I43"/>
    <mergeCell ref="B2:I2"/>
    <mergeCell ref="B3:I3"/>
    <mergeCell ref="B5:I5"/>
    <mergeCell ref="B10:I10"/>
    <mergeCell ref="B36:I36"/>
  </mergeCells>
  <hyperlinks>
    <hyperlink ref="B105" r:id="rId1" display="mailto:peter.haxton@library.ks.gov"/>
  </hyperlinks>
  <pageMargins left="0.7" right="0.7" top="0.75" bottom="0.75" header="0.25" footer="0.25"/>
  <pageSetup scale="80" orientation="portrait" blackAndWhite="1" r:id="rId2"/>
  <headerFooter>
    <oddHeader>&amp;RState of Kansas
City</oddHeader>
  </headerFooter>
  <rowBreaks count="1" manualBreakCount="1">
    <brk id="40"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96"/>
  <sheetViews>
    <sheetView view="pageBreakPreview" topLeftCell="A4" zoomScaleNormal="100" zoomScaleSheetLayoutView="100" workbookViewId="0">
      <selection activeCell="B4" sqref="B4"/>
    </sheetView>
  </sheetViews>
  <sheetFormatPr defaultColWidth="8.9140625" defaultRowHeight="15.6" x14ac:dyDescent="0.25"/>
  <cols>
    <col min="1" max="1" width="2.4140625" style="30" customWidth="1"/>
    <col min="2" max="2" width="31.08203125" style="30" customWidth="1"/>
    <col min="3" max="4" width="15.75" style="30" customWidth="1"/>
    <col min="5" max="5" width="16.33203125" style="30" customWidth="1"/>
    <col min="6" max="6" width="8.08203125" style="30" customWidth="1"/>
    <col min="7" max="7" width="10.25" style="30" customWidth="1"/>
    <col min="8" max="8" width="8.9140625" style="30" customWidth="1"/>
    <col min="9" max="9" width="5" style="30" customWidth="1"/>
    <col min="10" max="10" width="10" style="30" customWidth="1"/>
    <col min="11" max="16384" width="8.9140625" style="30"/>
  </cols>
  <sheetData>
    <row r="1" spans="2:5" x14ac:dyDescent="0.25">
      <c r="B1" s="176" t="str">
        <f>inputPrYr!D2</f>
        <v>City of Osawatomie</v>
      </c>
      <c r="C1" s="32"/>
      <c r="D1" s="32"/>
      <c r="E1" s="228">
        <f>inputPrYr!C5</f>
        <v>2015</v>
      </c>
    </row>
    <row r="2" spans="2:5" x14ac:dyDescent="0.25">
      <c r="B2" s="32"/>
      <c r="C2" s="32"/>
      <c r="D2" s="32"/>
      <c r="E2" s="151"/>
    </row>
    <row r="3" spans="2:5" x14ac:dyDescent="0.25">
      <c r="B3" s="229"/>
      <c r="C3" s="32"/>
      <c r="D3" s="32"/>
      <c r="E3" s="119"/>
    </row>
    <row r="4" spans="2:5" x14ac:dyDescent="0.25">
      <c r="B4" s="375" t="s">
        <v>170</v>
      </c>
      <c r="C4" s="230"/>
      <c r="D4" s="230"/>
      <c r="E4" s="230"/>
    </row>
    <row r="5" spans="2:5" x14ac:dyDescent="0.25">
      <c r="B5" s="153" t="s">
        <v>104</v>
      </c>
      <c r="C5" s="231" t="s">
        <v>803</v>
      </c>
      <c r="D5" s="232" t="s">
        <v>804</v>
      </c>
      <c r="E5" s="127" t="s">
        <v>805</v>
      </c>
    </row>
    <row r="6" spans="2:5" x14ac:dyDescent="0.25">
      <c r="B6" s="530" t="str">
        <f>inputPrYr!B17</f>
        <v>General</v>
      </c>
      <c r="C6" s="361" t="str">
        <f>CONCATENATE("Actual for ",E1-2,"")</f>
        <v>Actual for 2013</v>
      </c>
      <c r="D6" s="361" t="str">
        <f>CONCATENATE("Estimate for ",E1-1,"")</f>
        <v>Estimate for 2014</v>
      </c>
      <c r="E6" s="233" t="str">
        <f>CONCATENATE("Year for ",E1,"")</f>
        <v>Year for 2015</v>
      </c>
    </row>
    <row r="7" spans="2:5" x14ac:dyDescent="0.25">
      <c r="B7" s="234" t="s">
        <v>212</v>
      </c>
      <c r="C7" s="235">
        <v>111385</v>
      </c>
      <c r="D7" s="237">
        <f>C75</f>
        <v>202578.89000000013</v>
      </c>
      <c r="E7" s="208">
        <f>D75</f>
        <v>160859.44431199972</v>
      </c>
    </row>
    <row r="8" spans="2:5" x14ac:dyDescent="0.25">
      <c r="B8" s="238" t="s">
        <v>214</v>
      </c>
      <c r="C8" s="142"/>
      <c r="D8" s="142"/>
      <c r="E8" s="68"/>
    </row>
    <row r="9" spans="2:5" x14ac:dyDescent="0.25">
      <c r="B9" s="234" t="s">
        <v>105</v>
      </c>
      <c r="C9" s="239">
        <v>535302.23</v>
      </c>
      <c r="D9" s="237">
        <f>IF(inputPrYr!H16&gt;0,inputPrYr!G17,inputPrYr!E17)</f>
        <v>505255</v>
      </c>
      <c r="E9" s="241" t="s">
        <v>93</v>
      </c>
    </row>
    <row r="10" spans="2:5" x14ac:dyDescent="0.25">
      <c r="B10" s="234" t="s">
        <v>106</v>
      </c>
      <c r="C10" s="239">
        <v>13423.63</v>
      </c>
      <c r="D10" s="239">
        <v>25840</v>
      </c>
      <c r="E10" s="242">
        <v>18947.0625</v>
      </c>
    </row>
    <row r="11" spans="2:5" x14ac:dyDescent="0.25">
      <c r="B11" s="234" t="s">
        <v>107</v>
      </c>
      <c r="C11" s="239">
        <v>50310.229999999996</v>
      </c>
      <c r="D11" s="239">
        <v>55936</v>
      </c>
      <c r="E11" s="208">
        <f>mvalloc!D7</f>
        <v>50442</v>
      </c>
    </row>
    <row r="12" spans="2:5" x14ac:dyDescent="0.25">
      <c r="B12" s="234" t="s">
        <v>108</v>
      </c>
      <c r="C12" s="239">
        <v>656.89</v>
      </c>
      <c r="D12" s="239">
        <v>803</v>
      </c>
      <c r="E12" s="208">
        <f>mvalloc!E7</f>
        <v>747</v>
      </c>
    </row>
    <row r="13" spans="2:5" x14ac:dyDescent="0.25">
      <c r="B13" s="234" t="s">
        <v>202</v>
      </c>
      <c r="C13" s="239">
        <v>427.75</v>
      </c>
      <c r="D13" s="239"/>
      <c r="E13" s="208">
        <f>mvalloc!F7</f>
        <v>506</v>
      </c>
    </row>
    <row r="14" spans="2:5" x14ac:dyDescent="0.25">
      <c r="B14" s="234" t="s">
        <v>203</v>
      </c>
      <c r="C14" s="239"/>
      <c r="D14" s="239"/>
      <c r="E14" s="208">
        <f>inputOth!E18</f>
        <v>0</v>
      </c>
    </row>
    <row r="15" spans="2:5" x14ac:dyDescent="0.25">
      <c r="B15" s="234" t="s">
        <v>242</v>
      </c>
      <c r="C15" s="239"/>
      <c r="D15" s="239"/>
      <c r="E15" s="208">
        <f>inputOth!E45</f>
        <v>0</v>
      </c>
    </row>
    <row r="16" spans="2:5" x14ac:dyDescent="0.25">
      <c r="B16" s="234" t="s">
        <v>243</v>
      </c>
      <c r="C16" s="239"/>
      <c r="D16" s="239"/>
      <c r="E16" s="208">
        <f>inputOth!E46</f>
        <v>0</v>
      </c>
    </row>
    <row r="17" spans="2:5" x14ac:dyDescent="0.25">
      <c r="B17" s="235" t="s">
        <v>109</v>
      </c>
      <c r="C17" s="239">
        <v>3409.16</v>
      </c>
      <c r="D17" s="239">
        <v>3100</v>
      </c>
      <c r="E17" s="242">
        <v>3146</v>
      </c>
    </row>
    <row r="18" spans="2:5" x14ac:dyDescent="0.25">
      <c r="B18" s="532" t="s">
        <v>1100</v>
      </c>
      <c r="C18" s="239">
        <v>254261.38999999998</v>
      </c>
      <c r="D18" s="239">
        <v>255840</v>
      </c>
      <c r="E18" s="242">
        <v>255840</v>
      </c>
    </row>
    <row r="19" spans="2:5" x14ac:dyDescent="0.25">
      <c r="B19" s="532" t="s">
        <v>1101</v>
      </c>
      <c r="C19" s="239">
        <v>323558.00999999995</v>
      </c>
      <c r="D19" s="239">
        <v>343420</v>
      </c>
      <c r="E19" s="242">
        <v>346854.2</v>
      </c>
    </row>
    <row r="20" spans="2:5" x14ac:dyDescent="0.25">
      <c r="B20" s="532" t="s">
        <v>766</v>
      </c>
      <c r="C20" s="239">
        <v>80156.98</v>
      </c>
      <c r="D20" s="239">
        <v>91315</v>
      </c>
      <c r="E20" s="242">
        <v>86248.910479999991</v>
      </c>
    </row>
    <row r="21" spans="2:5" x14ac:dyDescent="0.25">
      <c r="B21" s="531" t="s">
        <v>767</v>
      </c>
      <c r="C21" s="239">
        <v>143126.79000000004</v>
      </c>
      <c r="D21" s="239">
        <v>134535</v>
      </c>
      <c r="E21" s="242">
        <v>127505.952</v>
      </c>
    </row>
    <row r="22" spans="2:5" x14ac:dyDescent="0.25">
      <c r="B22" s="531" t="s">
        <v>768</v>
      </c>
      <c r="C22" s="239">
        <v>33275.21</v>
      </c>
      <c r="D22" s="239">
        <v>26300</v>
      </c>
      <c r="E22" s="239">
        <v>25800</v>
      </c>
    </row>
    <row r="23" spans="2:5" x14ac:dyDescent="0.25">
      <c r="B23" s="235" t="s">
        <v>1102</v>
      </c>
      <c r="C23" s="239">
        <v>50790</v>
      </c>
      <c r="D23" s="239">
        <v>45400</v>
      </c>
      <c r="E23" s="242">
        <v>45400</v>
      </c>
    </row>
    <row r="24" spans="2:5" x14ac:dyDescent="0.25">
      <c r="B24" s="235" t="s">
        <v>1103</v>
      </c>
      <c r="C24" s="239">
        <v>114517</v>
      </c>
      <c r="D24" s="239">
        <v>122000</v>
      </c>
      <c r="E24" s="242">
        <v>122000</v>
      </c>
    </row>
    <row r="25" spans="2:5" x14ac:dyDescent="0.25">
      <c r="B25" s="235" t="s">
        <v>1104</v>
      </c>
      <c r="C25" s="239">
        <v>84750</v>
      </c>
      <c r="D25" s="239">
        <v>90000</v>
      </c>
      <c r="E25" s="242">
        <v>86000</v>
      </c>
    </row>
    <row r="26" spans="2:5" x14ac:dyDescent="0.25">
      <c r="B26" s="235" t="s">
        <v>1105</v>
      </c>
      <c r="C26" s="239">
        <v>39000</v>
      </c>
      <c r="D26" s="239">
        <v>41000</v>
      </c>
      <c r="E26" s="242">
        <v>39000</v>
      </c>
    </row>
    <row r="27" spans="2:5" x14ac:dyDescent="0.25">
      <c r="B27" s="235" t="s">
        <v>1106</v>
      </c>
      <c r="C27" s="239"/>
      <c r="D27" s="239"/>
      <c r="E27" s="242"/>
    </row>
    <row r="28" spans="2:5" x14ac:dyDescent="0.25">
      <c r="B28" s="235" t="s">
        <v>1107</v>
      </c>
      <c r="C28" s="239">
        <v>41000</v>
      </c>
      <c r="D28" s="239">
        <v>40000</v>
      </c>
      <c r="E28" s="242">
        <v>41000</v>
      </c>
    </row>
    <row r="29" spans="2:5" x14ac:dyDescent="0.25">
      <c r="B29" s="235" t="s">
        <v>1108</v>
      </c>
      <c r="C29" s="239"/>
      <c r="D29" s="239"/>
      <c r="E29" s="242"/>
    </row>
    <row r="30" spans="2:5" x14ac:dyDescent="0.25">
      <c r="B30" s="235" t="s">
        <v>1109</v>
      </c>
      <c r="C30" s="239">
        <v>385295.4</v>
      </c>
      <c r="D30" s="239">
        <v>414225.874312</v>
      </c>
      <c r="E30" s="242">
        <v>417538.73705832497</v>
      </c>
    </row>
    <row r="31" spans="2:5" x14ac:dyDescent="0.25">
      <c r="B31" s="235" t="s">
        <v>1110</v>
      </c>
      <c r="C31" s="239">
        <v>4600</v>
      </c>
      <c r="D31" s="239">
        <v>6000</v>
      </c>
      <c r="E31" s="242">
        <v>1000</v>
      </c>
    </row>
    <row r="32" spans="2:5" x14ac:dyDescent="0.25">
      <c r="B32" s="235" t="s">
        <v>1052</v>
      </c>
      <c r="C32" s="239">
        <v>22355.43</v>
      </c>
      <c r="D32" s="239">
        <v>22000</v>
      </c>
      <c r="E32" s="242">
        <v>22000</v>
      </c>
    </row>
    <row r="33" spans="2:5" x14ac:dyDescent="0.25">
      <c r="B33" s="235" t="s">
        <v>1111</v>
      </c>
      <c r="C33" s="239">
        <v>15812.050000000005</v>
      </c>
      <c r="D33" s="239">
        <v>10000</v>
      </c>
      <c r="E33" s="242">
        <v>12000</v>
      </c>
    </row>
    <row r="34" spans="2:5" x14ac:dyDescent="0.25">
      <c r="B34" s="243" t="s">
        <v>110</v>
      </c>
      <c r="C34" s="239">
        <v>20447.110000000004</v>
      </c>
      <c r="D34" s="239">
        <v>15000</v>
      </c>
      <c r="E34" s="242">
        <v>20000</v>
      </c>
    </row>
    <row r="35" spans="2:5" x14ac:dyDescent="0.25">
      <c r="B35" s="142" t="s">
        <v>13</v>
      </c>
      <c r="C35" s="239">
        <f>2237360-2216475</f>
        <v>20885</v>
      </c>
      <c r="D35" s="239">
        <f>2268220-2247970</f>
        <v>20250</v>
      </c>
      <c r="E35" s="242">
        <f>2284085-2273835</f>
        <v>10250</v>
      </c>
    </row>
    <row r="36" spans="2:5" x14ac:dyDescent="0.25">
      <c r="B36" s="234" t="s">
        <v>781</v>
      </c>
      <c r="C36" s="244" t="str">
        <f>IF(C37*0.1&lt;C35,"Exceed 10% Rule","")</f>
        <v/>
      </c>
      <c r="D36" s="244" t="str">
        <f>IF(D37*0.1&lt;D35,"Exceed 10% Rule","")</f>
        <v/>
      </c>
      <c r="E36" s="281" t="str">
        <f>IF(E37*0.1+E81&lt;E35,"Exceed 10% Rule","")</f>
        <v/>
      </c>
    </row>
    <row r="37" spans="2:5" x14ac:dyDescent="0.25">
      <c r="B37" s="246" t="s">
        <v>111</v>
      </c>
      <c r="C37" s="248">
        <f>SUM(C9:C35)</f>
        <v>2237360.2599999998</v>
      </c>
      <c r="D37" s="248">
        <f>SUM(D9:D35)</f>
        <v>2268219.8743119999</v>
      </c>
      <c r="E37" s="249">
        <f>SUM(E10:E35)</f>
        <v>1732225.8620383248</v>
      </c>
    </row>
    <row r="38" spans="2:5" x14ac:dyDescent="0.25">
      <c r="B38" s="246" t="s">
        <v>112</v>
      </c>
      <c r="C38" s="248">
        <f>C7+C37</f>
        <v>2348745.2599999998</v>
      </c>
      <c r="D38" s="248">
        <f>D7+D37</f>
        <v>2470798.764312</v>
      </c>
      <c r="E38" s="249">
        <f>E7+E37</f>
        <v>1893085.3063503245</v>
      </c>
    </row>
    <row r="39" spans="2:5" x14ac:dyDescent="0.25">
      <c r="B39" s="32"/>
      <c r="C39" s="32"/>
      <c r="D39" s="32"/>
      <c r="E39" s="32"/>
    </row>
    <row r="40" spans="2:5" x14ac:dyDescent="0.25">
      <c r="B40" s="119" t="s">
        <v>121</v>
      </c>
      <c r="C40" s="153">
        <f>IF(inputPrYr!D19&gt;0,8,7)</f>
        <v>8</v>
      </c>
      <c r="D40" s="154"/>
      <c r="E40" s="154"/>
    </row>
    <row r="41" spans="2:5" x14ac:dyDescent="0.25">
      <c r="B41" s="154"/>
      <c r="C41" s="154"/>
      <c r="D41" s="154"/>
      <c r="E41" s="154"/>
    </row>
    <row r="42" spans="2:5" x14ac:dyDescent="0.25">
      <c r="B42" s="176" t="str">
        <f>inputPrYr!D2</f>
        <v>City of Osawatomie</v>
      </c>
      <c r="C42" s="32"/>
      <c r="D42" s="32"/>
      <c r="E42" s="151"/>
    </row>
    <row r="43" spans="2:5" x14ac:dyDescent="0.25">
      <c r="B43" s="32"/>
      <c r="C43" s="32"/>
      <c r="D43" s="32"/>
      <c r="E43" s="119"/>
    </row>
    <row r="44" spans="2:5" x14ac:dyDescent="0.25">
      <c r="B44" s="250" t="s">
        <v>169</v>
      </c>
      <c r="C44" s="201"/>
      <c r="D44" s="201"/>
      <c r="E44" s="201"/>
    </row>
    <row r="45" spans="2:5" x14ac:dyDescent="0.25">
      <c r="B45" s="32" t="s">
        <v>104</v>
      </c>
      <c r="C45" s="231" t="s">
        <v>803</v>
      </c>
      <c r="D45" s="232" t="s">
        <v>812</v>
      </c>
      <c r="E45" s="127" t="s">
        <v>805</v>
      </c>
    </row>
    <row r="46" spans="2:5" x14ac:dyDescent="0.25">
      <c r="B46" s="58" t="str">
        <f>inputPrYr!B17</f>
        <v>General</v>
      </c>
      <c r="C46" s="361" t="str">
        <f>C6</f>
        <v>Actual for 2013</v>
      </c>
      <c r="D46" s="361" t="str">
        <f>D6</f>
        <v>Estimate for 2014</v>
      </c>
      <c r="E46" s="233" t="str">
        <f>E6</f>
        <v>Year for 2015</v>
      </c>
    </row>
    <row r="47" spans="2:5" x14ac:dyDescent="0.25">
      <c r="B47" s="251" t="s">
        <v>112</v>
      </c>
      <c r="C47" s="237">
        <f>C38</f>
        <v>2348745.2599999998</v>
      </c>
      <c r="D47" s="237">
        <f>D38</f>
        <v>2470798.764312</v>
      </c>
      <c r="E47" s="208">
        <f>E38</f>
        <v>1893085.3063503245</v>
      </c>
    </row>
    <row r="48" spans="2:5" x14ac:dyDescent="0.25">
      <c r="B48" s="238" t="s">
        <v>114</v>
      </c>
      <c r="C48" s="142"/>
      <c r="D48" s="142"/>
      <c r="E48" s="68"/>
    </row>
    <row r="49" spans="2:6" x14ac:dyDescent="0.25">
      <c r="B49" s="234" t="str">
        <f>GenDetail!A7</f>
        <v>Administration</v>
      </c>
      <c r="C49" s="252">
        <f>GenDetail!B15</f>
        <v>565698.14</v>
      </c>
      <c r="D49" s="252">
        <f>GenDetail!C15</f>
        <v>593693.12</v>
      </c>
      <c r="E49" s="63">
        <f>GenDetail!D15</f>
        <v>608505.77800000005</v>
      </c>
      <c r="F49" s="253"/>
    </row>
    <row r="50" spans="2:6" x14ac:dyDescent="0.25">
      <c r="B50" s="234" t="str">
        <f>GenDetail!A16</f>
        <v>Code Enforcement</v>
      </c>
      <c r="C50" s="252">
        <f>GenDetail!B22</f>
        <v>13536.35</v>
      </c>
      <c r="D50" s="252">
        <f>GenDetail!C22</f>
        <v>77728.88</v>
      </c>
      <c r="E50" s="63">
        <f>GenDetail!D22</f>
        <v>111933.35</v>
      </c>
      <c r="F50" s="253"/>
    </row>
    <row r="51" spans="2:6" x14ac:dyDescent="0.25">
      <c r="B51" s="234" t="s">
        <v>1243</v>
      </c>
      <c r="C51" s="252">
        <f>GenDetail!B29</f>
        <v>882646.89999999991</v>
      </c>
      <c r="D51" s="252">
        <f>GenDetail!C29</f>
        <v>886135.12999999989</v>
      </c>
      <c r="E51" s="63">
        <f>GenDetail!D29</f>
        <v>903876.00599999994</v>
      </c>
    </row>
    <row r="52" spans="2:6" x14ac:dyDescent="0.25">
      <c r="B52" s="234" t="str">
        <f>GenDetail!A30</f>
        <v>John Brown Cabin</v>
      </c>
      <c r="C52" s="252">
        <f>GenDetail!B35</f>
        <v>35997.339999999997</v>
      </c>
      <c r="D52" s="252">
        <f>GenDetail!C35</f>
        <v>38827.600000000006</v>
      </c>
      <c r="E52" s="63">
        <f>GenDetail!D35</f>
        <v>39513.820000000007</v>
      </c>
    </row>
    <row r="53" spans="2:6" x14ac:dyDescent="0.25">
      <c r="B53" s="234" t="str">
        <f>GenDetail!A36</f>
        <v>Streets &amp; Alleys</v>
      </c>
      <c r="C53" s="252">
        <f>GenDetail!B42</f>
        <v>258195.54</v>
      </c>
      <c r="D53" s="252">
        <f>GenDetail!C42</f>
        <v>253291.58</v>
      </c>
      <c r="E53" s="63">
        <f>GenDetail!D42</f>
        <v>240032.84999999998</v>
      </c>
    </row>
    <row r="54" spans="2:6" x14ac:dyDescent="0.25">
      <c r="B54" s="234" t="str">
        <f>GenDetail!A43</f>
        <v>Swimming Pool</v>
      </c>
      <c r="C54" s="252">
        <f>GenDetail!B49</f>
        <v>7053.7599999999993</v>
      </c>
      <c r="D54" s="252">
        <f>GenDetail!C49</f>
        <v>3000</v>
      </c>
      <c r="E54" s="63">
        <f>GenDetail!D49</f>
        <v>3200</v>
      </c>
    </row>
    <row r="55" spans="2:6" hidden="1" x14ac:dyDescent="0.25">
      <c r="B55" s="234">
        <f>GenDetail!A50</f>
        <v>0</v>
      </c>
      <c r="C55" s="252">
        <f>GenDetail!B56</f>
        <v>0</v>
      </c>
      <c r="D55" s="252">
        <f>GenDetail!C56</f>
        <v>0</v>
      </c>
      <c r="E55" s="63">
        <f>GenDetail!D56</f>
        <v>0</v>
      </c>
    </row>
    <row r="56" spans="2:6" hidden="1" x14ac:dyDescent="0.25">
      <c r="B56" s="234">
        <f>GenDetail!A57</f>
        <v>0</v>
      </c>
      <c r="C56" s="252">
        <f>GenDetail!B63</f>
        <v>0</v>
      </c>
      <c r="D56" s="252">
        <f>GenDetail!C63</f>
        <v>0</v>
      </c>
      <c r="E56" s="63">
        <f>GenDetail!D63</f>
        <v>0</v>
      </c>
    </row>
    <row r="57" spans="2:6" x14ac:dyDescent="0.25">
      <c r="B57" s="234" t="str">
        <f>GenDetail!A75</f>
        <v>Property &amp; Maintenance</v>
      </c>
      <c r="C57" s="252">
        <f>GenDetail!B81</f>
        <v>97983.91</v>
      </c>
      <c r="D57" s="252">
        <f>GenDetail!C81</f>
        <v>146935.76</v>
      </c>
      <c r="E57" s="63">
        <f>GenDetail!D81</f>
        <v>189282.83</v>
      </c>
    </row>
    <row r="58" spans="2:6" x14ac:dyDescent="0.25">
      <c r="B58" s="234" t="str">
        <f>GenDetail!A82</f>
        <v>Fire Department</v>
      </c>
      <c r="C58" s="252">
        <f>GenDetail!B88</f>
        <v>31184.23</v>
      </c>
      <c r="D58" s="252">
        <f>GenDetail!C88</f>
        <v>39935</v>
      </c>
      <c r="E58" s="63">
        <f>GenDetail!D88</f>
        <v>41000</v>
      </c>
    </row>
    <row r="59" spans="2:6" x14ac:dyDescent="0.25">
      <c r="B59" s="234" t="str">
        <f>GenDetail!A89</f>
        <v>Municipal Court</v>
      </c>
      <c r="C59" s="252">
        <f>GenDetail!B95</f>
        <v>113935.63</v>
      </c>
      <c r="D59" s="252">
        <f>GenDetail!C95</f>
        <v>116974.23999999999</v>
      </c>
      <c r="E59" s="63">
        <f>GenDetail!D95</f>
        <v>122009.60000000001</v>
      </c>
    </row>
    <row r="60" spans="2:6" x14ac:dyDescent="0.25">
      <c r="B60" s="234" t="str">
        <f>GenDetail!A96</f>
        <v>Levees &amp; Stormwater</v>
      </c>
      <c r="C60" s="252">
        <f>GenDetail!B101</f>
        <v>7209.28</v>
      </c>
      <c r="D60" s="252">
        <f>GenDetail!C101</f>
        <v>12050</v>
      </c>
      <c r="E60" s="63">
        <f>GenDetail!D101</f>
        <v>14030</v>
      </c>
    </row>
    <row r="61" spans="2:6" x14ac:dyDescent="0.25">
      <c r="B61" s="234" t="str">
        <f>GenDetail!A102</f>
        <v>Library</v>
      </c>
      <c r="C61" s="252">
        <f>GenDetail!B108</f>
        <v>132725.28999999998</v>
      </c>
      <c r="D61" s="252">
        <f>GenDetail!C108</f>
        <v>141368.01</v>
      </c>
      <c r="E61" s="63">
        <f>GenDetail!D108</f>
        <v>148006.94</v>
      </c>
    </row>
    <row r="62" spans="2:6" hidden="1" x14ac:dyDescent="0.25">
      <c r="B62" s="234">
        <f>GenDetail!A109</f>
        <v>0</v>
      </c>
      <c r="C62" s="252">
        <f>GenDetail!B115</f>
        <v>0</v>
      </c>
      <c r="D62" s="252">
        <f>GenDetail!C115</f>
        <v>0</v>
      </c>
      <c r="E62" s="63">
        <f>GenDetail!D115</f>
        <v>0</v>
      </c>
    </row>
    <row r="63" spans="2:6" hidden="1" x14ac:dyDescent="0.25">
      <c r="B63" s="234">
        <f>GenDetail!A116</f>
        <v>0</v>
      </c>
      <c r="C63" s="252">
        <f>GenDetail!B122</f>
        <v>0</v>
      </c>
      <c r="D63" s="252">
        <f>GenDetail!C122</f>
        <v>0</v>
      </c>
      <c r="E63" s="63">
        <f>GenDetail!D122</f>
        <v>0</v>
      </c>
    </row>
    <row r="64" spans="2:6" hidden="1" x14ac:dyDescent="0.25">
      <c r="B64" s="234">
        <f>GenDetail!A123</f>
        <v>0</v>
      </c>
      <c r="C64" s="252">
        <f>GenDetail!B129</f>
        <v>0</v>
      </c>
      <c r="D64" s="252">
        <f>GenDetail!C129</f>
        <v>0</v>
      </c>
      <c r="E64" s="63">
        <f>GenDetail!D129</f>
        <v>0</v>
      </c>
    </row>
    <row r="65" spans="2:11" x14ac:dyDescent="0.25">
      <c r="B65" s="254" t="s">
        <v>630</v>
      </c>
      <c r="C65" s="362">
        <f>SUM(C49:C64)</f>
        <v>2146166.3699999996</v>
      </c>
      <c r="D65" s="362">
        <f>SUM(D49:D64)</f>
        <v>2309939.3200000003</v>
      </c>
      <c r="E65" s="268">
        <f>SUM(E49:E64)</f>
        <v>2421391.1740000001</v>
      </c>
    </row>
    <row r="66" spans="2:11" hidden="1" x14ac:dyDescent="0.25">
      <c r="B66" s="243"/>
      <c r="C66" s="239"/>
      <c r="D66" s="239"/>
      <c r="E66" s="242"/>
    </row>
    <row r="67" spans="2:11" hidden="1" x14ac:dyDescent="0.25">
      <c r="B67" s="243"/>
      <c r="C67" s="239"/>
      <c r="D67" s="239"/>
      <c r="E67" s="242"/>
    </row>
    <row r="68" spans="2:11" hidden="1" x14ac:dyDescent="0.25">
      <c r="B68" s="243"/>
      <c r="C68" s="239"/>
      <c r="D68" s="239"/>
      <c r="E68" s="242"/>
    </row>
    <row r="69" spans="2:11" hidden="1" x14ac:dyDescent="0.25">
      <c r="B69" s="243"/>
      <c r="C69" s="239"/>
      <c r="D69" s="239"/>
      <c r="E69" s="242"/>
    </row>
    <row r="70" spans="2:11" x14ac:dyDescent="0.25">
      <c r="B70" s="243"/>
      <c r="C70" s="239"/>
      <c r="D70" s="239"/>
      <c r="E70" s="242"/>
    </row>
    <row r="71" spans="2:11" x14ac:dyDescent="0.25">
      <c r="B71" s="256" t="s">
        <v>12</v>
      </c>
      <c r="C71" s="239"/>
      <c r="D71" s="239"/>
      <c r="E71" s="257" t="str">
        <f>nhood!E6</f>
        <v/>
      </c>
    </row>
    <row r="72" spans="2:11" x14ac:dyDescent="0.25">
      <c r="B72" s="256" t="s">
        <v>13</v>
      </c>
      <c r="C72" s="239">
        <f>SUM(C66:C71)</f>
        <v>0</v>
      </c>
      <c r="D72" s="239">
        <f t="shared" ref="D72:E72" si="0">SUM(D66:D71)</f>
        <v>0</v>
      </c>
      <c r="E72" s="239">
        <f t="shared" si="0"/>
        <v>0</v>
      </c>
      <c r="G72" s="1027" t="str">
        <f>CONCATENATE("Projected Carryover Into ",E1+1,"")</f>
        <v>Projected Carryover Into 2016</v>
      </c>
      <c r="H72" s="1028"/>
      <c r="I72" s="1028"/>
      <c r="J72" s="1029"/>
    </row>
    <row r="73" spans="2:11" x14ac:dyDescent="0.25">
      <c r="B73" s="256" t="s">
        <v>782</v>
      </c>
      <c r="C73" s="244" t="str">
        <f>IF(C74*0.1&lt;C72,"Exceed 10% Rule","")</f>
        <v/>
      </c>
      <c r="D73" s="244" t="str">
        <f>IF(D74*0.1&lt;D72,"Exceed 10% Rule","")</f>
        <v/>
      </c>
      <c r="E73" s="281" t="str">
        <f>IF(E74*0.1&lt;E72,"Exceed 10% Rule","")</f>
        <v/>
      </c>
      <c r="G73" s="747"/>
      <c r="H73" s="748"/>
      <c r="I73" s="748"/>
      <c r="J73" s="749"/>
    </row>
    <row r="74" spans="2:11" x14ac:dyDescent="0.25">
      <c r="B74" s="246" t="s">
        <v>118</v>
      </c>
      <c r="C74" s="248">
        <f>SUM(C65:C72)</f>
        <v>2146166.3699999996</v>
      </c>
      <c r="D74" s="248">
        <f>SUM(D65:D72)</f>
        <v>2309939.3200000003</v>
      </c>
      <c r="E74" s="249">
        <f>SUM(E65:E72)</f>
        <v>2421391.1740000001</v>
      </c>
      <c r="G74" s="753">
        <f>D75</f>
        <v>160859.44431199972</v>
      </c>
      <c r="H74" s="754" t="str">
        <f>CONCATENATE("",E1-1," Ending Cash Balance (est.)")</f>
        <v>2014 Ending Cash Balance (est.)</v>
      </c>
      <c r="I74" s="755"/>
      <c r="J74" s="749"/>
    </row>
    <row r="75" spans="2:11" x14ac:dyDescent="0.25">
      <c r="B75" s="133" t="s">
        <v>213</v>
      </c>
      <c r="C75" s="252">
        <f>C38-C74</f>
        <v>202578.89000000013</v>
      </c>
      <c r="D75" s="252">
        <f>D38-D74</f>
        <v>160859.44431199972</v>
      </c>
      <c r="E75" s="241" t="s">
        <v>93</v>
      </c>
      <c r="G75" s="753">
        <f>E37</f>
        <v>1732225.8620383248</v>
      </c>
      <c r="H75" s="750" t="str">
        <f>CONCATENATE("",E1," Non-AV Receipts (est.)")</f>
        <v>2015 Non-AV Receipts (est.)</v>
      </c>
      <c r="I75" s="755"/>
      <c r="J75" s="749"/>
    </row>
    <row r="76" spans="2:11" x14ac:dyDescent="0.25">
      <c r="B76" s="153" t="str">
        <f>CONCATENATE("",E1-2,"/",E1-1,"/",E1," Budget Authority Amount:")</f>
        <v>2013/2014/2015 Budget Authority Amount:</v>
      </c>
      <c r="C76" s="824">
        <f>inputOth!B63</f>
        <v>2190000</v>
      </c>
      <c r="D76" s="824">
        <f>inputPrYr!D17</f>
        <v>2267715</v>
      </c>
      <c r="E76" s="208">
        <f>E74</f>
        <v>2421391.1740000001</v>
      </c>
      <c r="F76" s="258"/>
      <c r="G76" s="756">
        <f>IF(E80&gt;0,E79,E81)</f>
        <v>551858.86764967558</v>
      </c>
      <c r="H76" s="750" t="str">
        <f>CONCATENATE("",E1," Ad Valorem Tax (est.)")</f>
        <v>2015 Ad Valorem Tax (est.)</v>
      </c>
      <c r="I76" s="755"/>
      <c r="J76" s="749"/>
      <c r="K76" s="757" t="str">
        <f>IF(G76=E81,"","Note: Does not include Delinquent Taxes")</f>
        <v>Note: Does not include Delinquent Taxes</v>
      </c>
    </row>
    <row r="77" spans="2:11" x14ac:dyDescent="0.25">
      <c r="B77" s="119"/>
      <c r="C77" s="1021" t="s">
        <v>628</v>
      </c>
      <c r="D77" s="1022"/>
      <c r="E77" s="242">
        <v>23553</v>
      </c>
      <c r="F77" s="429" t="str">
        <f>IF(E74/0.95-E74&lt;E77,"Exceeds 5%","")</f>
        <v/>
      </c>
      <c r="G77" s="753">
        <f>SUM(G74:G76)</f>
        <v>2444944.1740000001</v>
      </c>
      <c r="H77" s="750" t="str">
        <f>CONCATENATE("Total ",E1," Resources Available")</f>
        <v>Total 2015 Resources Available</v>
      </c>
      <c r="I77" s="755"/>
      <c r="J77" s="749"/>
    </row>
    <row r="78" spans="2:11" x14ac:dyDescent="0.25">
      <c r="B78" s="526" t="str">
        <f>CONCATENATE(C95,"     ",D95)</f>
        <v xml:space="preserve">     See Tab C</v>
      </c>
      <c r="C78" s="1023" t="s">
        <v>629</v>
      </c>
      <c r="D78" s="1024"/>
      <c r="E78" s="208">
        <f>E74+E77</f>
        <v>2444944.1740000001</v>
      </c>
      <c r="G78" s="758"/>
      <c r="H78" s="750"/>
      <c r="I78" s="750"/>
      <c r="J78" s="749"/>
    </row>
    <row r="79" spans="2:11" x14ac:dyDescent="0.25">
      <c r="B79" s="526" t="str">
        <f>CONCATENATE(C96,"     ",D96)</f>
        <v xml:space="preserve">     </v>
      </c>
      <c r="C79" s="259"/>
      <c r="D79" s="151" t="s">
        <v>119</v>
      </c>
      <c r="E79" s="63">
        <f>IF(E78-E38&gt;0,E78-E38,0)</f>
        <v>551858.86764967558</v>
      </c>
      <c r="G79" s="756">
        <f>C74*0.05+C74</f>
        <v>2253474.6884999997</v>
      </c>
      <c r="H79" s="750" t="str">
        <f>CONCATENATE("Less ",E1-2," Expenditures + 5%")</f>
        <v>Less 2013 Expenditures + 5%</v>
      </c>
      <c r="I79" s="755"/>
      <c r="J79" s="749"/>
    </row>
    <row r="80" spans="2:11" x14ac:dyDescent="0.25">
      <c r="B80" s="151"/>
      <c r="C80" s="369" t="s">
        <v>627</v>
      </c>
      <c r="D80" s="732">
        <f>inputOth!$E$50</f>
        <v>0.08</v>
      </c>
      <c r="E80" s="661">
        <f>ROUND(IF(D80&gt;0,(E79*D80),0),0)</f>
        <v>44149</v>
      </c>
      <c r="G80" s="759">
        <f>G77-G79</f>
        <v>191469.48550000042</v>
      </c>
      <c r="H80" s="760" t="str">
        <f>CONCATENATE("Projected ",E1+1," Carryover (est.)")</f>
        <v>Projected 2016 Carryover (est.)</v>
      </c>
      <c r="I80" s="761"/>
      <c r="J80" s="762"/>
    </row>
    <row r="81" spans="2:10" ht="16.2" thickBot="1" x14ac:dyDescent="0.3">
      <c r="B81" s="32"/>
      <c r="C81" s="1025" t="str">
        <f>CONCATENATE("Amount of  ",$E$1-1," Ad Valorem Tax")</f>
        <v>Amount of  2014 Ad Valorem Tax</v>
      </c>
      <c r="D81" s="1026"/>
      <c r="E81" s="733">
        <f>E79+E80</f>
        <v>596007.86764967558</v>
      </c>
    </row>
    <row r="82" spans="2:10" ht="16.2" thickTop="1" x14ac:dyDescent="0.25">
      <c r="B82" s="32"/>
      <c r="C82" s="32"/>
      <c r="D82" s="32"/>
      <c r="E82" s="32"/>
      <c r="G82" s="1018" t="s">
        <v>807</v>
      </c>
      <c r="H82" s="1019"/>
      <c r="I82" s="1019"/>
      <c r="J82" s="1020"/>
    </row>
    <row r="83" spans="2:10" x14ac:dyDescent="0.25">
      <c r="B83" s="119" t="s">
        <v>113</v>
      </c>
      <c r="C83" s="153" t="str">
        <f>CONCATENATE("",C40,"b")</f>
        <v>8b</v>
      </c>
      <c r="D83" s="154"/>
      <c r="E83" s="154"/>
      <c r="G83" s="763"/>
      <c r="H83" s="764"/>
      <c r="I83" s="765"/>
      <c r="J83" s="766"/>
    </row>
    <row r="84" spans="2:10" x14ac:dyDescent="0.25">
      <c r="G84" s="767">
        <f>summ!H15</f>
        <v>26.765000000000001</v>
      </c>
      <c r="H84" s="764" t="str">
        <f>CONCATENATE("",E1," Fund Mill Rate")</f>
        <v>2015 Fund Mill Rate</v>
      </c>
      <c r="I84" s="765"/>
      <c r="J84" s="766"/>
    </row>
    <row r="85" spans="2:10" x14ac:dyDescent="0.25">
      <c r="B85" s="87"/>
      <c r="G85" s="768">
        <f>summ!E15</f>
        <v>24.094000000000001</v>
      </c>
      <c r="H85" s="764" t="str">
        <f>CONCATENATE("",E1-1," Fund Mill Rate")</f>
        <v>2014 Fund Mill Rate</v>
      </c>
      <c r="I85" s="765"/>
      <c r="J85" s="766"/>
    </row>
    <row r="86" spans="2:10" x14ac:dyDescent="0.25">
      <c r="G86" s="769">
        <f>summ!H52</f>
        <v>64.292999999999992</v>
      </c>
      <c r="H86" s="764" t="str">
        <f>CONCATENATE("Total ",E1," Mill Rate")</f>
        <v>Total 2015 Mill Rate</v>
      </c>
      <c r="I86" s="765"/>
      <c r="J86" s="766"/>
    </row>
    <row r="87" spans="2:10" x14ac:dyDescent="0.25">
      <c r="G87" s="768">
        <f>summ!E52</f>
        <v>59.930999999999997</v>
      </c>
      <c r="H87" s="770" t="str">
        <f>CONCATENATE("Total ",E1-1," Mill Rate")</f>
        <v>Total 2014 Mill Rate</v>
      </c>
      <c r="I87" s="771"/>
      <c r="J87" s="772"/>
    </row>
    <row r="88" spans="2:10" x14ac:dyDescent="0.25">
      <c r="B88" s="18"/>
      <c r="C88" s="18"/>
      <c r="G88" s="727"/>
      <c r="H88" s="728"/>
      <c r="I88" s="729"/>
      <c r="J88" s="730"/>
    </row>
    <row r="89" spans="2:10" x14ac:dyDescent="0.25">
      <c r="G89" s="920" t="s">
        <v>986</v>
      </c>
      <c r="H89" s="865"/>
      <c r="I89" s="864" t="str">
        <f>cert!F60</f>
        <v>Yes</v>
      </c>
      <c r="J89" s="731"/>
    </row>
    <row r="95" spans="2:10" hidden="1" x14ac:dyDescent="0.25">
      <c r="C95" s="525" t="str">
        <f>IF(C74&gt;C76,"See Tab A","")</f>
        <v/>
      </c>
      <c r="D95" s="525" t="str">
        <f>IF(D74&gt;D76,"See Tab C","")</f>
        <v>See Tab C</v>
      </c>
    </row>
    <row r="96" spans="2:10" hidden="1" x14ac:dyDescent="0.25">
      <c r="C96" s="525" t="str">
        <f>IF(C75&lt;0,"See Tab B","")</f>
        <v/>
      </c>
      <c r="D96" s="525" t="str">
        <f>IF(D75&lt;0,"See Tab D","")</f>
        <v/>
      </c>
    </row>
  </sheetData>
  <sheetProtection sheet="1" objects="1" scenarios="1"/>
  <mergeCells count="5">
    <mergeCell ref="G82:J82"/>
    <mergeCell ref="C77:D77"/>
    <mergeCell ref="C78:D78"/>
    <mergeCell ref="C81:D81"/>
    <mergeCell ref="G72:J72"/>
  </mergeCells>
  <phoneticPr fontId="0" type="noConversion"/>
  <conditionalFormatting sqref="E77">
    <cfRule type="cellIs" dxfId="326" priority="4" stopIfTrue="1" operator="greaterThan">
      <formula>$E$74/0.95-$E$74</formula>
    </cfRule>
  </conditionalFormatting>
  <conditionalFormatting sqref="D74">
    <cfRule type="cellIs" dxfId="325" priority="5" stopIfTrue="1" operator="greaterThan">
      <formula>$D$76</formula>
    </cfRule>
  </conditionalFormatting>
  <conditionalFormatting sqref="C74">
    <cfRule type="cellIs" dxfId="324" priority="6" stopIfTrue="1" operator="greaterThan">
      <formula>$C$76</formula>
    </cfRule>
  </conditionalFormatting>
  <conditionalFormatting sqref="C75">
    <cfRule type="cellIs" dxfId="323" priority="7" stopIfTrue="1" operator="lessThan">
      <formula>0</formula>
    </cfRule>
  </conditionalFormatting>
  <conditionalFormatting sqref="C72">
    <cfRule type="cellIs" dxfId="322" priority="8" stopIfTrue="1" operator="greaterThan">
      <formula>$C$74*0.1</formula>
    </cfRule>
  </conditionalFormatting>
  <conditionalFormatting sqref="D35">
    <cfRule type="cellIs" dxfId="321" priority="10" stopIfTrue="1" operator="greaterThan">
      <formula>$D$37*0.1</formula>
    </cfRule>
  </conditionalFormatting>
  <conditionalFormatting sqref="C35">
    <cfRule type="cellIs" dxfId="320" priority="11" stopIfTrue="1" operator="greaterThan">
      <formula>$C$37*0.1</formula>
    </cfRule>
  </conditionalFormatting>
  <conditionalFormatting sqref="E35">
    <cfRule type="cellIs" dxfId="319" priority="12" stopIfTrue="1" operator="greaterThan">
      <formula>$E$37*0.1+E81</formula>
    </cfRule>
  </conditionalFormatting>
  <conditionalFormatting sqref="D75">
    <cfRule type="cellIs" dxfId="318" priority="2" stopIfTrue="1" operator="lessThan">
      <formula>0</formula>
    </cfRule>
  </conditionalFormatting>
  <conditionalFormatting sqref="D72:E72">
    <cfRule type="cellIs" dxfId="317" priority="1" stopIfTrue="1" operator="greaterThan">
      <formula>$C$74*0.1</formula>
    </cfRule>
  </conditionalFormatting>
  <pageMargins left="0.5" right="0.5" top="1" bottom="0.5" header="0.5" footer="0.5"/>
  <pageSetup fitToHeight="4" orientation="portrait" blackAndWhite="1" horizontalDpi="120" verticalDpi="144" r:id="rId1"/>
  <headerFooter alignWithMargins="0">
    <oddHeader>&amp;RState of Kansas
City</oddHeader>
  </headerFooter>
  <rowBreaks count="1" manualBreakCount="1">
    <brk id="41" min="1" max="4"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35"/>
  <sheetViews>
    <sheetView view="pageBreakPreview" zoomScale="70" zoomScaleNormal="85" zoomScaleSheetLayoutView="70" workbookViewId="0">
      <selection activeCell="A64" sqref="A64"/>
    </sheetView>
  </sheetViews>
  <sheetFormatPr defaultColWidth="8.9140625" defaultRowHeight="15.6" x14ac:dyDescent="0.25"/>
  <cols>
    <col min="1" max="1" width="28.33203125" style="18" customWidth="1"/>
    <col min="2" max="3" width="15.75" style="18" customWidth="1"/>
    <col min="4" max="4" width="16.08203125" style="18" customWidth="1"/>
    <col min="5" max="16384" width="8.9140625" style="18"/>
  </cols>
  <sheetData>
    <row r="1" spans="1:4" x14ac:dyDescent="0.25">
      <c r="A1" s="176" t="str">
        <f>inputPrYr!D2</f>
        <v>City of Osawatomie</v>
      </c>
      <c r="B1" s="32"/>
      <c r="C1" s="153"/>
      <c r="D1" s="32">
        <f>inputPrYr!C5</f>
        <v>2015</v>
      </c>
    </row>
    <row r="2" spans="1:4" x14ac:dyDescent="0.25">
      <c r="A2" s="32"/>
      <c r="B2" s="32"/>
      <c r="C2" s="32"/>
      <c r="D2" s="153"/>
    </row>
    <row r="3" spans="1:4" x14ac:dyDescent="0.25">
      <c r="A3" s="229"/>
      <c r="B3" s="260"/>
      <c r="C3" s="260"/>
      <c r="D3" s="260"/>
    </row>
    <row r="4" spans="1:4" x14ac:dyDescent="0.25">
      <c r="A4" s="206" t="s">
        <v>104</v>
      </c>
      <c r="B4" s="261" t="s">
        <v>803</v>
      </c>
      <c r="C4" s="127" t="s">
        <v>804</v>
      </c>
      <c r="D4" s="127" t="s">
        <v>805</v>
      </c>
    </row>
    <row r="5" spans="1:4" x14ac:dyDescent="0.25">
      <c r="A5" s="52" t="s">
        <v>371</v>
      </c>
      <c r="B5" s="233" t="str">
        <f>CONCATENATE("Actual for ",D1-2,"")</f>
        <v>Actual for 2013</v>
      </c>
      <c r="C5" s="233" t="str">
        <f>CONCATENATE("Estimate for ",D1-1,"")</f>
        <v>Estimate for 2014</v>
      </c>
      <c r="D5" s="233" t="str">
        <f>CONCATENATE("Year for ",D1,"")</f>
        <v>Year for 2015</v>
      </c>
    </row>
    <row r="6" spans="1:4" x14ac:dyDescent="0.25">
      <c r="A6" s="206" t="s">
        <v>114</v>
      </c>
      <c r="B6" s="68"/>
      <c r="C6" s="68"/>
      <c r="D6" s="68"/>
    </row>
    <row r="7" spans="1:4" x14ac:dyDescent="0.25">
      <c r="A7" s="964" t="s">
        <v>1112</v>
      </c>
      <c r="B7" s="68"/>
      <c r="C7" s="68"/>
      <c r="D7" s="68"/>
    </row>
    <row r="8" spans="1:4" x14ac:dyDescent="0.25">
      <c r="A8" s="262" t="s">
        <v>122</v>
      </c>
      <c r="B8" s="242">
        <v>404005.13000000006</v>
      </c>
      <c r="C8" s="242">
        <v>365713.12</v>
      </c>
      <c r="D8" s="242">
        <v>356317.77800000005</v>
      </c>
    </row>
    <row r="9" spans="1:4" x14ac:dyDescent="0.25">
      <c r="A9" s="262" t="s">
        <v>115</v>
      </c>
      <c r="B9" s="242">
        <v>116689.5</v>
      </c>
      <c r="C9" s="242">
        <v>180780</v>
      </c>
      <c r="D9" s="242">
        <v>198938</v>
      </c>
    </row>
    <row r="10" spans="1:4" x14ac:dyDescent="0.25">
      <c r="A10" s="262" t="s">
        <v>116</v>
      </c>
      <c r="B10" s="242">
        <v>37456.01</v>
      </c>
      <c r="C10" s="242">
        <v>26200</v>
      </c>
      <c r="D10" s="242">
        <v>27950</v>
      </c>
    </row>
    <row r="11" spans="1:4" x14ac:dyDescent="0.25">
      <c r="A11" s="262" t="s">
        <v>117</v>
      </c>
      <c r="B11" s="242">
        <v>389.67</v>
      </c>
      <c r="C11" s="242">
        <v>14000</v>
      </c>
      <c r="D11" s="242">
        <v>18000</v>
      </c>
    </row>
    <row r="12" spans="1:4" x14ac:dyDescent="0.25">
      <c r="A12" s="262" t="s">
        <v>1161</v>
      </c>
      <c r="B12" s="242">
        <v>7157.83</v>
      </c>
      <c r="C12" s="242">
        <v>7000</v>
      </c>
      <c r="D12" s="242">
        <v>7300</v>
      </c>
    </row>
    <row r="13" spans="1:4" hidden="1" x14ac:dyDescent="0.25">
      <c r="A13" s="50"/>
      <c r="B13" s="242"/>
      <c r="C13" s="242"/>
      <c r="D13" s="242"/>
    </row>
    <row r="14" spans="1:4" hidden="1" x14ac:dyDescent="0.25">
      <c r="A14" s="50"/>
      <c r="B14" s="242"/>
      <c r="C14" s="242"/>
      <c r="D14" s="242"/>
    </row>
    <row r="15" spans="1:4" x14ac:dyDescent="0.25">
      <c r="A15" s="206" t="s">
        <v>76</v>
      </c>
      <c r="B15" s="247">
        <f>SUM(B8:B14)</f>
        <v>565698.14</v>
      </c>
      <c r="C15" s="247">
        <f>SUM(C8:C14)</f>
        <v>593693.12</v>
      </c>
      <c r="D15" s="247">
        <f>SUM(D8:D14)</f>
        <v>608505.77800000005</v>
      </c>
    </row>
    <row r="16" spans="1:4" x14ac:dyDescent="0.25">
      <c r="A16" s="965" t="s">
        <v>1115</v>
      </c>
      <c r="B16" s="176"/>
      <c r="C16" s="176"/>
      <c r="D16" s="176"/>
    </row>
    <row r="17" spans="1:4" x14ac:dyDescent="0.25">
      <c r="A17" s="262" t="s">
        <v>122</v>
      </c>
      <c r="B17" s="242">
        <v>0</v>
      </c>
      <c r="C17" s="242">
        <v>67728.88</v>
      </c>
      <c r="D17" s="242">
        <v>86933.35</v>
      </c>
    </row>
    <row r="18" spans="1:4" x14ac:dyDescent="0.25">
      <c r="A18" s="262" t="s">
        <v>115</v>
      </c>
      <c r="B18" s="242">
        <v>13536.35</v>
      </c>
      <c r="C18" s="242">
        <v>10000</v>
      </c>
      <c r="D18" s="242">
        <v>25000</v>
      </c>
    </row>
    <row r="19" spans="1:4" hidden="1" x14ac:dyDescent="0.25">
      <c r="A19" s="262"/>
      <c r="B19" s="242"/>
      <c r="C19" s="242"/>
      <c r="D19" s="242"/>
    </row>
    <row r="20" spans="1:4" hidden="1" x14ac:dyDescent="0.25">
      <c r="A20" s="262"/>
      <c r="B20" s="242"/>
      <c r="C20" s="242"/>
      <c r="D20" s="242"/>
    </row>
    <row r="21" spans="1:4" hidden="1" x14ac:dyDescent="0.25">
      <c r="A21" s="262"/>
      <c r="B21" s="242"/>
      <c r="C21" s="242"/>
      <c r="D21" s="242"/>
    </row>
    <row r="22" spans="1:4" x14ac:dyDescent="0.25">
      <c r="A22" s="206" t="s">
        <v>76</v>
      </c>
      <c r="B22" s="247">
        <f>SUM(B17:B21)</f>
        <v>13536.35</v>
      </c>
      <c r="C22" s="247">
        <f>SUM(C17:C21)</f>
        <v>77728.88</v>
      </c>
      <c r="D22" s="247">
        <f>SUM(D17:D21)</f>
        <v>111933.35</v>
      </c>
    </row>
    <row r="23" spans="1:4" x14ac:dyDescent="0.25">
      <c r="A23" s="965" t="s">
        <v>1243</v>
      </c>
      <c r="B23" s="176"/>
      <c r="C23" s="176"/>
      <c r="D23" s="176"/>
    </row>
    <row r="24" spans="1:4" x14ac:dyDescent="0.25">
      <c r="A24" s="262" t="s">
        <v>122</v>
      </c>
      <c r="B24" s="242">
        <v>746622.14999999991</v>
      </c>
      <c r="C24" s="242">
        <v>729535.12999999989</v>
      </c>
      <c r="D24" s="242">
        <v>746076.00599999994</v>
      </c>
    </row>
    <row r="25" spans="1:4" x14ac:dyDescent="0.25">
      <c r="A25" s="262" t="s">
        <v>115</v>
      </c>
      <c r="B25" s="242">
        <v>73137.909999999989</v>
      </c>
      <c r="C25" s="242">
        <v>85700</v>
      </c>
      <c r="D25" s="242">
        <v>85400</v>
      </c>
    </row>
    <row r="26" spans="1:4" x14ac:dyDescent="0.25">
      <c r="A26" s="262" t="s">
        <v>116</v>
      </c>
      <c r="B26" s="242">
        <v>62676.849999999991</v>
      </c>
      <c r="C26" s="242">
        <v>64900</v>
      </c>
      <c r="D26" s="242">
        <v>66400</v>
      </c>
    </row>
    <row r="27" spans="1:4" x14ac:dyDescent="0.25">
      <c r="A27" s="262" t="s">
        <v>117</v>
      </c>
      <c r="B27" s="242">
        <v>209.99</v>
      </c>
      <c r="C27" s="242">
        <v>6000</v>
      </c>
      <c r="D27" s="242">
        <v>6000</v>
      </c>
    </row>
    <row r="28" spans="1:4" hidden="1" x14ac:dyDescent="0.25">
      <c r="A28" s="262"/>
      <c r="B28" s="242"/>
      <c r="C28" s="242"/>
      <c r="D28" s="242"/>
    </row>
    <row r="29" spans="1:4" x14ac:dyDescent="0.25">
      <c r="A29" s="206" t="s">
        <v>76</v>
      </c>
      <c r="B29" s="247">
        <f>SUM(B24:B28)</f>
        <v>882646.89999999991</v>
      </c>
      <c r="C29" s="247">
        <f>SUM(C24:C28)</f>
        <v>886135.12999999989</v>
      </c>
      <c r="D29" s="247">
        <f>SUM(D24:D28)</f>
        <v>903876.00599999994</v>
      </c>
    </row>
    <row r="30" spans="1:4" x14ac:dyDescent="0.25">
      <c r="A30" s="965" t="s">
        <v>1113</v>
      </c>
      <c r="B30" s="176"/>
      <c r="C30" s="176"/>
      <c r="D30" s="176"/>
    </row>
    <row r="31" spans="1:4" x14ac:dyDescent="0.25">
      <c r="A31" s="262" t="s">
        <v>122</v>
      </c>
      <c r="B31" s="242">
        <v>27152.28</v>
      </c>
      <c r="C31" s="242">
        <v>27327.600000000002</v>
      </c>
      <c r="D31" s="242">
        <v>27513.820000000003</v>
      </c>
    </row>
    <row r="32" spans="1:4" x14ac:dyDescent="0.25">
      <c r="A32" s="262" t="s">
        <v>115</v>
      </c>
      <c r="B32" s="242">
        <v>8770.68</v>
      </c>
      <c r="C32" s="242">
        <v>9250</v>
      </c>
      <c r="D32" s="242">
        <v>9500</v>
      </c>
    </row>
    <row r="33" spans="1:4" x14ac:dyDescent="0.25">
      <c r="A33" s="262" t="s">
        <v>116</v>
      </c>
      <c r="B33" s="242">
        <v>74.38</v>
      </c>
      <c r="C33" s="242">
        <v>1250</v>
      </c>
      <c r="D33" s="242">
        <v>1500</v>
      </c>
    </row>
    <row r="34" spans="1:4" x14ac:dyDescent="0.25">
      <c r="A34" s="262" t="s">
        <v>117</v>
      </c>
      <c r="B34" s="242">
        <v>0</v>
      </c>
      <c r="C34" s="242">
        <v>1000</v>
      </c>
      <c r="D34" s="242">
        <v>1000</v>
      </c>
    </row>
    <row r="35" spans="1:4" x14ac:dyDescent="0.25">
      <c r="A35" s="206" t="s">
        <v>76</v>
      </c>
      <c r="B35" s="247">
        <f>SUM(B31:B34)</f>
        <v>35997.339999999997</v>
      </c>
      <c r="C35" s="247">
        <f>SUM(C31:C34)</f>
        <v>38827.600000000006</v>
      </c>
      <c r="D35" s="247">
        <f>SUM(D31:D34)</f>
        <v>39513.820000000007</v>
      </c>
    </row>
    <row r="36" spans="1:4" x14ac:dyDescent="0.25">
      <c r="A36" s="965" t="s">
        <v>1114</v>
      </c>
      <c r="B36" s="176"/>
      <c r="C36" s="176"/>
      <c r="D36" s="176"/>
    </row>
    <row r="37" spans="1:4" x14ac:dyDescent="0.25">
      <c r="A37" s="262" t="s">
        <v>122</v>
      </c>
      <c r="B37" s="242">
        <v>175763.61000000002</v>
      </c>
      <c r="C37" s="242">
        <v>166241.57999999999</v>
      </c>
      <c r="D37" s="242">
        <v>150132.84999999998</v>
      </c>
    </row>
    <row r="38" spans="1:4" x14ac:dyDescent="0.25">
      <c r="A38" s="262" t="s">
        <v>115</v>
      </c>
      <c r="B38" s="242">
        <v>27589.53</v>
      </c>
      <c r="C38" s="242">
        <v>30450</v>
      </c>
      <c r="D38" s="242">
        <v>32800</v>
      </c>
    </row>
    <row r="39" spans="1:4" x14ac:dyDescent="0.25">
      <c r="A39" s="262" t="s">
        <v>116</v>
      </c>
      <c r="B39" s="242">
        <v>54842.400000000001</v>
      </c>
      <c r="C39" s="242">
        <v>55100</v>
      </c>
      <c r="D39" s="242">
        <v>55600</v>
      </c>
    </row>
    <row r="40" spans="1:4" x14ac:dyDescent="0.25">
      <c r="A40" s="262" t="s">
        <v>117</v>
      </c>
      <c r="B40" s="242">
        <v>0</v>
      </c>
      <c r="C40" s="242">
        <v>1500</v>
      </c>
      <c r="D40" s="242">
        <v>1500</v>
      </c>
    </row>
    <row r="41" spans="1:4" hidden="1" x14ac:dyDescent="0.25">
      <c r="A41" s="262"/>
      <c r="B41" s="242"/>
      <c r="C41" s="242"/>
      <c r="D41" s="242"/>
    </row>
    <row r="42" spans="1:4" x14ac:dyDescent="0.25">
      <c r="A42" s="206" t="s">
        <v>76</v>
      </c>
      <c r="B42" s="247">
        <f>SUM(B37:B41)</f>
        <v>258195.54</v>
      </c>
      <c r="C42" s="247">
        <f>SUM(C37:C41)</f>
        <v>253291.58</v>
      </c>
      <c r="D42" s="247">
        <f>SUM(D37:D41)</f>
        <v>240032.84999999998</v>
      </c>
    </row>
    <row r="43" spans="1:4" x14ac:dyDescent="0.25">
      <c r="A43" s="965" t="s">
        <v>1116</v>
      </c>
      <c r="B43" s="176"/>
      <c r="C43" s="176"/>
      <c r="D43" s="176"/>
    </row>
    <row r="44" spans="1:4" x14ac:dyDescent="0.25">
      <c r="A44" s="262" t="s">
        <v>122</v>
      </c>
      <c r="B44" s="242">
        <v>2898.5799999999995</v>
      </c>
      <c r="C44" s="242">
        <v>3000</v>
      </c>
      <c r="D44" s="242">
        <v>3200</v>
      </c>
    </row>
    <row r="45" spans="1:4" x14ac:dyDescent="0.25">
      <c r="A45" s="262" t="s">
        <v>115</v>
      </c>
      <c r="B45" s="242">
        <v>3655.18</v>
      </c>
      <c r="C45" s="242">
        <v>0</v>
      </c>
      <c r="D45" s="242">
        <v>0</v>
      </c>
    </row>
    <row r="46" spans="1:4" x14ac:dyDescent="0.25">
      <c r="A46" s="262" t="s">
        <v>116</v>
      </c>
      <c r="B46" s="242">
        <v>500</v>
      </c>
      <c r="C46" s="242">
        <v>0</v>
      </c>
      <c r="D46" s="242">
        <v>0</v>
      </c>
    </row>
    <row r="47" spans="1:4" hidden="1" x14ac:dyDescent="0.25">
      <c r="A47" s="262" t="s">
        <v>117</v>
      </c>
      <c r="B47" s="242">
        <v>0</v>
      </c>
      <c r="C47" s="242">
        <v>0</v>
      </c>
      <c r="D47" s="242">
        <v>0</v>
      </c>
    </row>
    <row r="48" spans="1:4" hidden="1" x14ac:dyDescent="0.25">
      <c r="A48" s="262"/>
      <c r="B48" s="242"/>
      <c r="C48" s="242"/>
      <c r="D48" s="242"/>
    </row>
    <row r="49" spans="1:4" x14ac:dyDescent="0.25">
      <c r="A49" s="206" t="s">
        <v>76</v>
      </c>
      <c r="B49" s="247">
        <f>SUM(B44:B48)</f>
        <v>7053.7599999999993</v>
      </c>
      <c r="C49" s="247">
        <f>SUM(C44:C48)</f>
        <v>3000</v>
      </c>
      <c r="D49" s="247">
        <f>SUM(D44:D48)</f>
        <v>3200</v>
      </c>
    </row>
    <row r="50" spans="1:4" hidden="1" x14ac:dyDescent="0.25">
      <c r="A50" s="965"/>
      <c r="B50" s="176"/>
      <c r="C50" s="176"/>
      <c r="D50" s="176"/>
    </row>
    <row r="51" spans="1:4" hidden="1" x14ac:dyDescent="0.25">
      <c r="A51" s="262"/>
      <c r="B51" s="242"/>
      <c r="C51" s="242"/>
      <c r="D51" s="242"/>
    </row>
    <row r="52" spans="1:4" hidden="1" x14ac:dyDescent="0.25">
      <c r="A52" s="262"/>
      <c r="B52" s="242"/>
      <c r="C52" s="242"/>
      <c r="D52" s="242"/>
    </row>
    <row r="53" spans="1:4" hidden="1" x14ac:dyDescent="0.25">
      <c r="A53" s="262"/>
      <c r="B53" s="242"/>
      <c r="C53" s="242"/>
      <c r="D53" s="242"/>
    </row>
    <row r="54" spans="1:4" hidden="1" x14ac:dyDescent="0.25">
      <c r="A54" s="262"/>
      <c r="B54" s="242"/>
      <c r="C54" s="242"/>
      <c r="D54" s="242"/>
    </row>
    <row r="55" spans="1:4" hidden="1" x14ac:dyDescent="0.25">
      <c r="A55" s="262"/>
      <c r="B55" s="242"/>
      <c r="C55" s="242"/>
      <c r="D55" s="242"/>
    </row>
    <row r="56" spans="1:4" hidden="1" x14ac:dyDescent="0.25">
      <c r="A56" s="206"/>
      <c r="B56" s="247"/>
      <c r="C56" s="247"/>
      <c r="D56" s="247"/>
    </row>
    <row r="57" spans="1:4" hidden="1" x14ac:dyDescent="0.25">
      <c r="A57" s="964"/>
      <c r="B57" s="176"/>
      <c r="C57" s="176"/>
      <c r="D57" s="176"/>
    </row>
    <row r="58" spans="1:4" hidden="1" x14ac:dyDescent="0.25">
      <c r="A58" s="262"/>
      <c r="B58" s="242"/>
      <c r="C58" s="242"/>
      <c r="D58" s="242"/>
    </row>
    <row r="59" spans="1:4" hidden="1" x14ac:dyDescent="0.25">
      <c r="A59" s="262"/>
      <c r="B59" s="242"/>
      <c r="C59" s="242"/>
      <c r="D59" s="242"/>
    </row>
    <row r="60" spans="1:4" hidden="1" x14ac:dyDescent="0.25">
      <c r="A60" s="262"/>
      <c r="B60" s="242"/>
      <c r="C60" s="242"/>
      <c r="D60" s="242"/>
    </row>
    <row r="61" spans="1:4" hidden="1" x14ac:dyDescent="0.25">
      <c r="A61" s="262"/>
      <c r="B61" s="242"/>
      <c r="C61" s="242"/>
      <c r="D61" s="242"/>
    </row>
    <row r="62" spans="1:4" hidden="1" x14ac:dyDescent="0.25">
      <c r="A62" s="262"/>
      <c r="B62" s="242"/>
      <c r="C62" s="242"/>
      <c r="D62" s="242"/>
    </row>
    <row r="63" spans="1:4" hidden="1" x14ac:dyDescent="0.25">
      <c r="A63" s="206" t="s">
        <v>76</v>
      </c>
      <c r="B63" s="247">
        <f>SUM(B58:B62)</f>
        <v>0</v>
      </c>
      <c r="C63" s="247">
        <f>SUM(C58:C62)</f>
        <v>0</v>
      </c>
      <c r="D63" s="247">
        <f>SUM(D58:D62)</f>
        <v>0</v>
      </c>
    </row>
    <row r="64" spans="1:4" x14ac:dyDescent="0.25">
      <c r="A64" s="32"/>
      <c r="B64" s="176"/>
      <c r="C64" s="176"/>
      <c r="D64" s="176"/>
    </row>
    <row r="65" spans="1:4" ht="16.2" thickBot="1" x14ac:dyDescent="0.3">
      <c r="A65" s="206" t="s">
        <v>367</v>
      </c>
      <c r="B65" s="264">
        <f>B15+B22+B29+B35+B42+B49+B56+B63</f>
        <v>1763128.03</v>
      </c>
      <c r="C65" s="264">
        <f>C15+C22+C29+C35+C42+C49+C56+C63</f>
        <v>1852676.31</v>
      </c>
      <c r="D65" s="264">
        <f>D15+D22+D29+D35+D42+D49+D56+D63</f>
        <v>1907061.804</v>
      </c>
    </row>
    <row r="66" spans="1:4" ht="16.2" thickTop="1" x14ac:dyDescent="0.25">
      <c r="A66" s="265"/>
      <c r="B66" s="176"/>
      <c r="C66" s="176"/>
      <c r="D66" s="176"/>
    </row>
    <row r="67" spans="1:4" x14ac:dyDescent="0.25">
      <c r="A67" s="119" t="s">
        <v>121</v>
      </c>
      <c r="B67" s="176" t="str">
        <f>CONCATENATE("",general!C40,"c")</f>
        <v>8c</v>
      </c>
      <c r="C67" s="176"/>
      <c r="D67" s="176"/>
    </row>
    <row r="68" spans="1:4" x14ac:dyDescent="0.25">
      <c r="A68" s="32"/>
      <c r="B68" s="176"/>
      <c r="C68" s="176"/>
      <c r="D68" s="176"/>
    </row>
    <row r="69" spans="1:4" x14ac:dyDescent="0.25">
      <c r="A69" s="176" t="str">
        <f>A1</f>
        <v>City of Osawatomie</v>
      </c>
      <c r="B69" s="32"/>
      <c r="C69" s="153"/>
      <c r="D69" s="32">
        <f>D1</f>
        <v>2015</v>
      </c>
    </row>
    <row r="70" spans="1:4" x14ac:dyDescent="0.25">
      <c r="A70" s="32"/>
      <c r="B70" s="32"/>
      <c r="C70" s="32"/>
      <c r="D70" s="153"/>
    </row>
    <row r="71" spans="1:4" x14ac:dyDescent="0.25">
      <c r="A71" s="229"/>
      <c r="B71" s="260"/>
      <c r="C71" s="260"/>
      <c r="D71" s="260"/>
    </row>
    <row r="72" spans="1:4" x14ac:dyDescent="0.25">
      <c r="A72" s="206" t="s">
        <v>104</v>
      </c>
      <c r="B72" s="261" t="s">
        <v>803</v>
      </c>
      <c r="C72" s="127" t="s">
        <v>804</v>
      </c>
      <c r="D72" s="127" t="s">
        <v>805</v>
      </c>
    </row>
    <row r="73" spans="1:4" x14ac:dyDescent="0.25">
      <c r="A73" s="52" t="s">
        <v>372</v>
      </c>
      <c r="B73" s="233" t="str">
        <f>CONCATENATE("Actual for ",D69-2,"")</f>
        <v>Actual for 2013</v>
      </c>
      <c r="C73" s="233" t="str">
        <f>CONCATENATE("Estimate for ",D69-1,"")</f>
        <v>Estimate for 2014</v>
      </c>
      <c r="D73" s="233" t="str">
        <f>CONCATENATE("Year for ",D69,"")</f>
        <v>Year for 2015</v>
      </c>
    </row>
    <row r="74" spans="1:4" x14ac:dyDescent="0.25">
      <c r="A74" s="206" t="s">
        <v>114</v>
      </c>
      <c r="B74" s="68"/>
      <c r="C74" s="68"/>
      <c r="D74" s="68"/>
    </row>
    <row r="75" spans="1:4" x14ac:dyDescent="0.25">
      <c r="A75" s="965" t="s">
        <v>1246</v>
      </c>
      <c r="B75" s="176"/>
      <c r="C75" s="176"/>
      <c r="D75" s="176"/>
    </row>
    <row r="76" spans="1:4" x14ac:dyDescent="0.25">
      <c r="A76" s="262" t="s">
        <v>122</v>
      </c>
      <c r="B76" s="242">
        <v>68103.75</v>
      </c>
      <c r="C76" s="242">
        <v>106867.76</v>
      </c>
      <c r="D76" s="242">
        <v>148512.82999999999</v>
      </c>
    </row>
    <row r="77" spans="1:4" x14ac:dyDescent="0.25">
      <c r="A77" s="262" t="s">
        <v>115</v>
      </c>
      <c r="B77" s="242">
        <v>26195.56</v>
      </c>
      <c r="C77" s="242">
        <v>28738</v>
      </c>
      <c r="D77" s="242">
        <v>28750</v>
      </c>
    </row>
    <row r="78" spans="1:4" x14ac:dyDescent="0.25">
      <c r="A78" s="262" t="s">
        <v>116</v>
      </c>
      <c r="B78" s="242">
        <v>3684.6</v>
      </c>
      <c r="C78" s="242">
        <v>10020</v>
      </c>
      <c r="D78" s="242">
        <v>10520</v>
      </c>
    </row>
    <row r="79" spans="1:4" x14ac:dyDescent="0.25">
      <c r="A79" s="262" t="s">
        <v>117</v>
      </c>
      <c r="B79" s="242">
        <v>0</v>
      </c>
      <c r="C79" s="242">
        <v>1310</v>
      </c>
      <c r="D79" s="242">
        <v>1500</v>
      </c>
    </row>
    <row r="80" spans="1:4" hidden="1" x14ac:dyDescent="0.25">
      <c r="A80" s="50"/>
      <c r="B80" s="242"/>
      <c r="C80" s="242"/>
      <c r="D80" s="242"/>
    </row>
    <row r="81" spans="1:4" x14ac:dyDescent="0.25">
      <c r="A81" s="206" t="s">
        <v>76</v>
      </c>
      <c r="B81" s="247">
        <f>SUM(B76:B80)</f>
        <v>97983.91</v>
      </c>
      <c r="C81" s="247">
        <f>SUM(C76:C80)</f>
        <v>146935.76</v>
      </c>
      <c r="D81" s="247">
        <f>SUM(D76:D80)</f>
        <v>189282.83</v>
      </c>
    </row>
    <row r="82" spans="1:4" x14ac:dyDescent="0.25">
      <c r="A82" s="964" t="s">
        <v>1119</v>
      </c>
      <c r="B82" s="176"/>
      <c r="C82" s="176"/>
      <c r="D82" s="176"/>
    </row>
    <row r="83" spans="1:4" x14ac:dyDescent="0.25">
      <c r="A83" s="262" t="s">
        <v>122</v>
      </c>
      <c r="B83" s="242">
        <v>24385</v>
      </c>
      <c r="C83" s="242">
        <v>34935</v>
      </c>
      <c r="D83" s="242">
        <v>36000</v>
      </c>
    </row>
    <row r="84" spans="1:4" x14ac:dyDescent="0.25">
      <c r="A84" s="262" t="s">
        <v>115</v>
      </c>
      <c r="B84" s="242">
        <v>0</v>
      </c>
      <c r="C84" s="242">
        <v>0</v>
      </c>
      <c r="D84" s="242">
        <v>0</v>
      </c>
    </row>
    <row r="85" spans="1:4" x14ac:dyDescent="0.25">
      <c r="A85" s="262" t="s">
        <v>116</v>
      </c>
      <c r="B85" s="242">
        <v>6799.23</v>
      </c>
      <c r="C85" s="242">
        <v>5000</v>
      </c>
      <c r="D85" s="242">
        <v>5000</v>
      </c>
    </row>
    <row r="86" spans="1:4" hidden="1" x14ac:dyDescent="0.25">
      <c r="A86" s="262"/>
      <c r="B86" s="242"/>
      <c r="C86" s="242"/>
      <c r="D86" s="242"/>
    </row>
    <row r="87" spans="1:4" hidden="1" x14ac:dyDescent="0.25">
      <c r="A87" s="262"/>
      <c r="B87" s="242"/>
      <c r="C87" s="242"/>
      <c r="D87" s="242"/>
    </row>
    <row r="88" spans="1:4" x14ac:dyDescent="0.25">
      <c r="A88" s="206" t="s">
        <v>76</v>
      </c>
      <c r="B88" s="247">
        <f>SUM(B83:B87)</f>
        <v>31184.23</v>
      </c>
      <c r="C88" s="247">
        <f>SUM(C83:C87)</f>
        <v>39935</v>
      </c>
      <c r="D88" s="247">
        <f>SUM(D83:D87)</f>
        <v>41000</v>
      </c>
    </row>
    <row r="89" spans="1:4" x14ac:dyDescent="0.25">
      <c r="A89" s="964" t="s">
        <v>1117</v>
      </c>
      <c r="B89" s="68"/>
      <c r="C89" s="68"/>
      <c r="D89" s="68"/>
    </row>
    <row r="90" spans="1:4" x14ac:dyDescent="0.25">
      <c r="A90" s="262" t="s">
        <v>122</v>
      </c>
      <c r="B90" s="242">
        <v>19950.87</v>
      </c>
      <c r="C90" s="242">
        <v>19554.239999999998</v>
      </c>
      <c r="D90" s="242">
        <v>22089.600000000002</v>
      </c>
    </row>
    <row r="91" spans="1:4" x14ac:dyDescent="0.25">
      <c r="A91" s="262" t="s">
        <v>115</v>
      </c>
      <c r="B91" s="242">
        <v>92411.760000000009</v>
      </c>
      <c r="C91" s="242">
        <v>95170</v>
      </c>
      <c r="D91" s="242">
        <v>97170</v>
      </c>
    </row>
    <row r="92" spans="1:4" x14ac:dyDescent="0.25">
      <c r="A92" s="262" t="s">
        <v>116</v>
      </c>
      <c r="B92" s="242">
        <v>1235.05</v>
      </c>
      <c r="C92" s="242">
        <v>1250</v>
      </c>
      <c r="D92" s="242">
        <v>1250</v>
      </c>
    </row>
    <row r="93" spans="1:4" x14ac:dyDescent="0.25">
      <c r="A93" s="262" t="s">
        <v>117</v>
      </c>
      <c r="B93" s="242">
        <v>337.94999999999993</v>
      </c>
      <c r="C93" s="242">
        <v>1000</v>
      </c>
      <c r="D93" s="242">
        <v>1500</v>
      </c>
    </row>
    <row r="94" spans="1:4" hidden="1" x14ac:dyDescent="0.25">
      <c r="A94" s="262"/>
      <c r="B94" s="242"/>
      <c r="C94" s="242"/>
      <c r="D94" s="242"/>
    </row>
    <row r="95" spans="1:4" x14ac:dyDescent="0.25">
      <c r="A95" s="206" t="s">
        <v>76</v>
      </c>
      <c r="B95" s="247">
        <f>SUM(B90:B94)</f>
        <v>113935.63</v>
      </c>
      <c r="C95" s="247">
        <f>SUM(C90:C94)</f>
        <v>116974.23999999999</v>
      </c>
      <c r="D95" s="247">
        <f>SUM(D90:D94)</f>
        <v>122009.60000000001</v>
      </c>
    </row>
    <row r="96" spans="1:4" x14ac:dyDescent="0.25">
      <c r="A96" s="965" t="s">
        <v>1118</v>
      </c>
      <c r="B96" s="176"/>
      <c r="C96" s="176"/>
      <c r="D96" s="176"/>
    </row>
    <row r="97" spans="1:4" x14ac:dyDescent="0.25">
      <c r="A97" s="262" t="s">
        <v>122</v>
      </c>
      <c r="B97" s="242">
        <v>0</v>
      </c>
      <c r="C97" s="242">
        <v>0</v>
      </c>
      <c r="D97" s="242">
        <v>0</v>
      </c>
    </row>
    <row r="98" spans="1:4" x14ac:dyDescent="0.25">
      <c r="A98" s="262" t="s">
        <v>115</v>
      </c>
      <c r="B98" s="242">
        <v>4637.25</v>
      </c>
      <c r="C98" s="242">
        <v>5800</v>
      </c>
      <c r="D98" s="242">
        <v>6280</v>
      </c>
    </row>
    <row r="99" spans="1:4" x14ac:dyDescent="0.25">
      <c r="A99" s="262" t="s">
        <v>116</v>
      </c>
      <c r="B99" s="242">
        <v>2572.0299999999997</v>
      </c>
      <c r="C99" s="242">
        <v>2750</v>
      </c>
      <c r="D99" s="242">
        <v>2750</v>
      </c>
    </row>
    <row r="100" spans="1:4" x14ac:dyDescent="0.25">
      <c r="A100" s="262" t="s">
        <v>117</v>
      </c>
      <c r="B100" s="242">
        <v>0</v>
      </c>
      <c r="C100" s="242">
        <v>3500</v>
      </c>
      <c r="D100" s="242">
        <v>5000</v>
      </c>
    </row>
    <row r="101" spans="1:4" x14ac:dyDescent="0.25">
      <c r="A101" s="206" t="s">
        <v>76</v>
      </c>
      <c r="B101" s="247">
        <f>SUM(B97:B100)</f>
        <v>7209.28</v>
      </c>
      <c r="C101" s="247">
        <f>SUM(C97:C100)</f>
        <v>12050</v>
      </c>
      <c r="D101" s="247">
        <f>SUM(D97:D100)</f>
        <v>14030</v>
      </c>
    </row>
    <row r="102" spans="1:4" x14ac:dyDescent="0.25">
      <c r="A102" s="965" t="s">
        <v>787</v>
      </c>
      <c r="B102" s="176"/>
      <c r="C102" s="176"/>
      <c r="D102" s="176"/>
    </row>
    <row r="103" spans="1:4" x14ac:dyDescent="0.25">
      <c r="A103" s="262" t="s">
        <v>122</v>
      </c>
      <c r="B103" s="242">
        <v>86105.959999999992</v>
      </c>
      <c r="C103" s="242">
        <v>86818.01</v>
      </c>
      <c r="D103" s="242">
        <v>90296.94</v>
      </c>
    </row>
    <row r="104" spans="1:4" x14ac:dyDescent="0.25">
      <c r="A104" s="262" t="s">
        <v>115</v>
      </c>
      <c r="B104" s="242">
        <v>14795.130000000001</v>
      </c>
      <c r="C104" s="242">
        <v>19300</v>
      </c>
      <c r="D104" s="242">
        <v>21960</v>
      </c>
    </row>
    <row r="105" spans="1:4" x14ac:dyDescent="0.25">
      <c r="A105" s="262" t="s">
        <v>116</v>
      </c>
      <c r="B105" s="242">
        <v>29126.71</v>
      </c>
      <c r="C105" s="242">
        <v>31250</v>
      </c>
      <c r="D105" s="242">
        <v>32750</v>
      </c>
    </row>
    <row r="106" spans="1:4" x14ac:dyDescent="0.25">
      <c r="A106" s="262" t="s">
        <v>117</v>
      </c>
      <c r="B106" s="242">
        <v>2697.49</v>
      </c>
      <c r="C106" s="242">
        <v>4000</v>
      </c>
      <c r="D106" s="242">
        <v>3000</v>
      </c>
    </row>
    <row r="107" spans="1:4" x14ac:dyDescent="0.25">
      <c r="A107" s="262"/>
      <c r="B107" s="242"/>
      <c r="C107" s="242"/>
      <c r="D107" s="242"/>
    </row>
    <row r="108" spans="1:4" x14ac:dyDescent="0.25">
      <c r="A108" s="206" t="s">
        <v>76</v>
      </c>
      <c r="B108" s="247">
        <f>SUM(B103:B107)</f>
        <v>132725.28999999998</v>
      </c>
      <c r="C108" s="247">
        <f>SUM(C103:C107)</f>
        <v>141368.01</v>
      </c>
      <c r="D108" s="247">
        <f>SUM(D103:D107)</f>
        <v>148006.94</v>
      </c>
    </row>
    <row r="109" spans="1:4" hidden="1" x14ac:dyDescent="0.25">
      <c r="A109" s="263"/>
      <c r="B109" s="176"/>
      <c r="C109" s="176"/>
      <c r="D109" s="176"/>
    </row>
    <row r="110" spans="1:4" hidden="1" x14ac:dyDescent="0.25">
      <c r="A110" s="262" t="s">
        <v>122</v>
      </c>
      <c r="B110" s="242"/>
      <c r="C110" s="242"/>
      <c r="D110" s="242"/>
    </row>
    <row r="111" spans="1:4" hidden="1" x14ac:dyDescent="0.25">
      <c r="A111" s="262" t="s">
        <v>115</v>
      </c>
      <c r="B111" s="242"/>
      <c r="C111" s="242"/>
      <c r="D111" s="242"/>
    </row>
    <row r="112" spans="1:4" hidden="1" x14ac:dyDescent="0.25">
      <c r="A112" s="262" t="s">
        <v>116</v>
      </c>
      <c r="B112" s="242"/>
      <c r="C112" s="242"/>
      <c r="D112" s="242"/>
    </row>
    <row r="113" spans="1:4" hidden="1" x14ac:dyDescent="0.25">
      <c r="A113" s="262" t="s">
        <v>117</v>
      </c>
      <c r="B113" s="242"/>
      <c r="C113" s="242"/>
      <c r="D113" s="242"/>
    </row>
    <row r="114" spans="1:4" hidden="1" x14ac:dyDescent="0.25">
      <c r="A114" s="262"/>
      <c r="B114" s="242"/>
      <c r="C114" s="242"/>
      <c r="D114" s="242"/>
    </row>
    <row r="115" spans="1:4" hidden="1" x14ac:dyDescent="0.25">
      <c r="A115" s="206" t="s">
        <v>76</v>
      </c>
      <c r="B115" s="247">
        <f>SUM(B110:B114)</f>
        <v>0</v>
      </c>
      <c r="C115" s="247">
        <f>SUM(C110:C114)</f>
        <v>0</v>
      </c>
      <c r="D115" s="247">
        <f>SUM(D110:D114)</f>
        <v>0</v>
      </c>
    </row>
    <row r="116" spans="1:4" hidden="1" x14ac:dyDescent="0.25">
      <c r="A116" s="263"/>
      <c r="B116" s="176"/>
      <c r="C116" s="176"/>
      <c r="D116" s="176"/>
    </row>
    <row r="117" spans="1:4" hidden="1" x14ac:dyDescent="0.25">
      <c r="A117" s="262" t="s">
        <v>122</v>
      </c>
      <c r="B117" s="242"/>
      <c r="C117" s="242"/>
      <c r="D117" s="242"/>
    </row>
    <row r="118" spans="1:4" hidden="1" x14ac:dyDescent="0.25">
      <c r="A118" s="262" t="s">
        <v>115</v>
      </c>
      <c r="B118" s="242"/>
      <c r="C118" s="242"/>
      <c r="D118" s="242"/>
    </row>
    <row r="119" spans="1:4" hidden="1" x14ac:dyDescent="0.25">
      <c r="A119" s="262" t="s">
        <v>116</v>
      </c>
      <c r="B119" s="242"/>
      <c r="C119" s="242"/>
      <c r="D119" s="242"/>
    </row>
    <row r="120" spans="1:4" hidden="1" x14ac:dyDescent="0.25">
      <c r="A120" s="262" t="s">
        <v>117</v>
      </c>
      <c r="B120" s="242"/>
      <c r="C120" s="242"/>
      <c r="D120" s="242"/>
    </row>
    <row r="121" spans="1:4" hidden="1" x14ac:dyDescent="0.25">
      <c r="A121" s="262"/>
      <c r="B121" s="242"/>
      <c r="C121" s="242"/>
      <c r="D121" s="242"/>
    </row>
    <row r="122" spans="1:4" hidden="1" x14ac:dyDescent="0.25">
      <c r="A122" s="206" t="s">
        <v>76</v>
      </c>
      <c r="B122" s="247">
        <f>SUM(B117:B121)</f>
        <v>0</v>
      </c>
      <c r="C122" s="247">
        <f>SUM(C117:C121)</f>
        <v>0</v>
      </c>
      <c r="D122" s="247">
        <f>SUM(D117:D121)</f>
        <v>0</v>
      </c>
    </row>
    <row r="123" spans="1:4" hidden="1" x14ac:dyDescent="0.25">
      <c r="A123" s="263"/>
      <c r="B123" s="176"/>
      <c r="C123" s="176"/>
      <c r="D123" s="176"/>
    </row>
    <row r="124" spans="1:4" hidden="1" x14ac:dyDescent="0.25">
      <c r="A124" s="262" t="s">
        <v>122</v>
      </c>
      <c r="B124" s="242"/>
      <c r="C124" s="242"/>
      <c r="D124" s="242"/>
    </row>
    <row r="125" spans="1:4" hidden="1" x14ac:dyDescent="0.25">
      <c r="A125" s="262" t="s">
        <v>115</v>
      </c>
      <c r="B125" s="242"/>
      <c r="C125" s="242"/>
      <c r="D125" s="242"/>
    </row>
    <row r="126" spans="1:4" hidden="1" x14ac:dyDescent="0.25">
      <c r="A126" s="262" t="s">
        <v>116</v>
      </c>
      <c r="B126" s="242"/>
      <c r="C126" s="242"/>
      <c r="D126" s="242"/>
    </row>
    <row r="127" spans="1:4" hidden="1" x14ac:dyDescent="0.25">
      <c r="A127" s="262" t="s">
        <v>117</v>
      </c>
      <c r="B127" s="242"/>
      <c r="C127" s="242"/>
      <c r="D127" s="242"/>
    </row>
    <row r="128" spans="1:4" hidden="1" x14ac:dyDescent="0.25">
      <c r="A128" s="262"/>
      <c r="B128" s="242"/>
      <c r="C128" s="242"/>
      <c r="D128" s="242"/>
    </row>
    <row r="129" spans="1:4" hidden="1" x14ac:dyDescent="0.25">
      <c r="A129" s="206" t="s">
        <v>76</v>
      </c>
      <c r="B129" s="247">
        <f>SUM(B124:B128)</f>
        <v>0</v>
      </c>
      <c r="C129" s="247">
        <f>SUM(C124:C128)</f>
        <v>0</v>
      </c>
      <c r="D129" s="330">
        <f>SUM(D124:D128)</f>
        <v>0</v>
      </c>
    </row>
    <row r="130" spans="1:4" x14ac:dyDescent="0.25">
      <c r="A130" s="206"/>
      <c r="B130" s="176"/>
      <c r="C130" s="176"/>
      <c r="D130" s="176"/>
    </row>
    <row r="131" spans="1:4" x14ac:dyDescent="0.25">
      <c r="A131" s="46" t="s">
        <v>369</v>
      </c>
      <c r="B131" s="331">
        <f>B81+B88+B95+B101+B108+B115+B122+B129</f>
        <v>383038.33999999997</v>
      </c>
      <c r="C131" s="331">
        <f>C81+C88+C95+C101+C108+C115+C122+C129</f>
        <v>457263.01</v>
      </c>
      <c r="D131" s="331">
        <f>D81+D88+D95+D101+D108+D115+D122+D129</f>
        <v>514329.37</v>
      </c>
    </row>
    <row r="132" spans="1:4" x14ac:dyDescent="0.25">
      <c r="A132" s="206" t="s">
        <v>368</v>
      </c>
      <c r="B132" s="247">
        <f>B65</f>
        <v>1763128.03</v>
      </c>
      <c r="C132" s="247">
        <f>C65</f>
        <v>1852676.31</v>
      </c>
      <c r="D132" s="247">
        <f>D65</f>
        <v>1907061.804</v>
      </c>
    </row>
    <row r="133" spans="1:4" ht="16.2" thickBot="1" x14ac:dyDescent="0.3">
      <c r="A133" s="206" t="s">
        <v>370</v>
      </c>
      <c r="B133" s="264">
        <f>SUM(B131:B132)</f>
        <v>2146166.37</v>
      </c>
      <c r="C133" s="264">
        <f>SUM(C131:C132)</f>
        <v>2309939.3200000003</v>
      </c>
      <c r="D133" s="264">
        <f>SUM(D131:D132)</f>
        <v>2421391.1740000001</v>
      </c>
    </row>
    <row r="134" spans="1:4" ht="16.2" thickTop="1" x14ac:dyDescent="0.25">
      <c r="A134" s="265" t="s">
        <v>46</v>
      </c>
      <c r="B134" s="176"/>
      <c r="C134" s="176"/>
      <c r="D134" s="176"/>
    </row>
    <row r="135" spans="1:4" x14ac:dyDescent="0.25">
      <c r="A135" s="119" t="s">
        <v>121</v>
      </c>
      <c r="B135" s="176" t="str">
        <f>CONCATENATE("",general!C40,"d")</f>
        <v>8d</v>
      </c>
      <c r="C135" s="176"/>
      <c r="D135" s="176"/>
    </row>
  </sheetData>
  <sheetProtection sheet="1" objects="1" scenarios="1"/>
  <phoneticPr fontId="0" type="noConversion"/>
  <pageMargins left="0.5" right="0.5" top="1" bottom="0.5" header="0.5" footer="0.5"/>
  <pageSetup fitToHeight="2" orientation="portrait" blackAndWhite="1" horizontalDpi="300" verticalDpi="300" r:id="rId1"/>
  <headerFooter alignWithMargins="0">
    <oddHeader>&amp;RState of Kansas
City</oddHeader>
  </headerFooter>
  <rowBreaks count="1" manualBreakCount="1">
    <brk id="68"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73"/>
  <sheetViews>
    <sheetView view="pageBreakPreview" zoomScale="60" zoomScaleNormal="100" workbookViewId="0">
      <selection activeCell="E59" sqref="E59"/>
    </sheetView>
  </sheetViews>
  <sheetFormatPr defaultColWidth="8.9140625" defaultRowHeight="15.6" x14ac:dyDescent="0.25"/>
  <cols>
    <col min="1" max="1" width="2.4140625" style="584" customWidth="1"/>
    <col min="2" max="2" width="31.08203125" style="584" customWidth="1"/>
    <col min="3" max="4" width="15.75" style="584" customWidth="1"/>
    <col min="5" max="5" width="16.25" style="584" customWidth="1"/>
    <col min="6" max="6" width="8.08203125" style="584" customWidth="1"/>
    <col min="7" max="7" width="10.25" style="584" customWidth="1"/>
    <col min="8" max="8" width="8.9140625" style="584"/>
    <col min="9" max="9" width="5" style="584" customWidth="1"/>
    <col min="10" max="10" width="10" style="584" customWidth="1"/>
    <col min="11" max="16384" width="8.9140625" style="584"/>
  </cols>
  <sheetData>
    <row r="1" spans="2:5" x14ac:dyDescent="0.25">
      <c r="B1" s="581" t="str">
        <f>(inputPrYr!D2)</f>
        <v>City of Osawatomie</v>
      </c>
      <c r="C1" s="582"/>
      <c r="D1" s="582"/>
      <c r="E1" s="583">
        <f>inputPrYr!$C$5</f>
        <v>2015</v>
      </c>
    </row>
    <row r="2" spans="2:5" x14ac:dyDescent="0.25">
      <c r="B2" s="582"/>
      <c r="C2" s="582"/>
      <c r="D2" s="582"/>
      <c r="E2" s="585"/>
    </row>
    <row r="3" spans="2:5" x14ac:dyDescent="0.25">
      <c r="B3" s="586" t="s">
        <v>170</v>
      </c>
      <c r="C3" s="587"/>
      <c r="D3" s="587"/>
      <c r="E3" s="587"/>
    </row>
    <row r="4" spans="2:5" x14ac:dyDescent="0.25">
      <c r="B4" s="588" t="s">
        <v>104</v>
      </c>
      <c r="C4" s="589" t="s">
        <v>803</v>
      </c>
      <c r="D4" s="590" t="s">
        <v>804</v>
      </c>
      <c r="E4" s="591" t="s">
        <v>805</v>
      </c>
    </row>
    <row r="5" spans="2:5" x14ac:dyDescent="0.25">
      <c r="B5" s="592" t="str">
        <f>+(inputPrYr!B18)</f>
        <v>Debt Service</v>
      </c>
      <c r="C5" s="593" t="str">
        <f>CONCATENATE("Actual for ",E1-2,"")</f>
        <v>Actual for 2013</v>
      </c>
      <c r="D5" s="593" t="str">
        <f>CONCATENATE("Estimate for ",E1-1,"")</f>
        <v>Estimate for 2014</v>
      </c>
      <c r="E5" s="594" t="str">
        <f>CONCATENATE("Year for ",E1,"")</f>
        <v>Year for 2015</v>
      </c>
    </row>
    <row r="6" spans="2:5" x14ac:dyDescent="0.25">
      <c r="B6" s="595" t="s">
        <v>212</v>
      </c>
      <c r="C6" s="596">
        <v>96892</v>
      </c>
      <c r="D6" s="597">
        <f>C57</f>
        <v>88617</v>
      </c>
      <c r="E6" s="598">
        <f>D57</f>
        <v>87433</v>
      </c>
    </row>
    <row r="7" spans="2:5" x14ac:dyDescent="0.25">
      <c r="B7" s="599" t="s">
        <v>214</v>
      </c>
      <c r="C7" s="600"/>
      <c r="D7" s="597"/>
      <c r="E7" s="601"/>
    </row>
    <row r="8" spans="2:5" x14ac:dyDescent="0.25">
      <c r="B8" s="595" t="s">
        <v>105</v>
      </c>
      <c r="C8" s="596">
        <v>220427</v>
      </c>
      <c r="D8" s="597">
        <f>IF(inputPrYr!H16&gt;0,inputPrYr!G18,inputPrYr!E18)</f>
        <v>230542</v>
      </c>
      <c r="E8" s="602" t="s">
        <v>93</v>
      </c>
    </row>
    <row r="9" spans="2:5" x14ac:dyDescent="0.25">
      <c r="B9" s="595" t="s">
        <v>106</v>
      </c>
      <c r="C9" s="596">
        <v>5693</v>
      </c>
      <c r="D9" s="603">
        <v>8273</v>
      </c>
      <c r="E9" s="604">
        <v>8645</v>
      </c>
    </row>
    <row r="10" spans="2:5" x14ac:dyDescent="0.25">
      <c r="B10" s="595" t="s">
        <v>107</v>
      </c>
      <c r="C10" s="596">
        <v>24058</v>
      </c>
      <c r="D10" s="603">
        <v>24000</v>
      </c>
      <c r="E10" s="605">
        <f>mvalloc!D8</f>
        <v>23016</v>
      </c>
    </row>
    <row r="11" spans="2:5" x14ac:dyDescent="0.25">
      <c r="B11" s="595" t="s">
        <v>108</v>
      </c>
      <c r="C11" s="596">
        <v>319</v>
      </c>
      <c r="D11" s="603">
        <v>331</v>
      </c>
      <c r="E11" s="605">
        <f>mvalloc!E8</f>
        <v>341</v>
      </c>
    </row>
    <row r="12" spans="2:5" x14ac:dyDescent="0.25">
      <c r="B12" s="606" t="s">
        <v>202</v>
      </c>
      <c r="C12" s="596">
        <v>188</v>
      </c>
      <c r="D12" s="603">
        <v>179</v>
      </c>
      <c r="E12" s="605">
        <f>mvalloc!F8</f>
        <v>231</v>
      </c>
    </row>
    <row r="13" spans="2:5" x14ac:dyDescent="0.25">
      <c r="B13" s="532" t="s">
        <v>1120</v>
      </c>
      <c r="C13" s="596"/>
      <c r="D13" s="603"/>
      <c r="E13" s="604"/>
    </row>
    <row r="14" spans="2:5" x14ac:dyDescent="0.25">
      <c r="B14" s="531" t="s">
        <v>1121</v>
      </c>
      <c r="C14" s="596">
        <v>434000</v>
      </c>
      <c r="D14" s="603">
        <v>435000</v>
      </c>
      <c r="E14" s="604">
        <v>434200</v>
      </c>
    </row>
    <row r="15" spans="2:5" x14ac:dyDescent="0.25">
      <c r="B15" s="531" t="s">
        <v>1107</v>
      </c>
      <c r="C15" s="596">
        <v>59827</v>
      </c>
      <c r="D15" s="603">
        <v>59827</v>
      </c>
      <c r="E15" s="607">
        <v>59827</v>
      </c>
    </row>
    <row r="16" spans="2:5" x14ac:dyDescent="0.25">
      <c r="B16" s="531" t="s">
        <v>1122</v>
      </c>
      <c r="C16" s="596"/>
      <c r="D16" s="603">
        <v>19159</v>
      </c>
      <c r="E16" s="604"/>
    </row>
    <row r="17" spans="2:5" hidden="1" x14ac:dyDescent="0.25">
      <c r="B17" s="610"/>
      <c r="C17" s="596"/>
      <c r="D17" s="603"/>
      <c r="E17" s="604"/>
    </row>
    <row r="18" spans="2:5" hidden="1" x14ac:dyDescent="0.25">
      <c r="B18" s="531"/>
      <c r="C18" s="596"/>
      <c r="D18" s="603"/>
      <c r="E18" s="604"/>
    </row>
    <row r="19" spans="2:5" hidden="1" x14ac:dyDescent="0.3">
      <c r="B19" s="608"/>
      <c r="C19" s="596"/>
      <c r="D19" s="603"/>
      <c r="E19" s="604"/>
    </row>
    <row r="20" spans="2:5" hidden="1" x14ac:dyDescent="0.25">
      <c r="B20" s="531"/>
      <c r="C20" s="596"/>
      <c r="D20" s="603"/>
      <c r="E20" s="604"/>
    </row>
    <row r="21" spans="2:5" hidden="1" x14ac:dyDescent="0.25">
      <c r="B21" s="531"/>
      <c r="C21" s="609"/>
      <c r="D21" s="603"/>
      <c r="E21" s="604"/>
    </row>
    <row r="22" spans="2:5" hidden="1" x14ac:dyDescent="0.25">
      <c r="B22" s="531"/>
      <c r="C22" s="609"/>
      <c r="D22" s="603"/>
      <c r="E22" s="604"/>
    </row>
    <row r="23" spans="2:5" hidden="1" x14ac:dyDescent="0.25">
      <c r="B23" s="531"/>
      <c r="C23" s="596"/>
      <c r="D23" s="603"/>
      <c r="E23" s="604"/>
    </row>
    <row r="24" spans="2:5" x14ac:dyDescent="0.25">
      <c r="B24" s="531"/>
      <c r="C24" s="596"/>
      <c r="D24" s="603"/>
      <c r="E24" s="604"/>
    </row>
    <row r="25" spans="2:5" x14ac:dyDescent="0.25">
      <c r="B25" s="610" t="s">
        <v>110</v>
      </c>
      <c r="C25" s="596"/>
      <c r="D25" s="603"/>
      <c r="E25" s="604"/>
    </row>
    <row r="26" spans="2:5" x14ac:dyDescent="0.25">
      <c r="B26" s="611" t="s">
        <v>13</v>
      </c>
      <c r="C26" s="609"/>
      <c r="D26" s="603"/>
      <c r="E26" s="612"/>
    </row>
    <row r="27" spans="2:5" x14ac:dyDescent="0.25">
      <c r="B27" s="611" t="s">
        <v>781</v>
      </c>
      <c r="C27" s="613" t="str">
        <f>IF(C28*0.1&lt;C26,"Exceed 10% Rule","")</f>
        <v/>
      </c>
      <c r="D27" s="614" t="str">
        <f>IF(D28*0.1&lt;D26,"Exceed 10% Rule","")</f>
        <v/>
      </c>
      <c r="E27" s="615" t="str">
        <f>IF(E28*0.1+E63&lt;E26,"Exceed 10% Rule","")</f>
        <v/>
      </c>
    </row>
    <row r="28" spans="2:5" x14ac:dyDescent="0.25">
      <c r="B28" s="616" t="s">
        <v>111</v>
      </c>
      <c r="C28" s="617">
        <f>SUM(C8:C26)</f>
        <v>744512</v>
      </c>
      <c r="D28" s="618">
        <f>SUM(D8:D26)</f>
        <v>777311</v>
      </c>
      <c r="E28" s="619">
        <f>SUM(E8:E26)</f>
        <v>526260</v>
      </c>
    </row>
    <row r="29" spans="2:5" x14ac:dyDescent="0.25">
      <c r="B29" s="616" t="s">
        <v>112</v>
      </c>
      <c r="C29" s="617">
        <f>C6+C28</f>
        <v>841404</v>
      </c>
      <c r="D29" s="618">
        <f>D6+D28</f>
        <v>865928</v>
      </c>
      <c r="E29" s="620">
        <f>E6+E28</f>
        <v>613693</v>
      </c>
    </row>
    <row r="30" spans="2:5" x14ac:dyDescent="0.25">
      <c r="B30" s="599" t="s">
        <v>114</v>
      </c>
      <c r="C30" s="621"/>
      <c r="D30" s="622"/>
      <c r="E30" s="605"/>
    </row>
    <row r="31" spans="2:5" x14ac:dyDescent="0.3">
      <c r="B31" s="623" t="s">
        <v>1123</v>
      </c>
      <c r="C31" s="609">
        <v>444000</v>
      </c>
      <c r="D31" s="603">
        <v>457000</v>
      </c>
      <c r="E31" s="624">
        <v>468000</v>
      </c>
    </row>
    <row r="32" spans="2:5" x14ac:dyDescent="0.3">
      <c r="B32" s="623" t="s">
        <v>1124</v>
      </c>
      <c r="C32" s="609">
        <v>308787</v>
      </c>
      <c r="D32" s="603">
        <f>296495+11000</f>
        <v>307495</v>
      </c>
      <c r="E32" s="624">
        <f>283705+11000</f>
        <v>294705</v>
      </c>
    </row>
    <row r="33" spans="2:10" x14ac:dyDescent="0.3">
      <c r="B33" s="625" t="s">
        <v>1125</v>
      </c>
      <c r="C33" s="609"/>
      <c r="D33" s="603">
        <v>14000</v>
      </c>
      <c r="E33" s="603">
        <v>14000</v>
      </c>
    </row>
    <row r="34" spans="2:10" hidden="1" x14ac:dyDescent="0.3">
      <c r="B34" s="625"/>
      <c r="C34" s="609"/>
      <c r="D34" s="603"/>
      <c r="E34" s="624"/>
    </row>
    <row r="35" spans="2:10" hidden="1" x14ac:dyDescent="0.3">
      <c r="B35" s="625"/>
      <c r="C35" s="609"/>
      <c r="D35" s="603"/>
      <c r="E35" s="624"/>
    </row>
    <row r="36" spans="2:10" hidden="1" x14ac:dyDescent="0.3">
      <c r="B36" s="625"/>
      <c r="C36" s="609"/>
      <c r="D36" s="603"/>
      <c r="E36" s="624"/>
    </row>
    <row r="37" spans="2:10" hidden="1" x14ac:dyDescent="0.3">
      <c r="B37" s="625"/>
      <c r="C37" s="609"/>
      <c r="D37" s="603"/>
      <c r="E37" s="624"/>
    </row>
    <row r="38" spans="2:10" hidden="1" x14ac:dyDescent="0.3">
      <c r="B38" s="626"/>
      <c r="C38" s="609"/>
      <c r="D38" s="603"/>
      <c r="E38" s="604"/>
    </row>
    <row r="39" spans="2:10" hidden="1" x14ac:dyDescent="0.3">
      <c r="B39" s="626"/>
      <c r="C39" s="609"/>
      <c r="D39" s="603"/>
      <c r="E39" s="604"/>
    </row>
    <row r="40" spans="2:10" hidden="1" x14ac:dyDescent="0.3">
      <c r="B40" s="626"/>
      <c r="C40" s="609"/>
      <c r="D40" s="603"/>
      <c r="E40" s="604"/>
    </row>
    <row r="41" spans="2:10" hidden="1" x14ac:dyDescent="0.3">
      <c r="B41" s="626"/>
      <c r="C41" s="609"/>
      <c r="D41" s="603"/>
      <c r="E41" s="604"/>
    </row>
    <row r="42" spans="2:10" hidden="1" x14ac:dyDescent="0.3">
      <c r="B42" s="626"/>
      <c r="C42" s="609"/>
      <c r="D42" s="603"/>
      <c r="E42" s="604"/>
    </row>
    <row r="43" spans="2:10" hidden="1" x14ac:dyDescent="0.3">
      <c r="B43" s="626"/>
      <c r="C43" s="609"/>
      <c r="D43" s="603"/>
      <c r="E43" s="604"/>
      <c r="G43" s="1037"/>
      <c r="H43" s="1037"/>
      <c r="I43" s="1037"/>
      <c r="J43" s="1038"/>
    </row>
    <row r="44" spans="2:10" hidden="1" x14ac:dyDescent="0.3">
      <c r="B44" s="626"/>
      <c r="C44" s="609"/>
      <c r="D44" s="603"/>
      <c r="E44" s="604"/>
      <c r="G44" s="629"/>
      <c r="H44" s="629"/>
      <c r="I44" s="629"/>
      <c r="J44" s="629"/>
    </row>
    <row r="45" spans="2:10" hidden="1" x14ac:dyDescent="0.3">
      <c r="B45" s="626"/>
      <c r="C45" s="609"/>
      <c r="D45" s="603"/>
      <c r="E45" s="604"/>
      <c r="G45" s="630"/>
      <c r="H45" s="631"/>
      <c r="I45" s="629"/>
      <c r="J45" s="629"/>
    </row>
    <row r="46" spans="2:10" hidden="1" x14ac:dyDescent="0.3">
      <c r="B46" s="626"/>
      <c r="C46" s="609"/>
      <c r="D46" s="603"/>
      <c r="E46" s="604"/>
      <c r="G46" s="630"/>
      <c r="H46" s="629"/>
      <c r="I46" s="629"/>
      <c r="J46" s="629"/>
    </row>
    <row r="47" spans="2:10" hidden="1" x14ac:dyDescent="0.25">
      <c r="B47" s="623"/>
      <c r="C47" s="609"/>
      <c r="D47" s="603"/>
      <c r="E47" s="632"/>
      <c r="G47" s="1039" t="str">
        <f>CONCATENATE("Desired Carryover Into ",E1+1,"")</f>
        <v>Desired Carryover Into 2016</v>
      </c>
      <c r="H47" s="1040"/>
      <c r="I47" s="1040"/>
      <c r="J47" s="1041"/>
    </row>
    <row r="48" spans="2:10" hidden="1" x14ac:dyDescent="0.25">
      <c r="B48" s="623"/>
      <c r="C48" s="609"/>
      <c r="D48" s="603"/>
      <c r="E48" s="604"/>
      <c r="G48" s="633"/>
      <c r="H48" s="634"/>
      <c r="I48" s="635"/>
      <c r="J48" s="636"/>
    </row>
    <row r="49" spans="2:11" hidden="1" x14ac:dyDescent="0.25">
      <c r="B49" s="623"/>
      <c r="C49" s="609"/>
      <c r="D49" s="603"/>
      <c r="E49" s="604"/>
      <c r="G49" s="637" t="s">
        <v>769</v>
      </c>
      <c r="H49" s="635"/>
      <c r="I49" s="635"/>
      <c r="J49" s="638">
        <v>0</v>
      </c>
    </row>
    <row r="50" spans="2:11" hidden="1" x14ac:dyDescent="0.25">
      <c r="B50" s="623"/>
      <c r="C50" s="609"/>
      <c r="D50" s="603"/>
      <c r="E50" s="604"/>
      <c r="G50" s="633" t="s">
        <v>770</v>
      </c>
      <c r="H50" s="634"/>
      <c r="I50" s="634"/>
      <c r="J50" s="639" t="str">
        <f>IF(J49=0,"",ROUND((J49+E63-G62)/inputOth!E9*1000,3)-G67)</f>
        <v/>
      </c>
    </row>
    <row r="51" spans="2:11" hidden="1" x14ac:dyDescent="0.25">
      <c r="B51" s="623"/>
      <c r="C51" s="609"/>
      <c r="D51" s="603"/>
      <c r="E51" s="604"/>
      <c r="G51" s="640" t="str">
        <f>CONCATENATE("",E1," Tot Exp/Non-Appr Must Be:")</f>
        <v>2015 Tot Exp/Non-Appr Must Be:</v>
      </c>
      <c r="H51" s="641"/>
      <c r="I51" s="642"/>
      <c r="J51" s="643">
        <f>IF(J49&gt;0,IF(E60&lt;E29,IF(J49=G62,E60,((J49-G62)*(1-D62))+E29),E60+(J49-G62)),0)</f>
        <v>0</v>
      </c>
    </row>
    <row r="52" spans="2:11" x14ac:dyDescent="0.25">
      <c r="B52" s="623"/>
      <c r="C52" s="609"/>
      <c r="D52" s="603"/>
      <c r="E52" s="604"/>
      <c r="G52" s="644" t="s">
        <v>806</v>
      </c>
      <c r="H52" s="645"/>
      <c r="I52" s="645"/>
      <c r="J52" s="646">
        <f>IF(J49&gt;0,J51-E60,0)</f>
        <v>0</v>
      </c>
    </row>
    <row r="53" spans="2:11" x14ac:dyDescent="0.25">
      <c r="B53" s="611" t="s">
        <v>12</v>
      </c>
      <c r="C53" s="609"/>
      <c r="D53" s="603"/>
      <c r="E53" s="605" t="str">
        <f>nhood!E7</f>
        <v/>
      </c>
    </row>
    <row r="54" spans="2:11" x14ac:dyDescent="0.25">
      <c r="B54" s="611" t="s">
        <v>13</v>
      </c>
      <c r="C54" s="609"/>
      <c r="D54" s="603"/>
      <c r="E54" s="604">
        <v>55000</v>
      </c>
      <c r="G54" s="1039" t="str">
        <f>CONCATENATE("Projected Carryover Into ",E1+1,"")</f>
        <v>Projected Carryover Into 2016</v>
      </c>
      <c r="H54" s="1040"/>
      <c r="I54" s="1040"/>
      <c r="J54" s="1041"/>
    </row>
    <row r="55" spans="2:11" x14ac:dyDescent="0.25">
      <c r="B55" s="611" t="s">
        <v>782</v>
      </c>
      <c r="C55" s="613" t="str">
        <f>IF(C56*0.1&lt;C54,"Exceed 10% Rule","")</f>
        <v/>
      </c>
      <c r="D55" s="614" t="str">
        <f>IF(D56*0.1&lt;D54,"Exceed 10% Rule","")</f>
        <v/>
      </c>
      <c r="E55" s="615" t="str">
        <f>IF(E56*0.1&lt;E54,"Exceed 10% Rule","")</f>
        <v/>
      </c>
      <c r="G55" s="647"/>
      <c r="H55" s="634"/>
      <c r="I55" s="634"/>
      <c r="J55" s="648"/>
    </row>
    <row r="56" spans="2:11" x14ac:dyDescent="0.25">
      <c r="B56" s="616" t="s">
        <v>118</v>
      </c>
      <c r="C56" s="617">
        <f>SUM(C31:C54)</f>
        <v>752787</v>
      </c>
      <c r="D56" s="618">
        <f>SUM(D31:D54)</f>
        <v>778495</v>
      </c>
      <c r="E56" s="619">
        <f>SUM(E31:E54)</f>
        <v>831705</v>
      </c>
      <c r="G56" s="649">
        <f>D57</f>
        <v>87433</v>
      </c>
      <c r="H56" s="650" t="str">
        <f>CONCATENATE("",E1-1," Ending Cash Balance (est.)")</f>
        <v>2014 Ending Cash Balance (est.)</v>
      </c>
      <c r="I56" s="651"/>
      <c r="J56" s="648"/>
    </row>
    <row r="57" spans="2:11" x14ac:dyDescent="0.25">
      <c r="B57" s="595" t="s">
        <v>213</v>
      </c>
      <c r="C57" s="652">
        <f>C29-C56</f>
        <v>88617</v>
      </c>
      <c r="D57" s="653">
        <f>D29-D56</f>
        <v>87433</v>
      </c>
      <c r="E57" s="602" t="s">
        <v>93</v>
      </c>
      <c r="G57" s="649">
        <f>E28</f>
        <v>526260</v>
      </c>
      <c r="H57" s="635" t="str">
        <f>CONCATENATE("",E1," Non-AV Receipts (est.)")</f>
        <v>2015 Non-AV Receipts (est.)</v>
      </c>
      <c r="I57" s="651"/>
      <c r="J57" s="648"/>
    </row>
    <row r="58" spans="2:11" x14ac:dyDescent="0.25">
      <c r="B58" s="893" t="str">
        <f>CONCATENATE("",E1-2,"/",E1-1,"/",E1," Budget Authority Amount:")</f>
        <v>2013/2014/2015 Budget Authority Amount:</v>
      </c>
      <c r="C58" s="622">
        <f>inputOth!B64</f>
        <v>812788</v>
      </c>
      <c r="D58" s="622">
        <f>inputPrYr!D18</f>
        <v>808495</v>
      </c>
      <c r="E58" s="892">
        <f>E56</f>
        <v>831705</v>
      </c>
      <c r="F58" s="655"/>
      <c r="G58" s="656">
        <f>IF(E62&gt;0,E61,E63)</f>
        <v>260837</v>
      </c>
      <c r="H58" s="635" t="str">
        <f>CONCATENATE("",E1," Ad Valorem Tax (est.)")</f>
        <v>2015 Ad Valorem Tax (est.)</v>
      </c>
      <c r="I58" s="651"/>
      <c r="J58" s="648"/>
      <c r="K58" s="657" t="str">
        <f>IF(G58=E63,"","Note: Does not include Delinquent Taxes")</f>
        <v>Note: Does not include Delinquent Taxes</v>
      </c>
    </row>
    <row r="59" spans="2:11" x14ac:dyDescent="0.25">
      <c r="B59" s="654"/>
      <c r="C59" s="1021" t="s">
        <v>628</v>
      </c>
      <c r="D59" s="1022"/>
      <c r="E59" s="658">
        <f>87825-45000</f>
        <v>42825</v>
      </c>
      <c r="F59" s="659" t="str">
        <f>IF(E56/0.95-E56&lt;E59,"Exceeds 5%","")</f>
        <v/>
      </c>
      <c r="G59" s="649">
        <f>SUM(G56:G58)</f>
        <v>874530</v>
      </c>
      <c r="H59" s="635" t="str">
        <f>CONCATENATE("Total ",E1," Resources Available")</f>
        <v>Total 2015 Resources Available</v>
      </c>
      <c r="I59" s="651"/>
      <c r="J59" s="648"/>
    </row>
    <row r="60" spans="2:11" x14ac:dyDescent="0.25">
      <c r="B60" s="660" t="str">
        <f>CONCATENATE(C72,"     ",D72)</f>
        <v xml:space="preserve">     </v>
      </c>
      <c r="C60" s="1023" t="s">
        <v>629</v>
      </c>
      <c r="D60" s="1024"/>
      <c r="E60" s="661">
        <f>E56+E59</f>
        <v>874530</v>
      </c>
      <c r="G60" s="662"/>
      <c r="H60" s="635"/>
      <c r="I60" s="635"/>
      <c r="J60" s="648"/>
    </row>
    <row r="61" spans="2:11" x14ac:dyDescent="0.25">
      <c r="B61" s="660" t="str">
        <f>CONCATENATE(C73,"     ",D73)</f>
        <v xml:space="preserve">     </v>
      </c>
      <c r="C61" s="663"/>
      <c r="D61" s="585" t="s">
        <v>119</v>
      </c>
      <c r="E61" s="664">
        <f>IF(E60-E29&gt;0,E60-E29,0)</f>
        <v>260837</v>
      </c>
      <c r="G61" s="656">
        <f>ROUND(C56*0.05+C56,0)</f>
        <v>790426</v>
      </c>
      <c r="H61" s="635" t="str">
        <f>CONCATENATE("Less ",E1-2," Expenditures + 5%")</f>
        <v>Less 2013 Expenditures + 5%</v>
      </c>
      <c r="I61" s="651"/>
      <c r="J61" s="648"/>
    </row>
    <row r="62" spans="2:11" x14ac:dyDescent="0.25">
      <c r="B62" s="665"/>
      <c r="C62" s="369" t="s">
        <v>627</v>
      </c>
      <c r="D62" s="666">
        <f>inputOth!E50</f>
        <v>0.08</v>
      </c>
      <c r="E62" s="661">
        <f>ROUND(IF(D62&gt;0,(E61*D62),0),0)</f>
        <v>20867</v>
      </c>
      <c r="G62" s="667">
        <f>G59-G61</f>
        <v>84104</v>
      </c>
      <c r="H62" s="668" t="str">
        <f>CONCATENATE("Projected ",E1+1," Carryover (est.)")</f>
        <v>Projected 2016 Carryover (est.)</v>
      </c>
      <c r="I62" s="669"/>
      <c r="J62" s="670"/>
    </row>
    <row r="63" spans="2:11" ht="16.2" thickBot="1" x14ac:dyDescent="0.3">
      <c r="B63" s="582"/>
      <c r="C63" s="1030" t="str">
        <f>CONCATENATE("Amount of  ",E1-1," Ad Valorem Tax")</f>
        <v>Amount of  2014 Ad Valorem Tax</v>
      </c>
      <c r="D63" s="1031"/>
      <c r="E63" s="671">
        <f>E61+E62</f>
        <v>281704</v>
      </c>
    </row>
    <row r="64" spans="2:11" ht="16.2" thickTop="1" x14ac:dyDescent="0.25">
      <c r="B64" s="585"/>
      <c r="C64" s="582"/>
      <c r="D64" s="582"/>
      <c r="E64" s="582"/>
      <c r="G64" s="1032" t="s">
        <v>807</v>
      </c>
      <c r="H64" s="1033"/>
      <c r="I64" s="1033"/>
      <c r="J64" s="1034"/>
    </row>
    <row r="65" spans="2:16" x14ac:dyDescent="0.25">
      <c r="B65" s="654" t="s">
        <v>121</v>
      </c>
      <c r="C65" s="672">
        <v>9</v>
      </c>
      <c r="D65" s="673"/>
      <c r="E65" s="582"/>
      <c r="G65" s="674"/>
      <c r="H65" s="650"/>
      <c r="I65" s="675"/>
      <c r="J65" s="676"/>
      <c r="M65" s="1035"/>
      <c r="N65" s="1035"/>
      <c r="O65" s="1035"/>
      <c r="P65" s="1036"/>
    </row>
    <row r="66" spans="2:16" x14ac:dyDescent="0.25">
      <c r="G66" s="677">
        <f>summ!H16</f>
        <v>12.651</v>
      </c>
      <c r="H66" s="650" t="str">
        <f>CONCATENATE("",E1," Fund Mill Rate")</f>
        <v>2015 Fund Mill Rate</v>
      </c>
      <c r="I66" s="675"/>
      <c r="J66" s="676"/>
      <c r="M66" s="678"/>
      <c r="N66" s="678"/>
      <c r="O66" s="678"/>
      <c r="P66" s="678"/>
    </row>
    <row r="67" spans="2:16" x14ac:dyDescent="0.25">
      <c r="C67" s="627"/>
      <c r="D67" s="627"/>
      <c r="E67" s="679"/>
      <c r="F67" s="628"/>
      <c r="G67" s="680">
        <f>summ!E16</f>
        <v>10.994</v>
      </c>
      <c r="H67" s="650" t="str">
        <f>CONCATENATE("",E1-1," Fund Mill Rate")</f>
        <v>2014 Fund Mill Rate</v>
      </c>
      <c r="I67" s="675"/>
      <c r="J67" s="676"/>
      <c r="L67" s="681"/>
      <c r="M67" s="682"/>
      <c r="N67" s="683"/>
      <c r="O67" s="683"/>
      <c r="P67" s="684"/>
    </row>
    <row r="68" spans="2:16" x14ac:dyDescent="0.25">
      <c r="C68" s="685"/>
      <c r="D68" s="629"/>
      <c r="E68" s="679"/>
      <c r="F68" s="629"/>
      <c r="G68" s="686">
        <f>summ!H52</f>
        <v>64.292999999999992</v>
      </c>
      <c r="H68" s="650" t="str">
        <f>CONCATENATE("Total ",E1," Mill Rate")</f>
        <v>Total 2015 Mill Rate</v>
      </c>
      <c r="I68" s="675"/>
      <c r="J68" s="676"/>
      <c r="M68" s="685"/>
      <c r="N68" s="629"/>
      <c r="O68" s="685"/>
      <c r="P68" s="684"/>
    </row>
    <row r="69" spans="2:16" x14ac:dyDescent="0.25">
      <c r="C69" s="687"/>
      <c r="D69" s="688"/>
      <c r="E69" s="679"/>
      <c r="F69" s="629"/>
      <c r="G69" s="680">
        <f>summ!E52</f>
        <v>59.930999999999997</v>
      </c>
      <c r="H69" s="689" t="str">
        <f>CONCATENATE("Total ",E1-1," Mill Rate")</f>
        <v>Total 2014 Mill Rate</v>
      </c>
      <c r="I69" s="690"/>
      <c r="J69" s="691"/>
      <c r="M69" s="685"/>
      <c r="N69" s="629"/>
      <c r="O69" s="685"/>
      <c r="P69" s="692"/>
    </row>
    <row r="70" spans="2:16" ht="14.25" customHeight="1" x14ac:dyDescent="0.25">
      <c r="C70" s="630"/>
      <c r="D70" s="629"/>
      <c r="E70" s="629"/>
      <c r="F70" s="629"/>
      <c r="G70" s="683"/>
      <c r="H70" s="678"/>
      <c r="I70" s="678"/>
      <c r="J70" s="693"/>
    </row>
    <row r="71" spans="2:16" x14ac:dyDescent="0.25">
      <c r="C71" s="630"/>
      <c r="D71" s="629"/>
      <c r="E71" s="629"/>
      <c r="F71" s="629"/>
      <c r="G71" s="921" t="s">
        <v>986</v>
      </c>
      <c r="H71" s="867"/>
      <c r="I71" s="866" t="str">
        <f>cert!F60</f>
        <v>Yes</v>
      </c>
      <c r="J71" s="694"/>
    </row>
    <row r="72" spans="2:16" hidden="1" x14ac:dyDescent="0.25">
      <c r="C72" s="695" t="str">
        <f>IF(C56&gt;C58,"See Tab A","")</f>
        <v/>
      </c>
      <c r="D72" s="696" t="str">
        <f>IF(D56&gt;D58,"See Tab C","")</f>
        <v/>
      </c>
      <c r="E72" s="629"/>
      <c r="F72" s="629"/>
    </row>
    <row r="73" spans="2:16" hidden="1" x14ac:dyDescent="0.25">
      <c r="C73" s="697" t="str">
        <f>IF(C57&lt;0,"See Tab B","")</f>
        <v/>
      </c>
      <c r="D73" s="697" t="str">
        <f>IF(D57&lt;0,"See Tab D","")</f>
        <v/>
      </c>
    </row>
  </sheetData>
  <sheetProtection sheet="1" objects="1" scenarios="1"/>
  <mergeCells count="8">
    <mergeCell ref="C63:D63"/>
    <mergeCell ref="G64:J64"/>
    <mergeCell ref="M65:P65"/>
    <mergeCell ref="G43:J43"/>
    <mergeCell ref="G47:J47"/>
    <mergeCell ref="G54:J54"/>
    <mergeCell ref="C59:D59"/>
    <mergeCell ref="C60:D60"/>
  </mergeCells>
  <conditionalFormatting sqref="E54">
    <cfRule type="cellIs" dxfId="316" priority="11" stopIfTrue="1" operator="greaterThan">
      <formula>$E$56*0.1</formula>
    </cfRule>
  </conditionalFormatting>
  <conditionalFormatting sqref="E59">
    <cfRule type="cellIs" dxfId="315" priority="10" stopIfTrue="1" operator="greaterThan">
      <formula>$E$56/0.95-$E$56</formula>
    </cfRule>
  </conditionalFormatting>
  <conditionalFormatting sqref="C57">
    <cfRule type="cellIs" dxfId="314" priority="9" stopIfTrue="1" operator="lessThan">
      <formula>0</formula>
    </cfRule>
  </conditionalFormatting>
  <conditionalFormatting sqref="C56">
    <cfRule type="cellIs" dxfId="313" priority="8" stopIfTrue="1" operator="greaterThan">
      <formula>$C$58</formula>
    </cfRule>
  </conditionalFormatting>
  <conditionalFormatting sqref="C54">
    <cfRule type="cellIs" dxfId="312" priority="7" stopIfTrue="1" operator="greaterThan">
      <formula>$C$56*0.1</formula>
    </cfRule>
  </conditionalFormatting>
  <conditionalFormatting sqref="D54">
    <cfRule type="cellIs" dxfId="311" priority="6" stopIfTrue="1" operator="greaterThan">
      <formula>$D$56*0.1</formula>
    </cfRule>
  </conditionalFormatting>
  <conditionalFormatting sqref="C26">
    <cfRule type="cellIs" dxfId="310" priority="5" stopIfTrue="1" operator="greaterThan">
      <formula>$C$28*0.1</formula>
    </cfRule>
  </conditionalFormatting>
  <conditionalFormatting sqref="D26">
    <cfRule type="cellIs" dxfId="309" priority="4" stopIfTrue="1" operator="greaterThan">
      <formula>$D$28*0.1</formula>
    </cfRule>
  </conditionalFormatting>
  <conditionalFormatting sqref="E26">
    <cfRule type="cellIs" dxfId="308" priority="3" stopIfTrue="1" operator="greaterThan">
      <formula>$E$28*0.1+E63</formula>
    </cfRule>
  </conditionalFormatting>
  <conditionalFormatting sqref="D57">
    <cfRule type="cellIs" dxfId="307" priority="2" stopIfTrue="1" operator="lessThan">
      <formula>0</formula>
    </cfRule>
  </conditionalFormatting>
  <conditionalFormatting sqref="D56">
    <cfRule type="cellIs" dxfId="306" priority="1" stopIfTrue="1" operator="greaterThan">
      <formula>$D$58</formula>
    </cfRule>
  </conditionalFormatting>
  <pageMargins left="0.5" right="0.5" top="1" bottom="0.5" header="0.5" footer="0.5"/>
  <pageSetup orientation="portrait" blackAndWhite="1" horizontalDpi="120" verticalDpi="144" r:id="rId1"/>
  <headerFooter alignWithMargins="0">
    <oddHeader xml:space="preserve">&amp;RState of Kansas
City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01"/>
  <sheetViews>
    <sheetView view="pageBreakPreview" topLeftCell="A55" zoomScaleNormal="100" zoomScaleSheetLayoutView="100" workbookViewId="0">
      <selection activeCell="C40" sqref="C40:D40"/>
    </sheetView>
  </sheetViews>
  <sheetFormatPr defaultColWidth="8.9140625" defaultRowHeight="15.6" x14ac:dyDescent="0.25"/>
  <cols>
    <col min="1" max="1" width="2.4140625" style="30" customWidth="1"/>
    <col min="2" max="2" width="29.9140625" style="30" customWidth="1"/>
    <col min="3" max="3" width="15.08203125" style="30" customWidth="1"/>
    <col min="4" max="4" width="14.75" style="30" customWidth="1"/>
    <col min="5" max="5" width="14.6640625" style="30" customWidth="1"/>
    <col min="6" max="6" width="8.08203125" style="30" customWidth="1"/>
    <col min="7" max="7" width="10.25" style="30" customWidth="1"/>
    <col min="8" max="8" width="8.9140625" style="30"/>
    <col min="9" max="9" width="5" style="30" customWidth="1"/>
    <col min="10" max="10" width="10.9140625" style="30" customWidth="1"/>
    <col min="11" max="16384" width="8.9140625" style="30"/>
  </cols>
  <sheetData>
    <row r="1" spans="2:5" x14ac:dyDescent="0.25">
      <c r="B1" s="387" t="str">
        <f>inputPrYr!D2</f>
        <v>City of Osawatomie</v>
      </c>
      <c r="C1" s="387"/>
      <c r="D1" s="372"/>
      <c r="E1" s="380">
        <f>inputPrYr!C5</f>
        <v>2015</v>
      </c>
    </row>
    <row r="2" spans="2:5" x14ac:dyDescent="0.25">
      <c r="B2" s="372"/>
      <c r="C2" s="372"/>
      <c r="D2" s="372"/>
      <c r="E2" s="389"/>
    </row>
    <row r="3" spans="2:5" x14ac:dyDescent="0.25">
      <c r="B3" s="375" t="s">
        <v>170</v>
      </c>
      <c r="C3" s="375"/>
      <c r="D3" s="391"/>
      <c r="E3" s="381"/>
    </row>
    <row r="4" spans="2:5" x14ac:dyDescent="0.25">
      <c r="B4" s="374" t="s">
        <v>104</v>
      </c>
      <c r="C4" s="404" t="s">
        <v>803</v>
      </c>
      <c r="D4" s="403" t="s">
        <v>804</v>
      </c>
      <c r="E4" s="382" t="s">
        <v>805</v>
      </c>
    </row>
    <row r="5" spans="2:5" x14ac:dyDescent="0.25">
      <c r="B5" s="413" t="str">
        <f>inputPrYr!B19</f>
        <v>Library</v>
      </c>
      <c r="C5" s="405" t="str">
        <f>CONCATENATE("Actual for ",E1-2,"")</f>
        <v>Actual for 2013</v>
      </c>
      <c r="D5" s="405" t="str">
        <f>CONCATENATE("Estimate for ",E1-1,"")</f>
        <v>Estimate for 2014</v>
      </c>
      <c r="E5" s="390" t="str">
        <f>CONCATENATE("Year for ",E1,"")</f>
        <v>Year for 2015</v>
      </c>
    </row>
    <row r="6" spans="2:5" x14ac:dyDescent="0.25">
      <c r="B6" s="383" t="s">
        <v>212</v>
      </c>
      <c r="C6" s="409">
        <v>115754</v>
      </c>
      <c r="D6" s="408">
        <f>C34</f>
        <v>98394</v>
      </c>
      <c r="E6" s="384">
        <f>D34</f>
        <v>98394</v>
      </c>
    </row>
    <row r="7" spans="2:5" x14ac:dyDescent="0.25">
      <c r="B7" s="383" t="s">
        <v>214</v>
      </c>
      <c r="C7" s="385"/>
      <c r="D7" s="408"/>
      <c r="E7" s="384"/>
    </row>
    <row r="8" spans="2:5" x14ac:dyDescent="0.25">
      <c r="B8" s="383" t="s">
        <v>105</v>
      </c>
      <c r="C8" s="406"/>
      <c r="D8" s="408">
        <f>IF(inputPrYr!H16&gt;0,inputPrYr!G19,inputPrYr!E19)</f>
        <v>0</v>
      </c>
      <c r="E8" s="399" t="s">
        <v>93</v>
      </c>
    </row>
    <row r="9" spans="2:5" x14ac:dyDescent="0.25">
      <c r="B9" s="383" t="s">
        <v>106</v>
      </c>
      <c r="C9" s="406">
        <v>108</v>
      </c>
      <c r="D9" s="410"/>
      <c r="E9" s="376"/>
    </row>
    <row r="10" spans="2:5" x14ac:dyDescent="0.25">
      <c r="B10" s="383" t="s">
        <v>107</v>
      </c>
      <c r="C10" s="406"/>
      <c r="D10" s="410"/>
      <c r="E10" s="384" t="str">
        <f>mvalloc!D9</f>
        <v xml:space="preserve">  </v>
      </c>
    </row>
    <row r="11" spans="2:5" x14ac:dyDescent="0.25">
      <c r="B11" s="383" t="s">
        <v>108</v>
      </c>
      <c r="C11" s="406"/>
      <c r="D11" s="410"/>
      <c r="E11" s="384" t="str">
        <f>mvalloc!E9</f>
        <v xml:space="preserve"> </v>
      </c>
    </row>
    <row r="12" spans="2:5" x14ac:dyDescent="0.25">
      <c r="B12" s="386" t="s">
        <v>202</v>
      </c>
      <c r="C12" s="406"/>
      <c r="D12" s="410"/>
      <c r="E12" s="384" t="str">
        <f>mvalloc!F9</f>
        <v xml:space="preserve"> </v>
      </c>
    </row>
    <row r="13" spans="2:5" x14ac:dyDescent="0.25">
      <c r="B13" s="401" t="s">
        <v>1126</v>
      </c>
      <c r="C13" s="406">
        <v>9949</v>
      </c>
      <c r="D13" s="410">
        <v>8900</v>
      </c>
      <c r="E13" s="376">
        <v>9000</v>
      </c>
    </row>
    <row r="14" spans="2:5" x14ac:dyDescent="0.25">
      <c r="B14" s="401" t="s">
        <v>1127</v>
      </c>
      <c r="C14" s="406">
        <v>5869</v>
      </c>
      <c r="D14" s="410">
        <v>2000</v>
      </c>
      <c r="E14" s="376">
        <v>2000</v>
      </c>
    </row>
    <row r="15" spans="2:5" hidden="1" x14ac:dyDescent="0.25">
      <c r="B15" s="401"/>
      <c r="C15" s="406"/>
      <c r="D15" s="410"/>
      <c r="E15" s="376"/>
    </row>
    <row r="16" spans="2:5" x14ac:dyDescent="0.25">
      <c r="B16" s="401"/>
      <c r="C16" s="406"/>
      <c r="D16" s="410"/>
      <c r="E16" s="376"/>
    </row>
    <row r="17" spans="2:10" x14ac:dyDescent="0.25">
      <c r="B17" s="396" t="s">
        <v>110</v>
      </c>
      <c r="C17" s="406">
        <v>157</v>
      </c>
      <c r="D17" s="410"/>
      <c r="E17" s="376">
        <v>0</v>
      </c>
      <c r="F17" s="371"/>
      <c r="G17" s="371"/>
      <c r="H17" s="371"/>
      <c r="I17" s="371"/>
    </row>
    <row r="18" spans="2:10" x14ac:dyDescent="0.25">
      <c r="B18" s="383" t="s">
        <v>13</v>
      </c>
      <c r="C18" s="239"/>
      <c r="D18" s="239"/>
      <c r="E18" s="48"/>
      <c r="F18" s="371"/>
      <c r="G18" s="371"/>
      <c r="H18" s="371"/>
      <c r="I18" s="371"/>
    </row>
    <row r="19" spans="2:10" x14ac:dyDescent="0.25">
      <c r="B19" s="383" t="s">
        <v>781</v>
      </c>
      <c r="C19" s="244" t="str">
        <f>IF(C20*0.1&lt;C18,"Exceed 10% Rule","")</f>
        <v/>
      </c>
      <c r="D19" s="244" t="str">
        <f>IF(D20*0.1&lt;D18,"Exceed 10% Rule","")</f>
        <v/>
      </c>
      <c r="E19" s="281" t="str">
        <f>IF(E20*0.1+E40&lt;E18,"Exceed 10% Rule","")</f>
        <v/>
      </c>
      <c r="F19" s="371"/>
      <c r="G19" s="371"/>
      <c r="H19" s="371"/>
      <c r="I19" s="371"/>
    </row>
    <row r="20" spans="2:10" x14ac:dyDescent="0.25">
      <c r="B20" s="393" t="s">
        <v>111</v>
      </c>
      <c r="C20" s="411">
        <f>SUM(C8:C18)</f>
        <v>16083</v>
      </c>
      <c r="D20" s="411">
        <f>SUM(D8:D18)</f>
        <v>10900</v>
      </c>
      <c r="E20" s="402">
        <f>SUM(E9:E18)</f>
        <v>11000</v>
      </c>
      <c r="F20" s="371"/>
      <c r="G20" s="371"/>
      <c r="H20" s="371"/>
      <c r="I20" s="371"/>
    </row>
    <row r="21" spans="2:10" x14ac:dyDescent="0.25">
      <c r="B21" s="393" t="s">
        <v>112</v>
      </c>
      <c r="C21" s="411">
        <f>SUM(C6+C20)</f>
        <v>131837</v>
      </c>
      <c r="D21" s="411">
        <f>SUM(D6+D20)</f>
        <v>109294</v>
      </c>
      <c r="E21" s="402">
        <f>SUM(E6+E20)</f>
        <v>109394</v>
      </c>
      <c r="F21" s="371"/>
      <c r="G21" s="371"/>
      <c r="H21" s="371"/>
      <c r="I21" s="371"/>
    </row>
    <row r="22" spans="2:10" x14ac:dyDescent="0.25">
      <c r="B22" s="383" t="s">
        <v>114</v>
      </c>
      <c r="C22" s="383"/>
      <c r="D22" s="408"/>
      <c r="E22" s="384"/>
      <c r="F22" s="371"/>
      <c r="G22" s="371"/>
      <c r="H22" s="371"/>
      <c r="I22" s="371"/>
    </row>
    <row r="23" spans="2:10" x14ac:dyDescent="0.25">
      <c r="B23" s="401" t="s">
        <v>1128</v>
      </c>
      <c r="C23" s="485">
        <v>203</v>
      </c>
      <c r="D23" s="410"/>
      <c r="E23" s="376"/>
      <c r="F23" s="371"/>
      <c r="G23" s="371"/>
      <c r="H23" s="371"/>
      <c r="I23" s="371"/>
    </row>
    <row r="24" spans="2:10" x14ac:dyDescent="0.25">
      <c r="B24" s="401" t="s">
        <v>1129</v>
      </c>
      <c r="C24" s="485">
        <v>1452</v>
      </c>
      <c r="D24" s="410">
        <v>2900</v>
      </c>
      <c r="E24" s="376">
        <v>98394</v>
      </c>
      <c r="F24" s="371"/>
      <c r="G24" s="1042" t="str">
        <f>CONCATENATE("Desired Carryover Into ",E1+1,"")</f>
        <v>Desired Carryover Into 2016</v>
      </c>
      <c r="H24" s="1028"/>
      <c r="I24" s="1028"/>
      <c r="J24" s="1029"/>
    </row>
    <row r="25" spans="2:10" x14ac:dyDescent="0.25">
      <c r="B25" s="401" t="s">
        <v>1130</v>
      </c>
      <c r="C25" s="485">
        <v>5197</v>
      </c>
      <c r="D25" s="410">
        <v>8000</v>
      </c>
      <c r="E25" s="376">
        <v>8000</v>
      </c>
      <c r="F25" s="371"/>
      <c r="G25" s="773"/>
      <c r="H25" s="774"/>
      <c r="I25" s="775"/>
      <c r="J25" s="776"/>
    </row>
    <row r="26" spans="2:10" x14ac:dyDescent="0.25">
      <c r="B26" s="401" t="s">
        <v>1131</v>
      </c>
      <c r="C26" s="485">
        <v>26591</v>
      </c>
      <c r="D26" s="410"/>
      <c r="E26" s="376"/>
      <c r="F26" s="371"/>
      <c r="G26" s="777" t="s">
        <v>769</v>
      </c>
      <c r="H26" s="775"/>
      <c r="I26" s="775"/>
      <c r="J26" s="778">
        <v>0</v>
      </c>
    </row>
    <row r="27" spans="2:10" x14ac:dyDescent="0.25">
      <c r="B27" s="401" t="s">
        <v>1132</v>
      </c>
      <c r="C27" s="485"/>
      <c r="D27" s="410"/>
      <c r="E27" s="376"/>
      <c r="F27" s="371"/>
      <c r="G27" s="773" t="s">
        <v>770</v>
      </c>
      <c r="H27" s="774"/>
      <c r="I27" s="774"/>
      <c r="J27" s="779" t="str">
        <f>IF(J26=0,"",ROUND((J26+E40-G39)/inputOth!E9*1000,3)-G50)</f>
        <v/>
      </c>
    </row>
    <row r="28" spans="2:10" x14ac:dyDescent="0.25">
      <c r="B28" s="401" t="s">
        <v>1133</v>
      </c>
      <c r="C28" s="485"/>
      <c r="D28" s="410"/>
      <c r="E28" s="376"/>
      <c r="F28" s="371"/>
      <c r="G28" s="780" t="str">
        <f>CONCATENATE("",E1," Tot Exp/Non-Appr Must Be:")</f>
        <v>2015 Tot Exp/Non-Appr Must Be:</v>
      </c>
      <c r="H28" s="781"/>
      <c r="I28" s="782"/>
      <c r="J28" s="783">
        <f>IF(J26&gt;0,IF(E37&lt;E21,IF(J26=G39,E37,((J26-G39)*(1-D39))+E21),E37+(J26-G39)),0)</f>
        <v>0</v>
      </c>
    </row>
    <row r="29" spans="2:10" x14ac:dyDescent="0.25">
      <c r="B29" s="401"/>
      <c r="C29" s="485"/>
      <c r="D29" s="410"/>
      <c r="E29" s="376"/>
      <c r="F29" s="371"/>
      <c r="G29" s="784" t="s">
        <v>806</v>
      </c>
      <c r="H29" s="785"/>
      <c r="I29" s="785"/>
      <c r="J29" s="752">
        <f>IF(J26&gt;0,J28-E37,0)</f>
        <v>0</v>
      </c>
    </row>
    <row r="30" spans="2:10" x14ac:dyDescent="0.25">
      <c r="B30" s="398" t="s">
        <v>12</v>
      </c>
      <c r="C30" s="485"/>
      <c r="D30" s="410"/>
      <c r="E30" s="384" t="str">
        <f>nhood!E8</f>
        <v/>
      </c>
      <c r="F30" s="371"/>
      <c r="G30" s="371"/>
      <c r="H30" s="371"/>
      <c r="I30" s="371"/>
    </row>
    <row r="31" spans="2:10" x14ac:dyDescent="0.25">
      <c r="B31" s="398" t="s">
        <v>13</v>
      </c>
      <c r="C31" s="485"/>
      <c r="D31" s="410"/>
      <c r="E31" s="376"/>
      <c r="F31" s="371"/>
      <c r="G31" s="1043" t="str">
        <f>CONCATENATE("Projected Carryover Into ",E1+1,"")</f>
        <v>Projected Carryover Into 2016</v>
      </c>
      <c r="H31" s="1028"/>
      <c r="I31" s="1028"/>
      <c r="J31" s="1029"/>
    </row>
    <row r="32" spans="2:10" x14ac:dyDescent="0.25">
      <c r="B32" s="398" t="s">
        <v>783</v>
      </c>
      <c r="C32" s="244" t="str">
        <f>IF(C33*0.1&lt;C31,"Exceed 10% Rule","")</f>
        <v/>
      </c>
      <c r="D32" s="244" t="str">
        <f>IF(D33*0.1&lt;D31,"Exceed 10% Rule","")</f>
        <v/>
      </c>
      <c r="E32" s="281" t="str">
        <f>IF(E33*0.1&lt;E31,"Exceed 10% Rule","")</f>
        <v/>
      </c>
      <c r="F32" s="371"/>
      <c r="G32" s="786"/>
      <c r="H32" s="751"/>
      <c r="I32" s="751"/>
      <c r="J32" s="787"/>
    </row>
    <row r="33" spans="2:10" x14ac:dyDescent="0.25">
      <c r="B33" s="393" t="s">
        <v>118</v>
      </c>
      <c r="C33" s="407">
        <f>SUM(C23:C31)</f>
        <v>33443</v>
      </c>
      <c r="D33" s="407">
        <f>SUM(D23:D31)</f>
        <v>10900</v>
      </c>
      <c r="E33" s="397">
        <f>SUM(E23:E31)</f>
        <v>106394</v>
      </c>
      <c r="F33" s="371"/>
      <c r="G33" s="788">
        <f>D34</f>
        <v>98394</v>
      </c>
      <c r="H33" s="789" t="str">
        <f>CONCATENATE("",E1-1," Ending Cash Balance (est.)")</f>
        <v>2014 Ending Cash Balance (est.)</v>
      </c>
      <c r="I33" s="790"/>
      <c r="J33" s="787"/>
    </row>
    <row r="34" spans="2:10" x14ac:dyDescent="0.25">
      <c r="B34" s="383" t="s">
        <v>213</v>
      </c>
      <c r="C34" s="412">
        <f>SUM(C21-C33)</f>
        <v>98394</v>
      </c>
      <c r="D34" s="412">
        <f>SUM(D21-D33)</f>
        <v>98394</v>
      </c>
      <c r="E34" s="399" t="s">
        <v>93</v>
      </c>
      <c r="F34" s="371"/>
      <c r="G34" s="788">
        <f>E20</f>
        <v>11000</v>
      </c>
      <c r="H34" s="791" t="str">
        <f>CONCATENATE("",E1," Non-AV Receipts (est.)")</f>
        <v>2015 Non-AV Receipts (est.)</v>
      </c>
      <c r="I34" s="751"/>
      <c r="J34" s="787"/>
    </row>
    <row r="35" spans="2:10" x14ac:dyDescent="0.25">
      <c r="B35" s="896" t="str">
        <f>CONCATENATE("",E1-2,"/",E1-1,"/",E1," Budget Authority Amount:")</f>
        <v>2013/2014/2015 Budget Authority Amount:</v>
      </c>
      <c r="C35" s="895">
        <f>inputOth!B65</f>
        <v>126000</v>
      </c>
      <c r="D35" s="894">
        <f>inputPrYr!D19</f>
        <v>111854</v>
      </c>
      <c r="E35" s="384">
        <f>E33</f>
        <v>106394</v>
      </c>
      <c r="F35" s="394"/>
      <c r="G35" s="792">
        <f>IF(E39&gt;0,E38,E40)</f>
        <v>0</v>
      </c>
      <c r="H35" s="791" t="str">
        <f>CONCATENATE("",E1," Ad Valorem Tax (est.)")</f>
        <v>2015 Ad Valorem Tax (est.)</v>
      </c>
      <c r="I35" s="751"/>
      <c r="J35" s="787"/>
    </row>
    <row r="36" spans="2:10" x14ac:dyDescent="0.25">
      <c r="B36" s="388"/>
      <c r="C36" s="1021" t="s">
        <v>628</v>
      </c>
      <c r="D36" s="1022"/>
      <c r="E36" s="48">
        <v>3000</v>
      </c>
      <c r="F36" s="429" t="str">
        <f>IF(E33/0.95-E33&lt;E36,"Exceeds 5%","")</f>
        <v/>
      </c>
      <c r="G36" s="788">
        <f>SUM(G33:G35)</f>
        <v>109394</v>
      </c>
      <c r="H36" s="791" t="str">
        <f>CONCATENATE("Total ",E1," Resources Available")</f>
        <v>Total 2015 Resources Available</v>
      </c>
      <c r="I36" s="790"/>
      <c r="J36" s="787"/>
    </row>
    <row r="37" spans="2:10" x14ac:dyDescent="0.25">
      <c r="B37" s="526" t="str">
        <f>CONCATENATE(C98,"     ",D98)</f>
        <v xml:space="preserve">     </v>
      </c>
      <c r="C37" s="1023" t="s">
        <v>629</v>
      </c>
      <c r="D37" s="1024"/>
      <c r="E37" s="384">
        <f>SUM(E33+E36)</f>
        <v>109394</v>
      </c>
      <c r="F37" s="371"/>
      <c r="G37" s="793"/>
      <c r="H37" s="791"/>
      <c r="I37" s="751"/>
      <c r="J37" s="787"/>
    </row>
    <row r="38" spans="2:10" x14ac:dyDescent="0.25">
      <c r="B38" s="526" t="str">
        <f>CONCATENATE(C99,"     ",D99)</f>
        <v xml:space="preserve">     </v>
      </c>
      <c r="C38" s="395"/>
      <c r="D38" s="389" t="s">
        <v>119</v>
      </c>
      <c r="E38" s="377">
        <f>IF(E37-E21&gt;0,E37-E21,0)</f>
        <v>0</v>
      </c>
      <c r="F38" s="371"/>
      <c r="G38" s="808">
        <f>ROUND(C33*0.05+C33,0)</f>
        <v>35115</v>
      </c>
      <c r="H38" s="807" t="str">
        <f>CONCATENATE("Less ",E1-2," Expenditures + 5%")</f>
        <v>Less 2013 Expenditures + 5%</v>
      </c>
      <c r="I38" s="751"/>
      <c r="J38" s="787"/>
    </row>
    <row r="39" spans="2:10" x14ac:dyDescent="0.25">
      <c r="B39" s="389"/>
      <c r="C39" s="369" t="s">
        <v>627</v>
      </c>
      <c r="D39" s="732">
        <f>inputOth!$E$50</f>
        <v>0.08</v>
      </c>
      <c r="E39" s="384">
        <f>ROUND(IF(D39&gt;0,(E38*D39),0),0)</f>
        <v>0</v>
      </c>
      <c r="F39" s="371"/>
      <c r="G39" s="794">
        <f>SUM(G36-G38)</f>
        <v>74279</v>
      </c>
      <c r="H39" s="795" t="str">
        <f>CONCATENATE("Projected ",E1+1," carryover (est.)")</f>
        <v>Projected 2016 carryover (est.)</v>
      </c>
      <c r="I39" s="796"/>
      <c r="J39" s="797"/>
    </row>
    <row r="40" spans="2:10" ht="16.2" thickBot="1" x14ac:dyDescent="0.3">
      <c r="B40" s="372"/>
      <c r="C40" s="1030" t="str">
        <f>CONCATENATE("Amount of  ",$E$1-1," Ad Valorem Tax")</f>
        <v>Amount of  2014 Ad Valorem Tax</v>
      </c>
      <c r="D40" s="1031"/>
      <c r="E40" s="734">
        <f>SUM(E38:E39)</f>
        <v>0</v>
      </c>
      <c r="F40" s="813" t="e">
        <f>IF('Library Grant'!F33="","",IF('Library Grant'!F33="Qualify","Qualifies for State Library Grant","See 'Library Grant' tab"))</f>
        <v>#VALUE!</v>
      </c>
    </row>
    <row r="41" spans="2:10" ht="16.2" thickTop="1" x14ac:dyDescent="0.25">
      <c r="B41" s="372"/>
      <c r="C41" s="562"/>
      <c r="D41" s="372"/>
      <c r="E41" s="372"/>
      <c r="F41" s="371"/>
    </row>
    <row r="42" spans="2:10" x14ac:dyDescent="0.25">
      <c r="B42" s="389" t="s">
        <v>121</v>
      </c>
      <c r="C42" s="400">
        <v>10</v>
      </c>
      <c r="D42" s="391"/>
      <c r="E42" s="391"/>
      <c r="F42" s="371"/>
    </row>
    <row r="43" spans="2:10" x14ac:dyDescent="0.25">
      <c r="B43" s="374"/>
      <c r="C43" s="374"/>
      <c r="D43" s="391"/>
      <c r="E43" s="391"/>
      <c r="F43" s="371"/>
    </row>
    <row r="44" spans="2:10" x14ac:dyDescent="0.25">
      <c r="B44" s="387" t="s">
        <v>1014</v>
      </c>
      <c r="C44" s="387"/>
      <c r="D44" s="372"/>
      <c r="E44" s="380">
        <v>2015</v>
      </c>
      <c r="F44" s="371"/>
    </row>
    <row r="45" spans="2:10" x14ac:dyDescent="0.25">
      <c r="B45" s="374"/>
      <c r="C45" s="374"/>
      <c r="D45" s="391"/>
      <c r="E45" s="391"/>
      <c r="F45" s="371"/>
    </row>
    <row r="46" spans="2:10" x14ac:dyDescent="0.25">
      <c r="B46" s="375" t="s">
        <v>170</v>
      </c>
      <c r="C46" s="374"/>
      <c r="D46" s="391"/>
      <c r="E46" s="391"/>
      <c r="F46" s="371"/>
    </row>
    <row r="47" spans="2:10" x14ac:dyDescent="0.25">
      <c r="B47" s="374" t="s">
        <v>104</v>
      </c>
      <c r="C47" s="404" t="s">
        <v>803</v>
      </c>
      <c r="D47" s="403" t="s">
        <v>804</v>
      </c>
      <c r="E47" s="382" t="s">
        <v>805</v>
      </c>
      <c r="F47" s="371"/>
      <c r="G47" s="1018" t="s">
        <v>807</v>
      </c>
      <c r="H47" s="1044"/>
      <c r="I47" s="1044"/>
      <c r="J47" s="1045"/>
    </row>
    <row r="48" spans="2:10" x14ac:dyDescent="0.25">
      <c r="B48" s="414" t="s">
        <v>632</v>
      </c>
      <c r="C48" s="405" t="str">
        <f>CONCATENATE("Actual for ",E1-2,"")</f>
        <v>Actual for 2013</v>
      </c>
      <c r="D48" s="405" t="str">
        <f>CONCATENATE("Estimate for ",E1-1,"")</f>
        <v>Estimate for 2014</v>
      </c>
      <c r="E48" s="390" t="str">
        <f>CONCATENATE("Year for ",E1,"")</f>
        <v>Year for 2015</v>
      </c>
      <c r="F48" s="371"/>
      <c r="G48" s="763"/>
      <c r="H48" s="764"/>
      <c r="I48" s="765"/>
      <c r="J48" s="766"/>
    </row>
    <row r="49" spans="2:10" x14ac:dyDescent="0.25">
      <c r="B49" s="383" t="s">
        <v>212</v>
      </c>
      <c r="C49" s="406">
        <v>714</v>
      </c>
      <c r="D49" s="408">
        <f>C78</f>
        <v>0</v>
      </c>
      <c r="E49" s="384">
        <f>D78</f>
        <v>0</v>
      </c>
      <c r="F49" s="371"/>
      <c r="G49" s="767" t="str">
        <f>summ!H17</f>
        <v/>
      </c>
      <c r="H49" s="764" t="str">
        <f>CONCATENATE("",E1," Fund Mill Rate")</f>
        <v>2015 Fund Mill Rate</v>
      </c>
      <c r="I49" s="765"/>
      <c r="J49" s="766"/>
    </row>
    <row r="50" spans="2:10" x14ac:dyDescent="0.25">
      <c r="B50" s="392" t="s">
        <v>214</v>
      </c>
      <c r="C50" s="383"/>
      <c r="D50" s="408"/>
      <c r="E50" s="384"/>
      <c r="F50" s="371"/>
      <c r="G50" s="768" t="str">
        <f>summ!E17</f>
        <v xml:space="preserve">  </v>
      </c>
      <c r="H50" s="764" t="str">
        <f>CONCATENATE("",E1-1," Fund Mill Rate")</f>
        <v>2014 Fund Mill Rate</v>
      </c>
      <c r="I50" s="765"/>
      <c r="J50" s="766"/>
    </row>
    <row r="51" spans="2:10" x14ac:dyDescent="0.25">
      <c r="B51" s="383" t="s">
        <v>105</v>
      </c>
      <c r="C51" s="406">
        <v>-11</v>
      </c>
      <c r="D51" s="408">
        <f>IF(inputPrYr!H16&gt;0,inputPrYr!G33,inputPrYr!E33)</f>
        <v>0</v>
      </c>
      <c r="E51" s="399" t="s">
        <v>93</v>
      </c>
      <c r="F51" s="371"/>
      <c r="G51" s="769">
        <f>summ!H52</f>
        <v>64.292999999999992</v>
      </c>
      <c r="H51" s="764" t="str">
        <f>CONCATENATE("Total ",E1," Mill Rate")</f>
        <v>Total 2015 Mill Rate</v>
      </c>
      <c r="I51" s="765"/>
      <c r="J51" s="766"/>
    </row>
    <row r="52" spans="2:10" x14ac:dyDescent="0.25">
      <c r="B52" s="383" t="s">
        <v>106</v>
      </c>
      <c r="C52" s="406">
        <v>2115</v>
      </c>
      <c r="D52" s="410">
        <v>1000</v>
      </c>
      <c r="E52" s="376">
        <v>1000</v>
      </c>
      <c r="F52" s="371"/>
      <c r="G52" s="768">
        <f>summ!E52</f>
        <v>59.930999999999997</v>
      </c>
      <c r="H52" s="770" t="str">
        <f>CONCATENATE("Total ",E1-1," Mill Rate")</f>
        <v>Total 2014 Mill Rate</v>
      </c>
      <c r="I52" s="771"/>
      <c r="J52" s="772"/>
    </row>
    <row r="53" spans="2:10" x14ac:dyDescent="0.25">
      <c r="B53" s="383" t="s">
        <v>107</v>
      </c>
      <c r="C53" s="406">
        <v>9329</v>
      </c>
      <c r="D53" s="410"/>
      <c r="E53" s="384" t="str">
        <f>mvalloc!D20</f>
        <v xml:space="preserve">  </v>
      </c>
      <c r="F53" s="371"/>
      <c r="G53" s="371"/>
      <c r="H53" s="371"/>
      <c r="I53" s="371"/>
    </row>
    <row r="54" spans="2:10" x14ac:dyDescent="0.25">
      <c r="B54" s="383" t="s">
        <v>108</v>
      </c>
      <c r="C54" s="406">
        <v>119</v>
      </c>
      <c r="D54" s="410"/>
      <c r="E54" s="384" t="str">
        <f>mvalloc!E20</f>
        <v xml:space="preserve"> </v>
      </c>
      <c r="F54" s="371"/>
      <c r="G54" s="922" t="s">
        <v>986</v>
      </c>
      <c r="H54" s="869"/>
      <c r="I54" s="868" t="str">
        <f>cert!F60</f>
        <v>Yes</v>
      </c>
    </row>
    <row r="55" spans="2:10" x14ac:dyDescent="0.25">
      <c r="B55" s="386" t="s">
        <v>202</v>
      </c>
      <c r="C55" s="406">
        <v>89</v>
      </c>
      <c r="D55" s="410"/>
      <c r="E55" s="384" t="str">
        <f>mvalloc!F20</f>
        <v xml:space="preserve"> </v>
      </c>
      <c r="G55" s="371"/>
      <c r="H55" s="371"/>
      <c r="I55" s="371"/>
    </row>
    <row r="56" spans="2:10" x14ac:dyDescent="0.25">
      <c r="B56" s="401" t="s">
        <v>1111</v>
      </c>
      <c r="C56" s="406"/>
      <c r="D56" s="410"/>
      <c r="E56" s="376"/>
    </row>
    <row r="57" spans="2:10" hidden="1" x14ac:dyDescent="0.25">
      <c r="B57" s="401"/>
      <c r="C57" s="406"/>
      <c r="D57" s="410"/>
      <c r="E57" s="376"/>
    </row>
    <row r="58" spans="2:10" hidden="1" x14ac:dyDescent="0.25">
      <c r="B58" s="401"/>
      <c r="C58" s="406"/>
      <c r="D58" s="410"/>
      <c r="E58" s="376"/>
    </row>
    <row r="59" spans="2:10" hidden="1" x14ac:dyDescent="0.25">
      <c r="B59" s="401"/>
      <c r="C59" s="406"/>
      <c r="D59" s="410"/>
      <c r="E59" s="376"/>
    </row>
    <row r="60" spans="2:10" x14ac:dyDescent="0.25">
      <c r="B60" s="401"/>
      <c r="C60" s="406"/>
      <c r="D60" s="410"/>
      <c r="E60" s="376"/>
    </row>
    <row r="61" spans="2:10" x14ac:dyDescent="0.25">
      <c r="B61" s="396" t="s">
        <v>110</v>
      </c>
      <c r="C61" s="406"/>
      <c r="D61" s="410"/>
      <c r="E61" s="376"/>
    </row>
    <row r="62" spans="2:10" x14ac:dyDescent="0.25">
      <c r="B62" s="383" t="s">
        <v>13</v>
      </c>
      <c r="C62" s="406"/>
      <c r="D62" s="239"/>
      <c r="E62" s="48"/>
    </row>
    <row r="63" spans="2:10" x14ac:dyDescent="0.25">
      <c r="B63" s="383" t="s">
        <v>781</v>
      </c>
      <c r="C63" s="244" t="str">
        <f>IF(C64*0.1&lt;C62,"Exceed 10% Rule","")</f>
        <v/>
      </c>
      <c r="D63" s="244" t="str">
        <f>IF(D64*0.1&lt;D62,"Exceed 10% Rule","")</f>
        <v/>
      </c>
      <c r="E63" s="281" t="str">
        <f>IF(E64*0.1+E84&lt;E62,"Exceed 10% Rule","")</f>
        <v/>
      </c>
    </row>
    <row r="64" spans="2:10" x14ac:dyDescent="0.25">
      <c r="B64" s="393" t="s">
        <v>111</v>
      </c>
      <c r="C64" s="407">
        <f>SUM(C51:C62)</f>
        <v>11641</v>
      </c>
      <c r="D64" s="407">
        <f>SUM(D51:D62)</f>
        <v>1000</v>
      </c>
      <c r="E64" s="397">
        <f>SUM(E52:E62)</f>
        <v>1000</v>
      </c>
    </row>
    <row r="65" spans="2:11" x14ac:dyDescent="0.25">
      <c r="B65" s="393" t="s">
        <v>112</v>
      </c>
      <c r="C65" s="407">
        <f>SUM(C49+C64)</f>
        <v>12355</v>
      </c>
      <c r="D65" s="407">
        <f>SUM(D49+D64)</f>
        <v>1000</v>
      </c>
      <c r="E65" s="397">
        <f>SUM(E49+E64)</f>
        <v>1000</v>
      </c>
    </row>
    <row r="66" spans="2:11" x14ac:dyDescent="0.25">
      <c r="B66" s="383" t="s">
        <v>114</v>
      </c>
      <c r="C66" s="383"/>
      <c r="D66" s="408"/>
      <c r="E66" s="384"/>
    </row>
    <row r="67" spans="2:11" x14ac:dyDescent="0.25">
      <c r="B67" s="401" t="s">
        <v>252</v>
      </c>
      <c r="C67" s="406"/>
      <c r="D67" s="410"/>
      <c r="E67" s="376"/>
    </row>
    <row r="68" spans="2:11" x14ac:dyDescent="0.3">
      <c r="B68" s="401" t="s">
        <v>1134</v>
      </c>
      <c r="C68" s="406"/>
      <c r="D68" s="410"/>
      <c r="E68" s="376"/>
      <c r="F68" s="2"/>
      <c r="G68" s="1042" t="str">
        <f>CONCATENATE("Desired Carryover Into ",E1+1,"")</f>
        <v>Desired Carryover Into 2016</v>
      </c>
      <c r="H68" s="1028"/>
      <c r="I68" s="1028"/>
      <c r="J68" s="1029"/>
    </row>
    <row r="69" spans="2:11" x14ac:dyDescent="0.3">
      <c r="B69" s="401" t="s">
        <v>1135</v>
      </c>
      <c r="C69" s="406"/>
      <c r="D69" s="410"/>
      <c r="E69" s="376"/>
      <c r="F69" s="2"/>
      <c r="G69" s="773"/>
      <c r="H69" s="774"/>
      <c r="I69" s="775"/>
      <c r="J69" s="776"/>
    </row>
    <row r="70" spans="2:11" x14ac:dyDescent="0.3">
      <c r="B70" s="401" t="s">
        <v>1136</v>
      </c>
      <c r="C70" s="406">
        <v>12355</v>
      </c>
      <c r="D70" s="410">
        <v>1000</v>
      </c>
      <c r="E70" s="376">
        <v>1000</v>
      </c>
      <c r="F70" s="2"/>
      <c r="G70" s="777" t="s">
        <v>769</v>
      </c>
      <c r="H70" s="775"/>
      <c r="I70" s="775"/>
      <c r="J70" s="778">
        <v>0</v>
      </c>
    </row>
    <row r="71" spans="2:11" hidden="1" x14ac:dyDescent="0.3">
      <c r="B71" s="401"/>
      <c r="C71" s="406"/>
      <c r="D71" s="410"/>
      <c r="E71" s="376"/>
      <c r="F71" s="2"/>
      <c r="G71" s="773" t="s">
        <v>770</v>
      </c>
      <c r="H71" s="774"/>
      <c r="I71" s="774"/>
      <c r="J71" s="779" t="str">
        <f>IF(J70=0,"",ROUND((J70+E84-G83)/inputOth!E9*1000,3)-G88)</f>
        <v/>
      </c>
    </row>
    <row r="72" spans="2:11" hidden="1" x14ac:dyDescent="0.3">
      <c r="B72" s="401"/>
      <c r="C72" s="406"/>
      <c r="D72" s="410"/>
      <c r="E72" s="376"/>
      <c r="F72" s="2"/>
      <c r="G72" s="780" t="str">
        <f>CONCATENATE("",E1," Tot Exp/Non-Appr Must Be:")</f>
        <v>2015 Tot Exp/Non-Appr Must Be:</v>
      </c>
      <c r="H72" s="781"/>
      <c r="I72" s="782"/>
      <c r="J72" s="783">
        <f>IF(J70&gt;0,IF(E81&lt;E65,IF(J70=G83,E81,((J70-G83)*(1-D83))+E65),E81+(J70-G83)),0)</f>
        <v>0</v>
      </c>
    </row>
    <row r="73" spans="2:11" x14ac:dyDescent="0.3">
      <c r="B73" s="401"/>
      <c r="C73" s="406"/>
      <c r="D73" s="410"/>
      <c r="E73" s="376"/>
      <c r="F73" s="2"/>
      <c r="G73" s="784" t="s">
        <v>806</v>
      </c>
      <c r="H73" s="785"/>
      <c r="I73" s="785"/>
      <c r="J73" s="752">
        <f>IF(J70&gt;0,J72-E81,0)</f>
        <v>0</v>
      </c>
    </row>
    <row r="74" spans="2:11" x14ac:dyDescent="0.3">
      <c r="B74" s="386" t="s">
        <v>12</v>
      </c>
      <c r="C74" s="406"/>
      <c r="D74" s="410"/>
      <c r="E74" s="384" t="str">
        <f>nhood!E19</f>
        <v/>
      </c>
      <c r="F74"/>
      <c r="G74" s="2"/>
      <c r="H74" s="2"/>
      <c r="I74" s="2"/>
      <c r="J74" s="2"/>
    </row>
    <row r="75" spans="2:11" x14ac:dyDescent="0.25">
      <c r="B75" s="386" t="s">
        <v>13</v>
      </c>
      <c r="C75" s="485"/>
      <c r="D75" s="410"/>
      <c r="E75" s="376"/>
      <c r="F75"/>
      <c r="G75" s="1042" t="str">
        <f>CONCATENATE("Projected Carryover Into ",E1+1,"")</f>
        <v>Projected Carryover Into 2016</v>
      </c>
      <c r="H75" s="1046"/>
      <c r="I75" s="1046"/>
      <c r="J75" s="1047"/>
    </row>
    <row r="76" spans="2:11" x14ac:dyDescent="0.3">
      <c r="B76" s="386" t="s">
        <v>782</v>
      </c>
      <c r="C76" s="244" t="str">
        <f>IF(C77*0.1&lt;C75,"Exceed 10% Rule","")</f>
        <v/>
      </c>
      <c r="D76" s="244" t="str">
        <f>IF(D77*0.1&lt;D75,"Exceed 10% Rule","")</f>
        <v/>
      </c>
      <c r="E76" s="281" t="str">
        <f>IF(E77*0.1&lt;E75,"Exceed 10% Rule","")</f>
        <v/>
      </c>
      <c r="F76"/>
      <c r="G76" s="798"/>
      <c r="H76" s="774"/>
      <c r="I76" s="774"/>
      <c r="J76" s="799"/>
    </row>
    <row r="77" spans="2:11" x14ac:dyDescent="0.3">
      <c r="B77" s="393" t="s">
        <v>118</v>
      </c>
      <c r="C77" s="407">
        <f>SUM(C67:C75)</f>
        <v>12355</v>
      </c>
      <c r="D77" s="407">
        <f>SUM(D67:D75)</f>
        <v>1000</v>
      </c>
      <c r="E77" s="397">
        <f>SUM(E67:E75)</f>
        <v>1000</v>
      </c>
      <c r="F77"/>
      <c r="G77" s="800">
        <f>D78</f>
        <v>0</v>
      </c>
      <c r="H77" s="764" t="str">
        <f>CONCATENATE("",E1-1," Ending Cash Balance (est.)")</f>
        <v>2014 Ending Cash Balance (est.)</v>
      </c>
      <c r="I77" s="801"/>
      <c r="J77" s="799"/>
    </row>
    <row r="78" spans="2:11" x14ac:dyDescent="0.3">
      <c r="B78" s="383" t="s">
        <v>213</v>
      </c>
      <c r="C78" s="412">
        <f>SUM(C65-C77)</f>
        <v>0</v>
      </c>
      <c r="D78" s="412">
        <f>SUM(D65-D77)</f>
        <v>0</v>
      </c>
      <c r="E78" s="399" t="s">
        <v>93</v>
      </c>
      <c r="F78"/>
      <c r="G78" s="800">
        <f>E64</f>
        <v>1000</v>
      </c>
      <c r="H78" s="775" t="str">
        <f>CONCATENATE("",E1," Non-AV Receipts (est.)")</f>
        <v>2015 Non-AV Receipts (est.)</v>
      </c>
      <c r="I78" s="801"/>
      <c r="J78" s="799"/>
    </row>
    <row r="79" spans="2:11" x14ac:dyDescent="0.3">
      <c r="B79" s="896" t="str">
        <f>CONCATENATE("",E1-2,"/",E1-1,"/",E1," Budget Authority Amount:")</f>
        <v>2013/2014/2015 Budget Authority Amount:</v>
      </c>
      <c r="C79" s="895">
        <f>inputOth!B76</f>
        <v>13456</v>
      </c>
      <c r="D79" s="895">
        <f>inputPrYr!D33</f>
        <v>783</v>
      </c>
      <c r="E79" s="384">
        <f>E77</f>
        <v>1000</v>
      </c>
      <c r="F79" s="258"/>
      <c r="G79" s="802">
        <f>IF(E83&gt;0,E82,E84)</f>
        <v>0</v>
      </c>
      <c r="H79" s="775" t="str">
        <f>CONCATENATE("",E1," Ad Valorem Tax (est.)")</f>
        <v>2015 Ad Valorem Tax (est.)</v>
      </c>
      <c r="I79" s="801"/>
      <c r="J79" s="799"/>
      <c r="K79" s="757" t="str">
        <f>IF(G79=E84,"","Note: Does not include Delinquent Taxes")</f>
        <v/>
      </c>
    </row>
    <row r="80" spans="2:11" x14ac:dyDescent="0.3">
      <c r="B80" s="388"/>
      <c r="C80" s="1021" t="s">
        <v>628</v>
      </c>
      <c r="D80" s="1022"/>
      <c r="E80" s="48">
        <v>0</v>
      </c>
      <c r="F80" s="803" t="str">
        <f>IF(E77/0.95-E77&lt;E80,"Exceeds 5%","")</f>
        <v/>
      </c>
      <c r="G80" s="804">
        <f>SUM(G77:G79)</f>
        <v>1000</v>
      </c>
      <c r="H80" s="775" t="str">
        <f>CONCATENATE("Total ",E1," Resources Available")</f>
        <v>Total 2015 Resources Available</v>
      </c>
      <c r="I80" s="805"/>
      <c r="J80" s="799"/>
    </row>
    <row r="81" spans="2:11" x14ac:dyDescent="0.3">
      <c r="B81" s="526" t="str">
        <f>CONCATENATE(C100,"     ",D100)</f>
        <v xml:space="preserve">     See Tab C</v>
      </c>
      <c r="C81" s="1023" t="s">
        <v>629</v>
      </c>
      <c r="D81" s="1024"/>
      <c r="E81" s="384">
        <f>SUM(E77+E80)</f>
        <v>1000</v>
      </c>
      <c r="F81"/>
      <c r="G81" s="806"/>
      <c r="H81" s="807"/>
      <c r="I81" s="774"/>
      <c r="J81" s="799"/>
    </row>
    <row r="82" spans="2:11" x14ac:dyDescent="0.3">
      <c r="B82" s="526" t="str">
        <f>CONCATENATE(C101,"     ",D101)</f>
        <v xml:space="preserve">     </v>
      </c>
      <c r="C82" s="395"/>
      <c r="D82" s="389" t="s">
        <v>119</v>
      </c>
      <c r="E82" s="377">
        <f>IF(E81-E65&gt;0,E81-E65,0)</f>
        <v>0</v>
      </c>
      <c r="F82"/>
      <c r="G82" s="808">
        <f>ROUND(C77*0.05+C77,0)</f>
        <v>12973</v>
      </c>
      <c r="H82" s="807" t="str">
        <f>CONCATENATE("Less ",E1-2," Expenditures + 5%")</f>
        <v>Less 2013 Expenditures + 5%</v>
      </c>
      <c r="I82" s="805"/>
      <c r="J82" s="799"/>
    </row>
    <row r="83" spans="2:11" x14ac:dyDescent="0.3">
      <c r="B83" s="389"/>
      <c r="C83" s="369" t="s">
        <v>627</v>
      </c>
      <c r="D83" s="732">
        <f>inputOth!$E$50</f>
        <v>0.08</v>
      </c>
      <c r="E83" s="384">
        <f>ROUND(IF(D83&gt;0,(E82*D83),0),0)</f>
        <v>0</v>
      </c>
      <c r="F83" s="858" t="str">
        <f>IF(F84&lt;0,"Reduce","")</f>
        <v/>
      </c>
      <c r="G83" s="809">
        <f>G80-G82</f>
        <v>-11973</v>
      </c>
      <c r="H83" s="810" t="str">
        <f>CONCATENATE("Projected ",E1+1," carryover (est.)")</f>
        <v>Projected 2016 carryover (est.)</v>
      </c>
      <c r="I83" s="811"/>
      <c r="J83" s="812"/>
    </row>
    <row r="84" spans="2:11" ht="16.2" thickBot="1" x14ac:dyDescent="0.35">
      <c r="B84" s="372"/>
      <c r="C84" s="1030" t="str">
        <f>CONCATENATE("Amount of  ",$E$1-1," Ad Valorem Tax")</f>
        <v>Amount of  2014 Ad Valorem Tax</v>
      </c>
      <c r="D84" s="1031"/>
      <c r="E84" s="734">
        <f>SUM(E82:E83)</f>
        <v>0</v>
      </c>
      <c r="F84" s="859" t="str">
        <f>IF(G87&gt;inputOth!E6,ROUND(inputOth!E6*inputOth!E9/1000,0)-'Library-Rec'!E84,"")</f>
        <v/>
      </c>
      <c r="G84" s="2"/>
      <c r="H84" s="2"/>
      <c r="I84" s="2"/>
      <c r="J84" s="2"/>
    </row>
    <row r="85" spans="2:11" ht="16.2" thickTop="1" x14ac:dyDescent="0.25">
      <c r="B85" s="372"/>
      <c r="C85" s="562"/>
      <c r="D85" s="372"/>
      <c r="E85" s="372"/>
      <c r="F85"/>
      <c r="G85" s="1018" t="s">
        <v>807</v>
      </c>
      <c r="H85" s="1019"/>
      <c r="I85" s="1019"/>
      <c r="J85" s="1020"/>
    </row>
    <row r="86" spans="2:11" x14ac:dyDescent="0.3">
      <c r="B86" s="389" t="s">
        <v>121</v>
      </c>
      <c r="C86" s="400">
        <v>11</v>
      </c>
      <c r="D86" s="378"/>
      <c r="E86" s="372"/>
      <c r="F86" s="2"/>
      <c r="G86" s="763"/>
      <c r="H86" s="764"/>
      <c r="I86" s="765"/>
      <c r="J86" s="766"/>
    </row>
    <row r="87" spans="2:11" x14ac:dyDescent="0.25">
      <c r="F87"/>
      <c r="G87" s="767">
        <f>summ!H53</f>
        <v>0</v>
      </c>
      <c r="H87" s="764" t="str">
        <f>CONCATENATE("",E1," Fund Mill Rate")</f>
        <v>2015 Fund Mill Rate</v>
      </c>
      <c r="I87" s="765"/>
      <c r="J87" s="857" t="str">
        <f>IF(G87&gt;inputOth!E6,"Exceed Mill Rate","")</f>
        <v/>
      </c>
    </row>
    <row r="88" spans="2:11" x14ac:dyDescent="0.3">
      <c r="B88" s="379"/>
      <c r="C88" s="379"/>
      <c r="D88" s="371"/>
      <c r="E88" s="371"/>
      <c r="F88" s="2"/>
      <c r="G88" s="768" t="str">
        <f>summ!E53</f>
        <v xml:space="preserve">  </v>
      </c>
      <c r="H88" s="770" t="str">
        <f>CONCATENATE("",E1-1," Fund Mill Rate")</f>
        <v>2014 Fund Mill Rate</v>
      </c>
      <c r="I88" s="771"/>
      <c r="J88" s="772"/>
    </row>
    <row r="89" spans="2:11" x14ac:dyDescent="0.3">
      <c r="F89" s="814"/>
      <c r="G89" s="815"/>
      <c r="H89" s="816"/>
      <c r="I89" s="817"/>
      <c r="J89" s="818"/>
      <c r="K89" s="736"/>
    </row>
    <row r="90" spans="2:11" x14ac:dyDescent="0.3">
      <c r="F90" s="814"/>
      <c r="G90" s="923" t="s">
        <v>986</v>
      </c>
      <c r="H90" s="871"/>
      <c r="I90" s="870" t="str">
        <f>cert!F60</f>
        <v>Yes</v>
      </c>
      <c r="J90" s="818"/>
      <c r="K90" s="736"/>
    </row>
    <row r="91" spans="2:11" x14ac:dyDescent="0.25">
      <c r="G91" s="736"/>
      <c r="H91" s="736"/>
      <c r="I91" s="736"/>
      <c r="J91" s="736"/>
    </row>
    <row r="93" spans="2:11" x14ac:dyDescent="0.25">
      <c r="C93" s="373" t="s">
        <v>631</v>
      </c>
      <c r="D93" s="373" t="s">
        <v>631</v>
      </c>
    </row>
    <row r="94" spans="2:11" x14ac:dyDescent="0.25">
      <c r="C94" s="373" t="s">
        <v>631</v>
      </c>
      <c r="D94" s="373" t="s">
        <v>631</v>
      </c>
    </row>
    <row r="96" spans="2:11" x14ac:dyDescent="0.25">
      <c r="C96" s="373" t="s">
        <v>631</v>
      </c>
      <c r="D96" s="373" t="s">
        <v>631</v>
      </c>
    </row>
    <row r="97" spans="3:4" ht="9" customHeight="1" x14ac:dyDescent="0.25">
      <c r="C97" s="373" t="s">
        <v>631</v>
      </c>
      <c r="D97" s="373" t="s">
        <v>631</v>
      </c>
    </row>
    <row r="98" spans="3:4" ht="13.5" hidden="1" customHeight="1" x14ac:dyDescent="0.25">
      <c r="C98" s="525" t="str">
        <f>IF(C33&gt;C35,"See Tab A","")</f>
        <v/>
      </c>
      <c r="D98" s="525" t="str">
        <f>IF(D33&gt;D35,"See Tab C","")</f>
        <v/>
      </c>
    </row>
    <row r="99" spans="3:4" ht="15.75" hidden="1" customHeight="1" x14ac:dyDescent="0.25">
      <c r="C99" s="525" t="str">
        <f>IF(C34&lt;0,"See Tab B","")</f>
        <v/>
      </c>
      <c r="D99" s="525" t="str">
        <f>IF(D34&lt;0,"See Tab D","")</f>
        <v/>
      </c>
    </row>
    <row r="100" spans="3:4" ht="15.75" hidden="1" customHeight="1" x14ac:dyDescent="0.25">
      <c r="C100" s="525" t="str">
        <f>IF(C77&gt;C79,"See Tab A","")</f>
        <v/>
      </c>
      <c r="D100" s="525" t="str">
        <f>IF(D77&gt;D79,"See Tab C","")</f>
        <v>See Tab C</v>
      </c>
    </row>
    <row r="101" spans="3:4" ht="13.5" customHeight="1" x14ac:dyDescent="0.25">
      <c r="C101" s="525" t="str">
        <f>IF(C78&lt;0,"See Tab B","")</f>
        <v/>
      </c>
      <c r="D101" s="525" t="str">
        <f>IF(D78&lt;0,"See Tab D","")</f>
        <v/>
      </c>
    </row>
  </sheetData>
  <mergeCells count="12">
    <mergeCell ref="C84:D84"/>
    <mergeCell ref="C80:D80"/>
    <mergeCell ref="C81:D81"/>
    <mergeCell ref="C36:D36"/>
    <mergeCell ref="C37:D37"/>
    <mergeCell ref="C40:D40"/>
    <mergeCell ref="G85:J85"/>
    <mergeCell ref="G24:J24"/>
    <mergeCell ref="G31:J31"/>
    <mergeCell ref="G47:J47"/>
    <mergeCell ref="G68:J68"/>
    <mergeCell ref="G75:J75"/>
  </mergeCells>
  <phoneticPr fontId="9" type="noConversion"/>
  <conditionalFormatting sqref="C62">
    <cfRule type="cellIs" dxfId="305" priority="22" stopIfTrue="1" operator="greaterThan">
      <formula>$C$64*0.1</formula>
    </cfRule>
  </conditionalFormatting>
  <conditionalFormatting sqref="D62 D18">
    <cfRule type="cellIs" dxfId="304" priority="21" stopIfTrue="1" operator="greaterThan">
      <formula>$D$20*0.1</formula>
    </cfRule>
  </conditionalFormatting>
  <conditionalFormatting sqref="E62">
    <cfRule type="cellIs" dxfId="303" priority="20" stopIfTrue="1" operator="greaterThan">
      <formula>$E$20*0.1+E84</formula>
    </cfRule>
  </conditionalFormatting>
  <conditionalFormatting sqref="C75">
    <cfRule type="cellIs" dxfId="302" priority="19" stopIfTrue="1" operator="greaterThan">
      <formula>$C$77*0.1</formula>
    </cfRule>
  </conditionalFormatting>
  <conditionalFormatting sqref="D75">
    <cfRule type="cellIs" dxfId="301" priority="18" stopIfTrue="1" operator="greaterThan">
      <formula>$D$77*0.1</formula>
    </cfRule>
  </conditionalFormatting>
  <conditionalFormatting sqref="E75">
    <cfRule type="cellIs" dxfId="300" priority="17" stopIfTrue="1" operator="greaterThan">
      <formula>$E$77*0.1</formula>
    </cfRule>
  </conditionalFormatting>
  <conditionalFormatting sqref="C31">
    <cfRule type="cellIs" dxfId="299" priority="16" stopIfTrue="1" operator="greaterThan">
      <formula>$C$33*0.1</formula>
    </cfRule>
  </conditionalFormatting>
  <conditionalFormatting sqref="D31">
    <cfRule type="cellIs" dxfId="298" priority="15" stopIfTrue="1" operator="greaterThan">
      <formula>$D$33*0.1</formula>
    </cfRule>
  </conditionalFormatting>
  <conditionalFormatting sqref="E31">
    <cfRule type="cellIs" dxfId="297" priority="14" stopIfTrue="1" operator="greaterThan">
      <formula>$E$33*0.1</formula>
    </cfRule>
  </conditionalFormatting>
  <conditionalFormatting sqref="C18">
    <cfRule type="cellIs" dxfId="296" priority="12" stopIfTrue="1" operator="greaterThan">
      <formula>$C$20*0.1</formula>
    </cfRule>
  </conditionalFormatting>
  <conditionalFormatting sqref="E18">
    <cfRule type="cellIs" dxfId="295" priority="11" stopIfTrue="1" operator="greaterThan">
      <formula>$E$20*0.1+E40</formula>
    </cfRule>
  </conditionalFormatting>
  <conditionalFormatting sqref="E36">
    <cfRule type="cellIs" dxfId="294" priority="10" stopIfTrue="1" operator="greaterThan">
      <formula>$E$33/0.95-$E$33</formula>
    </cfRule>
  </conditionalFormatting>
  <conditionalFormatting sqref="E80">
    <cfRule type="cellIs" dxfId="293" priority="9" stopIfTrue="1" operator="greaterThan">
      <formula>$E$77/0.95-$E$77</formula>
    </cfRule>
  </conditionalFormatting>
  <conditionalFormatting sqref="C33">
    <cfRule type="cellIs" dxfId="292" priority="8" stopIfTrue="1" operator="greaterThan">
      <formula>$C$35</formula>
    </cfRule>
  </conditionalFormatting>
  <conditionalFormatting sqref="C34:D34 C78:D78">
    <cfRule type="cellIs" dxfId="291" priority="7" stopIfTrue="1" operator="lessThan">
      <formula>0</formula>
    </cfRule>
  </conditionalFormatting>
  <conditionalFormatting sqref="D33">
    <cfRule type="cellIs" dxfId="290" priority="6" stopIfTrue="1" operator="greaterThan">
      <formula>$D$35</formula>
    </cfRule>
  </conditionalFormatting>
  <conditionalFormatting sqref="C77">
    <cfRule type="cellIs" dxfId="289" priority="4" stopIfTrue="1" operator="greaterThan">
      <formula>$C$79</formula>
    </cfRule>
  </conditionalFormatting>
  <conditionalFormatting sqref="D77">
    <cfRule type="cellIs" dxfId="288" priority="2" stopIfTrue="1" operator="greaterThan">
      <formula>$D$79</formula>
    </cfRule>
  </conditionalFormatting>
  <pageMargins left="0.75" right="0.75" top="1" bottom="1" header="0.5" footer="0.5"/>
  <pageSetup fitToHeight="2" orientation="portrait" blackAndWhite="1" r:id="rId1"/>
  <headerFooter alignWithMargins="0">
    <oddHeader>&amp;RState of Kansas
City</oddHeader>
  </headerFooter>
  <rowBreaks count="1" manualBreakCount="1">
    <brk id="43" min="1" max="4"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02"/>
  <sheetViews>
    <sheetView view="pageBreakPreview" zoomScaleNormal="100" zoomScaleSheetLayoutView="100" workbookViewId="0">
      <selection activeCell="D30" sqref="D30"/>
    </sheetView>
  </sheetViews>
  <sheetFormatPr defaultColWidth="8.9140625" defaultRowHeight="15.6" x14ac:dyDescent="0.25"/>
  <cols>
    <col min="1" max="1" width="2.4140625" style="30" customWidth="1"/>
    <col min="2" max="2" width="31.08203125" style="30" customWidth="1"/>
    <col min="3" max="3" width="15.33203125" style="30" customWidth="1"/>
    <col min="4" max="4" width="15.4140625" style="30" customWidth="1"/>
    <col min="5" max="5" width="15.6640625" style="30" customWidth="1"/>
    <col min="6" max="6" width="8.08203125" style="30" customWidth="1"/>
    <col min="7" max="7" width="10.25" style="30" customWidth="1"/>
    <col min="8" max="8" width="8.9140625" style="30"/>
    <col min="9" max="9" width="5" style="30" customWidth="1"/>
    <col min="10" max="10" width="10" style="30" customWidth="1"/>
    <col min="11" max="16384" width="8.9140625" style="30"/>
  </cols>
  <sheetData>
    <row r="1" spans="2:5" x14ac:dyDescent="0.25">
      <c r="B1" s="176" t="str">
        <f>(inputPrYr!D2)</f>
        <v>City of Osawatomie</v>
      </c>
      <c r="C1" s="32"/>
      <c r="D1" s="32"/>
      <c r="E1" s="228">
        <f>inputPrYr!C5</f>
        <v>2015</v>
      </c>
    </row>
    <row r="2" spans="2:5" x14ac:dyDescent="0.25">
      <c r="B2" s="32"/>
      <c r="C2" s="32"/>
      <c r="D2" s="32"/>
      <c r="E2" s="151"/>
    </row>
    <row r="3" spans="2:5" x14ac:dyDescent="0.25">
      <c r="B3" s="229" t="s">
        <v>170</v>
      </c>
      <c r="C3" s="182"/>
      <c r="D3" s="182"/>
      <c r="E3" s="269"/>
    </row>
    <row r="4" spans="2:5" x14ac:dyDescent="0.25">
      <c r="B4" s="33" t="s">
        <v>104</v>
      </c>
      <c r="C4" s="404" t="s">
        <v>803</v>
      </c>
      <c r="D4" s="403" t="s">
        <v>804</v>
      </c>
      <c r="E4" s="382" t="s">
        <v>805</v>
      </c>
    </row>
    <row r="5" spans="2:5" x14ac:dyDescent="0.25">
      <c r="B5" s="530" t="str">
        <f>inputPrYr!B21</f>
        <v>Industrial</v>
      </c>
      <c r="C5" s="405" t="str">
        <f>CONCATENATE("Actual for ",E1-2,"")</f>
        <v>Actual for 2013</v>
      </c>
      <c r="D5" s="405" t="str">
        <f>CONCATENATE("Estimate for ",E1-1,"")</f>
        <v>Estimate for 2014</v>
      </c>
      <c r="E5" s="390" t="str">
        <f>CONCATENATE("Year for ",E1,"")</f>
        <v>Year for 2015</v>
      </c>
    </row>
    <row r="6" spans="2:5" x14ac:dyDescent="0.25">
      <c r="B6" s="234" t="s">
        <v>212</v>
      </c>
      <c r="C6" s="239">
        <v>61237</v>
      </c>
      <c r="D6" s="237">
        <f>C34</f>
        <v>35121</v>
      </c>
      <c r="E6" s="208">
        <f>D34</f>
        <v>42576</v>
      </c>
    </row>
    <row r="7" spans="2:5" x14ac:dyDescent="0.25">
      <c r="B7" s="238" t="s">
        <v>214</v>
      </c>
      <c r="C7" s="142"/>
      <c r="D7" s="142"/>
      <c r="E7" s="68"/>
    </row>
    <row r="8" spans="2:5" x14ac:dyDescent="0.25">
      <c r="B8" s="133" t="s">
        <v>105</v>
      </c>
      <c r="C8" s="239"/>
      <c r="D8" s="237">
        <f>IF(inputPrYr!H16&gt;0,inputPrYr!G21,inputPrYr!E21)</f>
        <v>0</v>
      </c>
      <c r="E8" s="267" t="s">
        <v>93</v>
      </c>
    </row>
    <row r="9" spans="2:5" x14ac:dyDescent="0.25">
      <c r="B9" s="133" t="s">
        <v>106</v>
      </c>
      <c r="C9" s="239">
        <v>12</v>
      </c>
      <c r="D9" s="239"/>
      <c r="E9" s="48"/>
    </row>
    <row r="10" spans="2:5" x14ac:dyDescent="0.25">
      <c r="B10" s="133" t="s">
        <v>107</v>
      </c>
      <c r="C10" s="239"/>
      <c r="D10" s="239"/>
      <c r="E10" s="208" t="str">
        <f>mvalloc!D10</f>
        <v xml:space="preserve">  </v>
      </c>
    </row>
    <row r="11" spans="2:5" x14ac:dyDescent="0.25">
      <c r="B11" s="133" t="s">
        <v>108</v>
      </c>
      <c r="C11" s="239"/>
      <c r="D11" s="239"/>
      <c r="E11" s="208" t="str">
        <f>mvalloc!E10</f>
        <v xml:space="preserve"> </v>
      </c>
    </row>
    <row r="12" spans="2:5" x14ac:dyDescent="0.25">
      <c r="B12" s="142" t="s">
        <v>202</v>
      </c>
      <c r="C12" s="239"/>
      <c r="D12" s="239"/>
      <c r="E12" s="208" t="str">
        <f>mvalloc!F10</f>
        <v xml:space="preserve"> </v>
      </c>
    </row>
    <row r="13" spans="2:5" x14ac:dyDescent="0.25">
      <c r="B13" s="255" t="s">
        <v>1137</v>
      </c>
      <c r="C13" s="239">
        <v>12000</v>
      </c>
      <c r="D13" s="239">
        <v>12000</v>
      </c>
      <c r="E13" s="48">
        <v>10000</v>
      </c>
    </row>
    <row r="14" spans="2:5" x14ac:dyDescent="0.25">
      <c r="B14" s="255" t="s">
        <v>1138</v>
      </c>
      <c r="C14" s="239"/>
      <c r="D14" s="239">
        <v>5460</v>
      </c>
      <c r="E14" s="48">
        <v>5460</v>
      </c>
    </row>
    <row r="15" spans="2:5" x14ac:dyDescent="0.25">
      <c r="B15" s="255" t="s">
        <v>1139</v>
      </c>
      <c r="C15" s="239">
        <v>24306</v>
      </c>
      <c r="D15" s="239">
        <v>15280</v>
      </c>
      <c r="E15" s="48">
        <v>15000</v>
      </c>
    </row>
    <row r="16" spans="2:5" x14ac:dyDescent="0.25">
      <c r="B16" s="255"/>
      <c r="C16" s="239"/>
      <c r="D16" s="239"/>
      <c r="E16" s="48"/>
    </row>
    <row r="17" spans="2:10" x14ac:dyDescent="0.25">
      <c r="B17" s="243" t="s">
        <v>110</v>
      </c>
      <c r="C17" s="239"/>
      <c r="D17" s="239"/>
      <c r="E17" s="48"/>
    </row>
    <row r="18" spans="2:10" x14ac:dyDescent="0.25">
      <c r="B18" s="142" t="s">
        <v>13</v>
      </c>
      <c r="C18" s="239"/>
      <c r="D18" s="239"/>
      <c r="E18" s="48"/>
    </row>
    <row r="19" spans="2:10" x14ac:dyDescent="0.25">
      <c r="B19" s="234" t="s">
        <v>781</v>
      </c>
      <c r="C19" s="244" t="str">
        <f>IF(C20*0.1&lt;C18,"Exceed 10% Rule","")</f>
        <v/>
      </c>
      <c r="D19" s="244" t="str">
        <f>IF(D20*0.1&lt;D18,"Exceed 10% Rule","")</f>
        <v/>
      </c>
      <c r="E19" s="281" t="str">
        <f>IF(E20*0.1+E40&lt;E18,"Exceed 10% Rule","")</f>
        <v/>
      </c>
    </row>
    <row r="20" spans="2:10" x14ac:dyDescent="0.25">
      <c r="B20" s="246" t="s">
        <v>111</v>
      </c>
      <c r="C20" s="248">
        <f>SUM(C8:C18)</f>
        <v>36318</v>
      </c>
      <c r="D20" s="248">
        <f>SUM(D8:D18)</f>
        <v>32740</v>
      </c>
      <c r="E20" s="249">
        <f>SUM(E8:E18)</f>
        <v>30460</v>
      </c>
    </row>
    <row r="21" spans="2:10" x14ac:dyDescent="0.25">
      <c r="B21" s="246" t="s">
        <v>112</v>
      </c>
      <c r="C21" s="252">
        <f>C6+C20</f>
        <v>97555</v>
      </c>
      <c r="D21" s="252">
        <f>D6+D20</f>
        <v>67861</v>
      </c>
      <c r="E21" s="63">
        <f>E6+E20</f>
        <v>73036</v>
      </c>
    </row>
    <row r="22" spans="2:10" x14ac:dyDescent="0.25">
      <c r="B22" s="133" t="s">
        <v>114</v>
      </c>
      <c r="C22" s="256"/>
      <c r="D22" s="256"/>
      <c r="E22" s="46"/>
    </row>
    <row r="23" spans="2:10" x14ac:dyDescent="0.25">
      <c r="B23" s="255" t="s">
        <v>1140</v>
      </c>
      <c r="C23" s="239">
        <v>12000</v>
      </c>
      <c r="D23" s="239">
        <v>12000</v>
      </c>
      <c r="E23" s="48">
        <v>10000</v>
      </c>
    </row>
    <row r="24" spans="2:10" x14ac:dyDescent="0.25">
      <c r="B24" s="255" t="s">
        <v>1055</v>
      </c>
      <c r="C24" s="239">
        <v>7692</v>
      </c>
      <c r="D24" s="239">
        <v>10285</v>
      </c>
      <c r="E24" s="48">
        <v>30463</v>
      </c>
      <c r="G24" s="1042" t="str">
        <f>CONCATENATE("Desired Carryover Into ",E1+1,"")</f>
        <v>Desired Carryover Into 2016</v>
      </c>
      <c r="H24" s="1028"/>
      <c r="I24" s="1028"/>
      <c r="J24" s="1029"/>
    </row>
    <row r="25" spans="2:10" x14ac:dyDescent="0.25">
      <c r="B25" s="255" t="s">
        <v>1056</v>
      </c>
      <c r="C25" s="239"/>
      <c r="D25" s="239">
        <v>3000</v>
      </c>
      <c r="E25" s="48">
        <v>30000</v>
      </c>
      <c r="G25" s="773"/>
      <c r="H25" s="774"/>
      <c r="I25" s="775"/>
      <c r="J25" s="776"/>
    </row>
    <row r="26" spans="2:10" x14ac:dyDescent="0.25">
      <c r="B26" s="255" t="s">
        <v>1141</v>
      </c>
      <c r="C26" s="239">
        <v>42742</v>
      </c>
      <c r="D26" s="239"/>
      <c r="E26" s="48"/>
      <c r="G26" s="777" t="s">
        <v>769</v>
      </c>
      <c r="H26" s="775"/>
      <c r="I26" s="775"/>
      <c r="J26" s="778">
        <v>0</v>
      </c>
    </row>
    <row r="27" spans="2:10" hidden="1" x14ac:dyDescent="0.25">
      <c r="B27" s="255"/>
      <c r="C27" s="239"/>
      <c r="D27" s="239"/>
      <c r="E27" s="48"/>
      <c r="G27" s="773" t="s">
        <v>770</v>
      </c>
      <c r="H27" s="774"/>
      <c r="I27" s="774"/>
      <c r="J27" s="779" t="str">
        <f>IF(J26=0,"",ROUND((J26+E40-G39)/inputOth!E9*1000,3)-G48)</f>
        <v/>
      </c>
    </row>
    <row r="28" spans="2:10" hidden="1" x14ac:dyDescent="0.25">
      <c r="B28" s="255"/>
      <c r="C28" s="239"/>
      <c r="D28" s="239"/>
      <c r="E28" s="48"/>
      <c r="G28" s="780" t="str">
        <f>CONCATENATE("",E1," Tot Exp/Non-Appr Must Be:")</f>
        <v>2015 Tot Exp/Non-Appr Must Be:</v>
      </c>
      <c r="H28" s="781"/>
      <c r="I28" s="782"/>
      <c r="J28" s="783">
        <f>IF(J26&gt;0,IF(E37&lt;E21,IF(J26=G39,E37,((J26-G39)*(1-D39))+E21),E37+(J26-G39)),0)</f>
        <v>0</v>
      </c>
    </row>
    <row r="29" spans="2:10" x14ac:dyDescent="0.25">
      <c r="B29" s="255"/>
      <c r="C29" s="239"/>
      <c r="D29" s="239"/>
      <c r="E29" s="48"/>
      <c r="G29" s="784" t="s">
        <v>806</v>
      </c>
      <c r="H29" s="785"/>
      <c r="I29" s="785"/>
      <c r="J29" s="752">
        <f>IF(J26&gt;0,J28-E37,0)</f>
        <v>0</v>
      </c>
    </row>
    <row r="30" spans="2:10" x14ac:dyDescent="0.3">
      <c r="B30" s="256" t="s">
        <v>12</v>
      </c>
      <c r="C30" s="239"/>
      <c r="D30" s="239"/>
      <c r="E30" s="63" t="str">
        <f>nhood!E9</f>
        <v/>
      </c>
      <c r="J30" s="2"/>
    </row>
    <row r="31" spans="2:10" x14ac:dyDescent="0.25">
      <c r="B31" s="256" t="s">
        <v>13</v>
      </c>
      <c r="C31" s="239"/>
      <c r="D31" s="239"/>
      <c r="E31" s="48"/>
      <c r="G31" s="1042" t="str">
        <f>CONCATENATE("Projected Carryover Into ",E1+1,"")</f>
        <v>Projected Carryover Into 2016</v>
      </c>
      <c r="H31" s="1048"/>
      <c r="I31" s="1048"/>
      <c r="J31" s="1047"/>
    </row>
    <row r="32" spans="2:10" x14ac:dyDescent="0.3">
      <c r="B32" s="256" t="s">
        <v>782</v>
      </c>
      <c r="C32" s="244" t="str">
        <f>IF(C33*0.1&lt;C31,"Exceed 10% Rule","")</f>
        <v/>
      </c>
      <c r="D32" s="244" t="str">
        <f>IF(D33*0.1&lt;D31,"Exceed 10% Rule","")</f>
        <v/>
      </c>
      <c r="E32" s="281" t="str">
        <f>IF(E33*0.1&lt;E31,"Exceed 10% Rule","")</f>
        <v/>
      </c>
      <c r="G32" s="773"/>
      <c r="H32" s="775"/>
      <c r="I32" s="775"/>
      <c r="J32" s="799"/>
    </row>
    <row r="33" spans="2:11" x14ac:dyDescent="0.3">
      <c r="B33" s="246" t="s">
        <v>118</v>
      </c>
      <c r="C33" s="248">
        <f>SUM(C23:C31)</f>
        <v>62434</v>
      </c>
      <c r="D33" s="248">
        <f>SUM(D23:D31)</f>
        <v>25285</v>
      </c>
      <c r="E33" s="249">
        <f>SUM(E23:E31)</f>
        <v>70463</v>
      </c>
      <c r="G33" s="800">
        <f>D34</f>
        <v>42576</v>
      </c>
      <c r="H33" s="764" t="str">
        <f>CONCATENATE("",E1-1," Ending Cash Balance (est.)")</f>
        <v>2014 Ending Cash Balance (est.)</v>
      </c>
      <c r="I33" s="801"/>
      <c r="J33" s="799"/>
    </row>
    <row r="34" spans="2:11" x14ac:dyDescent="0.3">
      <c r="B34" s="133" t="s">
        <v>213</v>
      </c>
      <c r="C34" s="252">
        <f>C21-C33</f>
        <v>35121</v>
      </c>
      <c r="D34" s="252">
        <f>D21-D33</f>
        <v>42576</v>
      </c>
      <c r="E34" s="267" t="s">
        <v>93</v>
      </c>
      <c r="G34" s="800">
        <f>E20</f>
        <v>30460</v>
      </c>
      <c r="H34" s="775" t="str">
        <f>CONCATENATE("",E1," Non-AV Receipts (est.)")</f>
        <v>2015 Non-AV Receipts (est.)</v>
      </c>
      <c r="I34" s="801"/>
      <c r="J34" s="799"/>
    </row>
    <row r="35" spans="2:11" x14ac:dyDescent="0.25">
      <c r="B35" s="153" t="str">
        <f>CONCATENATE("",E1-2,"/",E1-1,"/",E1," Budget Authority Amount:")</f>
        <v>2013/2014/2015 Budget Authority Amount:</v>
      </c>
      <c r="C35" s="824">
        <f>inputOth!B66</f>
        <v>69000</v>
      </c>
      <c r="D35" s="824">
        <f>inputPrYr!D21</f>
        <v>62785</v>
      </c>
      <c r="E35" s="208">
        <f>E33</f>
        <v>70463</v>
      </c>
      <c r="F35" s="258"/>
      <c r="G35" s="802">
        <f>IF(E39&gt;0,E38,E40)</f>
        <v>0</v>
      </c>
      <c r="H35" s="775" t="str">
        <f>CONCATENATE("",E1," Ad Valorem Tax (est.)")</f>
        <v>2015 Ad Valorem Tax (est.)</v>
      </c>
      <c r="I35" s="801"/>
      <c r="J35" s="787"/>
      <c r="K35" s="757" t="str">
        <f>IF(G35=E40,"","Note: Does not include Delinquent Taxes")</f>
        <v/>
      </c>
    </row>
    <row r="36" spans="2:11" x14ac:dyDescent="0.3">
      <c r="B36" s="119"/>
      <c r="C36" s="1021" t="s">
        <v>628</v>
      </c>
      <c r="D36" s="1022"/>
      <c r="E36" s="48">
        <v>2573</v>
      </c>
      <c r="F36" s="860" t="str">
        <f>IF(E33/0.95-E33&lt;E36,"Exceeds 5%","")</f>
        <v/>
      </c>
      <c r="G36" s="800">
        <f>SUM(G33:G35)</f>
        <v>73036</v>
      </c>
      <c r="H36" s="775" t="str">
        <f>CONCATENATE("Total ",E1," Resources Available")</f>
        <v>Total 2015 Resources Available</v>
      </c>
      <c r="I36" s="801"/>
      <c r="J36" s="799"/>
    </row>
    <row r="37" spans="2:11" x14ac:dyDescent="0.3">
      <c r="B37" s="526" t="str">
        <f>CONCATENATE(C99,"     ",D99)</f>
        <v xml:space="preserve">     </v>
      </c>
      <c r="C37" s="1023" t="s">
        <v>629</v>
      </c>
      <c r="D37" s="1024"/>
      <c r="E37" s="208">
        <f>E33+E36</f>
        <v>73036</v>
      </c>
      <c r="G37" s="819"/>
      <c r="H37" s="775"/>
      <c r="I37" s="775"/>
      <c r="J37" s="799"/>
    </row>
    <row r="38" spans="2:11" x14ac:dyDescent="0.3">
      <c r="B38" s="526" t="str">
        <f>CONCATENATE(C100,"     ",D100)</f>
        <v xml:space="preserve">     </v>
      </c>
      <c r="C38" s="259"/>
      <c r="D38" s="151" t="s">
        <v>119</v>
      </c>
      <c r="E38" s="63">
        <f>IF(E37-E21&gt;0,E37-E21,0)</f>
        <v>0</v>
      </c>
      <c r="G38" s="802">
        <f>ROUND(C33*0.05+C33,0)</f>
        <v>65556</v>
      </c>
      <c r="H38" s="775" t="str">
        <f>CONCATENATE("Less ",E1-2," Expenditures + 5%")</f>
        <v>Less 2013 Expenditures + 5%</v>
      </c>
      <c r="I38" s="801"/>
      <c r="J38" s="799"/>
    </row>
    <row r="39" spans="2:11" x14ac:dyDescent="0.3">
      <c r="B39" s="151"/>
      <c r="C39" s="369" t="s">
        <v>627</v>
      </c>
      <c r="D39" s="732">
        <f>inputOth!$E$50</f>
        <v>0.08</v>
      </c>
      <c r="E39" s="208">
        <f>ROUND(IF(D39&gt;0,(E38*D39),0),0)</f>
        <v>0</v>
      </c>
      <c r="G39" s="820">
        <f>G36-G38</f>
        <v>7480</v>
      </c>
      <c r="H39" s="821" t="str">
        <f>CONCATENATE("Projected ",E1+1," carryover (est.)")</f>
        <v>Projected 2016 carryover (est.)</v>
      </c>
      <c r="I39" s="822"/>
      <c r="J39" s="812"/>
    </row>
    <row r="40" spans="2:11" ht="16.2" thickBot="1" x14ac:dyDescent="0.35">
      <c r="B40" s="151"/>
      <c r="C40" s="1025" t="str">
        <f>CONCATENATE("Amount of  ",$E$1-1," Ad Valorem Tax")</f>
        <v>Amount of  2014 Ad Valorem Tax</v>
      </c>
      <c r="D40" s="1026"/>
      <c r="E40" s="735">
        <f>E38+E39</f>
        <v>0</v>
      </c>
      <c r="G40" s="2"/>
      <c r="H40" s="2"/>
      <c r="I40" s="2"/>
      <c r="J40" s="2"/>
    </row>
    <row r="41" spans="2:11" ht="16.2" thickTop="1" x14ac:dyDescent="0.25">
      <c r="B41" s="32"/>
      <c r="C41" s="1025"/>
      <c r="D41" s="1049"/>
      <c r="E41" s="57"/>
      <c r="G41" s="1018" t="s">
        <v>807</v>
      </c>
      <c r="H41" s="1019"/>
      <c r="I41" s="1019"/>
      <c r="J41" s="1020"/>
    </row>
    <row r="42" spans="2:11" x14ac:dyDescent="0.25">
      <c r="B42" s="389" t="s">
        <v>121</v>
      </c>
      <c r="C42" s="400">
        <v>12</v>
      </c>
      <c r="D42" s="391"/>
      <c r="E42" s="391"/>
      <c r="G42" s="763"/>
      <c r="H42" s="764"/>
      <c r="I42" s="765"/>
      <c r="J42" s="766"/>
    </row>
    <row r="43" spans="2:11" x14ac:dyDescent="0.25">
      <c r="B43" s="374"/>
      <c r="C43" s="374"/>
      <c r="D43" s="391"/>
      <c r="E43" s="391"/>
      <c r="G43" s="763"/>
      <c r="H43" s="764"/>
      <c r="I43" s="765"/>
      <c r="J43" s="766"/>
    </row>
    <row r="44" spans="2:11" x14ac:dyDescent="0.25">
      <c r="B44" s="387" t="s">
        <v>1014</v>
      </c>
      <c r="C44" s="387"/>
      <c r="D44" s="372"/>
      <c r="E44" s="380">
        <v>2015</v>
      </c>
      <c r="G44" s="763"/>
      <c r="H44" s="764"/>
      <c r="I44" s="765"/>
      <c r="J44" s="766"/>
    </row>
    <row r="45" spans="2:11" x14ac:dyDescent="0.25">
      <c r="B45" s="33"/>
      <c r="C45" s="270"/>
      <c r="D45" s="270"/>
      <c r="E45" s="270"/>
      <c r="G45" s="763"/>
      <c r="H45" s="764"/>
      <c r="I45" s="765"/>
      <c r="J45" s="766"/>
    </row>
    <row r="46" spans="2:11" x14ac:dyDescent="0.25">
      <c r="B46" s="229" t="s">
        <v>170</v>
      </c>
      <c r="C46" s="270"/>
      <c r="D46" s="270"/>
      <c r="E46" s="270"/>
      <c r="G46" s="763"/>
      <c r="H46" s="764"/>
      <c r="I46" s="765"/>
      <c r="J46" s="766"/>
    </row>
    <row r="47" spans="2:11" x14ac:dyDescent="0.25">
      <c r="B47" s="33" t="s">
        <v>104</v>
      </c>
      <c r="C47" s="404" t="s">
        <v>803</v>
      </c>
      <c r="D47" s="403" t="s">
        <v>804</v>
      </c>
      <c r="E47" s="382" t="s">
        <v>805</v>
      </c>
      <c r="G47" s="767" t="str">
        <f>summ!H18</f>
        <v xml:space="preserve">  </v>
      </c>
      <c r="H47" s="764" t="str">
        <f>CONCATENATE("",E1," Fund Mill Rate")</f>
        <v>2015 Fund Mill Rate</v>
      </c>
      <c r="I47" s="765"/>
      <c r="J47" s="766"/>
    </row>
    <row r="48" spans="2:11" x14ac:dyDescent="0.25">
      <c r="B48" s="530" t="str">
        <f>(inputPrYr!B22)</f>
        <v>Employee Benefits</v>
      </c>
      <c r="C48" s="405" t="str">
        <f>CONCATENATE("Actual for ",E1-2,"")</f>
        <v>Actual for 2013</v>
      </c>
      <c r="D48" s="405" t="str">
        <f>CONCATENATE("Estimate for ",E1-1,"")</f>
        <v>Estimate for 2014</v>
      </c>
      <c r="E48" s="390" t="str">
        <f>CONCATENATE("Year for ",E1,"")</f>
        <v>Year for 2015</v>
      </c>
      <c r="G48" s="768" t="str">
        <f>summ!E18</f>
        <v xml:space="preserve">  </v>
      </c>
      <c r="H48" s="764" t="str">
        <f>CONCATENATE("",E1-1," Fund Mill Rate")</f>
        <v>2014 Fund Mill Rate</v>
      </c>
      <c r="I48" s="765"/>
      <c r="J48" s="766"/>
    </row>
    <row r="49" spans="2:10" x14ac:dyDescent="0.25">
      <c r="B49" s="234" t="s">
        <v>212</v>
      </c>
      <c r="C49" s="239">
        <v>52082</v>
      </c>
      <c r="D49" s="237">
        <f>C78</f>
        <v>20522.580000000075</v>
      </c>
      <c r="E49" s="208">
        <f>D78</f>
        <v>52823.947882000124</v>
      </c>
      <c r="G49" s="769">
        <f>summ!H52</f>
        <v>64.292999999999992</v>
      </c>
      <c r="H49" s="764" t="str">
        <f>CONCATENATE("Total ",E1," Mill Rate")</f>
        <v>Total 2015 Mill Rate</v>
      </c>
      <c r="I49" s="765"/>
      <c r="J49" s="766"/>
    </row>
    <row r="50" spans="2:10" x14ac:dyDescent="0.25">
      <c r="B50" s="238" t="s">
        <v>214</v>
      </c>
      <c r="C50" s="142"/>
      <c r="D50" s="142"/>
      <c r="E50" s="68"/>
      <c r="G50" s="768">
        <f>summ!E52</f>
        <v>59.930999999999997</v>
      </c>
      <c r="H50" s="770" t="str">
        <f>CONCATENATE("Total ",E1-1," Mill Rate")</f>
        <v>Total 2014 Mill Rate</v>
      </c>
      <c r="I50" s="771"/>
      <c r="J50" s="772"/>
    </row>
    <row r="51" spans="2:10" x14ac:dyDescent="0.25">
      <c r="B51" s="133" t="s">
        <v>105</v>
      </c>
      <c r="C51" s="239">
        <v>473228</v>
      </c>
      <c r="D51" s="237">
        <f>IF(inputPrYr!H16&gt;0,inputPrYr!G22,inputPrYr!E22)</f>
        <v>520957</v>
      </c>
      <c r="E51" s="267" t="s">
        <v>93</v>
      </c>
    </row>
    <row r="52" spans="2:10" x14ac:dyDescent="0.25">
      <c r="B52" s="133" t="s">
        <v>106</v>
      </c>
      <c r="C52" s="239">
        <v>12532</v>
      </c>
      <c r="D52" s="239">
        <v>20738</v>
      </c>
      <c r="E52" s="48">
        <v>19535.887500000001</v>
      </c>
      <c r="G52" s="924" t="s">
        <v>986</v>
      </c>
      <c r="H52" s="873"/>
      <c r="I52" s="872" t="str">
        <f>cert!F60</f>
        <v>Yes</v>
      </c>
    </row>
    <row r="53" spans="2:10" x14ac:dyDescent="0.25">
      <c r="B53" s="133" t="s">
        <v>107</v>
      </c>
      <c r="C53" s="239">
        <v>47063</v>
      </c>
      <c r="D53" s="239">
        <v>49451</v>
      </c>
      <c r="E53" s="208">
        <f>mvalloc!D11</f>
        <v>52009</v>
      </c>
    </row>
    <row r="54" spans="2:10" x14ac:dyDescent="0.25">
      <c r="B54" s="133" t="s">
        <v>108</v>
      </c>
      <c r="C54" s="239">
        <v>595</v>
      </c>
      <c r="D54" s="239">
        <v>700</v>
      </c>
      <c r="E54" s="208">
        <f>mvalloc!E11</f>
        <v>771</v>
      </c>
    </row>
    <row r="55" spans="2:10" x14ac:dyDescent="0.25">
      <c r="B55" s="142" t="s">
        <v>202</v>
      </c>
      <c r="C55" s="239">
        <v>463</v>
      </c>
      <c r="D55" s="239">
        <v>385</v>
      </c>
      <c r="E55" s="208">
        <f>mvalloc!F11</f>
        <v>521</v>
      </c>
    </row>
    <row r="56" spans="2:10" x14ac:dyDescent="0.25">
      <c r="B56" s="255" t="s">
        <v>1214</v>
      </c>
      <c r="C56" s="239">
        <v>24545</v>
      </c>
      <c r="D56" s="239">
        <v>29232</v>
      </c>
      <c r="E56" s="48">
        <v>33330</v>
      </c>
    </row>
    <row r="57" spans="2:10" x14ac:dyDescent="0.25">
      <c r="B57" s="255" t="s">
        <v>1215</v>
      </c>
      <c r="C57" s="239">
        <v>43381</v>
      </c>
      <c r="D57" s="239">
        <v>49254</v>
      </c>
      <c r="E57" s="48">
        <v>57757</v>
      </c>
    </row>
    <row r="58" spans="2:10" x14ac:dyDescent="0.25">
      <c r="B58" s="255" t="s">
        <v>1216</v>
      </c>
      <c r="C58" s="239">
        <v>15067</v>
      </c>
      <c r="D58" s="239">
        <v>19061</v>
      </c>
      <c r="E58" s="48">
        <v>14222</v>
      </c>
    </row>
    <row r="59" spans="2:10" x14ac:dyDescent="0.25">
      <c r="B59" s="255" t="s">
        <v>1217</v>
      </c>
      <c r="C59" s="239">
        <v>1457</v>
      </c>
      <c r="D59" s="239"/>
      <c r="E59" s="48"/>
    </row>
    <row r="60" spans="2:10" x14ac:dyDescent="0.25">
      <c r="B60" s="255" t="s">
        <v>1111</v>
      </c>
      <c r="C60" s="239">
        <v>10579</v>
      </c>
      <c r="D60" s="239"/>
      <c r="E60" s="48"/>
    </row>
    <row r="61" spans="2:10" x14ac:dyDescent="0.25">
      <c r="B61" s="243" t="s">
        <v>110</v>
      </c>
      <c r="C61" s="239"/>
      <c r="D61" s="239"/>
      <c r="E61" s="48"/>
    </row>
    <row r="62" spans="2:10" x14ac:dyDescent="0.25">
      <c r="B62" s="142" t="s">
        <v>13</v>
      </c>
      <c r="C62" s="239"/>
      <c r="D62" s="239"/>
      <c r="E62" s="48"/>
    </row>
    <row r="63" spans="2:10" x14ac:dyDescent="0.25">
      <c r="B63" s="234" t="s">
        <v>781</v>
      </c>
      <c r="C63" s="244" t="str">
        <f>IF(C64*0.1&lt;C62,"Exceed 10% Rule","")</f>
        <v/>
      </c>
      <c r="D63" s="244" t="str">
        <f>IF(D64*0.1&lt;D62,"Exceed 10% Rule","")</f>
        <v/>
      </c>
      <c r="E63" s="281" t="str">
        <f>IF(E64*0.1+E84&lt;E62,"Exceed 10% Rule","")</f>
        <v/>
      </c>
    </row>
    <row r="64" spans="2:10" x14ac:dyDescent="0.25">
      <c r="B64" s="246" t="s">
        <v>111</v>
      </c>
      <c r="C64" s="248">
        <f>SUM(C51:C62)</f>
        <v>628910</v>
      </c>
      <c r="D64" s="248">
        <f>SUM(D51:D62)</f>
        <v>689778</v>
      </c>
      <c r="E64" s="249">
        <f>SUM(E51:E62)</f>
        <v>178145.88750000001</v>
      </c>
    </row>
    <row r="65" spans="2:11" x14ac:dyDescent="0.25">
      <c r="B65" s="246" t="s">
        <v>112</v>
      </c>
      <c r="C65" s="248">
        <f>C49+C64</f>
        <v>680992</v>
      </c>
      <c r="D65" s="248">
        <f>D49+D64</f>
        <v>710300.58000000007</v>
      </c>
      <c r="E65" s="249">
        <f>E49+E64</f>
        <v>230969.83538200014</v>
      </c>
    </row>
    <row r="66" spans="2:11" x14ac:dyDescent="0.25">
      <c r="B66" s="133" t="s">
        <v>114</v>
      </c>
      <c r="C66" s="256"/>
      <c r="D66" s="256"/>
      <c r="E66" s="46"/>
    </row>
    <row r="67" spans="2:11" x14ac:dyDescent="0.25">
      <c r="B67" s="255" t="s">
        <v>1218</v>
      </c>
      <c r="C67" s="239">
        <v>129417.59</v>
      </c>
      <c r="D67" s="239">
        <v>137824.82721500003</v>
      </c>
      <c r="E67" s="48">
        <v>142081.557872</v>
      </c>
    </row>
    <row r="68" spans="2:11" x14ac:dyDescent="0.25">
      <c r="B68" s="255" t="s">
        <v>1219</v>
      </c>
      <c r="C68" s="239">
        <v>131129.91999999998</v>
      </c>
      <c r="D68" s="239">
        <v>155472.699471</v>
      </c>
      <c r="E68" s="48">
        <v>172480.46964690002</v>
      </c>
      <c r="G68" s="1042" t="str">
        <f>CONCATENATE("Desired Carryover Into ",E1+1,"")</f>
        <v>Desired Carryover Into 2016</v>
      </c>
      <c r="H68" s="1028"/>
      <c r="I68" s="1028"/>
      <c r="J68" s="1029"/>
    </row>
    <row r="69" spans="2:11" x14ac:dyDescent="0.25">
      <c r="B69" s="255" t="s">
        <v>1168</v>
      </c>
      <c r="C69" s="239">
        <v>332306.40999999997</v>
      </c>
      <c r="D69" s="239">
        <v>283533.55639999988</v>
      </c>
      <c r="E69" s="48">
        <v>356565.19371600024</v>
      </c>
      <c r="G69" s="773"/>
      <c r="H69" s="774"/>
      <c r="I69" s="775"/>
      <c r="J69" s="776"/>
    </row>
    <row r="70" spans="2:11" x14ac:dyDescent="0.25">
      <c r="B70" s="255" t="s">
        <v>1220</v>
      </c>
      <c r="C70" s="239">
        <v>41540.86</v>
      </c>
      <c r="D70" s="239">
        <v>52297.330000000016</v>
      </c>
      <c r="E70" s="48">
        <v>36985.789999999994</v>
      </c>
      <c r="G70" s="777" t="s">
        <v>769</v>
      </c>
      <c r="H70" s="775"/>
      <c r="I70" s="775"/>
      <c r="J70" s="778">
        <v>0</v>
      </c>
    </row>
    <row r="71" spans="2:11" x14ac:dyDescent="0.25">
      <c r="B71" s="255" t="s">
        <v>1221</v>
      </c>
      <c r="C71" s="239">
        <v>1778.3899999999999</v>
      </c>
      <c r="D71" s="239">
        <v>13348.219031999997</v>
      </c>
      <c r="E71" s="48">
        <v>3819.1256960000005</v>
      </c>
      <c r="G71" s="773" t="s">
        <v>770</v>
      </c>
      <c r="H71" s="774"/>
      <c r="I71" s="774"/>
      <c r="J71" s="779" t="str">
        <f>IF(J70=0,"",ROUND((J70+E84-G83)/inputOth!E9*1000,3)-G88)</f>
        <v/>
      </c>
    </row>
    <row r="72" spans="2:11" x14ac:dyDescent="0.25">
      <c r="B72" s="255" t="s">
        <v>1128</v>
      </c>
      <c r="C72" s="239">
        <v>296.25</v>
      </c>
      <c r="D72" s="239"/>
      <c r="E72" s="48"/>
      <c r="G72" s="780" t="str">
        <f>CONCATENATE("",E1," Tot Exp/Non-Appr Must Be:")</f>
        <v>2015 Tot Exp/Non-Appr Must Be:</v>
      </c>
      <c r="H72" s="781"/>
      <c r="I72" s="782"/>
      <c r="J72" s="783">
        <f>IF(J70&gt;0,IF(E81&lt;E65,IF(J70=G83,E81,((J70-G83)*(1-D83))+E65),E81+(J70-G83)),0)</f>
        <v>0</v>
      </c>
    </row>
    <row r="73" spans="2:11" x14ac:dyDescent="0.25">
      <c r="B73" s="255" t="s">
        <v>1222</v>
      </c>
      <c r="C73" s="239">
        <v>24000</v>
      </c>
      <c r="D73" s="239">
        <v>15000</v>
      </c>
      <c r="E73" s="48">
        <v>20000</v>
      </c>
      <c r="G73" s="784" t="s">
        <v>806</v>
      </c>
      <c r="H73" s="785"/>
      <c r="I73" s="785"/>
      <c r="J73" s="752">
        <f>IF(J70&gt;0,J72-E81,0)</f>
        <v>0</v>
      </c>
    </row>
    <row r="74" spans="2:11" x14ac:dyDescent="0.3">
      <c r="B74" s="256" t="s">
        <v>12</v>
      </c>
      <c r="C74" s="239"/>
      <c r="D74" s="239"/>
      <c r="E74" s="63" t="str">
        <f>nhood!E10</f>
        <v/>
      </c>
      <c r="J74" s="2"/>
    </row>
    <row r="75" spans="2:11" x14ac:dyDescent="0.25">
      <c r="B75" s="256" t="s">
        <v>13</v>
      </c>
      <c r="C75" s="239"/>
      <c r="D75" s="239"/>
      <c r="E75" s="48"/>
      <c r="G75" s="1042" t="str">
        <f>CONCATENATE("Projected Carryover Into ",E1+1,"")</f>
        <v>Projected Carryover Into 2016</v>
      </c>
      <c r="H75" s="1046"/>
      <c r="I75" s="1046"/>
      <c r="J75" s="1047"/>
    </row>
    <row r="76" spans="2:11" x14ac:dyDescent="0.25">
      <c r="B76" s="256" t="s">
        <v>782</v>
      </c>
      <c r="C76" s="244" t="str">
        <f>IF(C77*0.1&lt;C75,"Exceed 10% Rule","")</f>
        <v/>
      </c>
      <c r="D76" s="244" t="str">
        <f>IF(D77*0.1&lt;D75,"Exceed 10% Rule","")</f>
        <v/>
      </c>
      <c r="E76" s="281" t="str">
        <f>IF(E77*0.1&lt;E75,"Exceed 10% Rule","")</f>
        <v/>
      </c>
      <c r="G76" s="798"/>
      <c r="H76" s="774"/>
      <c r="I76" s="774"/>
      <c r="J76" s="805"/>
    </row>
    <row r="77" spans="2:11" x14ac:dyDescent="0.25">
      <c r="B77" s="246" t="s">
        <v>118</v>
      </c>
      <c r="C77" s="248">
        <f>SUM(C67:C75)</f>
        <v>660469.41999999993</v>
      </c>
      <c r="D77" s="248">
        <f>SUM(D67:D75)</f>
        <v>657476.63211799995</v>
      </c>
      <c r="E77" s="249">
        <f>SUM(E67:E75)</f>
        <v>731932.13693090016</v>
      </c>
      <c r="G77" s="800">
        <f>D78</f>
        <v>52823.947882000124</v>
      </c>
      <c r="H77" s="764" t="str">
        <f>CONCATENATE("",E1-1," Ending Cash Balance (est.)")</f>
        <v>2014 Ending Cash Balance (est.)</v>
      </c>
      <c r="I77" s="801"/>
      <c r="J77" s="805"/>
    </row>
    <row r="78" spans="2:11" x14ac:dyDescent="0.25">
      <c r="B78" s="133" t="s">
        <v>213</v>
      </c>
      <c r="C78" s="252">
        <f>C65-C77</f>
        <v>20522.580000000075</v>
      </c>
      <c r="D78" s="252">
        <f>D65-D77</f>
        <v>52823.947882000124</v>
      </c>
      <c r="E78" s="267" t="s">
        <v>93</v>
      </c>
      <c r="G78" s="800">
        <f>E64</f>
        <v>178145.88750000001</v>
      </c>
      <c r="H78" s="775" t="str">
        <f>CONCATENATE("",E1," Non-AV Receipts (est.)")</f>
        <v>2015 Non-AV Receipts (est.)</v>
      </c>
      <c r="I78" s="801"/>
      <c r="J78" s="805"/>
    </row>
    <row r="79" spans="2:11" x14ac:dyDescent="0.25">
      <c r="B79" s="153" t="str">
        <f>CONCATENATE("",E1-2,"/",E1-1,"/",E1," Budget Authority Amount:")</f>
        <v>2013/2014/2015 Budget Authority Amount:</v>
      </c>
      <c r="C79" s="824">
        <f>inputOth!B67</f>
        <v>665752</v>
      </c>
      <c r="D79" s="824">
        <f>inputPrYr!D22</f>
        <v>705973.11237400002</v>
      </c>
      <c r="E79" s="208">
        <f>E77</f>
        <v>731932.13693090016</v>
      </c>
      <c r="F79" s="258"/>
      <c r="G79" s="802">
        <f>IF(D83&gt;0,E82,E84)</f>
        <v>512922.30154890002</v>
      </c>
      <c r="H79" s="775" t="str">
        <f>CONCATENATE("",E1," Ad Valorem Tax (est.)")</f>
        <v>2015 Ad Valorem Tax (est.)</v>
      </c>
      <c r="I79" s="801"/>
      <c r="J79" s="805"/>
      <c r="K79" s="757" t="str">
        <f>IF(G79=E84,"","Note: Does not include Delinquent Taxes")</f>
        <v>Note: Does not include Delinquent Taxes</v>
      </c>
    </row>
    <row r="80" spans="2:11" x14ac:dyDescent="0.25">
      <c r="B80" s="119"/>
      <c r="C80" s="1021" t="s">
        <v>628</v>
      </c>
      <c r="D80" s="1022"/>
      <c r="E80" s="48">
        <v>11960</v>
      </c>
      <c r="F80" s="860" t="str">
        <f>IF(E77/0.95-E77&lt;E80,"Exceeds 5%","")</f>
        <v/>
      </c>
      <c r="G80" s="804">
        <f>SUM(G77:G79)</f>
        <v>743892.13693090016</v>
      </c>
      <c r="H80" s="775" t="str">
        <f>CONCATENATE("Total ",E1," Resources Available")</f>
        <v>Total 2015 Resources Available</v>
      </c>
      <c r="I80" s="805"/>
      <c r="J80" s="805"/>
    </row>
    <row r="81" spans="2:10" x14ac:dyDescent="0.25">
      <c r="B81" s="526" t="str">
        <f>CONCATENATE(C101,"     ",D101)</f>
        <v xml:space="preserve">     </v>
      </c>
      <c r="C81" s="1023" t="s">
        <v>629</v>
      </c>
      <c r="D81" s="1024"/>
      <c r="E81" s="208">
        <f>E77+E80</f>
        <v>743892.13693090016</v>
      </c>
      <c r="G81" s="806"/>
      <c r="H81" s="807"/>
      <c r="I81" s="774"/>
      <c r="J81" s="805"/>
    </row>
    <row r="82" spans="2:10" x14ac:dyDescent="0.25">
      <c r="B82" s="526" t="str">
        <f>CONCATENATE(C102,"     ",D102)</f>
        <v xml:space="preserve">     </v>
      </c>
      <c r="C82" s="259"/>
      <c r="D82" s="151" t="s">
        <v>119</v>
      </c>
      <c r="E82" s="63">
        <f>IF(E81-E65&gt;0,E81-E65,0)</f>
        <v>512922.30154890002</v>
      </c>
      <c r="G82" s="808">
        <f>ROUND(C77*0.05+C77,0)</f>
        <v>693493</v>
      </c>
      <c r="H82" s="807" t="str">
        <f>CONCATENATE("Less ",E1-2," Expenditures + 5%")</f>
        <v>Less 2013 Expenditures + 5%</v>
      </c>
      <c r="I82" s="805"/>
      <c r="J82" s="805"/>
    </row>
    <row r="83" spans="2:10" x14ac:dyDescent="0.3">
      <c r="B83" s="151"/>
      <c r="C83" s="369" t="s">
        <v>627</v>
      </c>
      <c r="D83" s="732">
        <f>inputOth!$E$50</f>
        <v>0.08</v>
      </c>
      <c r="E83" s="208">
        <f>ROUND(IF(D83&gt;0,(E82*D83),0),0)</f>
        <v>41034</v>
      </c>
      <c r="G83" s="809">
        <f>G80-G82</f>
        <v>50399.13693090016</v>
      </c>
      <c r="H83" s="810" t="str">
        <f>CONCATENATE("Projected ",E1+1," carryover (est.)")</f>
        <v>Projected 2016 carryover (est.)</v>
      </c>
      <c r="I83" s="811"/>
      <c r="J83" s="812"/>
    </row>
    <row r="84" spans="2:10" ht="16.2" thickBot="1" x14ac:dyDescent="0.35">
      <c r="B84" s="32"/>
      <c r="C84" s="1025" t="str">
        <f>CONCATENATE("Amount of  ",$E$1-1," Ad Valorem Tax")</f>
        <v>Amount of  2014 Ad Valorem Tax</v>
      </c>
      <c r="D84" s="1026"/>
      <c r="E84" s="735">
        <f>E82+E83</f>
        <v>553956.30154890008</v>
      </c>
      <c r="G84" s="2"/>
      <c r="H84" s="2"/>
      <c r="I84" s="2"/>
    </row>
    <row r="85" spans="2:10" ht="16.2" thickTop="1" x14ac:dyDescent="0.25">
      <c r="B85" s="32"/>
      <c r="C85" s="573"/>
      <c r="D85" s="32"/>
      <c r="E85" s="32"/>
      <c r="G85" s="1018" t="s">
        <v>807</v>
      </c>
      <c r="H85" s="1019"/>
      <c r="I85" s="1019"/>
      <c r="J85" s="1020"/>
    </row>
    <row r="86" spans="2:10" x14ac:dyDescent="0.25">
      <c r="B86" s="151" t="s">
        <v>121</v>
      </c>
      <c r="C86" s="263">
        <v>13</v>
      </c>
      <c r="D86" s="32"/>
      <c r="E86" s="32"/>
      <c r="G86" s="763"/>
      <c r="H86" s="764"/>
      <c r="I86" s="765"/>
      <c r="J86" s="766"/>
    </row>
    <row r="87" spans="2:10" x14ac:dyDescent="0.25">
      <c r="B87" s="18"/>
      <c r="G87" s="767">
        <f>summ!H19</f>
        <v>24.876999999999999</v>
      </c>
      <c r="H87" s="764" t="str">
        <f>CONCATENATE("",E1," Fund Mill Rate")</f>
        <v>2015 Fund Mill Rate</v>
      </c>
      <c r="I87" s="765"/>
      <c r="J87" s="766"/>
    </row>
    <row r="88" spans="2:10" x14ac:dyDescent="0.25">
      <c r="G88" s="768">
        <f>summ!E19</f>
        <v>24.843</v>
      </c>
      <c r="H88" s="764" t="str">
        <f>CONCATENATE("",E1-1," Fund Mill Rate")</f>
        <v>2014 Fund Mill Rate</v>
      </c>
      <c r="I88" s="765"/>
      <c r="J88" s="766"/>
    </row>
    <row r="89" spans="2:10" x14ac:dyDescent="0.25">
      <c r="G89" s="769">
        <f>summ!H52</f>
        <v>64.292999999999992</v>
      </c>
      <c r="H89" s="764" t="str">
        <f>CONCATENATE("Total ",E1," Mill Rate")</f>
        <v>Total 2015 Mill Rate</v>
      </c>
      <c r="I89" s="765"/>
      <c r="J89" s="766"/>
    </row>
    <row r="90" spans="2:10" x14ac:dyDescent="0.25">
      <c r="G90" s="768">
        <f>summ!E52</f>
        <v>59.930999999999997</v>
      </c>
      <c r="H90" s="770" t="str">
        <f>CONCATENATE("Total ",E1-1," Mill Rate")</f>
        <v>Total 2014 Mill Rate</v>
      </c>
      <c r="I90" s="771"/>
      <c r="J90" s="772"/>
    </row>
    <row r="92" spans="2:10" x14ac:dyDescent="0.25">
      <c r="G92" s="925" t="s">
        <v>986</v>
      </c>
      <c r="H92" s="875"/>
      <c r="I92" s="874" t="str">
        <f>cert!F60</f>
        <v>Yes</v>
      </c>
    </row>
    <row r="99" spans="3:4" hidden="1" x14ac:dyDescent="0.25">
      <c r="C99" s="525" t="str">
        <f>IF(C33&gt;C35,"See Tab A","")</f>
        <v/>
      </c>
      <c r="D99" s="525" t="str">
        <f>IF(D31&gt;D35,"See Tab C","")</f>
        <v/>
      </c>
    </row>
    <row r="100" spans="3:4" hidden="1" x14ac:dyDescent="0.25">
      <c r="C100" s="525" t="str">
        <f>IF(C34&lt;0,"See Tab B","")</f>
        <v/>
      </c>
      <c r="D100" s="525" t="str">
        <f>IF(D34&lt;0,"See Tab D","")</f>
        <v/>
      </c>
    </row>
    <row r="101" spans="3:4" hidden="1" x14ac:dyDescent="0.25">
      <c r="C101" s="525" t="str">
        <f>IF(C75&gt;C79,"See Tab A","")</f>
        <v/>
      </c>
      <c r="D101" s="525" t="str">
        <f>IF(D75&gt;D79,"See Tab C","")</f>
        <v/>
      </c>
    </row>
    <row r="102" spans="3:4" hidden="1" x14ac:dyDescent="0.25">
      <c r="C102" s="525" t="str">
        <f>IF(C78&lt;0,"See Tab B","")</f>
        <v/>
      </c>
      <c r="D102" s="525" t="str">
        <f>IF(D78&lt;0,"See Tab D","")</f>
        <v/>
      </c>
    </row>
  </sheetData>
  <sheetProtection sheet="1" objects="1" scenarios="1"/>
  <mergeCells count="13">
    <mergeCell ref="G85:J85"/>
    <mergeCell ref="C84:D84"/>
    <mergeCell ref="C40:D40"/>
    <mergeCell ref="G24:J24"/>
    <mergeCell ref="G31:J31"/>
    <mergeCell ref="G41:J41"/>
    <mergeCell ref="G68:J68"/>
    <mergeCell ref="G75:J75"/>
    <mergeCell ref="C80:D80"/>
    <mergeCell ref="C81:D81"/>
    <mergeCell ref="C36:D36"/>
    <mergeCell ref="C37:D37"/>
    <mergeCell ref="C41:D41"/>
  </mergeCells>
  <phoneticPr fontId="0" type="noConversion"/>
  <conditionalFormatting sqref="E75">
    <cfRule type="cellIs" dxfId="287" priority="3" stopIfTrue="1" operator="greaterThan">
      <formula>$E$77*0.1</formula>
    </cfRule>
  </conditionalFormatting>
  <conditionalFormatting sqref="E80">
    <cfRule type="cellIs" dxfId="286" priority="4" stopIfTrue="1" operator="greaterThan">
      <formula>$E$77/0.95-$E$77</formula>
    </cfRule>
  </conditionalFormatting>
  <conditionalFormatting sqref="E31">
    <cfRule type="cellIs" dxfId="285" priority="5" stopIfTrue="1" operator="greaterThan">
      <formula>$E$33*0.1</formula>
    </cfRule>
  </conditionalFormatting>
  <conditionalFormatting sqref="E36">
    <cfRule type="cellIs" dxfId="284" priority="6" stopIfTrue="1" operator="greaterThan">
      <formula>$E$33/0.95-$E$33</formula>
    </cfRule>
  </conditionalFormatting>
  <conditionalFormatting sqref="C31">
    <cfRule type="cellIs" dxfId="283" priority="7" stopIfTrue="1" operator="greaterThan">
      <formula>$C$33*0.1</formula>
    </cfRule>
  </conditionalFormatting>
  <conditionalFormatting sqref="D31">
    <cfRule type="cellIs" dxfId="282" priority="8" stopIfTrue="1" operator="greaterThan">
      <formula>$D$33*0.1</formula>
    </cfRule>
  </conditionalFormatting>
  <conditionalFormatting sqref="D33">
    <cfRule type="cellIs" dxfId="281" priority="9" stopIfTrue="1" operator="greaterThan">
      <formula>$C$35</formula>
    </cfRule>
  </conditionalFormatting>
  <conditionalFormatting sqref="C33">
    <cfRule type="cellIs" dxfId="280" priority="10" stopIfTrue="1" operator="greaterThan">
      <formula>$C$35</formula>
    </cfRule>
  </conditionalFormatting>
  <conditionalFormatting sqref="C34 C78">
    <cfRule type="cellIs" dxfId="279" priority="11" stopIfTrue="1" operator="lessThan">
      <formula>0</formula>
    </cfRule>
  </conditionalFormatting>
  <conditionalFormatting sqref="C75">
    <cfRule type="cellIs" dxfId="278" priority="12" stopIfTrue="1" operator="greaterThan">
      <formula>$C$77*0.1</formula>
    </cfRule>
  </conditionalFormatting>
  <conditionalFormatting sqref="D75">
    <cfRule type="cellIs" dxfId="277" priority="13" stopIfTrue="1" operator="greaterThan">
      <formula>$D$77*0.1</formula>
    </cfRule>
  </conditionalFormatting>
  <conditionalFormatting sqref="D77">
    <cfRule type="cellIs" dxfId="276" priority="14" stopIfTrue="1" operator="greaterThan">
      <formula>$C$79</formula>
    </cfRule>
  </conditionalFormatting>
  <conditionalFormatting sqref="C77">
    <cfRule type="cellIs" dxfId="275" priority="15" stopIfTrue="1" operator="greaterThan">
      <formula>$C$79</formula>
    </cfRule>
  </conditionalFormatting>
  <conditionalFormatting sqref="D18">
    <cfRule type="cellIs" dxfId="274" priority="16" stopIfTrue="1" operator="greaterThan">
      <formula>$D$20*0.1</formula>
    </cfRule>
  </conditionalFormatting>
  <conditionalFormatting sqref="C18">
    <cfRule type="cellIs" dxfId="273" priority="17" stopIfTrue="1" operator="greaterThan">
      <formula>$C$20*0.1</formula>
    </cfRule>
  </conditionalFormatting>
  <conditionalFormatting sqref="D62">
    <cfRule type="cellIs" dxfId="272" priority="18" stopIfTrue="1" operator="greaterThan">
      <formula>$D$64*0.1</formula>
    </cfRule>
  </conditionalFormatting>
  <conditionalFormatting sqref="C62">
    <cfRule type="cellIs" dxfId="271" priority="19" stopIfTrue="1" operator="greaterThan">
      <formula>$C$64*0.1</formula>
    </cfRule>
  </conditionalFormatting>
  <conditionalFormatting sqref="E18">
    <cfRule type="cellIs" dxfId="270" priority="20" stopIfTrue="1" operator="greaterThan">
      <formula>$E$20*0.1+E40</formula>
    </cfRule>
  </conditionalFormatting>
  <conditionalFormatting sqref="E62">
    <cfRule type="cellIs" dxfId="269" priority="21" stopIfTrue="1" operator="greaterThan">
      <formula>$E$64*0.1+E84</formula>
    </cfRule>
  </conditionalFormatting>
  <conditionalFormatting sqref="D78 D34">
    <cfRule type="cellIs" dxfId="268" priority="2" stopIfTrue="1" operator="lessThan">
      <formula>0</formula>
    </cfRule>
  </conditionalFormatting>
  <pageMargins left="0.5" right="0.5" top="1" bottom="0.5" header="0.5" footer="0.5"/>
  <pageSetup fitToHeight="2" orientation="portrait" blackAndWhite="1" horizontalDpi="120" verticalDpi="144" r:id="rId1"/>
  <headerFooter alignWithMargins="0">
    <oddHeader>&amp;RState of Kansas
City</oddHeader>
  </headerFooter>
  <rowBreaks count="1" manualBreakCount="1">
    <brk id="43" min="1" max="4"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01"/>
  <sheetViews>
    <sheetView view="pageBreakPreview" zoomScale="60" zoomScaleNormal="100" workbookViewId="0">
      <selection activeCell="B42" sqref="B42"/>
    </sheetView>
  </sheetViews>
  <sheetFormatPr defaultColWidth="8.9140625" defaultRowHeight="15.6" x14ac:dyDescent="0.25"/>
  <cols>
    <col min="1" max="1" width="2.4140625" style="30" customWidth="1"/>
    <col min="2" max="2" width="31.08203125" style="30" customWidth="1"/>
    <col min="3" max="4" width="15.75" style="30" customWidth="1"/>
    <col min="5" max="5" width="16.33203125" style="30" customWidth="1"/>
    <col min="6" max="6" width="8.08203125" style="30" customWidth="1"/>
    <col min="7" max="7" width="10.25" style="30" customWidth="1"/>
    <col min="8" max="8" width="8.9140625" style="30"/>
    <col min="9" max="9" width="5" style="30" customWidth="1"/>
    <col min="10" max="10" width="10" style="30" customWidth="1"/>
    <col min="11" max="16384" width="8.9140625" style="30"/>
  </cols>
  <sheetData>
    <row r="1" spans="2:5" x14ac:dyDescent="0.25">
      <c r="B1" s="176" t="str">
        <f>(inputPrYr!D2)</f>
        <v>City of Osawatomie</v>
      </c>
      <c r="C1" s="32"/>
      <c r="D1" s="32"/>
      <c r="E1" s="228">
        <f>inputPrYr!C5</f>
        <v>2015</v>
      </c>
    </row>
    <row r="2" spans="2:5" x14ac:dyDescent="0.25">
      <c r="B2" s="32"/>
      <c r="C2" s="32"/>
      <c r="D2" s="32"/>
      <c r="E2" s="151"/>
    </row>
    <row r="3" spans="2:5" x14ac:dyDescent="0.25">
      <c r="B3" s="229" t="s">
        <v>170</v>
      </c>
      <c r="C3" s="182"/>
      <c r="D3" s="182"/>
      <c r="E3" s="269"/>
    </row>
    <row r="4" spans="2:5" x14ac:dyDescent="0.25">
      <c r="B4" s="33" t="s">
        <v>104</v>
      </c>
      <c r="C4" s="404" t="s">
        <v>803</v>
      </c>
      <c r="D4" s="403" t="s">
        <v>804</v>
      </c>
      <c r="E4" s="382" t="s">
        <v>805</v>
      </c>
    </row>
    <row r="5" spans="2:5" x14ac:dyDescent="0.25">
      <c r="B5" s="530" t="str">
        <f>inputPrYr!B23</f>
        <v>Public Safety Equipment</v>
      </c>
      <c r="C5" s="405" t="str">
        <f>CONCATENATE("Actual for ",E1-2,"")</f>
        <v>Actual for 2013</v>
      </c>
      <c r="D5" s="405" t="str">
        <f>CONCATENATE("Estimate for ",E1-1,"")</f>
        <v>Estimate for 2014</v>
      </c>
      <c r="E5" s="390" t="str">
        <f>CONCATENATE("Year for ",E1,"")</f>
        <v>Year for 2015</v>
      </c>
    </row>
    <row r="6" spans="2:5" x14ac:dyDescent="0.25">
      <c r="B6" s="234" t="s">
        <v>212</v>
      </c>
      <c r="C6" s="239">
        <v>9847</v>
      </c>
      <c r="D6" s="237">
        <f>C34</f>
        <v>9068</v>
      </c>
      <c r="E6" s="208">
        <f>D34</f>
        <v>9068</v>
      </c>
    </row>
    <row r="7" spans="2:5" x14ac:dyDescent="0.25">
      <c r="B7" s="238" t="s">
        <v>214</v>
      </c>
      <c r="C7" s="237"/>
      <c r="D7" s="237"/>
      <c r="E7" s="208"/>
    </row>
    <row r="8" spans="2:5" x14ac:dyDescent="0.25">
      <c r="B8" s="133" t="s">
        <v>105</v>
      </c>
      <c r="C8" s="239"/>
      <c r="D8" s="237">
        <f>IF(inputPrYr!H16&gt;0,inputPrYr!G23,inputPrYr!E23)</f>
        <v>0</v>
      </c>
      <c r="E8" s="267" t="s">
        <v>93</v>
      </c>
    </row>
    <row r="9" spans="2:5" x14ac:dyDescent="0.25">
      <c r="B9" s="133" t="s">
        <v>106</v>
      </c>
      <c r="C9" s="239">
        <v>11</v>
      </c>
      <c r="D9" s="239"/>
      <c r="E9" s="48"/>
    </row>
    <row r="10" spans="2:5" x14ac:dyDescent="0.25">
      <c r="B10" s="133" t="s">
        <v>107</v>
      </c>
      <c r="C10" s="239"/>
      <c r="D10" s="239"/>
      <c r="E10" s="208" t="str">
        <f>mvalloc!D12</f>
        <v xml:space="preserve">  </v>
      </c>
    </row>
    <row r="11" spans="2:5" x14ac:dyDescent="0.25">
      <c r="B11" s="133" t="s">
        <v>108</v>
      </c>
      <c r="C11" s="239"/>
      <c r="D11" s="239"/>
      <c r="E11" s="208" t="str">
        <f>mvalloc!E12</f>
        <v xml:space="preserve"> </v>
      </c>
    </row>
    <row r="12" spans="2:5" x14ac:dyDescent="0.25">
      <c r="B12" s="142" t="s">
        <v>202</v>
      </c>
      <c r="C12" s="239"/>
      <c r="D12" s="239"/>
      <c r="E12" s="208" t="str">
        <f>mvalloc!F12</f>
        <v xml:space="preserve"> </v>
      </c>
    </row>
    <row r="13" spans="2:5" hidden="1" x14ac:dyDescent="0.25">
      <c r="B13" s="255"/>
      <c r="C13" s="239"/>
      <c r="D13" s="239"/>
      <c r="E13" s="48"/>
    </row>
    <row r="14" spans="2:5" hidden="1" x14ac:dyDescent="0.25">
      <c r="B14" s="255"/>
      <c r="C14" s="239"/>
      <c r="D14" s="239"/>
      <c r="E14" s="48"/>
    </row>
    <row r="15" spans="2:5" hidden="1" x14ac:dyDescent="0.25">
      <c r="B15" s="255"/>
      <c r="C15" s="239"/>
      <c r="D15" s="239"/>
      <c r="E15" s="48"/>
    </row>
    <row r="16" spans="2:5" x14ac:dyDescent="0.25">
      <c r="B16" s="255"/>
      <c r="C16" s="239"/>
      <c r="D16" s="239"/>
      <c r="E16" s="48"/>
    </row>
    <row r="17" spans="2:10" x14ac:dyDescent="0.25">
      <c r="B17" s="243" t="s">
        <v>110</v>
      </c>
      <c r="C17" s="239"/>
      <c r="D17" s="239"/>
      <c r="E17" s="48"/>
    </row>
    <row r="18" spans="2:10" x14ac:dyDescent="0.25">
      <c r="B18" s="142" t="s">
        <v>13</v>
      </c>
      <c r="C18" s="239"/>
      <c r="D18" s="239"/>
      <c r="E18" s="48"/>
    </row>
    <row r="19" spans="2:10" x14ac:dyDescent="0.25">
      <c r="B19" s="234" t="s">
        <v>781</v>
      </c>
      <c r="C19" s="244" t="str">
        <f>IF(C20*0.1&lt;C18,"Exceed 10% Rule","")</f>
        <v/>
      </c>
      <c r="D19" s="244" t="str">
        <f>IF(D20*0.1&lt;D18,"Exceed 10% Rule","")</f>
        <v/>
      </c>
      <c r="E19" s="281" t="str">
        <f>IF(E20*0.1+E40&lt;E18,"Exceed 10% Rule","")</f>
        <v/>
      </c>
    </row>
    <row r="20" spans="2:10" x14ac:dyDescent="0.25">
      <c r="B20" s="246" t="s">
        <v>111</v>
      </c>
      <c r="C20" s="248">
        <f>SUM(C8:C18)</f>
        <v>11</v>
      </c>
      <c r="D20" s="248">
        <f>SUM(D8:D18)</f>
        <v>0</v>
      </c>
      <c r="E20" s="249">
        <f>SUM(E8:E18)</f>
        <v>0</v>
      </c>
    </row>
    <row r="21" spans="2:10" x14ac:dyDescent="0.25">
      <c r="B21" s="246" t="s">
        <v>112</v>
      </c>
      <c r="C21" s="248">
        <f>C6+C20</f>
        <v>9858</v>
      </c>
      <c r="D21" s="248">
        <f>D6+D20</f>
        <v>9068</v>
      </c>
      <c r="E21" s="249">
        <f>E6+E20</f>
        <v>9068</v>
      </c>
    </row>
    <row r="22" spans="2:10" x14ac:dyDescent="0.25">
      <c r="B22" s="133" t="s">
        <v>114</v>
      </c>
      <c r="C22" s="256"/>
      <c r="D22" s="256"/>
      <c r="E22" s="46"/>
      <c r="F22" s="272"/>
    </row>
    <row r="23" spans="2:10" x14ac:dyDescent="0.25">
      <c r="B23" s="273" t="s">
        <v>1142</v>
      </c>
      <c r="C23" s="239">
        <v>790</v>
      </c>
      <c r="D23" s="239"/>
      <c r="E23" s="84">
        <v>9068</v>
      </c>
    </row>
    <row r="24" spans="2:10" hidden="1" x14ac:dyDescent="0.25">
      <c r="B24" s="273"/>
      <c r="C24" s="239"/>
      <c r="D24" s="239"/>
      <c r="E24" s="84"/>
      <c r="G24" s="1042" t="str">
        <f>CONCATENATE("Desired Carryover Into ",E1+1,"")</f>
        <v>Desired Carryover Into 2016</v>
      </c>
      <c r="H24" s="1028"/>
      <c r="I24" s="1028"/>
      <c r="J24" s="1029"/>
    </row>
    <row r="25" spans="2:10" hidden="1" x14ac:dyDescent="0.25">
      <c r="B25" s="273"/>
      <c r="C25" s="239"/>
      <c r="D25" s="239"/>
      <c r="E25" s="84"/>
      <c r="G25" s="773"/>
      <c r="H25" s="774"/>
      <c r="I25" s="775"/>
      <c r="J25" s="776"/>
    </row>
    <row r="26" spans="2:10" hidden="1" x14ac:dyDescent="0.25">
      <c r="B26" s="255"/>
      <c r="C26" s="239"/>
      <c r="D26" s="239"/>
      <c r="E26" s="48"/>
      <c r="G26" s="777" t="s">
        <v>769</v>
      </c>
      <c r="H26" s="775"/>
      <c r="I26" s="775"/>
      <c r="J26" s="778">
        <v>0</v>
      </c>
    </row>
    <row r="27" spans="2:10" hidden="1" x14ac:dyDescent="0.25">
      <c r="B27" s="255"/>
      <c r="C27" s="239"/>
      <c r="D27" s="239"/>
      <c r="E27" s="48"/>
      <c r="G27" s="773" t="s">
        <v>770</v>
      </c>
      <c r="H27" s="774"/>
      <c r="I27" s="774"/>
      <c r="J27" s="779" t="str">
        <f>IF(J26=0,"",ROUND((J26+E40-G39)/inputOth!E9*1000,3)-G48)</f>
        <v/>
      </c>
    </row>
    <row r="28" spans="2:10" hidden="1" x14ac:dyDescent="0.25">
      <c r="B28" s="255"/>
      <c r="C28" s="239"/>
      <c r="D28" s="239"/>
      <c r="E28" s="48"/>
      <c r="G28" s="780" t="str">
        <f>CONCATENATE("",E1," Tot Exp/Non-Appr Must Be:")</f>
        <v>2015 Tot Exp/Non-Appr Must Be:</v>
      </c>
      <c r="H28" s="781"/>
      <c r="I28" s="782"/>
      <c r="J28" s="783">
        <f>IF(J26&gt;0,IF(E37&lt;E21,IF(J26=G39,E37,((J26-G39)*(1-D39))+E21),E37+(J26-G39)),0)</f>
        <v>0</v>
      </c>
    </row>
    <row r="29" spans="2:10" x14ac:dyDescent="0.25">
      <c r="B29" s="255"/>
      <c r="C29" s="239"/>
      <c r="D29" s="239"/>
      <c r="E29" s="48"/>
      <c r="G29" s="784" t="s">
        <v>806</v>
      </c>
      <c r="H29" s="785"/>
      <c r="I29" s="785"/>
      <c r="J29" s="752">
        <f>IF(J26&gt;0,J28-E37,0)</f>
        <v>0</v>
      </c>
    </row>
    <row r="30" spans="2:10" x14ac:dyDescent="0.3">
      <c r="B30" s="256" t="s">
        <v>12</v>
      </c>
      <c r="C30" s="239"/>
      <c r="D30" s="239"/>
      <c r="E30" s="63" t="str">
        <f>nhood!E11</f>
        <v/>
      </c>
      <c r="J30" s="2"/>
    </row>
    <row r="31" spans="2:10" x14ac:dyDescent="0.25">
      <c r="B31" s="256" t="s">
        <v>13</v>
      </c>
      <c r="C31" s="239"/>
      <c r="D31" s="239"/>
      <c r="E31" s="48"/>
      <c r="G31" s="1042" t="str">
        <f>CONCATENATE("Projected Carryover Into ",E1+1,"")</f>
        <v>Projected Carryover Into 2016</v>
      </c>
      <c r="H31" s="1048"/>
      <c r="I31" s="1048"/>
      <c r="J31" s="1047"/>
    </row>
    <row r="32" spans="2:10" x14ac:dyDescent="0.3">
      <c r="B32" s="256" t="s">
        <v>782</v>
      </c>
      <c r="C32" s="244" t="str">
        <f>IF(C33*0.1&lt;C31,"Exceed 10% Rule","")</f>
        <v/>
      </c>
      <c r="D32" s="244" t="str">
        <f>IF(D33*0.1&lt;D31,"Exceed 10% Rule","")</f>
        <v/>
      </c>
      <c r="E32" s="281" t="str">
        <f>IF(E33*0.1&lt;E31,"Exceed 10% Rule","")</f>
        <v/>
      </c>
      <c r="G32" s="773"/>
      <c r="H32" s="775"/>
      <c r="I32" s="775"/>
      <c r="J32" s="799"/>
    </row>
    <row r="33" spans="2:11" x14ac:dyDescent="0.3">
      <c r="B33" s="246" t="s">
        <v>118</v>
      </c>
      <c r="C33" s="248">
        <f>SUM(C23:C31)</f>
        <v>790</v>
      </c>
      <c r="D33" s="248">
        <f>SUM(D23:D31)</f>
        <v>0</v>
      </c>
      <c r="E33" s="249">
        <f>SUM(E23:E31)</f>
        <v>9068</v>
      </c>
      <c r="G33" s="800">
        <f>D34</f>
        <v>9068</v>
      </c>
      <c r="H33" s="764" t="str">
        <f>CONCATENATE("",E1-1," Ending Cash Balance (est.)")</f>
        <v>2014 Ending Cash Balance (est.)</v>
      </c>
      <c r="I33" s="801"/>
      <c r="J33" s="799"/>
    </row>
    <row r="34" spans="2:11" x14ac:dyDescent="0.3">
      <c r="B34" s="133" t="s">
        <v>213</v>
      </c>
      <c r="C34" s="252">
        <f>C21-C33</f>
        <v>9068</v>
      </c>
      <c r="D34" s="252">
        <f>D21-D33</f>
        <v>9068</v>
      </c>
      <c r="E34" s="267" t="s">
        <v>93</v>
      </c>
      <c r="G34" s="800">
        <f>E20</f>
        <v>0</v>
      </c>
      <c r="H34" s="775" t="str">
        <f>CONCATENATE("",E1," Non-AV Receipts (est.)")</f>
        <v>2015 Non-AV Receipts (est.)</v>
      </c>
      <c r="I34" s="801"/>
      <c r="J34" s="799"/>
    </row>
    <row r="35" spans="2:11" x14ac:dyDescent="0.25">
      <c r="B35" s="153" t="str">
        <f>CONCATENATE("",E1-2,"/",E1-1,"/",E1," Budget Authority Amount:")</f>
        <v>2013/2014/2015 Budget Authority Amount:</v>
      </c>
      <c r="C35" s="824">
        <f>inputOth!B68</f>
        <v>9855</v>
      </c>
      <c r="D35" s="824">
        <f>inputPrYr!D23</f>
        <v>9847</v>
      </c>
      <c r="E35" s="208">
        <f>E33</f>
        <v>9068</v>
      </c>
      <c r="F35" s="258"/>
      <c r="G35" s="802">
        <f>IF(E39&gt;0,E38,E40)</f>
        <v>0</v>
      </c>
      <c r="H35" s="775" t="str">
        <f>CONCATENATE("",E1," Ad Valorem Tax (est.)")</f>
        <v>2015 Ad Valorem Tax (est.)</v>
      </c>
      <c r="I35" s="801"/>
      <c r="J35" s="787"/>
      <c r="K35" s="757" t="str">
        <f>IF(G35=E40,"","Note: Does not include Delinquent Taxes")</f>
        <v/>
      </c>
    </row>
    <row r="36" spans="2:11" x14ac:dyDescent="0.3">
      <c r="B36" s="119"/>
      <c r="C36" s="1021" t="s">
        <v>628</v>
      </c>
      <c r="D36" s="1022"/>
      <c r="E36" s="48">
        <v>0</v>
      </c>
      <c r="F36" s="860" t="str">
        <f>IF(E33/0.95-E33&lt;E36,"Exceeds 5%","")</f>
        <v/>
      </c>
      <c r="G36" s="800">
        <f>SUM(G33:G35)</f>
        <v>9068</v>
      </c>
      <c r="H36" s="775" t="str">
        <f>CONCATENATE("Total ",E1," Resources Available")</f>
        <v>Total 2015 Resources Available</v>
      </c>
      <c r="I36" s="801"/>
      <c r="J36" s="799"/>
    </row>
    <row r="37" spans="2:11" x14ac:dyDescent="0.3">
      <c r="B37" s="526" t="str">
        <f>CONCATENATE(C98,"     ",D98)</f>
        <v xml:space="preserve">     </v>
      </c>
      <c r="C37" s="1023" t="s">
        <v>629</v>
      </c>
      <c r="D37" s="1024"/>
      <c r="E37" s="208">
        <f>E33+E36</f>
        <v>9068</v>
      </c>
      <c r="G37" s="819"/>
      <c r="H37" s="775"/>
      <c r="I37" s="775"/>
      <c r="J37" s="799"/>
    </row>
    <row r="38" spans="2:11" x14ac:dyDescent="0.3">
      <c r="B38" s="526" t="str">
        <f>CONCATENATE(C99,"     ",D99)</f>
        <v xml:space="preserve">     </v>
      </c>
      <c r="C38" s="259"/>
      <c r="D38" s="151" t="s">
        <v>119</v>
      </c>
      <c r="E38" s="63">
        <f>IF(E37-E21&gt;0,E37-E21,0)</f>
        <v>0</v>
      </c>
      <c r="G38" s="802">
        <f>ROUND(C33*0.05+C33,0)</f>
        <v>830</v>
      </c>
      <c r="H38" s="775" t="str">
        <f>CONCATENATE("Less ",E1-2," Expenditures + 5%")</f>
        <v>Less 2013 Expenditures + 5%</v>
      </c>
      <c r="I38" s="801"/>
      <c r="J38" s="799"/>
    </row>
    <row r="39" spans="2:11" x14ac:dyDescent="0.3">
      <c r="B39" s="151"/>
      <c r="C39" s="369" t="s">
        <v>627</v>
      </c>
      <c r="D39" s="732">
        <f>inputOth!$E$50</f>
        <v>0.08</v>
      </c>
      <c r="E39" s="208">
        <f>ROUND(IF(D39&gt;0,(E38*D39),0),0)</f>
        <v>0</v>
      </c>
      <c r="G39" s="820">
        <f>G36-G38</f>
        <v>8238</v>
      </c>
      <c r="H39" s="821" t="str">
        <f>CONCATENATE("Projected ",E1+1," carryover (est.)")</f>
        <v>Projected 2016 carryover (est.)</v>
      </c>
      <c r="I39" s="822"/>
      <c r="J39" s="812"/>
    </row>
    <row r="40" spans="2:11" ht="16.2" thickBot="1" x14ac:dyDescent="0.35">
      <c r="B40" s="151"/>
      <c r="C40" s="1025" t="str">
        <f>CONCATENATE("Amount of  ",$E$1-1," Ad Valorem Tax")</f>
        <v>Amount of  2014 Ad Valorem Tax</v>
      </c>
      <c r="D40" s="1026"/>
      <c r="E40" s="735">
        <f>E38+E39</f>
        <v>0</v>
      </c>
      <c r="G40" s="2"/>
      <c r="H40" s="2"/>
      <c r="I40" s="2"/>
      <c r="J40" s="2"/>
    </row>
    <row r="41" spans="2:11" ht="16.2" thickTop="1" x14ac:dyDescent="0.25">
      <c r="B41" s="32"/>
      <c r="C41" s="1025"/>
      <c r="D41" s="1049"/>
      <c r="E41" s="57"/>
      <c r="G41" s="1018" t="s">
        <v>807</v>
      </c>
      <c r="H41" s="1019"/>
      <c r="I41" s="1019"/>
      <c r="J41" s="1020"/>
    </row>
    <row r="42" spans="2:11" x14ac:dyDescent="0.25">
      <c r="B42" s="389" t="s">
        <v>121</v>
      </c>
      <c r="C42" s="400">
        <v>14</v>
      </c>
      <c r="D42" s="391"/>
      <c r="E42" s="391"/>
      <c r="G42" s="763"/>
      <c r="H42" s="764"/>
      <c r="I42" s="765"/>
      <c r="J42" s="766"/>
    </row>
    <row r="43" spans="2:11" x14ac:dyDescent="0.25">
      <c r="B43" s="374"/>
      <c r="C43" s="374"/>
      <c r="D43" s="391"/>
      <c r="E43" s="391"/>
      <c r="G43" s="763"/>
      <c r="H43" s="764"/>
      <c r="I43" s="765"/>
      <c r="J43" s="766"/>
    </row>
    <row r="44" spans="2:11" x14ac:dyDescent="0.25">
      <c r="B44" s="387" t="s">
        <v>1014</v>
      </c>
      <c r="C44" s="387"/>
      <c r="D44" s="372"/>
      <c r="E44" s="380">
        <v>2015</v>
      </c>
      <c r="G44" s="763"/>
      <c r="H44" s="764"/>
      <c r="I44" s="765"/>
      <c r="J44" s="766"/>
    </row>
    <row r="45" spans="2:11" x14ac:dyDescent="0.25">
      <c r="B45" s="33"/>
      <c r="C45" s="270"/>
      <c r="D45" s="270"/>
      <c r="E45" s="270"/>
      <c r="G45" s="763"/>
      <c r="H45" s="764"/>
      <c r="I45" s="765"/>
      <c r="J45" s="766"/>
    </row>
    <row r="46" spans="2:11" x14ac:dyDescent="0.25">
      <c r="B46" s="229" t="s">
        <v>170</v>
      </c>
      <c r="C46" s="270"/>
      <c r="D46" s="270"/>
      <c r="E46" s="270"/>
      <c r="G46" s="763"/>
      <c r="H46" s="764"/>
      <c r="I46" s="765"/>
      <c r="J46" s="766"/>
    </row>
    <row r="47" spans="2:11" x14ac:dyDescent="0.25">
      <c r="B47" s="33" t="s">
        <v>104</v>
      </c>
      <c r="C47" s="404" t="s">
        <v>803</v>
      </c>
      <c r="D47" s="403" t="s">
        <v>804</v>
      </c>
      <c r="E47" s="382" t="s">
        <v>805</v>
      </c>
      <c r="G47" s="767" t="str">
        <f>summ!H20</f>
        <v xml:space="preserve">  </v>
      </c>
      <c r="H47" s="764" t="str">
        <f>CONCATENATE("",E1," Fund Mill Rate")</f>
        <v>2015 Fund Mill Rate</v>
      </c>
      <c r="I47" s="765"/>
      <c r="J47" s="766"/>
    </row>
    <row r="48" spans="2:11" x14ac:dyDescent="0.25">
      <c r="B48" s="530" t="str">
        <f>inputPrYr!B24</f>
        <v>Recreation Employee Benefits</v>
      </c>
      <c r="C48" s="405" t="str">
        <f>CONCATENATE("Actual for ",E1-2,"")</f>
        <v>Actual for 2013</v>
      </c>
      <c r="D48" s="405" t="str">
        <f>CONCATENATE("Estimate for ",E1-1,"")</f>
        <v>Estimate for 2014</v>
      </c>
      <c r="E48" s="390" t="str">
        <f>CONCATENATE("Year for ",E1,"")</f>
        <v>Year for 2015</v>
      </c>
      <c r="G48" s="768" t="str">
        <f>summ!E20</f>
        <v xml:space="preserve">  </v>
      </c>
      <c r="H48" s="764" t="str">
        <f>CONCATENATE("",E1-1," Fund Mill Rate")</f>
        <v>2014 Fund Mill Rate</v>
      </c>
      <c r="I48" s="765"/>
      <c r="J48" s="766"/>
    </row>
    <row r="49" spans="2:10" x14ac:dyDescent="0.25">
      <c r="B49" s="234" t="s">
        <v>212</v>
      </c>
      <c r="C49" s="239">
        <v>0</v>
      </c>
      <c r="D49" s="237">
        <f>C78</f>
        <v>0.1899999999998272</v>
      </c>
      <c r="E49" s="208">
        <f>D78</f>
        <v>0.1899999999998272</v>
      </c>
      <c r="G49" s="769">
        <f>summ!H52</f>
        <v>64.292999999999992</v>
      </c>
      <c r="H49" s="764" t="str">
        <f>CONCATENATE("Total ",E1," Mill Rate")</f>
        <v>Total 2015 Mill Rate</v>
      </c>
      <c r="I49" s="765"/>
      <c r="J49" s="766"/>
    </row>
    <row r="50" spans="2:10" x14ac:dyDescent="0.25">
      <c r="B50" s="238" t="s">
        <v>214</v>
      </c>
      <c r="C50" s="142"/>
      <c r="D50" s="142"/>
      <c r="E50" s="68"/>
      <c r="G50" s="768">
        <f>summ!E52</f>
        <v>59.930999999999997</v>
      </c>
      <c r="H50" s="770" t="str">
        <f>CONCATENATE("Total ",E1-1," Mill Rate")</f>
        <v>Total 2014 Mill Rate</v>
      </c>
      <c r="I50" s="771"/>
      <c r="J50" s="772"/>
    </row>
    <row r="51" spans="2:10" x14ac:dyDescent="0.25">
      <c r="B51" s="133" t="s">
        <v>105</v>
      </c>
      <c r="C51" s="239">
        <v>-1.41</v>
      </c>
      <c r="D51" s="237">
        <f>IF(inputPrYr!H16&gt;0,inputPrYr!G24,inputPrYr!E24)</f>
        <v>0</v>
      </c>
      <c r="E51" s="267" t="s">
        <v>93</v>
      </c>
    </row>
    <row r="52" spans="2:10" x14ac:dyDescent="0.25">
      <c r="B52" s="133" t="s">
        <v>106</v>
      </c>
      <c r="C52" s="239">
        <v>264.69</v>
      </c>
      <c r="D52" s="239">
        <v>250</v>
      </c>
      <c r="E52" s="48">
        <v>250</v>
      </c>
      <c r="G52" s="926" t="s">
        <v>986</v>
      </c>
      <c r="H52" s="877"/>
      <c r="I52" s="876" t="str">
        <f>cert!F60</f>
        <v>Yes</v>
      </c>
    </row>
    <row r="53" spans="2:10" x14ac:dyDescent="0.25">
      <c r="B53" s="133" t="s">
        <v>107</v>
      </c>
      <c r="C53" s="239">
        <v>1167.9499999999998</v>
      </c>
      <c r="D53" s="239"/>
      <c r="E53" s="208" t="str">
        <f>mvalloc!D13</f>
        <v xml:space="preserve">  </v>
      </c>
    </row>
    <row r="54" spans="2:10" x14ac:dyDescent="0.25">
      <c r="B54" s="133" t="s">
        <v>108</v>
      </c>
      <c r="C54" s="239">
        <v>14.889999999999999</v>
      </c>
      <c r="D54" s="239"/>
      <c r="E54" s="208" t="str">
        <f>mvalloc!E13</f>
        <v xml:space="preserve"> </v>
      </c>
    </row>
    <row r="55" spans="2:10" x14ac:dyDescent="0.25">
      <c r="B55" s="142" t="s">
        <v>202</v>
      </c>
      <c r="C55" s="239">
        <v>11.07</v>
      </c>
      <c r="D55" s="239"/>
      <c r="E55" s="208" t="str">
        <f>mvalloc!F13</f>
        <v xml:space="preserve"> </v>
      </c>
    </row>
    <row r="56" spans="2:10" x14ac:dyDescent="0.25">
      <c r="B56" s="255"/>
      <c r="C56" s="239"/>
      <c r="D56" s="239"/>
      <c r="E56" s="48"/>
    </row>
    <row r="57" spans="2:10" hidden="1" x14ac:dyDescent="0.25">
      <c r="B57" s="255"/>
      <c r="C57" s="239"/>
      <c r="D57" s="239"/>
      <c r="E57" s="48"/>
    </row>
    <row r="58" spans="2:10" hidden="1" x14ac:dyDescent="0.25">
      <c r="B58" s="255"/>
      <c r="C58" s="239"/>
      <c r="D58" s="239"/>
      <c r="E58" s="48"/>
    </row>
    <row r="59" spans="2:10" hidden="1" x14ac:dyDescent="0.25">
      <c r="B59" s="255"/>
      <c r="C59" s="239"/>
      <c r="D59" s="239"/>
      <c r="E59" s="48"/>
    </row>
    <row r="60" spans="2:10" hidden="1" x14ac:dyDescent="0.25">
      <c r="B60" s="255"/>
      <c r="C60" s="239"/>
      <c r="D60" s="239"/>
      <c r="E60" s="48"/>
    </row>
    <row r="61" spans="2:10" x14ac:dyDescent="0.25">
      <c r="B61" s="243" t="s">
        <v>110</v>
      </c>
      <c r="C61" s="239"/>
      <c r="D61" s="239"/>
      <c r="E61" s="48"/>
    </row>
    <row r="62" spans="2:10" x14ac:dyDescent="0.25">
      <c r="B62" s="142" t="s">
        <v>13</v>
      </c>
      <c r="C62" s="239"/>
      <c r="D62" s="239"/>
      <c r="E62" s="48"/>
    </row>
    <row r="63" spans="2:10" x14ac:dyDescent="0.25">
      <c r="B63" s="234" t="s">
        <v>781</v>
      </c>
      <c r="C63" s="244" t="str">
        <f>IF(C64*0.1&lt;C62,"Exceed 10% Rule","")</f>
        <v/>
      </c>
      <c r="D63" s="244" t="str">
        <f>IF(D64*0.1&lt;D62,"Exceed 10% Rule","")</f>
        <v/>
      </c>
      <c r="E63" s="281" t="str">
        <f>IF(E64*0.1+E84&lt;E62,"Exceed 10% Rule","")</f>
        <v/>
      </c>
    </row>
    <row r="64" spans="2:10" x14ac:dyDescent="0.25">
      <c r="B64" s="246" t="s">
        <v>111</v>
      </c>
      <c r="C64" s="248">
        <f>SUM(C51:C62)</f>
        <v>1457.1899999999998</v>
      </c>
      <c r="D64" s="248">
        <f>SUM(D51:D62)</f>
        <v>250</v>
      </c>
      <c r="E64" s="249">
        <f>SUM(E52:E62)</f>
        <v>250</v>
      </c>
    </row>
    <row r="65" spans="2:11" x14ac:dyDescent="0.25">
      <c r="B65" s="246" t="s">
        <v>112</v>
      </c>
      <c r="C65" s="248">
        <f>C49+C64</f>
        <v>1457.1899999999998</v>
      </c>
      <c r="D65" s="248">
        <f>D49+D64</f>
        <v>250.18999999999983</v>
      </c>
      <c r="E65" s="249">
        <f>E49+E64</f>
        <v>250.18999999999983</v>
      </c>
    </row>
    <row r="66" spans="2:11" x14ac:dyDescent="0.25">
      <c r="B66" s="133" t="s">
        <v>114</v>
      </c>
      <c r="C66" s="256"/>
      <c r="D66" s="256"/>
      <c r="E66" s="46"/>
    </row>
    <row r="67" spans="2:11" x14ac:dyDescent="0.25">
      <c r="B67" s="255" t="s">
        <v>1134</v>
      </c>
      <c r="C67" s="239"/>
      <c r="D67" s="239"/>
      <c r="E67" s="48"/>
    </row>
    <row r="68" spans="2:11" x14ac:dyDescent="0.25">
      <c r="B68" s="255" t="s">
        <v>1143</v>
      </c>
      <c r="C68" s="239">
        <v>1457</v>
      </c>
      <c r="D68" s="239">
        <v>250</v>
      </c>
      <c r="E68" s="48">
        <v>250</v>
      </c>
      <c r="G68" s="1042" t="str">
        <f>CONCATENATE("Desired Carryover Into ",E1+1,"")</f>
        <v>Desired Carryover Into 2016</v>
      </c>
      <c r="H68" s="1028"/>
      <c r="I68" s="1028"/>
      <c r="J68" s="1029"/>
    </row>
    <row r="69" spans="2:11" hidden="1" x14ac:dyDescent="0.25">
      <c r="B69" s="255"/>
      <c r="C69" s="239"/>
      <c r="D69" s="239"/>
      <c r="E69" s="48"/>
      <c r="G69" s="773"/>
      <c r="H69" s="774"/>
      <c r="I69" s="775"/>
      <c r="J69" s="776"/>
    </row>
    <row r="70" spans="2:11" hidden="1" x14ac:dyDescent="0.25">
      <c r="B70" s="255"/>
      <c r="C70" s="239"/>
      <c r="D70" s="239"/>
      <c r="E70" s="48"/>
      <c r="G70" s="777" t="s">
        <v>769</v>
      </c>
      <c r="H70" s="775"/>
      <c r="I70" s="775"/>
      <c r="J70" s="778">
        <v>0</v>
      </c>
    </row>
    <row r="71" spans="2:11" hidden="1" x14ac:dyDescent="0.25">
      <c r="B71" s="255"/>
      <c r="C71" s="239"/>
      <c r="D71" s="239"/>
      <c r="E71" s="48"/>
      <c r="G71" s="773" t="s">
        <v>770</v>
      </c>
      <c r="H71" s="774"/>
      <c r="I71" s="774"/>
      <c r="J71" s="779" t="str">
        <f>IF(J70=0,"",ROUND((J70+E84-G83)/inputOth!E9*1000,3)-G88)</f>
        <v/>
      </c>
    </row>
    <row r="72" spans="2:11" hidden="1" x14ac:dyDescent="0.25">
      <c r="B72" s="255"/>
      <c r="C72" s="239"/>
      <c r="D72" s="239"/>
      <c r="E72" s="48"/>
      <c r="G72" s="780" t="str">
        <f>CONCATENATE("",E1," Tot Exp/Non-Appr Must Be:")</f>
        <v>2015 Tot Exp/Non-Appr Must Be:</v>
      </c>
      <c r="H72" s="781"/>
      <c r="I72" s="782"/>
      <c r="J72" s="783">
        <f>IF(J70&gt;0,IF(E81&lt;E65,IF(J70=G83,E81,((J70-G83)*(1-D83))+E65),E81+(J70-G83)),0)</f>
        <v>0</v>
      </c>
    </row>
    <row r="73" spans="2:11" x14ac:dyDescent="0.25">
      <c r="B73" s="255"/>
      <c r="C73" s="239"/>
      <c r="D73" s="239"/>
      <c r="E73" s="48"/>
      <c r="G73" s="784" t="s">
        <v>806</v>
      </c>
      <c r="H73" s="785"/>
      <c r="I73" s="785"/>
      <c r="J73" s="752">
        <f>IF(J70&gt;0,J72-E81,0)</f>
        <v>0</v>
      </c>
    </row>
    <row r="74" spans="2:11" x14ac:dyDescent="0.3">
      <c r="B74" s="256" t="s">
        <v>12</v>
      </c>
      <c r="C74" s="239"/>
      <c r="D74" s="239"/>
      <c r="E74" s="63" t="str">
        <f>nhood!E12</f>
        <v/>
      </c>
      <c r="J74" s="2"/>
    </row>
    <row r="75" spans="2:11" x14ac:dyDescent="0.25">
      <c r="B75" s="256" t="s">
        <v>13</v>
      </c>
      <c r="C75" s="239"/>
      <c r="D75" s="239"/>
      <c r="E75" s="48"/>
      <c r="G75" s="1042" t="str">
        <f>CONCATENATE("Projected Carryover Into ",E1+1,"")</f>
        <v>Projected Carryover Into 2016</v>
      </c>
      <c r="H75" s="1046"/>
      <c r="I75" s="1046"/>
      <c r="J75" s="1047"/>
    </row>
    <row r="76" spans="2:11" x14ac:dyDescent="0.25">
      <c r="B76" s="256" t="s">
        <v>782</v>
      </c>
      <c r="C76" s="244" t="str">
        <f>IF(C77*0.1&lt;C75,"Exceed 10% Rule","")</f>
        <v/>
      </c>
      <c r="D76" s="244" t="str">
        <f>IF(D77*0.1&lt;D75,"Exceed 10% Rule","")</f>
        <v/>
      </c>
      <c r="E76" s="281" t="str">
        <f>IF(E77*0.1&lt;E75,"Exceed 10% Rule","")</f>
        <v/>
      </c>
      <c r="G76" s="798"/>
      <c r="H76" s="774"/>
      <c r="I76" s="774"/>
      <c r="J76" s="805"/>
    </row>
    <row r="77" spans="2:11" x14ac:dyDescent="0.25">
      <c r="B77" s="246" t="s">
        <v>118</v>
      </c>
      <c r="C77" s="248">
        <f>SUM(C67:C75)</f>
        <v>1457</v>
      </c>
      <c r="D77" s="248">
        <f>SUM(D67:D75)</f>
        <v>250</v>
      </c>
      <c r="E77" s="249">
        <f>SUM(E67:E75)</f>
        <v>250</v>
      </c>
      <c r="G77" s="800">
        <f>D78</f>
        <v>0.1899999999998272</v>
      </c>
      <c r="H77" s="764" t="str">
        <f>CONCATENATE("",E1-1," Ending Cash Balance (est.)")</f>
        <v>2014 Ending Cash Balance (est.)</v>
      </c>
      <c r="I77" s="801"/>
      <c r="J77" s="805"/>
    </row>
    <row r="78" spans="2:11" x14ac:dyDescent="0.25">
      <c r="B78" s="133" t="s">
        <v>213</v>
      </c>
      <c r="C78" s="252">
        <f>C65-C77</f>
        <v>0.1899999999998272</v>
      </c>
      <c r="D78" s="252">
        <f>D65-D77</f>
        <v>0.1899999999998272</v>
      </c>
      <c r="E78" s="267" t="s">
        <v>93</v>
      </c>
      <c r="G78" s="800">
        <f>E64</f>
        <v>250</v>
      </c>
      <c r="H78" s="775" t="str">
        <f>CONCATENATE("",E1," Non-AV Receipts (est.)")</f>
        <v>2015 Non-AV Receipts (est.)</v>
      </c>
      <c r="I78" s="801"/>
      <c r="J78" s="805"/>
    </row>
    <row r="79" spans="2:11" x14ac:dyDescent="0.25">
      <c r="B79" s="153" t="str">
        <f>CONCATENATE("",E1-2,"/",E1-1,"/",E1," Budget Authority Amount:")</f>
        <v>2013/2014/2015 Budget Authority Amount:</v>
      </c>
      <c r="C79" s="824">
        <f>inputOth!B69</f>
        <v>2419</v>
      </c>
      <c r="D79" s="824">
        <f>inputPrYr!D24</f>
        <v>80</v>
      </c>
      <c r="E79" s="208">
        <f>E77</f>
        <v>250</v>
      </c>
      <c r="F79" s="258"/>
      <c r="G79" s="802">
        <f>IF(D83&gt;0,E82,E84)</f>
        <v>0</v>
      </c>
      <c r="H79" s="775" t="str">
        <f>CONCATENATE("",E1," Ad Valorem Tax (est.)")</f>
        <v>2015 Ad Valorem Tax (est.)</v>
      </c>
      <c r="I79" s="801"/>
      <c r="J79" s="805"/>
      <c r="K79" s="757" t="str">
        <f>IF(G79=E84,"","Note: Does not include Delinquent Taxes")</f>
        <v/>
      </c>
    </row>
    <row r="80" spans="2:11" x14ac:dyDescent="0.25">
      <c r="B80" s="119"/>
      <c r="C80" s="1021" t="s">
        <v>628</v>
      </c>
      <c r="D80" s="1022"/>
      <c r="E80" s="48">
        <v>0</v>
      </c>
      <c r="F80" s="860" t="str">
        <f>IF(E77/0.95-E77&lt;E80,"Exceeds 5%","")</f>
        <v/>
      </c>
      <c r="G80" s="804">
        <f>SUM(G77:G79)</f>
        <v>250.18999999999983</v>
      </c>
      <c r="H80" s="775" t="str">
        <f>CONCATENATE("Total ",E1," Resources Available")</f>
        <v>Total 2015 Resources Available</v>
      </c>
      <c r="I80" s="805"/>
      <c r="J80" s="805"/>
    </row>
    <row r="81" spans="2:10" x14ac:dyDescent="0.25">
      <c r="B81" s="526" t="str">
        <f>CONCATENATE(C100,"     ",D100)</f>
        <v xml:space="preserve">     </v>
      </c>
      <c r="C81" s="1023" t="s">
        <v>629</v>
      </c>
      <c r="D81" s="1024"/>
      <c r="E81" s="208">
        <f>E77+E80</f>
        <v>250</v>
      </c>
      <c r="G81" s="806"/>
      <c r="H81" s="807"/>
      <c r="I81" s="774"/>
      <c r="J81" s="805"/>
    </row>
    <row r="82" spans="2:10" x14ac:dyDescent="0.25">
      <c r="B82" s="526" t="str">
        <f>CONCATENATE(C101,"     ",D101)</f>
        <v xml:space="preserve">     </v>
      </c>
      <c r="C82" s="259"/>
      <c r="D82" s="151" t="s">
        <v>119</v>
      </c>
      <c r="E82" s="63">
        <f>IF(E81-E65&gt;0,E81-E65,0)</f>
        <v>0</v>
      </c>
      <c r="G82" s="808">
        <f>ROUND(C77*0.05+C77,0)</f>
        <v>1530</v>
      </c>
      <c r="H82" s="807" t="str">
        <f>CONCATENATE("Less ",E1-2," Expenditures + 5%")</f>
        <v>Less 2013 Expenditures + 5%</v>
      </c>
      <c r="I82" s="805"/>
      <c r="J82" s="805"/>
    </row>
    <row r="83" spans="2:10" x14ac:dyDescent="0.3">
      <c r="B83" s="151"/>
      <c r="C83" s="369" t="s">
        <v>627</v>
      </c>
      <c r="D83" s="732">
        <f>inputOth!$E$50</f>
        <v>0.08</v>
      </c>
      <c r="E83" s="208">
        <f>ROUND(IF(D83&gt;0,(E82*D83),0),0)</f>
        <v>0</v>
      </c>
      <c r="G83" s="809">
        <f>G80-G82</f>
        <v>-1279.8100000000002</v>
      </c>
      <c r="H83" s="810" t="str">
        <f>CONCATENATE("Projected ",E1+1," carryover (est.)")</f>
        <v>Projected 2016 carryover (est.)</v>
      </c>
      <c r="I83" s="811"/>
      <c r="J83" s="812"/>
    </row>
    <row r="84" spans="2:10" ht="16.2" thickBot="1" x14ac:dyDescent="0.35">
      <c r="B84" s="32"/>
      <c r="C84" s="1025" t="str">
        <f>CONCATENATE("Amount of  ",$E$1-1," Ad Valorem Tax")</f>
        <v>Amount of  2014 Ad Valorem Tax</v>
      </c>
      <c r="D84" s="1026"/>
      <c r="E84" s="735">
        <f>E82+E83</f>
        <v>0</v>
      </c>
      <c r="G84" s="2"/>
      <c r="H84" s="2"/>
      <c r="I84" s="2"/>
    </row>
    <row r="85" spans="2:10" ht="16.2" thickTop="1" x14ac:dyDescent="0.25">
      <c r="B85" s="32"/>
      <c r="C85" s="32"/>
      <c r="D85" s="32"/>
      <c r="E85" s="32"/>
      <c r="G85" s="1018" t="s">
        <v>807</v>
      </c>
      <c r="H85" s="1019"/>
      <c r="I85" s="1019"/>
      <c r="J85" s="1020"/>
    </row>
    <row r="86" spans="2:10" x14ac:dyDescent="0.25">
      <c r="B86" s="151" t="s">
        <v>121</v>
      </c>
      <c r="C86" s="263">
        <v>15</v>
      </c>
      <c r="D86" s="32"/>
      <c r="E86" s="32"/>
      <c r="G86" s="763"/>
      <c r="H86" s="764"/>
      <c r="I86" s="765"/>
      <c r="J86" s="766"/>
    </row>
    <row r="87" spans="2:10" x14ac:dyDescent="0.25">
      <c r="G87" s="767" t="str">
        <f>summ!H21</f>
        <v xml:space="preserve">  </v>
      </c>
      <c r="H87" s="764" t="str">
        <f>CONCATENATE("",E1," Fund Mill Rate")</f>
        <v>2015 Fund Mill Rate</v>
      </c>
      <c r="I87" s="765"/>
      <c r="J87" s="766"/>
    </row>
    <row r="88" spans="2:10" x14ac:dyDescent="0.25">
      <c r="G88" s="768" t="str">
        <f>summ!E21</f>
        <v xml:space="preserve">  </v>
      </c>
      <c r="H88" s="764" t="str">
        <f>CONCATENATE("",E1-1," Fund Mill Rate")</f>
        <v>2014 Fund Mill Rate</v>
      </c>
      <c r="I88" s="765"/>
      <c r="J88" s="766"/>
    </row>
    <row r="89" spans="2:10" x14ac:dyDescent="0.25">
      <c r="G89" s="769">
        <f>summ!H52</f>
        <v>64.292999999999992</v>
      </c>
      <c r="H89" s="764" t="str">
        <f>CONCATENATE("Total ",E1," Mill Rate")</f>
        <v>Total 2015 Mill Rate</v>
      </c>
      <c r="I89" s="765"/>
      <c r="J89" s="766"/>
    </row>
    <row r="90" spans="2:10" x14ac:dyDescent="0.25">
      <c r="G90" s="768">
        <f>summ!E52</f>
        <v>59.930999999999997</v>
      </c>
      <c r="H90" s="770" t="str">
        <f>CONCATENATE("Total ",E1-1," Mill Rate")</f>
        <v>Total 2014 Mill Rate</v>
      </c>
      <c r="I90" s="771"/>
      <c r="J90" s="772"/>
    </row>
    <row r="92" spans="2:10" x14ac:dyDescent="0.25">
      <c r="G92" s="927" t="s">
        <v>986</v>
      </c>
      <c r="H92" s="879"/>
      <c r="I92" s="878" t="str">
        <f>cert!F60</f>
        <v>Yes</v>
      </c>
    </row>
    <row r="98" spans="3:4" hidden="1" x14ac:dyDescent="0.25">
      <c r="C98" s="525" t="str">
        <f>IF(C33&gt;C35,"See Tab A","")</f>
        <v/>
      </c>
      <c r="D98" s="525" t="str">
        <f>IF(D31&gt;D35,"See Tab C","")</f>
        <v/>
      </c>
    </row>
    <row r="99" spans="3:4" hidden="1" x14ac:dyDescent="0.25">
      <c r="C99" s="525" t="str">
        <f>IF(C34&lt;0,"See Tab B","")</f>
        <v/>
      </c>
      <c r="D99" s="525" t="str">
        <f>IF(D34&lt;0,"See Tab D","")</f>
        <v/>
      </c>
    </row>
    <row r="100" spans="3:4" hidden="1" x14ac:dyDescent="0.25">
      <c r="C100" s="525" t="str">
        <f>IF(C75&gt;C79,"See Tab A","")</f>
        <v/>
      </c>
      <c r="D100" s="525" t="str">
        <f>IF(D75&gt;D79,"See Tab C","")</f>
        <v/>
      </c>
    </row>
    <row r="101" spans="3:4" hidden="1" x14ac:dyDescent="0.25">
      <c r="C101" s="525" t="str">
        <f>IF(C78&lt;0,"See Tab B","")</f>
        <v/>
      </c>
      <c r="D101" s="525" t="str">
        <f>IF(D78&lt;0,"See Tab D","")</f>
        <v/>
      </c>
    </row>
  </sheetData>
  <sheetProtection sheet="1" objects="1" scenarios="1"/>
  <mergeCells count="13">
    <mergeCell ref="C84:D84"/>
    <mergeCell ref="C80:D80"/>
    <mergeCell ref="C81:D81"/>
    <mergeCell ref="C36:D36"/>
    <mergeCell ref="C37:D37"/>
    <mergeCell ref="C41:D41"/>
    <mergeCell ref="C40:D40"/>
    <mergeCell ref="G85:J85"/>
    <mergeCell ref="G24:J24"/>
    <mergeCell ref="G31:J31"/>
    <mergeCell ref="G41:J41"/>
    <mergeCell ref="G68:J68"/>
    <mergeCell ref="G75:J75"/>
  </mergeCells>
  <phoneticPr fontId="0" type="noConversion"/>
  <conditionalFormatting sqref="E75">
    <cfRule type="cellIs" dxfId="267" priority="3" stopIfTrue="1" operator="greaterThan">
      <formula>$E$77*0.1</formula>
    </cfRule>
  </conditionalFormatting>
  <conditionalFormatting sqref="E80">
    <cfRule type="cellIs" dxfId="266" priority="4" stopIfTrue="1" operator="greaterThan">
      <formula>$E$77/0.95-$E$77</formula>
    </cfRule>
  </conditionalFormatting>
  <conditionalFormatting sqref="E31">
    <cfRule type="cellIs" dxfId="265" priority="5" stopIfTrue="1" operator="greaterThan">
      <formula>$E$33*0.1</formula>
    </cfRule>
  </conditionalFormatting>
  <conditionalFormatting sqref="E36">
    <cfRule type="cellIs" dxfId="264" priority="6" stopIfTrue="1" operator="greaterThan">
      <formula>$E$33/0.95-$E$33</formula>
    </cfRule>
  </conditionalFormatting>
  <conditionalFormatting sqref="C31">
    <cfRule type="cellIs" dxfId="263" priority="7" stopIfTrue="1" operator="greaterThan">
      <formula>$C$33*0.1</formula>
    </cfRule>
  </conditionalFormatting>
  <conditionalFormatting sqref="D31">
    <cfRule type="cellIs" dxfId="262" priority="8" stopIfTrue="1" operator="greaterThan">
      <formula>$D$33*0.1</formula>
    </cfRule>
  </conditionalFormatting>
  <conditionalFormatting sqref="D33">
    <cfRule type="cellIs" dxfId="261" priority="9" stopIfTrue="1" operator="greaterThan">
      <formula>$C$35</formula>
    </cfRule>
  </conditionalFormatting>
  <conditionalFormatting sqref="C33">
    <cfRule type="cellIs" dxfId="260" priority="10" stopIfTrue="1" operator="greaterThan">
      <formula>$C$35</formula>
    </cfRule>
  </conditionalFormatting>
  <conditionalFormatting sqref="C34 C78">
    <cfRule type="cellIs" dxfId="259" priority="11" stopIfTrue="1" operator="lessThan">
      <formula>0</formula>
    </cfRule>
  </conditionalFormatting>
  <conditionalFormatting sqref="C75">
    <cfRule type="cellIs" dxfId="258" priority="12" stopIfTrue="1" operator="greaterThan">
      <formula>$C$77*0.1</formula>
    </cfRule>
  </conditionalFormatting>
  <conditionalFormatting sqref="D75">
    <cfRule type="cellIs" dxfId="257" priority="13" stopIfTrue="1" operator="greaterThan">
      <formula>$D$77*0.1</formula>
    </cfRule>
  </conditionalFormatting>
  <conditionalFormatting sqref="D77">
    <cfRule type="cellIs" dxfId="256" priority="14" stopIfTrue="1" operator="greaterThan">
      <formula>$C$79</formula>
    </cfRule>
  </conditionalFormatting>
  <conditionalFormatting sqref="C77">
    <cfRule type="cellIs" dxfId="255" priority="15" stopIfTrue="1" operator="greaterThan">
      <formula>$C$79</formula>
    </cfRule>
  </conditionalFormatting>
  <conditionalFormatting sqref="D18">
    <cfRule type="cellIs" dxfId="254" priority="16" stopIfTrue="1" operator="greaterThan">
      <formula>$D$20*0.1</formula>
    </cfRule>
  </conditionalFormatting>
  <conditionalFormatting sqref="C18">
    <cfRule type="cellIs" dxfId="253" priority="17" stopIfTrue="1" operator="greaterThan">
      <formula>$C$20*0.1</formula>
    </cfRule>
  </conditionalFormatting>
  <conditionalFormatting sqref="D62">
    <cfRule type="cellIs" dxfId="252" priority="18" stopIfTrue="1" operator="greaterThan">
      <formula>$D$64*0.1</formula>
    </cfRule>
  </conditionalFormatting>
  <conditionalFormatting sqref="C62">
    <cfRule type="cellIs" dxfId="251" priority="19" stopIfTrue="1" operator="greaterThan">
      <formula>$C$64*0.1</formula>
    </cfRule>
  </conditionalFormatting>
  <conditionalFormatting sqref="E62">
    <cfRule type="cellIs" dxfId="250" priority="20" stopIfTrue="1" operator="greaterThan">
      <formula>$E$64*0.1+E84</formula>
    </cfRule>
  </conditionalFormatting>
  <conditionalFormatting sqref="E18">
    <cfRule type="cellIs" dxfId="249" priority="21" stopIfTrue="1" operator="greaterThan">
      <formula>$E$20*0.1+E40</formula>
    </cfRule>
  </conditionalFormatting>
  <conditionalFormatting sqref="D78 D34">
    <cfRule type="cellIs" dxfId="248" priority="2" stopIfTrue="1" operator="lessThan">
      <formula>0</formula>
    </cfRule>
  </conditionalFormatting>
  <pageMargins left="0.5" right="0.5" top="1" bottom="0.5" header="0.5" footer="0.5"/>
  <pageSetup fitToHeight="2" orientation="portrait" blackAndWhite="1" horizontalDpi="120" verticalDpi="144" r:id="rId1"/>
  <headerFooter alignWithMargins="0">
    <oddHeader>&amp;RState of Kansas
City</oddHeader>
  </headerFooter>
  <rowBreaks count="1" manualBreakCount="1">
    <brk id="43" min="1" max="4"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97"/>
  <sheetViews>
    <sheetView zoomScaleNormal="100" workbookViewId="0">
      <selection activeCell="Q2" sqref="Q2"/>
    </sheetView>
  </sheetViews>
  <sheetFormatPr defaultColWidth="8.9140625" defaultRowHeight="15.6" x14ac:dyDescent="0.25"/>
  <cols>
    <col min="1" max="1" width="2.4140625" style="30" customWidth="1"/>
    <col min="2" max="2" width="31.08203125" style="30" customWidth="1"/>
    <col min="3" max="4" width="15.75" style="30" customWidth="1"/>
    <col min="5" max="5" width="16.25" style="30" customWidth="1"/>
    <col min="6" max="6" width="8.08203125" style="30" customWidth="1"/>
    <col min="7" max="7" width="10.25" style="30" customWidth="1"/>
    <col min="8" max="8" width="8.9140625" style="30"/>
    <col min="9" max="9" width="5" style="30" customWidth="1"/>
    <col min="10" max="10" width="10" style="30" customWidth="1"/>
    <col min="11" max="16384" width="8.9140625" style="30"/>
  </cols>
  <sheetData>
    <row r="1" spans="2:5" x14ac:dyDescent="0.25">
      <c r="B1" s="176" t="str">
        <f>(inputPrYr!D2)</f>
        <v>City of Osawatomie</v>
      </c>
      <c r="C1" s="32"/>
      <c r="D1" s="32"/>
      <c r="E1" s="228">
        <f>inputPrYr!C5</f>
        <v>2015</v>
      </c>
    </row>
    <row r="2" spans="2:5" x14ac:dyDescent="0.25">
      <c r="B2" s="32"/>
      <c r="C2" s="32"/>
      <c r="D2" s="32"/>
      <c r="E2" s="151"/>
    </row>
    <row r="3" spans="2:5" x14ac:dyDescent="0.25">
      <c r="B3" s="229" t="s">
        <v>170</v>
      </c>
      <c r="C3" s="182"/>
      <c r="D3" s="182"/>
      <c r="E3" s="269"/>
    </row>
    <row r="4" spans="2:5" x14ac:dyDescent="0.25">
      <c r="B4" s="33" t="s">
        <v>104</v>
      </c>
      <c r="C4" s="404" t="s">
        <v>803</v>
      </c>
      <c r="D4" s="403" t="s">
        <v>804</v>
      </c>
      <c r="E4" s="382" t="s">
        <v>805</v>
      </c>
    </row>
    <row r="5" spans="2:5" x14ac:dyDescent="0.25">
      <c r="B5" s="530">
        <f>inputPrYr!B25</f>
        <v>0</v>
      </c>
      <c r="C5" s="405" t="str">
        <f>CONCATENATE("Actual for ",E1-2,"")</f>
        <v>Actual for 2013</v>
      </c>
      <c r="D5" s="405" t="str">
        <f>CONCATENATE("Estimate for ",E1-1,"")</f>
        <v>Estimate for 2014</v>
      </c>
      <c r="E5" s="390" t="str">
        <f>CONCATENATE("Year for ",E1,"")</f>
        <v>Year for 2015</v>
      </c>
    </row>
    <row r="6" spans="2:5" x14ac:dyDescent="0.25">
      <c r="B6" s="234" t="s">
        <v>212</v>
      </c>
      <c r="C6" s="239"/>
      <c r="D6" s="237">
        <f>C34</f>
        <v>0</v>
      </c>
      <c r="E6" s="208">
        <f>D34</f>
        <v>0</v>
      </c>
    </row>
    <row r="7" spans="2:5" x14ac:dyDescent="0.25">
      <c r="B7" s="238" t="s">
        <v>214</v>
      </c>
      <c r="C7" s="142"/>
      <c r="D7" s="142"/>
      <c r="E7" s="68"/>
    </row>
    <row r="8" spans="2:5" x14ac:dyDescent="0.25">
      <c r="B8" s="133" t="s">
        <v>105</v>
      </c>
      <c r="C8" s="239"/>
      <c r="D8" s="237">
        <f>IF(inputPrYr!H16&gt;0,inputPrYr!G25,inputPrYr!E25)</f>
        <v>0</v>
      </c>
      <c r="E8" s="267" t="s">
        <v>93</v>
      </c>
    </row>
    <row r="9" spans="2:5" x14ac:dyDescent="0.25">
      <c r="B9" s="133" t="s">
        <v>106</v>
      </c>
      <c r="C9" s="239"/>
      <c r="D9" s="239"/>
      <c r="E9" s="48"/>
    </row>
    <row r="10" spans="2:5" x14ac:dyDescent="0.25">
      <c r="B10" s="133" t="s">
        <v>107</v>
      </c>
      <c r="C10" s="239"/>
      <c r="D10" s="239"/>
      <c r="E10" s="208" t="str">
        <f>mvalloc!D14</f>
        <v xml:space="preserve">  </v>
      </c>
    </row>
    <row r="11" spans="2:5" x14ac:dyDescent="0.25">
      <c r="B11" s="133" t="s">
        <v>108</v>
      </c>
      <c r="C11" s="239"/>
      <c r="D11" s="239"/>
      <c r="E11" s="208" t="str">
        <f>mvalloc!E14</f>
        <v xml:space="preserve"> </v>
      </c>
    </row>
    <row r="12" spans="2:5" x14ac:dyDescent="0.25">
      <c r="B12" s="142" t="s">
        <v>202</v>
      </c>
      <c r="C12" s="239"/>
      <c r="D12" s="239"/>
      <c r="E12" s="208" t="str">
        <f>mvalloc!F14</f>
        <v xml:space="preserve"> </v>
      </c>
    </row>
    <row r="13" spans="2:5" x14ac:dyDescent="0.25">
      <c r="B13" s="255"/>
      <c r="C13" s="239"/>
      <c r="D13" s="239"/>
      <c r="E13" s="48"/>
    </row>
    <row r="14" spans="2:5" x14ac:dyDescent="0.25">
      <c r="B14" s="255"/>
      <c r="C14" s="239"/>
      <c r="D14" s="239"/>
      <c r="E14" s="48"/>
    </row>
    <row r="15" spans="2:5" x14ac:dyDescent="0.25">
      <c r="B15" s="255"/>
      <c r="C15" s="239"/>
      <c r="D15" s="239"/>
      <c r="E15" s="48"/>
    </row>
    <row r="16" spans="2:5" x14ac:dyDescent="0.25">
      <c r="B16" s="255"/>
      <c r="C16" s="239"/>
      <c r="D16" s="239"/>
      <c r="E16" s="48"/>
    </row>
    <row r="17" spans="2:10" x14ac:dyDescent="0.25">
      <c r="B17" s="243" t="s">
        <v>110</v>
      </c>
      <c r="C17" s="239"/>
      <c r="D17" s="239"/>
      <c r="E17" s="48"/>
    </row>
    <row r="18" spans="2:10" x14ac:dyDescent="0.25">
      <c r="B18" s="142" t="s">
        <v>13</v>
      </c>
      <c r="C18" s="239"/>
      <c r="D18" s="239"/>
      <c r="E18" s="48"/>
    </row>
    <row r="19" spans="2:10" x14ac:dyDescent="0.25">
      <c r="B19" s="234" t="s">
        <v>781</v>
      </c>
      <c r="C19" s="244" t="str">
        <f>IF(C20*0.1&lt;C18,"Exceed 10% Rule","")</f>
        <v/>
      </c>
      <c r="D19" s="244" t="str">
        <f>IF(D20*0.1&lt;D18,"Exceed 10% Rule","")</f>
        <v/>
      </c>
      <c r="E19" s="281" t="str">
        <f>IF(E20*0.1+E40&lt;E18,"Exceed 10% Rule","")</f>
        <v/>
      </c>
    </row>
    <row r="20" spans="2:10" x14ac:dyDescent="0.25">
      <c r="B20" s="246" t="s">
        <v>111</v>
      </c>
      <c r="C20" s="248">
        <f>SUM(C8:C18)</f>
        <v>0</v>
      </c>
      <c r="D20" s="248">
        <f>SUM(D8:D18)</f>
        <v>0</v>
      </c>
      <c r="E20" s="249">
        <f>SUM(E8:E18)</f>
        <v>0</v>
      </c>
    </row>
    <row r="21" spans="2:10" x14ac:dyDescent="0.25">
      <c r="B21" s="246" t="s">
        <v>112</v>
      </c>
      <c r="C21" s="248">
        <f>C6+C20</f>
        <v>0</v>
      </c>
      <c r="D21" s="248">
        <f>D6+D20</f>
        <v>0</v>
      </c>
      <c r="E21" s="249">
        <f>E6+E20</f>
        <v>0</v>
      </c>
    </row>
    <row r="22" spans="2:10" x14ac:dyDescent="0.25">
      <c r="B22" s="133" t="s">
        <v>114</v>
      </c>
      <c r="C22" s="256"/>
      <c r="D22" s="256"/>
      <c r="E22" s="46"/>
    </row>
    <row r="23" spans="2:10" x14ac:dyDescent="0.25">
      <c r="B23" s="255"/>
      <c r="C23" s="239"/>
      <c r="D23" s="239"/>
      <c r="E23" s="48"/>
    </row>
    <row r="24" spans="2:10" x14ac:dyDescent="0.25">
      <c r="B24" s="255"/>
      <c r="C24" s="239"/>
      <c r="D24" s="239"/>
      <c r="E24" s="48"/>
      <c r="G24" s="1042" t="str">
        <f>CONCATENATE("Desired Carryover Into ",E1+1,"")</f>
        <v>Desired Carryover Into 2016</v>
      </c>
      <c r="H24" s="1028"/>
      <c r="I24" s="1028"/>
      <c r="J24" s="1029"/>
    </row>
    <row r="25" spans="2:10" x14ac:dyDescent="0.25">
      <c r="B25" s="255"/>
      <c r="C25" s="239"/>
      <c r="D25" s="239"/>
      <c r="E25" s="48"/>
      <c r="G25" s="773"/>
      <c r="H25" s="774"/>
      <c r="I25" s="775"/>
      <c r="J25" s="776"/>
    </row>
    <row r="26" spans="2:10" x14ac:dyDescent="0.25">
      <c r="B26" s="255"/>
      <c r="C26" s="239"/>
      <c r="D26" s="239"/>
      <c r="E26" s="48"/>
      <c r="G26" s="777" t="s">
        <v>769</v>
      </c>
      <c r="H26" s="775"/>
      <c r="I26" s="775"/>
      <c r="J26" s="778">
        <v>0</v>
      </c>
    </row>
    <row r="27" spans="2:10" x14ac:dyDescent="0.25">
      <c r="B27" s="255"/>
      <c r="C27" s="239"/>
      <c r="D27" s="239"/>
      <c r="E27" s="48"/>
      <c r="G27" s="773" t="s">
        <v>770</v>
      </c>
      <c r="H27" s="774"/>
      <c r="I27" s="774"/>
      <c r="J27" s="779" t="str">
        <f>IF(J26=0,"",ROUND((J26+E40-G39)/inputOth!E9*1000,3)-G44)</f>
        <v/>
      </c>
    </row>
    <row r="28" spans="2:10" x14ac:dyDescent="0.25">
      <c r="B28" s="255"/>
      <c r="C28" s="239"/>
      <c r="D28" s="239"/>
      <c r="E28" s="48"/>
      <c r="G28" s="780" t="str">
        <f>CONCATENATE("",E1," Tot Exp/Non-Appr Must Be:")</f>
        <v>2015 Tot Exp/Non-Appr Must Be:</v>
      </c>
      <c r="H28" s="781"/>
      <c r="I28" s="782"/>
      <c r="J28" s="783">
        <f>IF(J26&gt;0,IF(E37&lt;E21,IF(J26=G39,E37,((J26-G39)*(1-D39))+E21),E37+(J26-G39)),0)</f>
        <v>0</v>
      </c>
    </row>
    <row r="29" spans="2:10" x14ac:dyDescent="0.25">
      <c r="B29" s="255"/>
      <c r="C29" s="239"/>
      <c r="D29" s="239"/>
      <c r="E29" s="48"/>
      <c r="G29" s="784" t="s">
        <v>806</v>
      </c>
      <c r="H29" s="785"/>
      <c r="I29" s="785"/>
      <c r="J29" s="752">
        <f>IF(J26&gt;0,J28-E37,0)</f>
        <v>0</v>
      </c>
    </row>
    <row r="30" spans="2:10" x14ac:dyDescent="0.3">
      <c r="B30" s="256" t="s">
        <v>12</v>
      </c>
      <c r="C30" s="239"/>
      <c r="D30" s="239"/>
      <c r="E30" s="63" t="str">
        <f>nhood!E13</f>
        <v/>
      </c>
      <c r="J30" s="2"/>
    </row>
    <row r="31" spans="2:10" x14ac:dyDescent="0.25">
      <c r="B31" s="256" t="s">
        <v>13</v>
      </c>
      <c r="C31" s="239"/>
      <c r="D31" s="239"/>
      <c r="E31" s="48"/>
      <c r="G31" s="1042" t="str">
        <f>CONCATENATE("Projected Carryover Into ",E1+1,"")</f>
        <v>Projected Carryover Into 2016</v>
      </c>
      <c r="H31" s="1048"/>
      <c r="I31" s="1048"/>
      <c r="J31" s="1047"/>
    </row>
    <row r="32" spans="2:10" x14ac:dyDescent="0.3">
      <c r="B32" s="256" t="s">
        <v>782</v>
      </c>
      <c r="C32" s="244" t="str">
        <f>IF(C33*0.1&lt;C31,"Exceed 10% Rule","")</f>
        <v/>
      </c>
      <c r="D32" s="244" t="str">
        <f>IF(D33*0.1&lt;D31,"Exceed 10% Rule","")</f>
        <v/>
      </c>
      <c r="E32" s="281" t="str">
        <f>IF(E33*0.1&lt;E31,"Exceed 10% Rule","")</f>
        <v/>
      </c>
      <c r="G32" s="773"/>
      <c r="H32" s="775"/>
      <c r="I32" s="775"/>
      <c r="J32" s="799"/>
    </row>
    <row r="33" spans="2:11" x14ac:dyDescent="0.3">
      <c r="B33" s="246" t="s">
        <v>118</v>
      </c>
      <c r="C33" s="248">
        <f>SUM(C23:C31)</f>
        <v>0</v>
      </c>
      <c r="D33" s="248">
        <f>SUM(D23:D31)</f>
        <v>0</v>
      </c>
      <c r="E33" s="249">
        <f>SUM(E23:E31)</f>
        <v>0</v>
      </c>
      <c r="G33" s="800">
        <f>D34</f>
        <v>0</v>
      </c>
      <c r="H33" s="764" t="str">
        <f>CONCATENATE("",E1-1," Ending Cash Balance (est.)")</f>
        <v>2014 Ending Cash Balance (est.)</v>
      </c>
      <c r="I33" s="801"/>
      <c r="J33" s="799"/>
    </row>
    <row r="34" spans="2:11" x14ac:dyDescent="0.3">
      <c r="B34" s="133" t="s">
        <v>213</v>
      </c>
      <c r="C34" s="252">
        <f>C21-C33</f>
        <v>0</v>
      </c>
      <c r="D34" s="252">
        <f>D21-D33</f>
        <v>0</v>
      </c>
      <c r="E34" s="267" t="s">
        <v>93</v>
      </c>
      <c r="G34" s="800">
        <f>E20</f>
        <v>0</v>
      </c>
      <c r="H34" s="775" t="str">
        <f>CONCATENATE("",E1," Non-AV Receipts (est.)")</f>
        <v>2015 Non-AV Receipts (est.)</v>
      </c>
      <c r="I34" s="801"/>
      <c r="J34" s="799"/>
    </row>
    <row r="35" spans="2:11" x14ac:dyDescent="0.25">
      <c r="B35" s="153" t="str">
        <f>CONCATENATE("",E1-2,"/",E1-1,"/",E1," Budget Authority Amount:")</f>
        <v>2013/2014/2015 Budget Authority Amount:</v>
      </c>
      <c r="C35" s="824">
        <f>inputOth!B70</f>
        <v>0</v>
      </c>
      <c r="D35" s="824">
        <f>inputPrYr!D25</f>
        <v>0</v>
      </c>
      <c r="E35" s="208">
        <f>E33</f>
        <v>0</v>
      </c>
      <c r="F35" s="258"/>
      <c r="G35" s="802">
        <f>IF(E39&gt;0,E38,E40)</f>
        <v>0</v>
      </c>
      <c r="H35" s="775" t="str">
        <f>CONCATENATE("",E1," Ad Valorem Tax (est.)")</f>
        <v>2015 Ad Valorem Tax (est.)</v>
      </c>
      <c r="I35" s="801"/>
      <c r="J35" s="787"/>
      <c r="K35" s="757" t="str">
        <f>IF(G35=E40,"","Note: Does not include Delinquent Taxes")</f>
        <v/>
      </c>
    </row>
    <row r="36" spans="2:11" x14ac:dyDescent="0.3">
      <c r="B36" s="119"/>
      <c r="C36" s="1021" t="s">
        <v>628</v>
      </c>
      <c r="D36" s="1022"/>
      <c r="E36" s="48"/>
      <c r="F36" s="860" t="str">
        <f>IF(E33/0.95-E33&lt;E36,"Exceeds 5%","")</f>
        <v/>
      </c>
      <c r="G36" s="800">
        <f>SUM(G33:G35)</f>
        <v>0</v>
      </c>
      <c r="H36" s="775" t="str">
        <f>CONCATENATE("Total ",E1," Resources Available")</f>
        <v>Total 2015 Resources Available</v>
      </c>
      <c r="I36" s="801"/>
      <c r="J36" s="799"/>
    </row>
    <row r="37" spans="2:11" x14ac:dyDescent="0.3">
      <c r="B37" s="526" t="str">
        <f>CONCATENATE(C94,"     ",D94)</f>
        <v xml:space="preserve">     </v>
      </c>
      <c r="C37" s="1023" t="s">
        <v>629</v>
      </c>
      <c r="D37" s="1024"/>
      <c r="E37" s="208">
        <f>E33+E36</f>
        <v>0</v>
      </c>
      <c r="G37" s="819"/>
      <c r="H37" s="775"/>
      <c r="I37" s="775"/>
      <c r="J37" s="799"/>
    </row>
    <row r="38" spans="2:11" x14ac:dyDescent="0.3">
      <c r="B38" s="526" t="str">
        <f>CONCATENATE(C95,"     ",D95)</f>
        <v xml:space="preserve">     </v>
      </c>
      <c r="C38" s="259"/>
      <c r="D38" s="151" t="s">
        <v>119</v>
      </c>
      <c r="E38" s="63">
        <f>IF(E37-E21&gt;0,E37-E21,0)</f>
        <v>0</v>
      </c>
      <c r="G38" s="802">
        <f>ROUND(C33*0.05+C33,0)</f>
        <v>0</v>
      </c>
      <c r="H38" s="775" t="str">
        <f>CONCATENATE("Less ",E1-2," Expenditures + 5%")</f>
        <v>Less 2013 Expenditures + 5%</v>
      </c>
      <c r="I38" s="801"/>
      <c r="J38" s="799"/>
    </row>
    <row r="39" spans="2:11" x14ac:dyDescent="0.3">
      <c r="B39" s="151"/>
      <c r="C39" s="369" t="s">
        <v>627</v>
      </c>
      <c r="D39" s="370">
        <f>inputOth!$E$50</f>
        <v>0.08</v>
      </c>
      <c r="E39" s="208">
        <f>ROUND(IF(D39&gt;0,(E38*D39),0),0)</f>
        <v>0</v>
      </c>
      <c r="G39" s="820">
        <f>G36-G38</f>
        <v>0</v>
      </c>
      <c r="H39" s="821" t="str">
        <f>CONCATENATE("Projected ",E1+1," carryover (est.)")</f>
        <v>Projected 2016 carryover (est.)</v>
      </c>
      <c r="I39" s="822"/>
      <c r="J39" s="812"/>
    </row>
    <row r="40" spans="2:11" x14ac:dyDescent="0.3">
      <c r="B40" s="79"/>
      <c r="C40" s="1025" t="str">
        <f>CONCATENATE("Amount of  ",$E$1-1," Ad Valorem Tax")</f>
        <v>Amount of  2014 Ad Valorem Tax</v>
      </c>
      <c r="D40" s="1026"/>
      <c r="E40" s="271">
        <f>E38+E39</f>
        <v>0</v>
      </c>
      <c r="G40" s="2"/>
      <c r="H40" s="2"/>
      <c r="I40" s="2"/>
      <c r="J40" s="2"/>
    </row>
    <row r="41" spans="2:11" x14ac:dyDescent="0.25">
      <c r="B41" s="32"/>
      <c r="C41" s="79"/>
      <c r="D41" s="79"/>
      <c r="E41" s="32"/>
      <c r="G41" s="1018" t="s">
        <v>807</v>
      </c>
      <c r="H41" s="1019"/>
      <c r="I41" s="1019"/>
      <c r="J41" s="1020"/>
    </row>
    <row r="42" spans="2:11" x14ac:dyDescent="0.25">
      <c r="B42" s="33"/>
      <c r="C42" s="270"/>
      <c r="D42" s="270"/>
      <c r="E42" s="270"/>
      <c r="G42" s="763"/>
      <c r="H42" s="764"/>
      <c r="I42" s="765"/>
      <c r="J42" s="766"/>
    </row>
    <row r="43" spans="2:11" x14ac:dyDescent="0.25">
      <c r="B43" s="33" t="s">
        <v>104</v>
      </c>
      <c r="C43" s="404" t="s">
        <v>803</v>
      </c>
      <c r="D43" s="403" t="s">
        <v>804</v>
      </c>
      <c r="E43" s="382" t="s">
        <v>805</v>
      </c>
      <c r="G43" s="767" t="str">
        <f>summ!H22</f>
        <v xml:space="preserve">  </v>
      </c>
      <c r="H43" s="764" t="str">
        <f>CONCATENATE("",E1," Fund Mill Rate")</f>
        <v>2015 Fund Mill Rate</v>
      </c>
      <c r="I43" s="765"/>
      <c r="J43" s="766"/>
    </row>
    <row r="44" spans="2:11" x14ac:dyDescent="0.25">
      <c r="B44" s="530">
        <f>inputPrYr!B26</f>
        <v>0</v>
      </c>
      <c r="C44" s="405" t="str">
        <f>CONCATENATE("Actual for ",E1-2,"")</f>
        <v>Actual for 2013</v>
      </c>
      <c r="D44" s="405" t="str">
        <f>CONCATENATE("Estimate for ",E1-1,"")</f>
        <v>Estimate for 2014</v>
      </c>
      <c r="E44" s="390" t="str">
        <f>CONCATENATE("Year for ",E1,"")</f>
        <v>Year for 2015</v>
      </c>
      <c r="G44" s="768" t="str">
        <f>summ!E22</f>
        <v xml:space="preserve">  </v>
      </c>
      <c r="H44" s="764" t="str">
        <f>CONCATENATE("",E1-1," Fund Mill Rate")</f>
        <v>2014 Fund Mill Rate</v>
      </c>
      <c r="I44" s="765"/>
      <c r="J44" s="766"/>
    </row>
    <row r="45" spans="2:11" x14ac:dyDescent="0.25">
      <c r="B45" s="234" t="s">
        <v>212</v>
      </c>
      <c r="C45" s="239"/>
      <c r="D45" s="237">
        <f>C74</f>
        <v>0</v>
      </c>
      <c r="E45" s="208">
        <f>D74</f>
        <v>0</v>
      </c>
      <c r="G45" s="769">
        <f>summ!H52</f>
        <v>64.292999999999992</v>
      </c>
      <c r="H45" s="764" t="str">
        <f>CONCATENATE("Total ",E1," Mill Rate")</f>
        <v>Total 2015 Mill Rate</v>
      </c>
      <c r="I45" s="765"/>
      <c r="J45" s="766"/>
    </row>
    <row r="46" spans="2:11" x14ac:dyDescent="0.25">
      <c r="B46" s="238" t="s">
        <v>214</v>
      </c>
      <c r="C46" s="142"/>
      <c r="D46" s="142"/>
      <c r="E46" s="68"/>
      <c r="G46" s="768">
        <f>summ!E52</f>
        <v>59.930999999999997</v>
      </c>
      <c r="H46" s="770" t="str">
        <f>CONCATENATE("Total ",E1-1," Mill Rate")</f>
        <v>Total 2014 Mill Rate</v>
      </c>
      <c r="I46" s="771"/>
      <c r="J46" s="772"/>
    </row>
    <row r="47" spans="2:11" x14ac:dyDescent="0.25">
      <c r="B47" s="133" t="s">
        <v>105</v>
      </c>
      <c r="C47" s="239"/>
      <c r="D47" s="237">
        <f>IF(inputPrYr!H16&gt;0,inputPrYr!G26,inputPrYr!E26)</f>
        <v>0</v>
      </c>
      <c r="E47" s="267" t="s">
        <v>93</v>
      </c>
    </row>
    <row r="48" spans="2:11" x14ac:dyDescent="0.25">
      <c r="B48" s="133" t="s">
        <v>106</v>
      </c>
      <c r="C48" s="239"/>
      <c r="D48" s="239"/>
      <c r="E48" s="48"/>
      <c r="G48" s="928" t="s">
        <v>986</v>
      </c>
      <c r="H48" s="881"/>
      <c r="I48" s="880" t="str">
        <f>cert!F60</f>
        <v>Yes</v>
      </c>
    </row>
    <row r="49" spans="2:10" x14ac:dyDescent="0.25">
      <c r="B49" s="133" t="s">
        <v>107</v>
      </c>
      <c r="C49" s="239"/>
      <c r="D49" s="239"/>
      <c r="E49" s="208" t="str">
        <f>mvalloc!D15</f>
        <v xml:space="preserve">  </v>
      </c>
    </row>
    <row r="50" spans="2:10" x14ac:dyDescent="0.25">
      <c r="B50" s="133" t="s">
        <v>108</v>
      </c>
      <c r="C50" s="239"/>
      <c r="D50" s="239"/>
      <c r="E50" s="208" t="str">
        <f>mvalloc!E15</f>
        <v xml:space="preserve"> </v>
      </c>
    </row>
    <row r="51" spans="2:10" x14ac:dyDescent="0.25">
      <c r="B51" s="142" t="s">
        <v>202</v>
      </c>
      <c r="C51" s="239"/>
      <c r="D51" s="239"/>
      <c r="E51" s="208" t="str">
        <f>mvalloc!F15</f>
        <v xml:space="preserve"> </v>
      </c>
    </row>
    <row r="52" spans="2:10" x14ac:dyDescent="0.25">
      <c r="B52" s="255"/>
      <c r="C52" s="239"/>
      <c r="D52" s="239"/>
      <c r="E52" s="48"/>
    </row>
    <row r="53" spans="2:10" x14ac:dyDescent="0.25">
      <c r="B53" s="255"/>
      <c r="C53" s="239"/>
      <c r="D53" s="239"/>
      <c r="E53" s="48"/>
    </row>
    <row r="54" spans="2:10" x14ac:dyDescent="0.25">
      <c r="B54" s="255"/>
      <c r="C54" s="239"/>
      <c r="D54" s="239"/>
      <c r="E54" s="48"/>
    </row>
    <row r="55" spans="2:10" x14ac:dyDescent="0.25">
      <c r="B55" s="255"/>
      <c r="C55" s="239"/>
      <c r="D55" s="239"/>
      <c r="E55" s="48"/>
    </row>
    <row r="56" spans="2:10" x14ac:dyDescent="0.25">
      <c r="B56" s="255"/>
      <c r="C56" s="239"/>
      <c r="D56" s="239"/>
      <c r="E56" s="48"/>
    </row>
    <row r="57" spans="2:10" x14ac:dyDescent="0.25">
      <c r="B57" s="243" t="s">
        <v>110</v>
      </c>
      <c r="C57" s="239"/>
      <c r="D57" s="239"/>
      <c r="E57" s="48"/>
    </row>
    <row r="58" spans="2:10" x14ac:dyDescent="0.25">
      <c r="B58" s="142" t="s">
        <v>13</v>
      </c>
      <c r="C58" s="239"/>
      <c r="D58" s="239"/>
      <c r="E58" s="48"/>
    </row>
    <row r="59" spans="2:10" x14ac:dyDescent="0.25">
      <c r="B59" s="234" t="s">
        <v>781</v>
      </c>
      <c r="C59" s="244" t="str">
        <f>IF(C60*0.1&lt;C58,"Exceed 10% Rule","")</f>
        <v/>
      </c>
      <c r="D59" s="244" t="str">
        <f>IF(D60*0.1&lt;D58,"Exceed 10% Rule","")</f>
        <v/>
      </c>
      <c r="E59" s="281" t="str">
        <f>IF(E60*0.1+E80&lt;E58,"Exceed 10% Rule","")</f>
        <v/>
      </c>
    </row>
    <row r="60" spans="2:10" x14ac:dyDescent="0.25">
      <c r="B60" s="246" t="s">
        <v>111</v>
      </c>
      <c r="C60" s="248">
        <f>SUM(C47:C58)</f>
        <v>0</v>
      </c>
      <c r="D60" s="248">
        <f>SUM(D47:D58)</f>
        <v>0</v>
      </c>
      <c r="E60" s="249">
        <f>SUM(E47:E58)</f>
        <v>0</v>
      </c>
    </row>
    <row r="61" spans="2:10" x14ac:dyDescent="0.25">
      <c r="B61" s="246" t="s">
        <v>112</v>
      </c>
      <c r="C61" s="248">
        <f>C45+C60</f>
        <v>0</v>
      </c>
      <c r="D61" s="248">
        <f>D45+D60</f>
        <v>0</v>
      </c>
      <c r="E61" s="249">
        <f>E45+E60</f>
        <v>0</v>
      </c>
    </row>
    <row r="62" spans="2:10" x14ac:dyDescent="0.25">
      <c r="B62" s="133" t="s">
        <v>114</v>
      </c>
      <c r="C62" s="256"/>
      <c r="D62" s="256"/>
      <c r="E62" s="46"/>
    </row>
    <row r="63" spans="2:10" x14ac:dyDescent="0.25">
      <c r="B63" s="255"/>
      <c r="C63" s="239"/>
      <c r="D63" s="239"/>
      <c r="E63" s="48"/>
    </row>
    <row r="64" spans="2:10" x14ac:dyDescent="0.25">
      <c r="B64" s="255"/>
      <c r="C64" s="239"/>
      <c r="D64" s="239"/>
      <c r="E64" s="48"/>
      <c r="G64" s="1042" t="str">
        <f>CONCATENATE("Desired Carryover Into ",E1+1,"")</f>
        <v>Desired Carryover Into 2016</v>
      </c>
      <c r="H64" s="1028"/>
      <c r="I64" s="1028"/>
      <c r="J64" s="1029"/>
    </row>
    <row r="65" spans="2:11" x14ac:dyDescent="0.25">
      <c r="B65" s="255"/>
      <c r="C65" s="239"/>
      <c r="D65" s="239"/>
      <c r="E65" s="48"/>
      <c r="G65" s="773"/>
      <c r="H65" s="774"/>
      <c r="I65" s="775"/>
      <c r="J65" s="776"/>
    </row>
    <row r="66" spans="2:11" x14ac:dyDescent="0.25">
      <c r="B66" s="255"/>
      <c r="C66" s="239"/>
      <c r="D66" s="239"/>
      <c r="E66" s="48"/>
      <c r="G66" s="777" t="s">
        <v>769</v>
      </c>
      <c r="H66" s="775"/>
      <c r="I66" s="775"/>
      <c r="J66" s="778">
        <v>0</v>
      </c>
    </row>
    <row r="67" spans="2:11" x14ac:dyDescent="0.25">
      <c r="B67" s="255"/>
      <c r="C67" s="239"/>
      <c r="D67" s="239"/>
      <c r="E67" s="48"/>
      <c r="G67" s="773" t="s">
        <v>770</v>
      </c>
      <c r="H67" s="774"/>
      <c r="I67" s="774"/>
      <c r="J67" s="779" t="str">
        <f>IF(J66=0,"",ROUND((J66+E80-G79)/inputOth!E9*1000,3)-G84)</f>
        <v/>
      </c>
    </row>
    <row r="68" spans="2:11" x14ac:dyDescent="0.25">
      <c r="B68" s="255"/>
      <c r="C68" s="239"/>
      <c r="D68" s="239"/>
      <c r="E68" s="48"/>
      <c r="G68" s="780" t="str">
        <f>CONCATENATE("",E1," Tot Exp/Non-Appr Must Be:")</f>
        <v>2015 Tot Exp/Non-Appr Must Be:</v>
      </c>
      <c r="H68" s="781"/>
      <c r="I68" s="782"/>
      <c r="J68" s="783">
        <f>IF(J66&gt;0,IF(E77&lt;E61,IF(J66=G79,E77,((J66-G79)*(1-D79))+E61),E77+(J66-G79)),0)</f>
        <v>0</v>
      </c>
    </row>
    <row r="69" spans="2:11" x14ac:dyDescent="0.25">
      <c r="B69" s="255"/>
      <c r="C69" s="239"/>
      <c r="D69" s="239"/>
      <c r="E69" s="367"/>
      <c r="G69" s="784" t="s">
        <v>806</v>
      </c>
      <c r="H69" s="785"/>
      <c r="I69" s="785"/>
      <c r="J69" s="752">
        <f>IF(J66&gt;0,J68-E77,0)</f>
        <v>0</v>
      </c>
    </row>
    <row r="70" spans="2:11" x14ac:dyDescent="0.3">
      <c r="B70" s="256" t="s">
        <v>12</v>
      </c>
      <c r="C70" s="239"/>
      <c r="D70" s="239"/>
      <c r="E70" s="63" t="str">
        <f>nhood!E14</f>
        <v/>
      </c>
      <c r="J70" s="2"/>
    </row>
    <row r="71" spans="2:11" x14ac:dyDescent="0.25">
      <c r="B71" s="256" t="s">
        <v>13</v>
      </c>
      <c r="C71" s="239"/>
      <c r="D71" s="239"/>
      <c r="E71" s="48"/>
      <c r="G71" s="1042" t="str">
        <f>CONCATENATE("Projected Carryover Into ",E1+1,"")</f>
        <v>Projected Carryover Into 2016</v>
      </c>
      <c r="H71" s="1046"/>
      <c r="I71" s="1046"/>
      <c r="J71" s="1047"/>
    </row>
    <row r="72" spans="2:11" x14ac:dyDescent="0.25">
      <c r="B72" s="256" t="s">
        <v>782</v>
      </c>
      <c r="C72" s="244" t="str">
        <f>IF(C73*0.1&lt;C71,"Exceed 10% Rule","")</f>
        <v/>
      </c>
      <c r="D72" s="244" t="str">
        <f>IF(D73*0.1&lt;D71,"Exceed 10% Rule","")</f>
        <v/>
      </c>
      <c r="E72" s="281" t="str">
        <f>IF(E73*0.1&lt;E71,"Exceed 10% Rule","")</f>
        <v/>
      </c>
      <c r="G72" s="798"/>
      <c r="H72" s="774"/>
      <c r="I72" s="774"/>
      <c r="J72" s="805"/>
    </row>
    <row r="73" spans="2:11" x14ac:dyDescent="0.25">
      <c r="B73" s="246" t="s">
        <v>118</v>
      </c>
      <c r="C73" s="248">
        <f>SUM(C63:C71)</f>
        <v>0</v>
      </c>
      <c r="D73" s="248">
        <f>SUM(D63:D71)</f>
        <v>0</v>
      </c>
      <c r="E73" s="249">
        <f>SUM(E63:E71)</f>
        <v>0</v>
      </c>
      <c r="G73" s="800">
        <f>D74</f>
        <v>0</v>
      </c>
      <c r="H73" s="764" t="str">
        <f>CONCATENATE("",E1-1," Ending Cash Balance (est.)")</f>
        <v>2014 Ending Cash Balance (est.)</v>
      </c>
      <c r="I73" s="801"/>
      <c r="J73" s="805"/>
    </row>
    <row r="74" spans="2:11" x14ac:dyDescent="0.25">
      <c r="B74" s="133" t="s">
        <v>213</v>
      </c>
      <c r="C74" s="252">
        <f>C61-C73</f>
        <v>0</v>
      </c>
      <c r="D74" s="252">
        <f>D61-D73</f>
        <v>0</v>
      </c>
      <c r="E74" s="267" t="s">
        <v>93</v>
      </c>
      <c r="G74" s="800">
        <f>E60</f>
        <v>0</v>
      </c>
      <c r="H74" s="775" t="str">
        <f>CONCATENATE("",E1," Non-AV Receipts (est.)")</f>
        <v>2015 Non-AV Receipts (est.)</v>
      </c>
      <c r="I74" s="801"/>
      <c r="J74" s="805"/>
    </row>
    <row r="75" spans="2:11" x14ac:dyDescent="0.25">
      <c r="B75" s="153" t="str">
        <f>CONCATENATE("",E1-2,"/",E1-1,"/",E1," Budget Authority Amount:")</f>
        <v>2013/2014/2015 Budget Authority Amount:</v>
      </c>
      <c r="C75" s="897">
        <f>inputOth!B71</f>
        <v>0</v>
      </c>
      <c r="D75" s="824">
        <f>inputPrYr!D26</f>
        <v>0</v>
      </c>
      <c r="E75" s="208">
        <f>E73</f>
        <v>0</v>
      </c>
      <c r="F75" s="258"/>
      <c r="G75" s="802">
        <f>IF(D79&gt;0,E78,E80)</f>
        <v>0</v>
      </c>
      <c r="H75" s="775" t="str">
        <f>CONCATENATE("",E1," Ad Valorem Tax (est.)")</f>
        <v>2015 Ad Valorem Tax (est.)</v>
      </c>
      <c r="I75" s="801"/>
      <c r="J75" s="805"/>
      <c r="K75" s="757" t="str">
        <f>IF(G75=E80,"","Note: Does not include Delinquent Taxes")</f>
        <v/>
      </c>
    </row>
    <row r="76" spans="2:11" x14ac:dyDescent="0.25">
      <c r="B76" s="119"/>
      <c r="C76" s="1021" t="s">
        <v>628</v>
      </c>
      <c r="D76" s="1022"/>
      <c r="E76" s="48"/>
      <c r="F76" s="860" t="str">
        <f>IF(E73/0.95-E73&lt;E76,"Exceeds 5%","")</f>
        <v/>
      </c>
      <c r="G76" s="804">
        <f>SUM(G73:G75)</f>
        <v>0</v>
      </c>
      <c r="H76" s="775" t="str">
        <f>CONCATENATE("Total ",E1," Resources Available")</f>
        <v>Total 2015 Resources Available</v>
      </c>
      <c r="I76" s="805"/>
      <c r="J76" s="805"/>
    </row>
    <row r="77" spans="2:11" x14ac:dyDescent="0.25">
      <c r="B77" s="526" t="str">
        <f>CONCATENATE(C96,"     ",D96)</f>
        <v xml:space="preserve">     </v>
      </c>
      <c r="C77" s="1023" t="s">
        <v>629</v>
      </c>
      <c r="D77" s="1024"/>
      <c r="E77" s="208">
        <f>E73+E76</f>
        <v>0</v>
      </c>
      <c r="G77" s="806"/>
      <c r="H77" s="807"/>
      <c r="I77" s="774"/>
      <c r="J77" s="805"/>
    </row>
    <row r="78" spans="2:11" x14ac:dyDescent="0.25">
      <c r="B78" s="526" t="str">
        <f>CONCATENATE(C97,"     ",D97)</f>
        <v xml:space="preserve">     </v>
      </c>
      <c r="C78" s="259"/>
      <c r="D78" s="151" t="s">
        <v>119</v>
      </c>
      <c r="E78" s="63">
        <f>IF(E77-E61&gt;0,E77-E61,0)</f>
        <v>0</v>
      </c>
      <c r="G78" s="808">
        <f>ROUND(C73*0.05+C73,0)</f>
        <v>0</v>
      </c>
      <c r="H78" s="807" t="str">
        <f>CONCATENATE("Less ",E1-2," Expenditures + 5%")</f>
        <v>Less 2013 Expenditures + 5%</v>
      </c>
      <c r="I78" s="805"/>
      <c r="J78" s="805"/>
    </row>
    <row r="79" spans="2:11" x14ac:dyDescent="0.3">
      <c r="B79" s="119"/>
      <c r="C79" s="369" t="s">
        <v>627</v>
      </c>
      <c r="D79" s="732">
        <f>inputOth!$E$50</f>
        <v>0.08</v>
      </c>
      <c r="E79" s="208">
        <f>ROUND(IF(D79&gt;0,(E78*D79),0),0)</f>
        <v>0</v>
      </c>
      <c r="G79" s="809">
        <f>G76-G78</f>
        <v>0</v>
      </c>
      <c r="H79" s="810" t="str">
        <f>CONCATENATE("Projected ",E1+1," carryover (est.)")</f>
        <v>Projected 2016 carryover (est.)</v>
      </c>
      <c r="I79" s="811"/>
      <c r="J79" s="812"/>
    </row>
    <row r="80" spans="2:11" ht="16.2" thickBot="1" x14ac:dyDescent="0.35">
      <c r="B80" s="151"/>
      <c r="C80" s="1025" t="str">
        <f>CONCATENATE("Amount of  ",$E$1-1," Ad Valorem Tax")</f>
        <v>Amount of  2014 Ad Valorem Tax</v>
      </c>
      <c r="D80" s="1026"/>
      <c r="E80" s="735">
        <f>E78+E79</f>
        <v>0</v>
      </c>
      <c r="G80" s="2"/>
      <c r="H80" s="2"/>
      <c r="I80" s="2"/>
    </row>
    <row r="81" spans="2:10" ht="16.2" thickTop="1" x14ac:dyDescent="0.25">
      <c r="B81" s="32"/>
      <c r="C81" s="32"/>
      <c r="D81" s="32"/>
      <c r="E81" s="32"/>
      <c r="G81" s="1018" t="s">
        <v>807</v>
      </c>
      <c r="H81" s="1019"/>
      <c r="I81" s="1019"/>
      <c r="J81" s="1020"/>
    </row>
    <row r="82" spans="2:10" x14ac:dyDescent="0.25">
      <c r="B82" s="119" t="s">
        <v>121</v>
      </c>
      <c r="C82" s="263"/>
      <c r="D82" s="32"/>
      <c r="E82" s="32"/>
      <c r="G82" s="763"/>
      <c r="H82" s="764"/>
      <c r="I82" s="765"/>
      <c r="J82" s="766"/>
    </row>
    <row r="83" spans="2:10" x14ac:dyDescent="0.25">
      <c r="B83" s="151"/>
      <c r="G83" s="767" t="str">
        <f>summ!H23</f>
        <v xml:space="preserve">  </v>
      </c>
      <c r="H83" s="764" t="str">
        <f>CONCATENATE("",E1," Fund Mill Rate")</f>
        <v>2015 Fund Mill Rate</v>
      </c>
      <c r="I83" s="765"/>
      <c r="J83" s="766"/>
    </row>
    <row r="84" spans="2:10" x14ac:dyDescent="0.25">
      <c r="G84" s="768" t="str">
        <f>summ!E23</f>
        <v xml:space="preserve">  </v>
      </c>
      <c r="H84" s="764" t="str">
        <f>CONCATENATE("",E1-1," Fund Mill Rate")</f>
        <v>2014 Fund Mill Rate</v>
      </c>
      <c r="I84" s="765"/>
      <c r="J84" s="766"/>
    </row>
    <row r="85" spans="2:10" x14ac:dyDescent="0.25">
      <c r="G85" s="769">
        <f>summ!H52</f>
        <v>64.292999999999992</v>
      </c>
      <c r="H85" s="764" t="str">
        <f>CONCATENATE("Total ",E1," Mill Rate")</f>
        <v>Total 2015 Mill Rate</v>
      </c>
      <c r="I85" s="765"/>
      <c r="J85" s="766"/>
    </row>
    <row r="86" spans="2:10" x14ac:dyDescent="0.25">
      <c r="G86" s="768">
        <f>summ!E52</f>
        <v>59.930999999999997</v>
      </c>
      <c r="H86" s="770" t="str">
        <f>CONCATENATE("Total ",E1-1," Mill Rate")</f>
        <v>Total 2014 Mill Rate</v>
      </c>
      <c r="I86" s="771"/>
      <c r="J86" s="772"/>
    </row>
    <row r="88" spans="2:10" x14ac:dyDescent="0.25">
      <c r="G88" s="929" t="s">
        <v>986</v>
      </c>
      <c r="H88" s="883"/>
      <c r="I88" s="882" t="str">
        <f>cert!F60</f>
        <v>Yes</v>
      </c>
    </row>
    <row r="94" spans="2:10" hidden="1" x14ac:dyDescent="0.25">
      <c r="C94" s="525" t="str">
        <f>IF(C33&gt;C35,"See Tab A","")</f>
        <v/>
      </c>
      <c r="D94" s="525" t="str">
        <f>IF(D31&gt;D35,"See Tab C","")</f>
        <v/>
      </c>
    </row>
    <row r="95" spans="2:10" hidden="1" x14ac:dyDescent="0.25">
      <c r="C95" s="525" t="str">
        <f>IF(C34&lt;0,"See Tab B","")</f>
        <v/>
      </c>
      <c r="D95" s="525" t="str">
        <f>IF(D34&lt;0,"See Tab D","")</f>
        <v/>
      </c>
    </row>
    <row r="96" spans="2:10" hidden="1" x14ac:dyDescent="0.25">
      <c r="C96" s="525" t="str">
        <f>IF(C71&gt;C75,"See Tab A","")</f>
        <v/>
      </c>
      <c r="D96" s="525" t="str">
        <f>IF(D71&gt;D75,"See Tab C","")</f>
        <v/>
      </c>
    </row>
    <row r="97" spans="3:4" hidden="1" x14ac:dyDescent="0.25">
      <c r="C97" s="525" t="str">
        <f>IF(C74&lt;0,"See Tab B","")</f>
        <v/>
      </c>
      <c r="D97" s="525" t="str">
        <f>IF(D74&lt;0,"See Tab D","")</f>
        <v/>
      </c>
    </row>
  </sheetData>
  <mergeCells count="12">
    <mergeCell ref="C36:D36"/>
    <mergeCell ref="C37:D37"/>
    <mergeCell ref="C76:D76"/>
    <mergeCell ref="C77:D77"/>
    <mergeCell ref="C80:D80"/>
    <mergeCell ref="C40:D40"/>
    <mergeCell ref="G81:J81"/>
    <mergeCell ref="G24:J24"/>
    <mergeCell ref="G31:J31"/>
    <mergeCell ref="G41:J41"/>
    <mergeCell ref="G64:J64"/>
    <mergeCell ref="G71:J71"/>
  </mergeCells>
  <phoneticPr fontId="0" type="noConversion"/>
  <conditionalFormatting sqref="E31">
    <cfRule type="cellIs" dxfId="247" priority="4" stopIfTrue="1" operator="greaterThan">
      <formula>$E$33*0.1</formula>
    </cfRule>
  </conditionalFormatting>
  <conditionalFormatting sqref="E36">
    <cfRule type="cellIs" dxfId="246" priority="5" stopIfTrue="1" operator="greaterThan">
      <formula>$E$33/0.95-$E$33</formula>
    </cfRule>
  </conditionalFormatting>
  <conditionalFormatting sqref="E71">
    <cfRule type="cellIs" dxfId="245" priority="6" stopIfTrue="1" operator="greaterThan">
      <formula>$E$73*0.1</formula>
    </cfRule>
  </conditionalFormatting>
  <conditionalFormatting sqref="E76">
    <cfRule type="cellIs" dxfId="244" priority="7" stopIfTrue="1" operator="greaterThan">
      <formula>$E$73/0.95-$E$73</formula>
    </cfRule>
  </conditionalFormatting>
  <conditionalFormatting sqref="C31">
    <cfRule type="cellIs" dxfId="243" priority="8" stopIfTrue="1" operator="greaterThan">
      <formula>$C$33*0.1</formula>
    </cfRule>
  </conditionalFormatting>
  <conditionalFormatting sqref="D31">
    <cfRule type="cellIs" dxfId="242" priority="9" stopIfTrue="1" operator="greaterThan">
      <formula>$D$33*0.1</formula>
    </cfRule>
  </conditionalFormatting>
  <conditionalFormatting sqref="D33">
    <cfRule type="cellIs" dxfId="241" priority="10" stopIfTrue="1" operator="greaterThan">
      <formula>$C$35</formula>
    </cfRule>
  </conditionalFormatting>
  <conditionalFormatting sqref="C33">
    <cfRule type="cellIs" dxfId="240" priority="11" stopIfTrue="1" operator="greaterThan">
      <formula>$C$35</formula>
    </cfRule>
  </conditionalFormatting>
  <conditionalFormatting sqref="C34 C74">
    <cfRule type="cellIs" dxfId="239" priority="12" stopIfTrue="1" operator="lessThan">
      <formula>0</formula>
    </cfRule>
  </conditionalFormatting>
  <conditionalFormatting sqref="C71">
    <cfRule type="cellIs" dxfId="238" priority="13" stopIfTrue="1" operator="greaterThan">
      <formula>$C$73*0.1</formula>
    </cfRule>
  </conditionalFormatting>
  <conditionalFormatting sqref="D71">
    <cfRule type="cellIs" dxfId="237" priority="14" stopIfTrue="1" operator="greaterThan">
      <formula>$D$73*0.1</formula>
    </cfRule>
  </conditionalFormatting>
  <conditionalFormatting sqref="D73">
    <cfRule type="cellIs" dxfId="236" priority="15" stopIfTrue="1" operator="greaterThan">
      <formula>$C$75</formula>
    </cfRule>
  </conditionalFormatting>
  <conditionalFormatting sqref="C73">
    <cfRule type="cellIs" dxfId="235" priority="16" stopIfTrue="1" operator="greaterThan">
      <formula>$C$75</formula>
    </cfRule>
  </conditionalFormatting>
  <conditionalFormatting sqref="D18">
    <cfRule type="cellIs" dxfId="234" priority="17" stopIfTrue="1" operator="greaterThan">
      <formula>$D$20*0.1</formula>
    </cfRule>
  </conditionalFormatting>
  <conditionalFormatting sqref="C18">
    <cfRule type="cellIs" dxfId="233" priority="18" stopIfTrue="1" operator="greaterThan">
      <formula>$C$20*0.1</formula>
    </cfRule>
  </conditionalFormatting>
  <conditionalFormatting sqref="D58">
    <cfRule type="cellIs" dxfId="232" priority="19" stopIfTrue="1" operator="greaterThan">
      <formula>$D$60*0.1</formula>
    </cfRule>
  </conditionalFormatting>
  <conditionalFormatting sqref="C58">
    <cfRule type="cellIs" dxfId="231" priority="20" stopIfTrue="1" operator="greaterThan">
      <formula>$C$60*0.1</formula>
    </cfRule>
  </conditionalFormatting>
  <conditionalFormatting sqref="E18">
    <cfRule type="cellIs" dxfId="230" priority="21" stopIfTrue="1" operator="greaterThan">
      <formula>$E$20*0.1+E40</formula>
    </cfRule>
  </conditionalFormatting>
  <conditionalFormatting sqref="D74 D34">
    <cfRule type="cellIs" dxfId="229" priority="3" stopIfTrue="1" operator="lessThan">
      <formula>0</formula>
    </cfRule>
  </conditionalFormatting>
  <conditionalFormatting sqref="E58">
    <cfRule type="cellIs" dxfId="228" priority="1" stopIfTrue="1" operator="greaterThan">
      <formula>$E$60*0.1+$E$80</formula>
    </cfRule>
  </conditionalFormatting>
  <pageMargins left="0.5" right="0.5" top="1" bottom="0.5" header="0.5" footer="0.5"/>
  <pageSetup scale="56" orientation="portrait" blackAndWhite="1" horizontalDpi="120" verticalDpi="144" r:id="rId1"/>
  <headerFooter alignWithMargins="0">
    <oddHeader>&amp;RState of Kansas
City</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8"/>
  <sheetViews>
    <sheetView topLeftCell="A63" workbookViewId="0">
      <selection activeCell="B77" sqref="B77:B78"/>
    </sheetView>
  </sheetViews>
  <sheetFormatPr defaultColWidth="8.9140625" defaultRowHeight="15.6" x14ac:dyDescent="0.25"/>
  <cols>
    <col min="1" max="1" width="15.75" style="30" customWidth="1"/>
    <col min="2" max="2" width="20.75" style="30" customWidth="1"/>
    <col min="3" max="3" width="9.75" style="30" customWidth="1"/>
    <col min="4" max="4" width="15.08203125" style="30" customWidth="1"/>
    <col min="5" max="5" width="15.75" style="30" customWidth="1"/>
    <col min="6" max="6" width="1.9140625" style="30" customWidth="1"/>
    <col min="7" max="7" width="18.6640625" style="30" customWidth="1"/>
    <col min="8" max="16384" width="8.9140625" style="30"/>
  </cols>
  <sheetData>
    <row r="1" spans="1:8" x14ac:dyDescent="0.25">
      <c r="A1" s="975" t="s">
        <v>71</v>
      </c>
      <c r="B1" s="976"/>
      <c r="C1" s="976"/>
      <c r="D1" s="976"/>
      <c r="E1" s="976"/>
    </row>
    <row r="2" spans="1:8" x14ac:dyDescent="0.25">
      <c r="A2" s="31" t="s">
        <v>18</v>
      </c>
      <c r="B2" s="32"/>
      <c r="C2" s="32"/>
      <c r="D2" s="901" t="s">
        <v>1014</v>
      </c>
      <c r="E2" s="902"/>
    </row>
    <row r="3" spans="1:8" x14ac:dyDescent="0.25">
      <c r="A3" s="31" t="s">
        <v>19</v>
      </c>
      <c r="B3" s="32"/>
      <c r="C3" s="32"/>
      <c r="D3" s="901" t="s">
        <v>1015</v>
      </c>
      <c r="E3" s="902"/>
    </row>
    <row r="4" spans="1:8" x14ac:dyDescent="0.25">
      <c r="A4" s="33"/>
      <c r="B4" s="32"/>
      <c r="C4" s="32"/>
      <c r="D4" s="34"/>
      <c r="E4" s="32"/>
    </row>
    <row r="5" spans="1:8" x14ac:dyDescent="0.25">
      <c r="A5" s="31" t="s">
        <v>245</v>
      </c>
      <c r="B5" s="32"/>
      <c r="C5" s="35">
        <v>2015</v>
      </c>
      <c r="D5" s="34"/>
      <c r="E5" s="32"/>
    </row>
    <row r="6" spans="1:8" x14ac:dyDescent="0.25">
      <c r="A6" s="32"/>
      <c r="B6" s="32"/>
      <c r="C6" s="32"/>
      <c r="D6" s="32"/>
      <c r="E6" s="32"/>
    </row>
    <row r="7" spans="1:8" x14ac:dyDescent="0.25">
      <c r="A7" s="36" t="s">
        <v>364</v>
      </c>
      <c r="B7" s="37"/>
      <c r="C7" s="37"/>
      <c r="D7" s="37"/>
      <c r="E7" s="37"/>
    </row>
    <row r="8" spans="1:8" x14ac:dyDescent="0.25">
      <c r="A8" s="36" t="s">
        <v>363</v>
      </c>
      <c r="B8" s="37"/>
      <c r="C8" s="37"/>
      <c r="D8" s="37"/>
      <c r="E8" s="37"/>
      <c r="F8" s="32"/>
      <c r="G8" s="977" t="s">
        <v>877</v>
      </c>
      <c r="H8" s="978"/>
    </row>
    <row r="9" spans="1:8" x14ac:dyDescent="0.25">
      <c r="A9" s="36"/>
      <c r="B9" s="37"/>
      <c r="C9" s="37"/>
      <c r="D9" s="37"/>
      <c r="E9" s="37"/>
      <c r="F9" s="32"/>
      <c r="G9" s="979"/>
      <c r="H9" s="978"/>
    </row>
    <row r="10" spans="1:8" x14ac:dyDescent="0.25">
      <c r="A10" s="973" t="s">
        <v>299</v>
      </c>
      <c r="B10" s="974"/>
      <c r="C10" s="974"/>
      <c r="D10" s="974"/>
      <c r="E10" s="974"/>
      <c r="F10" s="32"/>
      <c r="G10" s="979"/>
      <c r="H10" s="978"/>
    </row>
    <row r="11" spans="1:8" x14ac:dyDescent="0.25">
      <c r="A11" s="32"/>
      <c r="B11" s="32"/>
      <c r="C11" s="32"/>
      <c r="D11" s="32"/>
      <c r="E11" s="32"/>
      <c r="F11" s="32"/>
      <c r="G11" s="979"/>
      <c r="H11" s="978"/>
    </row>
    <row r="12" spans="1:8" x14ac:dyDescent="0.25">
      <c r="A12" s="38" t="s">
        <v>300</v>
      </c>
      <c r="B12" s="39"/>
      <c r="C12" s="32"/>
      <c r="D12" s="32"/>
      <c r="E12" s="32"/>
      <c r="F12" s="32"/>
      <c r="G12" s="979"/>
      <c r="H12" s="978"/>
    </row>
    <row r="13" spans="1:8" x14ac:dyDescent="0.25">
      <c r="A13" s="40" t="str">
        <f>CONCATENATE("the ",C5-1," Budget, Certificate Page:")</f>
        <v>the 2014 Budget, Certificate Page:</v>
      </c>
      <c r="B13" s="41"/>
      <c r="C13" s="32"/>
      <c r="D13" s="32"/>
      <c r="E13" s="32"/>
      <c r="F13" s="32"/>
      <c r="G13" s="979"/>
      <c r="H13" s="978"/>
    </row>
    <row r="14" spans="1:8" x14ac:dyDescent="0.25">
      <c r="A14" s="40" t="s">
        <v>366</v>
      </c>
      <c r="B14" s="41"/>
      <c r="C14" s="32"/>
      <c r="D14" s="32"/>
      <c r="E14" s="32"/>
      <c r="F14" s="32"/>
      <c r="G14" s="57"/>
      <c r="H14" s="845"/>
    </row>
    <row r="15" spans="1:8" x14ac:dyDescent="0.25">
      <c r="A15" s="32"/>
      <c r="B15" s="32"/>
      <c r="C15" s="32"/>
      <c r="D15" s="42">
        <f>C5-1</f>
        <v>2014</v>
      </c>
      <c r="E15" s="42">
        <f>C5-2</f>
        <v>2013</v>
      </c>
      <c r="G15" s="178" t="s">
        <v>878</v>
      </c>
      <c r="H15" s="139" t="s">
        <v>120</v>
      </c>
    </row>
    <row r="16" spans="1:8" x14ac:dyDescent="0.25">
      <c r="A16" s="33" t="s">
        <v>72</v>
      </c>
      <c r="B16" s="32"/>
      <c r="C16" s="43" t="s">
        <v>73</v>
      </c>
      <c r="D16" s="44" t="s">
        <v>365</v>
      </c>
      <c r="E16" s="44" t="s">
        <v>63</v>
      </c>
      <c r="G16" s="180" t="str">
        <f>CONCATENATE("",E15," Ad Valorem Tax")</f>
        <v>2013 Ad Valorem Tax</v>
      </c>
      <c r="H16" s="846">
        <v>6.9000000000000006E-2</v>
      </c>
    </row>
    <row r="17" spans="1:7" x14ac:dyDescent="0.25">
      <c r="A17" s="32"/>
      <c r="B17" s="45" t="s">
        <v>74</v>
      </c>
      <c r="C17" s="139" t="s">
        <v>216</v>
      </c>
      <c r="D17" s="47">
        <v>2267715</v>
      </c>
      <c r="E17" s="47">
        <v>542701.68999999994</v>
      </c>
      <c r="G17" s="208">
        <f>IF(H16&gt;0,ROUND(E17-(E17*H16),0),0)</f>
        <v>505255</v>
      </c>
    </row>
    <row r="18" spans="1:7" x14ac:dyDescent="0.25">
      <c r="A18" s="32"/>
      <c r="B18" s="45" t="s">
        <v>45</v>
      </c>
      <c r="C18" s="139" t="s">
        <v>246</v>
      </c>
      <c r="D18" s="48">
        <v>808495</v>
      </c>
      <c r="E18" s="48">
        <v>247628.82000000007</v>
      </c>
      <c r="G18" s="208">
        <f>IF(H16&gt;0,ROUND(E18-(E18*H16),0),0)</f>
        <v>230542</v>
      </c>
    </row>
    <row r="19" spans="1:7" x14ac:dyDescent="0.25">
      <c r="A19" s="32"/>
      <c r="B19" s="45" t="s">
        <v>787</v>
      </c>
      <c r="C19" s="139" t="s">
        <v>788</v>
      </c>
      <c r="D19" s="48">
        <v>111854</v>
      </c>
      <c r="E19" s="48">
        <v>0</v>
      </c>
      <c r="G19" s="208">
        <f>IF(H16&gt;0,ROUND(E19-(E19*H16),0),0)</f>
        <v>0</v>
      </c>
    </row>
    <row r="20" spans="1:7" x14ac:dyDescent="0.25">
      <c r="A20" s="33" t="s">
        <v>75</v>
      </c>
      <c r="B20" s="32"/>
      <c r="C20" s="32"/>
      <c r="D20" s="32"/>
      <c r="E20" s="49"/>
    </row>
    <row r="21" spans="1:7" x14ac:dyDescent="0.3">
      <c r="A21" s="32"/>
      <c r="B21" s="952" t="s">
        <v>1016</v>
      </c>
      <c r="C21" s="952" t="s">
        <v>1017</v>
      </c>
      <c r="D21" s="48">
        <v>62785</v>
      </c>
      <c r="E21" s="48">
        <v>0</v>
      </c>
      <c r="G21" s="208">
        <f>IF(H16&gt;0,ROUND(E21-(E21*H16),0),0)</f>
        <v>0</v>
      </c>
    </row>
    <row r="22" spans="1:7" x14ac:dyDescent="0.3">
      <c r="A22" s="32"/>
      <c r="B22" s="953" t="s">
        <v>22</v>
      </c>
      <c r="C22" s="953" t="s">
        <v>1018</v>
      </c>
      <c r="D22" s="48">
        <v>705973.11237400002</v>
      </c>
      <c r="E22" s="48">
        <v>559567.55077400012</v>
      </c>
      <c r="G22" s="208">
        <f>IF(H16&gt;0,ROUND(E22-(E22*H16),0),0)</f>
        <v>520957</v>
      </c>
    </row>
    <row r="23" spans="1:7" x14ac:dyDescent="0.3">
      <c r="A23" s="32"/>
      <c r="B23" s="953" t="s">
        <v>1019</v>
      </c>
      <c r="C23" s="954" t="s">
        <v>1020</v>
      </c>
      <c r="D23" s="48">
        <v>9847</v>
      </c>
      <c r="E23" s="48">
        <v>0</v>
      </c>
      <c r="G23" s="208">
        <f>IF(H16&gt;0,ROUND(E23-(E23*H16),0),0)</f>
        <v>0</v>
      </c>
    </row>
    <row r="24" spans="1:7" x14ac:dyDescent="0.3">
      <c r="A24" s="32"/>
      <c r="B24" s="953" t="s">
        <v>1021</v>
      </c>
      <c r="C24" s="954" t="s">
        <v>1018</v>
      </c>
      <c r="D24" s="48">
        <v>80</v>
      </c>
      <c r="E24" s="48">
        <v>0</v>
      </c>
      <c r="G24" s="208">
        <f>IF(H16&gt;0,ROUND(E24-(E24*H16),0),0)</f>
        <v>0</v>
      </c>
    </row>
    <row r="25" spans="1:7" x14ac:dyDescent="0.25">
      <c r="A25" s="32"/>
      <c r="B25" s="50"/>
      <c r="C25" s="368"/>
      <c r="D25" s="48"/>
      <c r="E25" s="48"/>
      <c r="G25" s="208">
        <f>IF(H16&gt;0,ROUND(E25-(E25*H16),0),0)</f>
        <v>0</v>
      </c>
    </row>
    <row r="26" spans="1:7" x14ac:dyDescent="0.25">
      <c r="A26" s="32"/>
      <c r="B26" s="50"/>
      <c r="C26" s="368"/>
      <c r="D26" s="48"/>
      <c r="E26" s="48"/>
      <c r="G26" s="208">
        <f>IF(H16&gt;0,ROUND(E26-(E26*H16),0),0)</f>
        <v>0</v>
      </c>
    </row>
    <row r="27" spans="1:7" x14ac:dyDescent="0.25">
      <c r="A27" s="32"/>
      <c r="B27" s="50"/>
      <c r="C27" s="368"/>
      <c r="D27" s="48"/>
      <c r="E27" s="48"/>
      <c r="G27" s="208">
        <f>IF(H16&gt;0,ROUND(E27-(E27*H16),0),0)</f>
        <v>0</v>
      </c>
    </row>
    <row r="28" spans="1:7" x14ac:dyDescent="0.25">
      <c r="A28" s="32"/>
      <c r="B28" s="50"/>
      <c r="C28" s="368"/>
      <c r="D28" s="48"/>
      <c r="E28" s="48"/>
      <c r="G28" s="208">
        <f>IF(H16&gt;0,ROUND(E28-(E28*H16),0),0)</f>
        <v>0</v>
      </c>
    </row>
    <row r="29" spans="1:7" x14ac:dyDescent="0.25">
      <c r="A29" s="32"/>
      <c r="B29" s="50"/>
      <c r="C29" s="368"/>
      <c r="D29" s="48"/>
      <c r="E29" s="48"/>
      <c r="G29" s="208">
        <f>IF(H16&gt;0,ROUND(E29-(E29*H16),0),0)</f>
        <v>0</v>
      </c>
    </row>
    <row r="30" spans="1:7" x14ac:dyDescent="0.25">
      <c r="A30" s="32"/>
      <c r="B30" s="50"/>
      <c r="C30" s="368"/>
      <c r="D30" s="48"/>
      <c r="E30" s="48"/>
      <c r="G30" s="208">
        <f>IF(H16&gt;0,ROUND(E30-(E30*H16),0),0)</f>
        <v>0</v>
      </c>
    </row>
    <row r="31" spans="1:7" x14ac:dyDescent="0.25">
      <c r="A31" s="51" t="str">
        <f>CONCATENATE("Total Tax Levy Funds for ",C5-1," Budgeted Year")</f>
        <v>Total Tax Levy Funds for 2014 Budgeted Year</v>
      </c>
      <c r="B31" s="52"/>
      <c r="C31" s="53"/>
      <c r="D31" s="54"/>
      <c r="E31" s="55">
        <f>SUM(E17:E30)</f>
        <v>1349898.0607740001</v>
      </c>
    </row>
    <row r="32" spans="1:7" x14ac:dyDescent="0.25">
      <c r="A32" s="415" t="str">
        <f>CONCATENATE("Fund Not Considered Part of the Max Levy Computation for ",C5," Budgeted Year:")</f>
        <v>Fund Not Considered Part of the Max Levy Computation for 2015 Budgeted Year:</v>
      </c>
      <c r="B32" s="57"/>
      <c r="C32" s="57"/>
      <c r="D32" s="58"/>
      <c r="E32" s="49"/>
    </row>
    <row r="33" spans="1:7" x14ac:dyDescent="0.25">
      <c r="A33" s="56"/>
      <c r="B33" s="416" t="s">
        <v>632</v>
      </c>
      <c r="C33" s="418" t="s">
        <v>633</v>
      </c>
      <c r="D33" s="417">
        <v>783</v>
      </c>
      <c r="E33" s="417"/>
      <c r="G33" s="208">
        <f>IF(H16&gt;0,ROUND(E33-(E33*H16),0),0)</f>
        <v>0</v>
      </c>
    </row>
    <row r="34" spans="1:7" x14ac:dyDescent="0.25">
      <c r="A34" s="56"/>
      <c r="B34" s="57"/>
      <c r="C34" s="57"/>
      <c r="D34" s="58"/>
      <c r="E34" s="49"/>
    </row>
    <row r="35" spans="1:7" x14ac:dyDescent="0.25">
      <c r="A35" s="33" t="s">
        <v>251</v>
      </c>
      <c r="B35" s="32"/>
      <c r="C35" s="32"/>
      <c r="D35" s="32"/>
      <c r="E35" s="32"/>
    </row>
    <row r="36" spans="1:7" x14ac:dyDescent="0.25">
      <c r="A36" s="32"/>
      <c r="B36" s="46" t="s">
        <v>1022</v>
      </c>
      <c r="C36" s="32"/>
      <c r="D36" s="48">
        <v>182000</v>
      </c>
      <c r="E36" s="32"/>
    </row>
    <row r="37" spans="1:7" x14ac:dyDescent="0.3">
      <c r="A37" s="32"/>
      <c r="B37" s="952" t="s">
        <v>1023</v>
      </c>
      <c r="C37" s="32"/>
      <c r="D37" s="48">
        <v>379700</v>
      </c>
      <c r="E37" s="32"/>
    </row>
    <row r="38" spans="1:7" x14ac:dyDescent="0.25">
      <c r="A38" s="32"/>
      <c r="B38" s="59" t="s">
        <v>1024</v>
      </c>
      <c r="C38" s="32"/>
      <c r="D38" s="48">
        <v>255122.78599999999</v>
      </c>
      <c r="E38" s="32"/>
    </row>
    <row r="39" spans="1:7" x14ac:dyDescent="0.25">
      <c r="A39" s="32"/>
      <c r="B39" s="59" t="s">
        <v>1025</v>
      </c>
      <c r="C39" s="32"/>
      <c r="D39" s="48">
        <v>9897</v>
      </c>
      <c r="E39" s="32"/>
    </row>
    <row r="40" spans="1:7" x14ac:dyDescent="0.3">
      <c r="A40" s="32"/>
      <c r="B40" s="952" t="s">
        <v>1026</v>
      </c>
      <c r="C40" s="32"/>
      <c r="D40" s="48">
        <v>74380</v>
      </c>
      <c r="E40" s="32"/>
    </row>
    <row r="41" spans="1:7" x14ac:dyDescent="0.25">
      <c r="A41" s="32"/>
      <c r="B41" s="50"/>
      <c r="C41" s="32"/>
      <c r="D41" s="48"/>
      <c r="E41" s="32"/>
    </row>
    <row r="42" spans="1:7" x14ac:dyDescent="0.25">
      <c r="A42" s="32"/>
      <c r="B42" s="50"/>
      <c r="C42" s="32"/>
      <c r="D42" s="48"/>
      <c r="E42" s="32"/>
    </row>
    <row r="43" spans="1:7" x14ac:dyDescent="0.25">
      <c r="A43" s="32"/>
      <c r="B43" s="50"/>
      <c r="C43" s="32"/>
      <c r="D43" s="48"/>
      <c r="E43" s="32"/>
    </row>
    <row r="44" spans="1:7" x14ac:dyDescent="0.25">
      <c r="A44" s="32"/>
      <c r="B44" s="50"/>
      <c r="C44" s="32"/>
      <c r="D44" s="48"/>
      <c r="E44" s="32"/>
    </row>
    <row r="45" spans="1:7" x14ac:dyDescent="0.25">
      <c r="A45" s="32"/>
      <c r="B45" s="50"/>
      <c r="C45" s="32"/>
      <c r="D45" s="48"/>
      <c r="E45" s="32"/>
    </row>
    <row r="46" spans="1:7" x14ac:dyDescent="0.25">
      <c r="A46" s="32"/>
      <c r="B46" s="59"/>
      <c r="C46" s="32"/>
      <c r="D46" s="48"/>
      <c r="E46" s="32"/>
    </row>
    <row r="47" spans="1:7" x14ac:dyDescent="0.25">
      <c r="A47" s="32"/>
      <c r="B47" s="59"/>
      <c r="C47" s="32"/>
      <c r="D47" s="48"/>
      <c r="E47" s="32"/>
    </row>
    <row r="48" spans="1:7" x14ac:dyDescent="0.25">
      <c r="A48" s="32"/>
      <c r="B48" s="59"/>
      <c r="C48" s="32"/>
      <c r="D48" s="48"/>
      <c r="E48" s="32"/>
    </row>
    <row r="49" spans="1:5" x14ac:dyDescent="0.25">
      <c r="A49" s="32"/>
      <c r="B49" s="59"/>
      <c r="C49" s="32"/>
      <c r="D49" s="48"/>
      <c r="E49" s="32"/>
    </row>
    <row r="50" spans="1:5" x14ac:dyDescent="0.25">
      <c r="A50" s="32"/>
      <c r="B50" s="59"/>
      <c r="C50" s="32"/>
      <c r="D50" s="48"/>
      <c r="E50" s="32"/>
    </row>
    <row r="51" spans="1:5" x14ac:dyDescent="0.25">
      <c r="A51" s="32"/>
      <c r="B51" s="59"/>
      <c r="C51" s="32"/>
      <c r="D51" s="48"/>
      <c r="E51" s="32"/>
    </row>
    <row r="52" spans="1:5" x14ac:dyDescent="0.25">
      <c r="A52" s="32" t="s">
        <v>272</v>
      </c>
      <c r="B52" s="60"/>
      <c r="C52" s="32"/>
      <c r="D52" s="32"/>
      <c r="E52" s="32"/>
    </row>
    <row r="53" spans="1:5" x14ac:dyDescent="0.3">
      <c r="A53" s="32">
        <v>1</v>
      </c>
      <c r="B53" s="955" t="s">
        <v>1027</v>
      </c>
      <c r="C53" s="32"/>
      <c r="D53" s="48">
        <v>903467</v>
      </c>
      <c r="E53" s="32"/>
    </row>
    <row r="54" spans="1:5" x14ac:dyDescent="0.3">
      <c r="A54" s="32">
        <v>2</v>
      </c>
      <c r="B54" s="955" t="s">
        <v>1028</v>
      </c>
      <c r="C54" s="32"/>
      <c r="D54" s="48">
        <v>4143113</v>
      </c>
      <c r="E54" s="32"/>
    </row>
    <row r="55" spans="1:5" x14ac:dyDescent="0.3">
      <c r="A55" s="32">
        <v>3</v>
      </c>
      <c r="B55" s="952" t="s">
        <v>1029</v>
      </c>
      <c r="C55" s="32"/>
      <c r="D55" s="48">
        <v>893881.00000000012</v>
      </c>
      <c r="E55" s="32"/>
    </row>
    <row r="56" spans="1:5" x14ac:dyDescent="0.3">
      <c r="A56" s="32">
        <v>4</v>
      </c>
      <c r="B56" s="955" t="s">
        <v>1030</v>
      </c>
      <c r="C56" s="32"/>
      <c r="D56" s="48">
        <v>255766.21432476764</v>
      </c>
      <c r="E56" s="32"/>
    </row>
    <row r="57" spans="1:5" x14ac:dyDescent="0.25">
      <c r="A57" s="51" t="str">
        <f>CONCATENATE("Total Expenditures for ",C5-1," Budgeted Year")</f>
        <v>Total Expenditures for 2014 Budgeted Year</v>
      </c>
      <c r="B57" s="61"/>
      <c r="C57" s="62"/>
      <c r="D57" s="63">
        <f>SUM(D17:D19,D21:D30,D36:D51,D53:D56)</f>
        <v>11064076.112698767</v>
      </c>
      <c r="E57" s="32"/>
    </row>
    <row r="58" spans="1:5" x14ac:dyDescent="0.25">
      <c r="A58" s="32" t="s">
        <v>273</v>
      </c>
      <c r="B58" s="64"/>
      <c r="C58" s="32"/>
      <c r="D58" s="32"/>
      <c r="E58" s="32"/>
    </row>
    <row r="59" spans="1:5" x14ac:dyDescent="0.3">
      <c r="A59" s="32">
        <v>1</v>
      </c>
      <c r="B59" s="952" t="s">
        <v>1031</v>
      </c>
      <c r="C59" s="32"/>
      <c r="D59" s="32"/>
      <c r="E59" s="32"/>
    </row>
    <row r="60" spans="1:5" x14ac:dyDescent="0.3">
      <c r="A60" s="32">
        <v>2</v>
      </c>
      <c r="B60" s="952" t="s">
        <v>1032</v>
      </c>
      <c r="C60" s="32"/>
      <c r="D60" s="32"/>
      <c r="E60" s="32"/>
    </row>
    <row r="61" spans="1:5" x14ac:dyDescent="0.3">
      <c r="A61" s="32">
        <v>3</v>
      </c>
      <c r="B61" s="952" t="s">
        <v>1033</v>
      </c>
      <c r="C61" s="32"/>
      <c r="D61" s="32"/>
      <c r="E61" s="32"/>
    </row>
    <row r="62" spans="1:5" x14ac:dyDescent="0.3">
      <c r="A62" s="32">
        <v>4</v>
      </c>
      <c r="B62" s="952" t="s">
        <v>1034</v>
      </c>
      <c r="C62" s="32"/>
      <c r="D62" s="32"/>
      <c r="E62" s="32"/>
    </row>
    <row r="63" spans="1:5" x14ac:dyDescent="0.25">
      <c r="A63" s="32">
        <v>5</v>
      </c>
      <c r="B63" s="59"/>
      <c r="C63" s="32"/>
      <c r="D63" s="32"/>
      <c r="E63" s="32"/>
    </row>
    <row r="64" spans="1:5" x14ac:dyDescent="0.25">
      <c r="A64" s="32" t="s">
        <v>274</v>
      </c>
      <c r="B64" s="60"/>
      <c r="C64" s="32"/>
      <c r="D64" s="32"/>
      <c r="E64" s="32"/>
    </row>
    <row r="65" spans="1:5" x14ac:dyDescent="0.25">
      <c r="A65" s="32">
        <v>1</v>
      </c>
      <c r="B65" s="59" t="s">
        <v>1040</v>
      </c>
      <c r="C65" s="32"/>
      <c r="D65" s="32"/>
      <c r="E65" s="32"/>
    </row>
    <row r="66" spans="1:5" x14ac:dyDescent="0.25">
      <c r="A66" s="32">
        <v>2</v>
      </c>
      <c r="B66" s="59" t="s">
        <v>1041</v>
      </c>
      <c r="C66" s="32"/>
      <c r="D66" s="32"/>
      <c r="E66" s="32"/>
    </row>
    <row r="67" spans="1:5" x14ac:dyDescent="0.25">
      <c r="A67" s="32">
        <v>3</v>
      </c>
      <c r="B67" s="59" t="s">
        <v>1039</v>
      </c>
      <c r="C67" s="32"/>
      <c r="D67" s="32"/>
      <c r="E67" s="32"/>
    </row>
    <row r="68" spans="1:5" x14ac:dyDescent="0.25">
      <c r="A68" s="32">
        <v>4</v>
      </c>
      <c r="B68" s="59" t="s">
        <v>1042</v>
      </c>
      <c r="C68" s="32"/>
      <c r="D68" s="32"/>
      <c r="E68" s="32"/>
    </row>
    <row r="69" spans="1:5" x14ac:dyDescent="0.25">
      <c r="A69" s="32">
        <v>5</v>
      </c>
      <c r="B69" s="59"/>
      <c r="C69" s="32"/>
      <c r="D69" s="32"/>
      <c r="E69" s="32"/>
    </row>
    <row r="70" spans="1:5" x14ac:dyDescent="0.25">
      <c r="A70" s="32" t="s">
        <v>275</v>
      </c>
      <c r="B70" s="60"/>
      <c r="C70" s="32"/>
      <c r="D70" s="32"/>
      <c r="E70" s="32"/>
    </row>
    <row r="71" spans="1:5" x14ac:dyDescent="0.3">
      <c r="A71" s="32">
        <v>1</v>
      </c>
      <c r="B71" s="955" t="s">
        <v>1035</v>
      </c>
      <c r="C71" s="32"/>
      <c r="D71" s="32"/>
      <c r="E71" s="32"/>
    </row>
    <row r="72" spans="1:5" x14ac:dyDescent="0.25">
      <c r="A72" s="32">
        <v>2</v>
      </c>
      <c r="B72" s="59" t="s">
        <v>1036</v>
      </c>
      <c r="C72" s="32"/>
      <c r="D72" s="32"/>
      <c r="E72" s="32"/>
    </row>
    <row r="73" spans="1:5" x14ac:dyDescent="0.25">
      <c r="A73" s="32">
        <v>3</v>
      </c>
      <c r="B73" s="59" t="s">
        <v>1038</v>
      </c>
      <c r="C73" s="32"/>
      <c r="D73" s="32"/>
      <c r="E73" s="32"/>
    </row>
    <row r="74" spans="1:5" x14ac:dyDescent="0.25">
      <c r="A74" s="32">
        <v>4</v>
      </c>
      <c r="B74" s="59" t="s">
        <v>1037</v>
      </c>
      <c r="C74" s="32"/>
      <c r="D74" s="32"/>
      <c r="E74" s="32"/>
    </row>
    <row r="75" spans="1:5" x14ac:dyDescent="0.25">
      <c r="A75" s="32">
        <v>5</v>
      </c>
      <c r="B75" s="59" t="s">
        <v>1043</v>
      </c>
      <c r="C75" s="32"/>
      <c r="D75" s="32"/>
      <c r="E75" s="32"/>
    </row>
    <row r="76" spans="1:5" x14ac:dyDescent="0.25">
      <c r="A76" s="32" t="s">
        <v>276</v>
      </c>
      <c r="B76" s="60"/>
      <c r="C76" s="32"/>
      <c r="D76" s="32"/>
      <c r="E76" s="32"/>
    </row>
    <row r="77" spans="1:5" x14ac:dyDescent="0.3">
      <c r="A77" s="32">
        <v>1</v>
      </c>
      <c r="B77" s="955"/>
      <c r="C77" s="32"/>
      <c r="D77" s="32"/>
      <c r="E77" s="32"/>
    </row>
    <row r="78" spans="1:5" x14ac:dyDescent="0.25">
      <c r="A78" s="32">
        <v>2</v>
      </c>
      <c r="B78" s="59"/>
      <c r="C78" s="32"/>
      <c r="D78" s="32"/>
      <c r="E78" s="32"/>
    </row>
    <row r="79" spans="1:5" x14ac:dyDescent="0.25">
      <c r="A79" s="32">
        <v>3</v>
      </c>
      <c r="B79" s="59"/>
      <c r="C79" s="32"/>
      <c r="D79" s="32"/>
      <c r="E79" s="32"/>
    </row>
    <row r="80" spans="1:5" x14ac:dyDescent="0.25">
      <c r="A80" s="32">
        <v>4</v>
      </c>
      <c r="B80" s="59"/>
      <c r="C80" s="32"/>
      <c r="D80" s="32"/>
      <c r="E80" s="32"/>
    </row>
    <row r="81" spans="1:5" x14ac:dyDescent="0.25">
      <c r="A81" s="32">
        <v>5</v>
      </c>
      <c r="B81" s="59"/>
      <c r="C81" s="32"/>
      <c r="D81" s="32"/>
      <c r="E81" s="32"/>
    </row>
    <row r="82" spans="1:5" x14ac:dyDescent="0.25">
      <c r="A82" s="56"/>
      <c r="B82" s="57"/>
      <c r="C82" s="57"/>
      <c r="D82" s="57"/>
      <c r="E82" s="65"/>
    </row>
    <row r="83" spans="1:5" x14ac:dyDescent="0.25">
      <c r="A83" s="32"/>
      <c r="B83" s="32"/>
      <c r="C83" s="32"/>
      <c r="D83" s="32"/>
      <c r="E83" s="32"/>
    </row>
    <row r="84" spans="1:5" x14ac:dyDescent="0.25">
      <c r="A84" s="32"/>
      <c r="B84" s="32"/>
      <c r="C84" s="32"/>
      <c r="D84" s="66" t="str">
        <f>CONCATENATE("",C5-3," Tax Rate")</f>
        <v>2012 Tax Rate</v>
      </c>
      <c r="E84" s="32"/>
    </row>
    <row r="85" spans="1:5" x14ac:dyDescent="0.25">
      <c r="A85" s="40" t="str">
        <f>CONCATENATE("From the ",C5-1," Budget, Budget Summary Page")</f>
        <v>From the 2014 Budget, Budget Summary Page</v>
      </c>
      <c r="B85" s="41"/>
      <c r="C85" s="32"/>
      <c r="D85" s="67" t="str">
        <f>CONCATENATE("(",C5-2," Column)")</f>
        <v>(2013 Column)</v>
      </c>
      <c r="E85" s="32"/>
    </row>
    <row r="86" spans="1:5" x14ac:dyDescent="0.25">
      <c r="A86" s="32"/>
      <c r="B86" s="68" t="str">
        <f>B17</f>
        <v>General</v>
      </c>
      <c r="C86" s="32"/>
      <c r="D86" s="59">
        <v>25.375</v>
      </c>
      <c r="E86" s="32"/>
    </row>
    <row r="87" spans="1:5" x14ac:dyDescent="0.25">
      <c r="A87" s="32"/>
      <c r="B87" s="68" t="str">
        <f>B18</f>
        <v>Debt Service</v>
      </c>
      <c r="C87" s="32"/>
      <c r="D87" s="59">
        <v>10.449</v>
      </c>
      <c r="E87" s="32"/>
    </row>
    <row r="88" spans="1:5" x14ac:dyDescent="0.25">
      <c r="A88" s="32"/>
      <c r="B88" s="68" t="str">
        <f>B19</f>
        <v>Library</v>
      </c>
      <c r="C88" s="32"/>
      <c r="D88" s="59" t="s">
        <v>1044</v>
      </c>
      <c r="E88" s="32"/>
    </row>
    <row r="89" spans="1:5" x14ac:dyDescent="0.25">
      <c r="A89" s="32"/>
      <c r="B89" s="68" t="str">
        <f>B21</f>
        <v>Industrial</v>
      </c>
      <c r="C89" s="32"/>
      <c r="D89" s="59" t="s">
        <v>1044</v>
      </c>
      <c r="E89" s="32"/>
    </row>
    <row r="90" spans="1:5" x14ac:dyDescent="0.25">
      <c r="A90" s="32"/>
      <c r="B90" s="68" t="str">
        <f t="shared" ref="B90:B98" si="0">B22</f>
        <v>Employee Benefits</v>
      </c>
      <c r="C90" s="32"/>
      <c r="D90" s="59">
        <v>22.433</v>
      </c>
      <c r="E90" s="32"/>
    </row>
    <row r="91" spans="1:5" x14ac:dyDescent="0.25">
      <c r="A91" s="32"/>
      <c r="B91" s="68" t="str">
        <f t="shared" si="0"/>
        <v>Public Safety Equipment</v>
      </c>
      <c r="C91" s="32"/>
      <c r="D91" s="59"/>
      <c r="E91" s="32"/>
    </row>
    <row r="92" spans="1:5" x14ac:dyDescent="0.25">
      <c r="A92" s="32"/>
      <c r="B92" s="68" t="str">
        <f t="shared" si="0"/>
        <v>Recreation Employee Benefits</v>
      </c>
      <c r="C92" s="32"/>
      <c r="D92" s="59"/>
      <c r="E92" s="32"/>
    </row>
    <row r="93" spans="1:5" x14ac:dyDescent="0.25">
      <c r="A93" s="32"/>
      <c r="B93" s="68">
        <f t="shared" si="0"/>
        <v>0</v>
      </c>
      <c r="C93" s="32"/>
      <c r="D93" s="59"/>
      <c r="E93" s="32"/>
    </row>
    <row r="94" spans="1:5" x14ac:dyDescent="0.25">
      <c r="A94" s="32"/>
      <c r="B94" s="68">
        <f t="shared" si="0"/>
        <v>0</v>
      </c>
      <c r="C94" s="32"/>
      <c r="D94" s="59"/>
      <c r="E94" s="32"/>
    </row>
    <row r="95" spans="1:5" x14ac:dyDescent="0.25">
      <c r="A95" s="32"/>
      <c r="B95" s="68">
        <f t="shared" si="0"/>
        <v>0</v>
      </c>
      <c r="C95" s="32"/>
      <c r="D95" s="59"/>
      <c r="E95" s="32"/>
    </row>
    <row r="96" spans="1:5" x14ac:dyDescent="0.25">
      <c r="A96" s="32"/>
      <c r="B96" s="68">
        <f t="shared" si="0"/>
        <v>0</v>
      </c>
      <c r="C96" s="32"/>
      <c r="D96" s="59"/>
      <c r="E96" s="32"/>
    </row>
    <row r="97" spans="1:5" x14ac:dyDescent="0.25">
      <c r="A97" s="32"/>
      <c r="B97" s="68">
        <f t="shared" si="0"/>
        <v>0</v>
      </c>
      <c r="C97" s="32"/>
      <c r="D97" s="59"/>
      <c r="E97" s="32"/>
    </row>
    <row r="98" spans="1:5" x14ac:dyDescent="0.25">
      <c r="A98" s="32"/>
      <c r="B98" s="68">
        <f t="shared" si="0"/>
        <v>0</v>
      </c>
      <c r="C98" s="32"/>
      <c r="D98" s="59"/>
      <c r="E98" s="32"/>
    </row>
    <row r="99" spans="1:5" x14ac:dyDescent="0.25">
      <c r="A99" s="32"/>
      <c r="B99" s="142" t="str">
        <f>B33</f>
        <v>Recreation</v>
      </c>
      <c r="C99" s="136"/>
      <c r="D99" s="59"/>
      <c r="E99" s="32"/>
    </row>
    <row r="100" spans="1:5" x14ac:dyDescent="0.25">
      <c r="A100" s="51" t="s">
        <v>76</v>
      </c>
      <c r="B100" s="52"/>
      <c r="C100" s="62"/>
      <c r="D100" s="69">
        <f>SUM(D86:D99)</f>
        <v>58.256999999999998</v>
      </c>
      <c r="E100" s="32"/>
    </row>
    <row r="101" spans="1:5" x14ac:dyDescent="0.25">
      <c r="A101" s="32"/>
      <c r="B101" s="32"/>
      <c r="C101" s="32"/>
      <c r="D101" s="32"/>
      <c r="E101" s="32"/>
    </row>
    <row r="102" spans="1:5" x14ac:dyDescent="0.25">
      <c r="A102" s="70" t="str">
        <f>CONCATENATE("Total Tax Levied (",C5-2," budget column)")</f>
        <v>Total Tax Levied (2013 budget column)</v>
      </c>
      <c r="B102" s="71"/>
      <c r="C102" s="52"/>
      <c r="D102" s="62"/>
      <c r="E102" s="48">
        <v>1323632.6024720224</v>
      </c>
    </row>
    <row r="103" spans="1:5" x14ac:dyDescent="0.25">
      <c r="A103" s="72" t="str">
        <f>CONCATENATE("Assessed Valuation  (",C5-2," budget column)")</f>
        <v>Assessed Valuation  (2013 budget column)</v>
      </c>
      <c r="B103" s="73"/>
      <c r="C103" s="53"/>
      <c r="D103" s="74"/>
      <c r="E103" s="48">
        <v>22720472</v>
      </c>
    </row>
    <row r="104" spans="1:5" x14ac:dyDescent="0.25">
      <c r="A104" s="56"/>
      <c r="B104" s="57"/>
      <c r="C104" s="57"/>
      <c r="D104" s="57"/>
      <c r="E104" s="65"/>
    </row>
    <row r="105" spans="1:5" x14ac:dyDescent="0.25">
      <c r="A105" s="75" t="str">
        <f>CONCATENATE("From the ",C5-1," Budget, Budget Summary Page")</f>
        <v>From the 2014 Budget, Budget Summary Page</v>
      </c>
      <c r="B105" s="76"/>
      <c r="C105" s="32"/>
      <c r="D105" s="77"/>
      <c r="E105" s="78"/>
    </row>
    <row r="106" spans="1:5" x14ac:dyDescent="0.25">
      <c r="A106" s="39" t="s">
        <v>3</v>
      </c>
      <c r="B106" s="39"/>
      <c r="C106" s="79"/>
      <c r="D106" s="80">
        <f>C5-3</f>
        <v>2012</v>
      </c>
      <c r="E106" s="81">
        <f>C5-2</f>
        <v>2013</v>
      </c>
    </row>
    <row r="107" spans="1:5" x14ac:dyDescent="0.25">
      <c r="A107" s="82" t="s">
        <v>247</v>
      </c>
      <c r="B107" s="82"/>
      <c r="C107" s="83"/>
      <c r="D107" s="84">
        <v>6055000</v>
      </c>
      <c r="E107" s="84">
        <v>8248000</v>
      </c>
    </row>
    <row r="108" spans="1:5" x14ac:dyDescent="0.25">
      <c r="A108" s="85" t="s">
        <v>248</v>
      </c>
      <c r="B108" s="85"/>
      <c r="C108" s="86"/>
      <c r="D108" s="84">
        <v>0</v>
      </c>
      <c r="E108" s="84"/>
    </row>
    <row r="109" spans="1:5" x14ac:dyDescent="0.25">
      <c r="A109" s="85" t="s">
        <v>249</v>
      </c>
      <c r="B109" s="85"/>
      <c r="C109" s="86"/>
      <c r="D109" s="84">
        <v>2101171.04</v>
      </c>
      <c r="E109" s="84">
        <v>0</v>
      </c>
    </row>
    <row r="110" spans="1:5" x14ac:dyDescent="0.25">
      <c r="A110" s="85" t="s">
        <v>250</v>
      </c>
      <c r="B110" s="85"/>
      <c r="C110" s="86"/>
      <c r="D110" s="84">
        <v>156849</v>
      </c>
      <c r="E110" s="84">
        <v>132781</v>
      </c>
    </row>
    <row r="111" spans="1:5" x14ac:dyDescent="0.25">
      <c r="A111" s="87"/>
      <c r="B111" s="87"/>
      <c r="C111" s="87"/>
      <c r="D111" s="87"/>
      <c r="E111" s="87"/>
    </row>
    <row r="112" spans="1:5" x14ac:dyDescent="0.25">
      <c r="A112" s="87"/>
      <c r="B112" s="87"/>
      <c r="C112" s="87"/>
      <c r="D112" s="87"/>
      <c r="E112" s="87"/>
    </row>
    <row r="113" spans="1:5" x14ac:dyDescent="0.25">
      <c r="A113" s="87"/>
      <c r="B113" s="87"/>
      <c r="C113" s="87"/>
      <c r="D113" s="87"/>
      <c r="E113" s="87"/>
    </row>
    <row r="114" spans="1:5" x14ac:dyDescent="0.25">
      <c r="A114" s="87"/>
      <c r="B114" s="87"/>
      <c r="C114" s="87"/>
      <c r="D114" s="87"/>
      <c r="E114" s="87"/>
    </row>
    <row r="115" spans="1:5" x14ac:dyDescent="0.25">
      <c r="A115" s="87"/>
      <c r="B115" s="87"/>
      <c r="C115" s="87"/>
      <c r="D115" s="87"/>
      <c r="E115" s="87"/>
    </row>
    <row r="116" spans="1:5" x14ac:dyDescent="0.25">
      <c r="A116" s="87"/>
      <c r="B116" s="87"/>
      <c r="C116" s="87"/>
      <c r="D116" s="87"/>
      <c r="E116" s="87"/>
    </row>
    <row r="117" spans="1:5" s="87" customFormat="1" ht="15" x14ac:dyDescent="0.25"/>
    <row r="118" spans="1:5" x14ac:dyDescent="0.25">
      <c r="A118" s="87"/>
      <c r="B118" s="87"/>
      <c r="C118" s="87"/>
      <c r="D118" s="87"/>
      <c r="E118" s="87"/>
    </row>
    <row r="119" spans="1:5" x14ac:dyDescent="0.25">
      <c r="A119" s="87"/>
      <c r="B119" s="87"/>
      <c r="C119" s="87"/>
      <c r="D119" s="87"/>
      <c r="E119" s="87"/>
    </row>
    <row r="120" spans="1:5" x14ac:dyDescent="0.25">
      <c r="A120" s="87"/>
      <c r="B120" s="87"/>
      <c r="C120" s="87"/>
      <c r="D120" s="87"/>
      <c r="E120" s="87"/>
    </row>
    <row r="121" spans="1:5" x14ac:dyDescent="0.25">
      <c r="A121" s="87"/>
      <c r="B121" s="87"/>
      <c r="C121" s="87"/>
      <c r="D121" s="87"/>
      <c r="E121" s="87"/>
    </row>
    <row r="122" spans="1:5" x14ac:dyDescent="0.25">
      <c r="A122" s="87"/>
      <c r="B122" s="87"/>
      <c r="C122" s="87"/>
      <c r="D122" s="87"/>
      <c r="E122" s="87"/>
    </row>
    <row r="123" spans="1:5" x14ac:dyDescent="0.25">
      <c r="A123" s="87"/>
      <c r="B123" s="87"/>
      <c r="C123" s="87"/>
      <c r="D123" s="87"/>
      <c r="E123" s="87"/>
    </row>
    <row r="124" spans="1:5" x14ac:dyDescent="0.25">
      <c r="A124" s="87"/>
      <c r="B124" s="87"/>
      <c r="C124" s="87"/>
      <c r="D124" s="87"/>
      <c r="E124" s="87"/>
    </row>
    <row r="125" spans="1:5" x14ac:dyDescent="0.25">
      <c r="A125" s="87"/>
      <c r="B125" s="87"/>
      <c r="C125" s="87"/>
      <c r="D125" s="87"/>
      <c r="E125" s="87"/>
    </row>
    <row r="126" spans="1:5" x14ac:dyDescent="0.25">
      <c r="A126" s="87"/>
      <c r="B126" s="87"/>
      <c r="C126" s="87"/>
      <c r="D126" s="87"/>
      <c r="E126" s="87"/>
    </row>
    <row r="127" spans="1:5" x14ac:dyDescent="0.25">
      <c r="A127" s="87"/>
      <c r="B127" s="87"/>
      <c r="C127" s="87"/>
      <c r="D127" s="87"/>
      <c r="E127" s="87"/>
    </row>
    <row r="128" spans="1:5" x14ac:dyDescent="0.25">
      <c r="A128" s="87"/>
      <c r="B128" s="87"/>
      <c r="C128" s="87"/>
      <c r="D128" s="87"/>
      <c r="E128" s="87"/>
    </row>
  </sheetData>
  <mergeCells count="3">
    <mergeCell ref="A10:E10"/>
    <mergeCell ref="A1:E1"/>
    <mergeCell ref="G8:H13"/>
  </mergeCells>
  <phoneticPr fontId="0" type="noConversion"/>
  <pageMargins left="0.5" right="0.5" top="1" bottom="0.5" header="0.5" footer="0.25"/>
  <pageSetup scale="69" fitToHeight="2" orientation="portrait" blackAndWhite="1" horizontalDpi="120" verticalDpi="144"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97"/>
  <sheetViews>
    <sheetView zoomScaleNormal="100" workbookViewId="0">
      <selection activeCell="Q2" sqref="Q2"/>
    </sheetView>
  </sheetViews>
  <sheetFormatPr defaultColWidth="8.9140625" defaultRowHeight="15.6" x14ac:dyDescent="0.25"/>
  <cols>
    <col min="1" max="1" width="2.4140625" style="30" customWidth="1"/>
    <col min="2" max="2" width="31.08203125" style="30" customWidth="1"/>
    <col min="3" max="4" width="15.75" style="30" customWidth="1"/>
    <col min="5" max="5" width="16.08203125" style="30" customWidth="1"/>
    <col min="6" max="6" width="8.08203125" style="30" customWidth="1"/>
    <col min="7" max="7" width="10.25" style="30" customWidth="1"/>
    <col min="8" max="8" width="8.9140625" style="30"/>
    <col min="9" max="9" width="5" style="30" customWidth="1"/>
    <col min="10" max="10" width="10" style="30" customWidth="1"/>
    <col min="11" max="16384" width="8.9140625" style="30"/>
  </cols>
  <sheetData>
    <row r="1" spans="2:5" x14ac:dyDescent="0.25">
      <c r="B1" s="176" t="str">
        <f>(inputPrYr!D2)</f>
        <v>City of Osawatomie</v>
      </c>
      <c r="C1" s="32"/>
      <c r="D1" s="32"/>
      <c r="E1" s="228">
        <f>inputPrYr!C5</f>
        <v>2015</v>
      </c>
    </row>
    <row r="2" spans="2:5" x14ac:dyDescent="0.25">
      <c r="B2" s="32"/>
      <c r="C2" s="32"/>
      <c r="D2" s="32"/>
      <c r="E2" s="151"/>
    </row>
    <row r="3" spans="2:5" x14ac:dyDescent="0.25">
      <c r="B3" s="229" t="s">
        <v>170</v>
      </c>
      <c r="C3" s="182"/>
      <c r="D3" s="182"/>
      <c r="E3" s="269"/>
    </row>
    <row r="4" spans="2:5" x14ac:dyDescent="0.25">
      <c r="B4" s="33" t="s">
        <v>104</v>
      </c>
      <c r="C4" s="404" t="s">
        <v>803</v>
      </c>
      <c r="D4" s="403" t="s">
        <v>804</v>
      </c>
      <c r="E4" s="382" t="s">
        <v>805</v>
      </c>
    </row>
    <row r="5" spans="2:5" x14ac:dyDescent="0.25">
      <c r="B5" s="530">
        <f>inputPrYr!B27</f>
        <v>0</v>
      </c>
      <c r="C5" s="405" t="str">
        <f>CONCATENATE("Actual for ",E1-2,"")</f>
        <v>Actual for 2013</v>
      </c>
      <c r="D5" s="405" t="str">
        <f>CONCATENATE("Estimate for ",E1-1,"")</f>
        <v>Estimate for 2014</v>
      </c>
      <c r="E5" s="390" t="str">
        <f>CONCATENATE("Year for ",E1,"")</f>
        <v>Year for 2015</v>
      </c>
    </row>
    <row r="6" spans="2:5" x14ac:dyDescent="0.25">
      <c r="B6" s="234" t="s">
        <v>212</v>
      </c>
      <c r="C6" s="239"/>
      <c r="D6" s="237">
        <f>C34</f>
        <v>0</v>
      </c>
      <c r="E6" s="208">
        <f>D34</f>
        <v>0</v>
      </c>
    </row>
    <row r="7" spans="2:5" x14ac:dyDescent="0.25">
      <c r="B7" s="238" t="s">
        <v>214</v>
      </c>
      <c r="C7" s="142"/>
      <c r="D7" s="142"/>
      <c r="E7" s="68"/>
    </row>
    <row r="8" spans="2:5" x14ac:dyDescent="0.25">
      <c r="B8" s="133" t="s">
        <v>105</v>
      </c>
      <c r="C8" s="239"/>
      <c r="D8" s="237">
        <f>IF(inputPrYr!H16&gt;0,inputPrYr!G27,inputPrYr!E27)</f>
        <v>0</v>
      </c>
      <c r="E8" s="267" t="s">
        <v>93</v>
      </c>
    </row>
    <row r="9" spans="2:5" x14ac:dyDescent="0.25">
      <c r="B9" s="133" t="s">
        <v>106</v>
      </c>
      <c r="C9" s="239"/>
      <c r="D9" s="239"/>
      <c r="E9" s="48"/>
    </row>
    <row r="10" spans="2:5" x14ac:dyDescent="0.25">
      <c r="B10" s="133" t="s">
        <v>107</v>
      </c>
      <c r="C10" s="239"/>
      <c r="D10" s="239"/>
      <c r="E10" s="208" t="str">
        <f>mvalloc!D16</f>
        <v xml:space="preserve">  </v>
      </c>
    </row>
    <row r="11" spans="2:5" x14ac:dyDescent="0.25">
      <c r="B11" s="133" t="s">
        <v>108</v>
      </c>
      <c r="C11" s="239"/>
      <c r="D11" s="239"/>
      <c r="E11" s="208" t="str">
        <f>mvalloc!E16</f>
        <v xml:space="preserve"> </v>
      </c>
    </row>
    <row r="12" spans="2:5" x14ac:dyDescent="0.25">
      <c r="B12" s="142" t="s">
        <v>202</v>
      </c>
      <c r="C12" s="239"/>
      <c r="D12" s="239"/>
      <c r="E12" s="208" t="str">
        <f>mvalloc!F16</f>
        <v xml:space="preserve"> </v>
      </c>
    </row>
    <row r="13" spans="2:5" x14ac:dyDescent="0.25">
      <c r="B13" s="255"/>
      <c r="C13" s="239"/>
      <c r="D13" s="239"/>
      <c r="E13" s="48"/>
    </row>
    <row r="14" spans="2:5" x14ac:dyDescent="0.25">
      <c r="B14" s="255"/>
      <c r="C14" s="239"/>
      <c r="D14" s="239"/>
      <c r="E14" s="48"/>
    </row>
    <row r="15" spans="2:5" x14ac:dyDescent="0.25">
      <c r="B15" s="255"/>
      <c r="C15" s="239"/>
      <c r="D15" s="239"/>
      <c r="E15" s="48"/>
    </row>
    <row r="16" spans="2:5" x14ac:dyDescent="0.25">
      <c r="B16" s="255"/>
      <c r="C16" s="239"/>
      <c r="D16" s="239"/>
      <c r="E16" s="48"/>
    </row>
    <row r="17" spans="2:10" x14ac:dyDescent="0.25">
      <c r="B17" s="243" t="s">
        <v>110</v>
      </c>
      <c r="C17" s="239"/>
      <c r="D17" s="239"/>
      <c r="E17" s="48"/>
    </row>
    <row r="18" spans="2:10" x14ac:dyDescent="0.25">
      <c r="B18" s="142" t="s">
        <v>13</v>
      </c>
      <c r="C18" s="239"/>
      <c r="D18" s="239"/>
      <c r="E18" s="48"/>
    </row>
    <row r="19" spans="2:10" x14ac:dyDescent="0.25">
      <c r="B19" s="234" t="s">
        <v>781</v>
      </c>
      <c r="C19" s="244" t="str">
        <f>IF(C20*0.1&lt;C18,"Exceed 10% Rule","")</f>
        <v/>
      </c>
      <c r="D19" s="244" t="str">
        <f>IF(D20*0.1&lt;D18,"Exceed 10% Rule","")</f>
        <v/>
      </c>
      <c r="E19" s="281" t="str">
        <f>IF(E20*0.1+E40&lt;E18,"Exceed 10% Rule","")</f>
        <v/>
      </c>
    </row>
    <row r="20" spans="2:10" x14ac:dyDescent="0.25">
      <c r="B20" s="246" t="s">
        <v>111</v>
      </c>
      <c r="C20" s="248">
        <f>SUM(C8:C18)</f>
        <v>0</v>
      </c>
      <c r="D20" s="248">
        <f>SUM(D8:D18)</f>
        <v>0</v>
      </c>
      <c r="E20" s="249">
        <f>SUM(E8:E18)</f>
        <v>0</v>
      </c>
    </row>
    <row r="21" spans="2:10" x14ac:dyDescent="0.25">
      <c r="B21" s="246" t="s">
        <v>112</v>
      </c>
      <c r="C21" s="248">
        <f>C6+C20</f>
        <v>0</v>
      </c>
      <c r="D21" s="248">
        <f>D6+D20</f>
        <v>0</v>
      </c>
      <c r="E21" s="249">
        <f>E6+E20</f>
        <v>0</v>
      </c>
    </row>
    <row r="22" spans="2:10" x14ac:dyDescent="0.25">
      <c r="B22" s="133" t="s">
        <v>114</v>
      </c>
      <c r="C22" s="256"/>
      <c r="D22" s="256"/>
      <c r="E22" s="46"/>
    </row>
    <row r="23" spans="2:10" x14ac:dyDescent="0.25">
      <c r="B23" s="255"/>
      <c r="C23" s="239"/>
      <c r="D23" s="239"/>
      <c r="E23" s="48"/>
    </row>
    <row r="24" spans="2:10" x14ac:dyDescent="0.25">
      <c r="B24" s="255"/>
      <c r="C24" s="239"/>
      <c r="D24" s="239"/>
      <c r="E24" s="48"/>
      <c r="G24" s="1042" t="str">
        <f>CONCATENATE("Desired Carryover Into ",E1+1,"")</f>
        <v>Desired Carryover Into 2016</v>
      </c>
      <c r="H24" s="1028"/>
      <c r="I24" s="1028"/>
      <c r="J24" s="1029"/>
    </row>
    <row r="25" spans="2:10" x14ac:dyDescent="0.25">
      <c r="B25" s="255"/>
      <c r="C25" s="239"/>
      <c r="D25" s="239"/>
      <c r="E25" s="48"/>
      <c r="G25" s="773"/>
      <c r="H25" s="774"/>
      <c r="I25" s="775"/>
      <c r="J25" s="776"/>
    </row>
    <row r="26" spans="2:10" x14ac:dyDescent="0.25">
      <c r="B26" s="255"/>
      <c r="C26" s="239"/>
      <c r="D26" s="239"/>
      <c r="E26" s="48"/>
      <c r="G26" s="777" t="s">
        <v>769</v>
      </c>
      <c r="H26" s="775"/>
      <c r="I26" s="775"/>
      <c r="J26" s="778">
        <v>0</v>
      </c>
    </row>
    <row r="27" spans="2:10" x14ac:dyDescent="0.25">
      <c r="B27" s="255"/>
      <c r="C27" s="239"/>
      <c r="D27" s="239"/>
      <c r="E27" s="48"/>
      <c r="G27" s="773" t="s">
        <v>770</v>
      </c>
      <c r="H27" s="774"/>
      <c r="I27" s="774"/>
      <c r="J27" s="779" t="str">
        <f>IF(J26=0,"",ROUND((J26+E40-G39)/inputOth!E9*1000,3)-G44)</f>
        <v/>
      </c>
    </row>
    <row r="28" spans="2:10" x14ac:dyDescent="0.25">
      <c r="B28" s="255"/>
      <c r="C28" s="239"/>
      <c r="D28" s="239"/>
      <c r="E28" s="48"/>
      <c r="G28" s="780" t="str">
        <f>CONCATENATE("",E1," Tot Exp/Non-Appr Must Be:")</f>
        <v>2015 Tot Exp/Non-Appr Must Be:</v>
      </c>
      <c r="H28" s="781"/>
      <c r="I28" s="782"/>
      <c r="J28" s="783">
        <f>IF(J26&gt;0,IF(E37&lt;E21,IF(J26=G39,E37,((J26-G39)*(1-D39))+E21),E37+(J26-G39)),0)</f>
        <v>0</v>
      </c>
    </row>
    <row r="29" spans="2:10" x14ac:dyDescent="0.25">
      <c r="B29" s="255"/>
      <c r="C29" s="239"/>
      <c r="D29" s="239"/>
      <c r="E29" s="48"/>
      <c r="G29" s="784" t="s">
        <v>806</v>
      </c>
      <c r="H29" s="785"/>
      <c r="I29" s="785"/>
      <c r="J29" s="752">
        <f>IF(J26&gt;0,J28-E37,0)</f>
        <v>0</v>
      </c>
    </row>
    <row r="30" spans="2:10" x14ac:dyDescent="0.3">
      <c r="B30" s="256" t="s">
        <v>12</v>
      </c>
      <c r="C30" s="239"/>
      <c r="D30" s="239"/>
      <c r="E30" s="63" t="str">
        <f>nhood!E15</f>
        <v/>
      </c>
      <c r="J30" s="2"/>
    </row>
    <row r="31" spans="2:10" x14ac:dyDescent="0.25">
      <c r="B31" s="256" t="s">
        <v>13</v>
      </c>
      <c r="C31" s="239"/>
      <c r="D31" s="239"/>
      <c r="E31" s="48"/>
      <c r="G31" s="1042" t="str">
        <f>CONCATENATE("Projected Carryover Into ",E1+1,"")</f>
        <v>Projected Carryover Into 2016</v>
      </c>
      <c r="H31" s="1048"/>
      <c r="I31" s="1048"/>
      <c r="J31" s="1047"/>
    </row>
    <row r="32" spans="2:10" x14ac:dyDescent="0.3">
      <c r="B32" s="256" t="s">
        <v>782</v>
      </c>
      <c r="C32" s="244" t="str">
        <f>IF(C33*0.1&lt;C31,"Exceed 10% Rule","")</f>
        <v/>
      </c>
      <c r="D32" s="244" t="str">
        <f>IF(D33*0.1&lt;D31,"Exceed 10% Rule","")</f>
        <v/>
      </c>
      <c r="E32" s="281" t="str">
        <f>IF(E33*0.1&lt;E31,"Exceed 10% Rule","")</f>
        <v/>
      </c>
      <c r="G32" s="773"/>
      <c r="H32" s="775"/>
      <c r="I32" s="775"/>
      <c r="J32" s="799"/>
    </row>
    <row r="33" spans="2:11" x14ac:dyDescent="0.3">
      <c r="B33" s="246" t="s">
        <v>118</v>
      </c>
      <c r="C33" s="248">
        <f>SUM(C23:C31)</f>
        <v>0</v>
      </c>
      <c r="D33" s="248">
        <f>SUM(D23:D31)</f>
        <v>0</v>
      </c>
      <c r="E33" s="249">
        <f>SUM(E23:E31)</f>
        <v>0</v>
      </c>
      <c r="G33" s="800">
        <f>D34</f>
        <v>0</v>
      </c>
      <c r="H33" s="764" t="str">
        <f>CONCATENATE("",E1-1," Ending Cash Balance (est.)")</f>
        <v>2014 Ending Cash Balance (est.)</v>
      </c>
      <c r="I33" s="801"/>
      <c r="J33" s="799"/>
    </row>
    <row r="34" spans="2:11" x14ac:dyDescent="0.3">
      <c r="B34" s="133" t="s">
        <v>213</v>
      </c>
      <c r="C34" s="252">
        <f>C21-C33</f>
        <v>0</v>
      </c>
      <c r="D34" s="252">
        <f>D21-D33</f>
        <v>0</v>
      </c>
      <c r="E34" s="267" t="s">
        <v>93</v>
      </c>
      <c r="G34" s="800">
        <f>E20</f>
        <v>0</v>
      </c>
      <c r="H34" s="775" t="str">
        <f>CONCATENATE("",E1," Non-AV Receipts (est.)")</f>
        <v>2015 Non-AV Receipts (est.)</v>
      </c>
      <c r="I34" s="801"/>
      <c r="J34" s="799"/>
    </row>
    <row r="35" spans="2:11" x14ac:dyDescent="0.25">
      <c r="B35" s="153" t="str">
        <f>CONCATENATE("",E1-2,"/",E1-1,"/",E1," Budget Authority Amount:")</f>
        <v>2013/2014/2015 Budget Authority Amount:</v>
      </c>
      <c r="C35" s="897">
        <f>inputOth!B72</f>
        <v>0</v>
      </c>
      <c r="D35" s="824">
        <f>inputPrYr!D27</f>
        <v>0</v>
      </c>
      <c r="E35" s="208">
        <f>E33</f>
        <v>0</v>
      </c>
      <c r="F35" s="258"/>
      <c r="G35" s="802">
        <f>IF(E39&gt;0,E38,E40)</f>
        <v>0</v>
      </c>
      <c r="H35" s="775" t="str">
        <f>CONCATENATE("",E1," Ad Valorem Tax (est.)")</f>
        <v>2015 Ad Valorem Tax (est.)</v>
      </c>
      <c r="I35" s="801"/>
      <c r="J35" s="787"/>
      <c r="K35" s="757" t="str">
        <f>IF(G35=E40,"","Note: Does not include Delinquent Taxes")</f>
        <v/>
      </c>
    </row>
    <row r="36" spans="2:11" x14ac:dyDescent="0.3">
      <c r="B36" s="119"/>
      <c r="C36" s="1021" t="s">
        <v>628</v>
      </c>
      <c r="D36" s="1022"/>
      <c r="E36" s="48"/>
      <c r="F36" s="860" t="str">
        <f>IF(E33/0.95-E33&lt;E36,"Exceeds 5%","")</f>
        <v/>
      </c>
      <c r="G36" s="800">
        <f>SUM(G33:G35)</f>
        <v>0</v>
      </c>
      <c r="H36" s="775" t="str">
        <f>CONCATENATE("Total ",E1," Resources Available")</f>
        <v>Total 2015 Resources Available</v>
      </c>
      <c r="I36" s="801"/>
      <c r="J36" s="799"/>
    </row>
    <row r="37" spans="2:11" x14ac:dyDescent="0.3">
      <c r="B37" s="526" t="str">
        <f>CONCATENATE(C94,"     ",D94)</f>
        <v xml:space="preserve">     </v>
      </c>
      <c r="C37" s="1023" t="s">
        <v>629</v>
      </c>
      <c r="D37" s="1024"/>
      <c r="E37" s="208">
        <f>E33+E36</f>
        <v>0</v>
      </c>
      <c r="G37" s="819"/>
      <c r="H37" s="775"/>
      <c r="I37" s="775"/>
      <c r="J37" s="799"/>
    </row>
    <row r="38" spans="2:11" x14ac:dyDescent="0.3">
      <c r="B38" s="526" t="str">
        <f>CONCATENATE(C95,"     ",D95)</f>
        <v xml:space="preserve">     </v>
      </c>
      <c r="C38" s="259"/>
      <c r="D38" s="151" t="s">
        <v>119</v>
      </c>
      <c r="E38" s="63">
        <f>IF(E37-E21&gt;0,E37-E21,0)</f>
        <v>0</v>
      </c>
      <c r="G38" s="802">
        <f>ROUND(C33*0.05+C33,0)</f>
        <v>0</v>
      </c>
      <c r="H38" s="775" t="str">
        <f>CONCATENATE("Less ",E1-2," Expenditures + 5%")</f>
        <v>Less 2013 Expenditures + 5%</v>
      </c>
      <c r="I38" s="801"/>
      <c r="J38" s="799"/>
    </row>
    <row r="39" spans="2:11" x14ac:dyDescent="0.3">
      <c r="B39" s="151"/>
      <c r="C39" s="369" t="s">
        <v>627</v>
      </c>
      <c r="D39" s="732">
        <f>inputOth!$E$50</f>
        <v>0.08</v>
      </c>
      <c r="E39" s="208">
        <f>ROUND(IF(D39&gt;0,(E38*D39),0),0)</f>
        <v>0</v>
      </c>
      <c r="G39" s="820">
        <f>G36-G38</f>
        <v>0</v>
      </c>
      <c r="H39" s="821" t="str">
        <f>CONCATENATE("Projected ",E1+1," carryover (est.)")</f>
        <v>Projected 2016 carryover (est.)</v>
      </c>
      <c r="I39" s="822"/>
      <c r="J39" s="812"/>
    </row>
    <row r="40" spans="2:11" ht="16.2" thickBot="1" x14ac:dyDescent="0.35">
      <c r="B40" s="32"/>
      <c r="C40" s="1025" t="str">
        <f>CONCATENATE("Amount of  ",$E$1-1," Ad Valorem Tax")</f>
        <v>Amount of  2014 Ad Valorem Tax</v>
      </c>
      <c r="D40" s="1026"/>
      <c r="E40" s="735">
        <f>E38+E39</f>
        <v>0</v>
      </c>
      <c r="G40" s="2"/>
      <c r="H40" s="2"/>
      <c r="I40" s="2"/>
      <c r="J40" s="2"/>
    </row>
    <row r="41" spans="2:11" ht="16.2" thickTop="1" x14ac:dyDescent="0.25">
      <c r="B41" s="32"/>
      <c r="C41" s="32"/>
      <c r="D41" s="32"/>
      <c r="E41" s="32"/>
      <c r="G41" s="1018" t="s">
        <v>807</v>
      </c>
      <c r="H41" s="1019"/>
      <c r="I41" s="1019"/>
      <c r="J41" s="1020"/>
    </row>
    <row r="42" spans="2:11" x14ac:dyDescent="0.25">
      <c r="B42" s="33"/>
      <c r="C42" s="125"/>
      <c r="D42" s="125"/>
      <c r="E42" s="125"/>
      <c r="G42" s="763"/>
      <c r="H42" s="764"/>
      <c r="I42" s="765"/>
      <c r="J42" s="766"/>
    </row>
    <row r="43" spans="2:11" x14ac:dyDescent="0.25">
      <c r="B43" s="33" t="s">
        <v>104</v>
      </c>
      <c r="C43" s="404" t="s">
        <v>803</v>
      </c>
      <c r="D43" s="403" t="s">
        <v>804</v>
      </c>
      <c r="E43" s="382" t="s">
        <v>805</v>
      </c>
      <c r="G43" s="767" t="str">
        <f>summ!H24</f>
        <v xml:space="preserve">  </v>
      </c>
      <c r="H43" s="764" t="str">
        <f>CONCATENATE("",E1," Fund Mill Rate")</f>
        <v>2015 Fund Mill Rate</v>
      </c>
      <c r="I43" s="765"/>
      <c r="J43" s="766"/>
    </row>
    <row r="44" spans="2:11" x14ac:dyDescent="0.25">
      <c r="B44" s="530">
        <f>inputPrYr!B28</f>
        <v>0</v>
      </c>
      <c r="C44" s="405" t="str">
        <f>CONCATENATE("Actual for ",E1-2,"")</f>
        <v>Actual for 2013</v>
      </c>
      <c r="D44" s="405" t="str">
        <f>CONCATENATE("Estimate for ",E1-1,"")</f>
        <v>Estimate for 2014</v>
      </c>
      <c r="E44" s="390" t="str">
        <f>CONCATENATE("Year for ",E1,"")</f>
        <v>Year for 2015</v>
      </c>
      <c r="G44" s="768" t="str">
        <f>summ!E24</f>
        <v xml:space="preserve">  </v>
      </c>
      <c r="H44" s="764" t="str">
        <f>CONCATENATE("",E1-1," Fund Mill Rate")</f>
        <v>2014 Fund Mill Rate</v>
      </c>
      <c r="I44" s="765"/>
      <c r="J44" s="766"/>
    </row>
    <row r="45" spans="2:11" x14ac:dyDescent="0.25">
      <c r="B45" s="234" t="s">
        <v>212</v>
      </c>
      <c r="C45" s="239"/>
      <c r="D45" s="237">
        <f>C74</f>
        <v>0</v>
      </c>
      <c r="E45" s="208">
        <f>D74</f>
        <v>0</v>
      </c>
      <c r="G45" s="769">
        <f>summ!H52</f>
        <v>64.292999999999992</v>
      </c>
      <c r="H45" s="764" t="str">
        <f>CONCATENATE("Total ",E1," Mill Rate")</f>
        <v>Total 2015 Mill Rate</v>
      </c>
      <c r="I45" s="765"/>
      <c r="J45" s="766"/>
    </row>
    <row r="46" spans="2:11" x14ac:dyDescent="0.25">
      <c r="B46" s="238" t="s">
        <v>214</v>
      </c>
      <c r="C46" s="142"/>
      <c r="D46" s="142"/>
      <c r="E46" s="68"/>
      <c r="G46" s="768">
        <f>summ!E52</f>
        <v>59.930999999999997</v>
      </c>
      <c r="H46" s="770" t="str">
        <f>CONCATENATE("Total ",E1-1," Mill Rate")</f>
        <v>Total 2014 Mill Rate</v>
      </c>
      <c r="I46" s="771"/>
      <c r="J46" s="772"/>
    </row>
    <row r="47" spans="2:11" x14ac:dyDescent="0.25">
      <c r="B47" s="133" t="s">
        <v>105</v>
      </c>
      <c r="C47" s="239"/>
      <c r="D47" s="237">
        <f>IF(inputPrYr!H16&gt;0,inputPrYr!G28,inputPrYr!E28)</f>
        <v>0</v>
      </c>
      <c r="E47" s="267" t="s">
        <v>93</v>
      </c>
    </row>
    <row r="48" spans="2:11" x14ac:dyDescent="0.25">
      <c r="B48" s="133" t="s">
        <v>106</v>
      </c>
      <c r="C48" s="239"/>
      <c r="D48" s="239"/>
      <c r="E48" s="48"/>
      <c r="G48" s="930" t="s">
        <v>986</v>
      </c>
      <c r="H48" s="885"/>
      <c r="I48" s="884" t="str">
        <f>cert!F60</f>
        <v>Yes</v>
      </c>
    </row>
    <row r="49" spans="2:10" x14ac:dyDescent="0.25">
      <c r="B49" s="133" t="s">
        <v>107</v>
      </c>
      <c r="C49" s="239"/>
      <c r="D49" s="239"/>
      <c r="E49" s="208" t="str">
        <f>mvalloc!D17</f>
        <v xml:space="preserve">  </v>
      </c>
    </row>
    <row r="50" spans="2:10" x14ac:dyDescent="0.25">
      <c r="B50" s="133" t="s">
        <v>108</v>
      </c>
      <c r="C50" s="239"/>
      <c r="D50" s="239"/>
      <c r="E50" s="208" t="str">
        <f>mvalloc!E17</f>
        <v xml:space="preserve"> </v>
      </c>
    </row>
    <row r="51" spans="2:10" x14ac:dyDescent="0.25">
      <c r="B51" s="142" t="s">
        <v>202</v>
      </c>
      <c r="C51" s="239"/>
      <c r="D51" s="239"/>
      <c r="E51" s="208" t="str">
        <f>mvalloc!F17</f>
        <v xml:space="preserve"> </v>
      </c>
    </row>
    <row r="52" spans="2:10" x14ac:dyDescent="0.25">
      <c r="B52" s="255"/>
      <c r="C52" s="239"/>
      <c r="D52" s="239"/>
      <c r="E52" s="48"/>
    </row>
    <row r="53" spans="2:10" x14ac:dyDescent="0.25">
      <c r="B53" s="255"/>
      <c r="C53" s="239"/>
      <c r="D53" s="239"/>
      <c r="E53" s="48"/>
    </row>
    <row r="54" spans="2:10" x14ac:dyDescent="0.25">
      <c r="B54" s="255"/>
      <c r="C54" s="239"/>
      <c r="D54" s="239"/>
      <c r="E54" s="48"/>
    </row>
    <row r="55" spans="2:10" x14ac:dyDescent="0.25">
      <c r="B55" s="255"/>
      <c r="C55" s="239"/>
      <c r="D55" s="239"/>
      <c r="E55" s="48"/>
    </row>
    <row r="56" spans="2:10" x14ac:dyDescent="0.25">
      <c r="B56" s="255"/>
      <c r="C56" s="239"/>
      <c r="D56" s="239"/>
      <c r="E56" s="48"/>
    </row>
    <row r="57" spans="2:10" x14ac:dyDescent="0.25">
      <c r="B57" s="243" t="s">
        <v>110</v>
      </c>
      <c r="C57" s="239"/>
      <c r="D57" s="239"/>
      <c r="E57" s="48"/>
    </row>
    <row r="58" spans="2:10" x14ac:dyDescent="0.25">
      <c r="B58" s="142" t="s">
        <v>13</v>
      </c>
      <c r="C58" s="239"/>
      <c r="D58" s="239"/>
      <c r="E58" s="48"/>
    </row>
    <row r="59" spans="2:10" x14ac:dyDescent="0.25">
      <c r="B59" s="234" t="s">
        <v>781</v>
      </c>
      <c r="C59" s="244" t="str">
        <f>IF(C60*0.1&lt;C58,"Exceed 10% Rule","")</f>
        <v/>
      </c>
      <c r="D59" s="244" t="str">
        <f>IF(D60*0.1&lt;D58,"Exceed 10% Rule","")</f>
        <v/>
      </c>
      <c r="E59" s="281" t="str">
        <f>IF(E60*0.1+E80&lt;E58,"Exceed 10% Rule","")</f>
        <v/>
      </c>
    </row>
    <row r="60" spans="2:10" x14ac:dyDescent="0.25">
      <c r="B60" s="246" t="s">
        <v>111</v>
      </c>
      <c r="C60" s="248">
        <f>SUM(C47:C58)</f>
        <v>0</v>
      </c>
      <c r="D60" s="248">
        <f>SUM(D47:D58)</f>
        <v>0</v>
      </c>
      <c r="E60" s="249">
        <f>SUM(E47:E58)</f>
        <v>0</v>
      </c>
    </row>
    <row r="61" spans="2:10" x14ac:dyDescent="0.25">
      <c r="B61" s="246" t="s">
        <v>112</v>
      </c>
      <c r="C61" s="248">
        <f>C45+C60</f>
        <v>0</v>
      </c>
      <c r="D61" s="248">
        <f>D45+D60</f>
        <v>0</v>
      </c>
      <c r="E61" s="249">
        <f>E45+E60</f>
        <v>0</v>
      </c>
    </row>
    <row r="62" spans="2:10" x14ac:dyDescent="0.25">
      <c r="B62" s="133" t="s">
        <v>114</v>
      </c>
      <c r="C62" s="256"/>
      <c r="D62" s="256"/>
      <c r="E62" s="46"/>
    </row>
    <row r="63" spans="2:10" x14ac:dyDescent="0.25">
      <c r="B63" s="255"/>
      <c r="C63" s="239"/>
      <c r="D63" s="239"/>
      <c r="E63" s="48"/>
    </row>
    <row r="64" spans="2:10" x14ac:dyDescent="0.25">
      <c r="B64" s="255"/>
      <c r="C64" s="239"/>
      <c r="D64" s="239"/>
      <c r="E64" s="48"/>
      <c r="G64" s="1042" t="str">
        <f>CONCATENATE("Desired Carryover Into ",E1+1,"")</f>
        <v>Desired Carryover Into 2016</v>
      </c>
      <c r="H64" s="1028"/>
      <c r="I64" s="1028"/>
      <c r="J64" s="1029"/>
    </row>
    <row r="65" spans="2:11" x14ac:dyDescent="0.25">
      <c r="B65" s="255"/>
      <c r="C65" s="239"/>
      <c r="D65" s="239"/>
      <c r="E65" s="48"/>
      <c r="G65" s="773"/>
      <c r="H65" s="774"/>
      <c r="I65" s="775"/>
      <c r="J65" s="776"/>
    </row>
    <row r="66" spans="2:11" x14ac:dyDescent="0.25">
      <c r="B66" s="255"/>
      <c r="C66" s="239"/>
      <c r="D66" s="239"/>
      <c r="E66" s="48"/>
      <c r="G66" s="777" t="s">
        <v>769</v>
      </c>
      <c r="H66" s="775"/>
      <c r="I66" s="775"/>
      <c r="J66" s="778">
        <v>0</v>
      </c>
    </row>
    <row r="67" spans="2:11" x14ac:dyDescent="0.25">
      <c r="B67" s="255"/>
      <c r="C67" s="239"/>
      <c r="D67" s="239"/>
      <c r="E67" s="48"/>
      <c r="G67" s="773" t="s">
        <v>770</v>
      </c>
      <c r="H67" s="774"/>
      <c r="I67" s="774"/>
      <c r="J67" s="779" t="str">
        <f>IF(J66=0,"",ROUND((J66+E80-G79)/inputOth!E9*1000,3)-G84)</f>
        <v/>
      </c>
    </row>
    <row r="68" spans="2:11" x14ac:dyDescent="0.25">
      <c r="B68" s="255"/>
      <c r="C68" s="239"/>
      <c r="D68" s="239"/>
      <c r="E68" s="48"/>
      <c r="G68" s="780" t="str">
        <f>CONCATENATE("",E1," Tot Exp/Non-Appr Must Be:")</f>
        <v>2015 Tot Exp/Non-Appr Must Be:</v>
      </c>
      <c r="H68" s="781"/>
      <c r="I68" s="782"/>
      <c r="J68" s="783">
        <f>IF(J66&gt;0,IF(E77&lt;E61,IF(J66=G79,E77,((J66-G79)*(1-D79))+E61),E77+(J66-G79)),0)</f>
        <v>0</v>
      </c>
    </row>
    <row r="69" spans="2:11" x14ac:dyDescent="0.25">
      <c r="B69" s="255"/>
      <c r="C69" s="239"/>
      <c r="D69" s="239"/>
      <c r="E69" s="48"/>
      <c r="G69" s="784" t="s">
        <v>806</v>
      </c>
      <c r="H69" s="785"/>
      <c r="I69" s="785"/>
      <c r="J69" s="752">
        <f>IF(J66&gt;0,J68-E77,0)</f>
        <v>0</v>
      </c>
    </row>
    <row r="70" spans="2:11" x14ac:dyDescent="0.3">
      <c r="B70" s="256" t="s">
        <v>12</v>
      </c>
      <c r="C70" s="239"/>
      <c r="D70" s="239"/>
      <c r="E70" s="63" t="str">
        <f>nhood!E16</f>
        <v/>
      </c>
      <c r="J70" s="2"/>
    </row>
    <row r="71" spans="2:11" x14ac:dyDescent="0.25">
      <c r="B71" s="256" t="s">
        <v>13</v>
      </c>
      <c r="C71" s="239"/>
      <c r="D71" s="239"/>
      <c r="E71" s="48"/>
      <c r="G71" s="1042" t="str">
        <f>CONCATENATE("Projected Carryover Into ",E1+1,"")</f>
        <v>Projected Carryover Into 2016</v>
      </c>
      <c r="H71" s="1046"/>
      <c r="I71" s="1046"/>
      <c r="J71" s="1047"/>
    </row>
    <row r="72" spans="2:11" x14ac:dyDescent="0.25">
      <c r="B72" s="256" t="s">
        <v>782</v>
      </c>
      <c r="C72" s="244" t="str">
        <f>IF(C73*0.1&lt;C71,"Exceed 10% Rule","")</f>
        <v/>
      </c>
      <c r="D72" s="244" t="str">
        <f>IF(D73*0.1&lt;D71,"Exceed 10% Rule","")</f>
        <v/>
      </c>
      <c r="E72" s="281" t="str">
        <f>IF(E73*0.1&lt;E71,"Exceed 10% Rule","")</f>
        <v/>
      </c>
      <c r="G72" s="798"/>
      <c r="H72" s="774"/>
      <c r="I72" s="774"/>
      <c r="J72" s="805"/>
    </row>
    <row r="73" spans="2:11" x14ac:dyDescent="0.25">
      <c r="B73" s="246" t="s">
        <v>118</v>
      </c>
      <c r="C73" s="248">
        <f>SUM(C63:C71)</f>
        <v>0</v>
      </c>
      <c r="D73" s="248">
        <f>SUM(D63:D71)</f>
        <v>0</v>
      </c>
      <c r="E73" s="249">
        <f>SUM(E63:E71)</f>
        <v>0</v>
      </c>
      <c r="G73" s="800">
        <f>D74</f>
        <v>0</v>
      </c>
      <c r="H73" s="764" t="str">
        <f>CONCATENATE("",E1-1," Ending Cash Balance (est.)")</f>
        <v>2014 Ending Cash Balance (est.)</v>
      </c>
      <c r="I73" s="801"/>
      <c r="J73" s="805"/>
    </row>
    <row r="74" spans="2:11" x14ac:dyDescent="0.25">
      <c r="B74" s="133" t="s">
        <v>213</v>
      </c>
      <c r="C74" s="252">
        <f>C61-C73</f>
        <v>0</v>
      </c>
      <c r="D74" s="252">
        <f>D61-D73</f>
        <v>0</v>
      </c>
      <c r="E74" s="267" t="s">
        <v>93</v>
      </c>
      <c r="G74" s="800">
        <f>E60</f>
        <v>0</v>
      </c>
      <c r="H74" s="775" t="str">
        <f>CONCATENATE("",E1," Non-AV Receipts (est.)")</f>
        <v>2015 Non-AV Receipts (est.)</v>
      </c>
      <c r="I74" s="801"/>
      <c r="J74" s="805"/>
    </row>
    <row r="75" spans="2:11" x14ac:dyDescent="0.25">
      <c r="B75" s="153" t="str">
        <f>CONCATENATE("",E1-2,"/",E1-1,"/",E1," Budget Authority Amount:")</f>
        <v>2013/2014/2015 Budget Authority Amount:</v>
      </c>
      <c r="C75" s="897">
        <f>inputOth!B73</f>
        <v>0</v>
      </c>
      <c r="D75" s="824">
        <f>inputPrYr!D28</f>
        <v>0</v>
      </c>
      <c r="E75" s="208">
        <f>E73</f>
        <v>0</v>
      </c>
      <c r="F75" s="258"/>
      <c r="G75" s="802">
        <f>IF(D79&gt;0,E78,E80)</f>
        <v>0</v>
      </c>
      <c r="H75" s="775" t="str">
        <f>CONCATENATE("",E1," Ad Valorem Tax (est.)")</f>
        <v>2015 Ad Valorem Tax (est.)</v>
      </c>
      <c r="I75" s="801"/>
      <c r="J75" s="805"/>
      <c r="K75" s="757" t="str">
        <f>IF(G75=E80,"","Note: Does not include Delinquent Taxes")</f>
        <v/>
      </c>
    </row>
    <row r="76" spans="2:11" x14ac:dyDescent="0.25">
      <c r="B76" s="119"/>
      <c r="C76" s="1021" t="s">
        <v>628</v>
      </c>
      <c r="D76" s="1022"/>
      <c r="E76" s="84"/>
      <c r="F76" s="860" t="str">
        <f>IF(E73/0.95-E73&lt;E76,"Exceeds 5%","")</f>
        <v/>
      </c>
      <c r="G76" s="804">
        <f>SUM(G73:G75)</f>
        <v>0</v>
      </c>
      <c r="H76" s="775" t="str">
        <f>CONCATENATE("Total ",E1," Resources Available")</f>
        <v>Total 2015 Resources Available</v>
      </c>
      <c r="I76" s="805"/>
      <c r="J76" s="805"/>
    </row>
    <row r="77" spans="2:11" x14ac:dyDescent="0.25">
      <c r="B77" s="526" t="str">
        <f>CONCATENATE(C96,"     ",D96)</f>
        <v xml:space="preserve">     </v>
      </c>
      <c r="C77" s="1023" t="s">
        <v>629</v>
      </c>
      <c r="D77" s="1024"/>
      <c r="E77" s="208">
        <f>E73+E76</f>
        <v>0</v>
      </c>
      <c r="G77" s="806"/>
      <c r="H77" s="807"/>
      <c r="I77" s="774"/>
      <c r="J77" s="805"/>
    </row>
    <row r="78" spans="2:11" x14ac:dyDescent="0.25">
      <c r="B78" s="526" t="str">
        <f>CONCATENATE(C97,"     ",D97)</f>
        <v xml:space="preserve">     </v>
      </c>
      <c r="C78" s="259"/>
      <c r="D78" s="151" t="s">
        <v>119</v>
      </c>
      <c r="E78" s="63">
        <f>IF(E77-E61&gt;0,E77-E61,0)</f>
        <v>0</v>
      </c>
      <c r="G78" s="808">
        <f>ROUND(C73*0.05+C73,0)</f>
        <v>0</v>
      </c>
      <c r="H78" s="807" t="str">
        <f>CONCATENATE("Less ",E1-2," Expenditures + 5%")</f>
        <v>Less 2013 Expenditures + 5%</v>
      </c>
      <c r="I78" s="805"/>
      <c r="J78" s="805"/>
    </row>
    <row r="79" spans="2:11" x14ac:dyDescent="0.3">
      <c r="B79" s="119"/>
      <c r="C79" s="369" t="s">
        <v>627</v>
      </c>
      <c r="D79" s="732">
        <f>inputOth!$E$50</f>
        <v>0.08</v>
      </c>
      <c r="E79" s="208">
        <f>ROUND(IF(D79&gt;0,(E78*D79),0),0)</f>
        <v>0</v>
      </c>
      <c r="G79" s="809">
        <f>G76-G78</f>
        <v>0</v>
      </c>
      <c r="H79" s="810" t="str">
        <f>CONCATENATE("Projected ",E1+1," carryover (est.)")</f>
        <v>Projected 2016 carryover (est.)</v>
      </c>
      <c r="I79" s="811"/>
      <c r="J79" s="812"/>
    </row>
    <row r="80" spans="2:11" ht="16.2" thickBot="1" x14ac:dyDescent="0.35">
      <c r="B80" s="151"/>
      <c r="C80" s="1025" t="str">
        <f>CONCATENATE("Amount of  ",$E$1-1," Ad Valorem Tax")</f>
        <v>Amount of  2014 Ad Valorem Tax</v>
      </c>
      <c r="D80" s="1026"/>
      <c r="E80" s="735">
        <f>E78+E79</f>
        <v>0</v>
      </c>
      <c r="G80" s="2"/>
      <c r="H80" s="2"/>
      <c r="I80" s="2"/>
    </row>
    <row r="81" spans="2:10" ht="16.2" thickTop="1" x14ac:dyDescent="0.25">
      <c r="B81" s="32"/>
      <c r="C81" s="32"/>
      <c r="D81" s="32"/>
      <c r="E81" s="32"/>
      <c r="G81" s="1018" t="s">
        <v>807</v>
      </c>
      <c r="H81" s="1019"/>
      <c r="I81" s="1019"/>
      <c r="J81" s="1020"/>
    </row>
    <row r="82" spans="2:10" x14ac:dyDescent="0.25">
      <c r="B82" s="119" t="s">
        <v>121</v>
      </c>
      <c r="C82" s="263"/>
      <c r="D82" s="32"/>
      <c r="E82" s="32"/>
      <c r="G82" s="763"/>
      <c r="H82" s="764"/>
      <c r="I82" s="765"/>
      <c r="J82" s="766"/>
    </row>
    <row r="83" spans="2:10" x14ac:dyDescent="0.25">
      <c r="B83" s="151"/>
      <c r="G83" s="767" t="str">
        <f>summ!H25</f>
        <v xml:space="preserve">  </v>
      </c>
      <c r="H83" s="764" t="str">
        <f>CONCATENATE("",E1," Fund Mill Rate")</f>
        <v>2015 Fund Mill Rate</v>
      </c>
      <c r="I83" s="765"/>
      <c r="J83" s="766"/>
    </row>
    <row r="84" spans="2:10" x14ac:dyDescent="0.25">
      <c r="G84" s="768" t="str">
        <f>summ!E25</f>
        <v xml:space="preserve">  </v>
      </c>
      <c r="H84" s="764" t="str">
        <f>CONCATENATE("",E1-1," Fund Mill Rate")</f>
        <v>2014 Fund Mill Rate</v>
      </c>
      <c r="I84" s="765"/>
      <c r="J84" s="766"/>
    </row>
    <row r="85" spans="2:10" x14ac:dyDescent="0.25">
      <c r="G85" s="769">
        <f>summ!H52</f>
        <v>64.292999999999992</v>
      </c>
      <c r="H85" s="764" t="str">
        <f>CONCATENATE("Total ",E1," Mill Rate")</f>
        <v>Total 2015 Mill Rate</v>
      </c>
      <c r="I85" s="765"/>
      <c r="J85" s="766"/>
    </row>
    <row r="86" spans="2:10" x14ac:dyDescent="0.25">
      <c r="G86" s="768">
        <f>summ!E52</f>
        <v>59.930999999999997</v>
      </c>
      <c r="H86" s="770" t="str">
        <f>CONCATENATE("Total ",E1-1," Mill Rate")</f>
        <v>Total 2014 Mill Rate</v>
      </c>
      <c r="I86" s="771"/>
      <c r="J86" s="772"/>
    </row>
    <row r="88" spans="2:10" x14ac:dyDescent="0.25">
      <c r="G88" s="931" t="s">
        <v>986</v>
      </c>
      <c r="H88" s="887"/>
      <c r="I88" s="886" t="str">
        <f>cert!F60</f>
        <v>Yes</v>
      </c>
    </row>
    <row r="94" spans="2:10" hidden="1" x14ac:dyDescent="0.25">
      <c r="C94" s="525" t="str">
        <f>IF(C33&gt;C35,"See Tab A","")</f>
        <v/>
      </c>
      <c r="D94" s="525" t="str">
        <f>IF(D31&gt;D35,"See Tab C","")</f>
        <v/>
      </c>
    </row>
    <row r="95" spans="2:10" hidden="1" x14ac:dyDescent="0.25">
      <c r="C95" s="525" t="str">
        <f>IF(C34&lt;0,"See Tab B","")</f>
        <v/>
      </c>
      <c r="D95" s="525" t="str">
        <f>IF(D34&lt;0,"See Tab D","")</f>
        <v/>
      </c>
    </row>
    <row r="96" spans="2:10" hidden="1" x14ac:dyDescent="0.25">
      <c r="C96" s="525" t="str">
        <f>IF(C71&gt;C75,"See Tab A","")</f>
        <v/>
      </c>
      <c r="D96" s="525" t="str">
        <f>IF(D71&gt;D75,"See Tab C","")</f>
        <v/>
      </c>
    </row>
    <row r="97" spans="3:4" hidden="1" x14ac:dyDescent="0.25">
      <c r="C97" s="525" t="str">
        <f>IF(C74&lt;0,"See Tab B","")</f>
        <v/>
      </c>
      <c r="D97" s="525" t="str">
        <f>IF(D74&lt;0,"See Tab D","")</f>
        <v/>
      </c>
    </row>
  </sheetData>
  <sheetProtection sheet="1"/>
  <mergeCells count="12">
    <mergeCell ref="C76:D76"/>
    <mergeCell ref="C77:D77"/>
    <mergeCell ref="C36:D36"/>
    <mergeCell ref="C37:D37"/>
    <mergeCell ref="C80:D80"/>
    <mergeCell ref="C40:D40"/>
    <mergeCell ref="G81:J81"/>
    <mergeCell ref="G24:J24"/>
    <mergeCell ref="G31:J31"/>
    <mergeCell ref="G41:J41"/>
    <mergeCell ref="G64:J64"/>
    <mergeCell ref="G71:J71"/>
  </mergeCells>
  <phoneticPr fontId="0" type="noConversion"/>
  <conditionalFormatting sqref="E31">
    <cfRule type="cellIs" dxfId="227" priority="3" stopIfTrue="1" operator="greaterThan">
      <formula>$E$33*0.1</formula>
    </cfRule>
  </conditionalFormatting>
  <conditionalFormatting sqref="E36">
    <cfRule type="cellIs" dxfId="226" priority="4" stopIfTrue="1" operator="greaterThan">
      <formula>$E$33/0.95-$E$33</formula>
    </cfRule>
  </conditionalFormatting>
  <conditionalFormatting sqref="E71">
    <cfRule type="cellIs" dxfId="225" priority="5" stopIfTrue="1" operator="greaterThan">
      <formula>$E$73*0.1</formula>
    </cfRule>
  </conditionalFormatting>
  <conditionalFormatting sqref="E76">
    <cfRule type="cellIs" dxfId="224" priority="6" stopIfTrue="1" operator="greaterThan">
      <formula>$E$73/0.95-$E$73</formula>
    </cfRule>
  </conditionalFormatting>
  <conditionalFormatting sqref="C31">
    <cfRule type="cellIs" dxfId="223" priority="7" stopIfTrue="1" operator="greaterThan">
      <formula>$C$33*0.1</formula>
    </cfRule>
  </conditionalFormatting>
  <conditionalFormatting sqref="D31">
    <cfRule type="cellIs" dxfId="222" priority="8" stopIfTrue="1" operator="greaterThan">
      <formula>$D$33*0.1</formula>
    </cfRule>
  </conditionalFormatting>
  <conditionalFormatting sqref="D33">
    <cfRule type="cellIs" dxfId="221" priority="9" stopIfTrue="1" operator="greaterThan">
      <formula>$C$35</formula>
    </cfRule>
  </conditionalFormatting>
  <conditionalFormatting sqref="C33">
    <cfRule type="cellIs" dxfId="220" priority="10" stopIfTrue="1" operator="greaterThan">
      <formula>$C$35</formula>
    </cfRule>
  </conditionalFormatting>
  <conditionalFormatting sqref="C34 C74">
    <cfRule type="cellIs" dxfId="219" priority="11" stopIfTrue="1" operator="lessThan">
      <formula>0</formula>
    </cfRule>
  </conditionalFormatting>
  <conditionalFormatting sqref="C71">
    <cfRule type="cellIs" dxfId="218" priority="12" stopIfTrue="1" operator="greaterThan">
      <formula>$C$73*0.1</formula>
    </cfRule>
  </conditionalFormatting>
  <conditionalFormatting sqref="D73">
    <cfRule type="cellIs" dxfId="217" priority="13" stopIfTrue="1" operator="greaterThan">
      <formula>$C$75</formula>
    </cfRule>
  </conditionalFormatting>
  <conditionalFormatting sqref="C73">
    <cfRule type="cellIs" dxfId="216" priority="14" stopIfTrue="1" operator="greaterThan">
      <formula>$C$75</formula>
    </cfRule>
  </conditionalFormatting>
  <conditionalFormatting sqref="D71">
    <cfRule type="cellIs" dxfId="215" priority="15" stopIfTrue="1" operator="greaterThan">
      <formula>$D$73*0.1</formula>
    </cfRule>
  </conditionalFormatting>
  <conditionalFormatting sqref="D18">
    <cfRule type="cellIs" dxfId="214" priority="16" stopIfTrue="1" operator="greaterThan">
      <formula>$D$20*0.1</formula>
    </cfRule>
  </conditionalFormatting>
  <conditionalFormatting sqref="C18">
    <cfRule type="cellIs" dxfId="213" priority="17" stopIfTrue="1" operator="greaterThan">
      <formula>$C$20*0.1</formula>
    </cfRule>
  </conditionalFormatting>
  <conditionalFormatting sqref="D58">
    <cfRule type="cellIs" dxfId="212" priority="18" stopIfTrue="1" operator="greaterThan">
      <formula>$D$60*0.1</formula>
    </cfRule>
  </conditionalFormatting>
  <conditionalFormatting sqref="C58">
    <cfRule type="cellIs" dxfId="211" priority="19" stopIfTrue="1" operator="greaterThan">
      <formula>$C$60*0.1</formula>
    </cfRule>
  </conditionalFormatting>
  <conditionalFormatting sqref="E58">
    <cfRule type="cellIs" dxfId="210" priority="20" stopIfTrue="1" operator="greaterThan">
      <formula>$E$60*0.1+E80</formula>
    </cfRule>
  </conditionalFormatting>
  <conditionalFormatting sqref="E18">
    <cfRule type="cellIs" dxfId="209" priority="21" stopIfTrue="1" operator="greaterThan">
      <formula>$E$20*0.1+E40</formula>
    </cfRule>
  </conditionalFormatting>
  <conditionalFormatting sqref="D74 D34">
    <cfRule type="cellIs" dxfId="208" priority="2" stopIfTrue="1" operator="lessThan">
      <formula>0</formula>
    </cfRule>
  </conditionalFormatting>
  <pageMargins left="0.5" right="0.5" top="1" bottom="0.5" header="0.5" footer="0.5"/>
  <pageSetup scale="56" orientation="portrait" blackAndWhite="1" horizontalDpi="120" verticalDpi="144" r:id="rId1"/>
  <headerFooter alignWithMargins="0">
    <oddHeader>&amp;RState of Kansas
City</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97"/>
  <sheetViews>
    <sheetView zoomScaleNormal="100" workbookViewId="0">
      <selection activeCell="Q2" sqref="Q2"/>
    </sheetView>
  </sheetViews>
  <sheetFormatPr defaultColWidth="8.9140625" defaultRowHeight="15.6" x14ac:dyDescent="0.25"/>
  <cols>
    <col min="1" max="1" width="2.4140625" style="30" customWidth="1"/>
    <col min="2" max="2" width="31.08203125" style="30" customWidth="1"/>
    <col min="3" max="4" width="15.75" style="30" customWidth="1"/>
    <col min="5" max="5" width="16.25" style="30" customWidth="1"/>
    <col min="6" max="6" width="8.08203125" style="30" customWidth="1"/>
    <col min="7" max="7" width="10.25" style="30" customWidth="1"/>
    <col min="8" max="8" width="8.9140625" style="30"/>
    <col min="9" max="9" width="5" style="30" customWidth="1"/>
    <col min="10" max="10" width="10" style="30" customWidth="1"/>
    <col min="11" max="16384" width="8.9140625" style="30"/>
  </cols>
  <sheetData>
    <row r="1" spans="2:5" x14ac:dyDescent="0.25">
      <c r="B1" s="176" t="str">
        <f>(inputPrYr!D2)</f>
        <v>City of Osawatomie</v>
      </c>
      <c r="C1" s="32"/>
      <c r="D1" s="32"/>
      <c r="E1" s="228">
        <f>inputPrYr!C5</f>
        <v>2015</v>
      </c>
    </row>
    <row r="2" spans="2:5" x14ac:dyDescent="0.25">
      <c r="B2" s="32"/>
      <c r="C2" s="32"/>
      <c r="D2" s="32"/>
      <c r="E2" s="151"/>
    </row>
    <row r="3" spans="2:5" x14ac:dyDescent="0.25">
      <c r="B3" s="229" t="s">
        <v>170</v>
      </c>
      <c r="C3" s="182"/>
      <c r="D3" s="182"/>
      <c r="E3" s="269"/>
    </row>
    <row r="4" spans="2:5" x14ac:dyDescent="0.25">
      <c r="B4" s="33" t="s">
        <v>104</v>
      </c>
      <c r="C4" s="404" t="s">
        <v>803</v>
      </c>
      <c r="D4" s="403" t="s">
        <v>804</v>
      </c>
      <c r="E4" s="382" t="s">
        <v>805</v>
      </c>
    </row>
    <row r="5" spans="2:5" x14ac:dyDescent="0.25">
      <c r="B5" s="530">
        <f>inputPrYr!B29</f>
        <v>0</v>
      </c>
      <c r="C5" s="405" t="str">
        <f>CONCATENATE("Actual for ",E1-2,"")</f>
        <v>Actual for 2013</v>
      </c>
      <c r="D5" s="405" t="str">
        <f>CONCATENATE("Estimate for ",E1-1,"")</f>
        <v>Estimate for 2014</v>
      </c>
      <c r="E5" s="390" t="str">
        <f>CONCATENATE("Year for ",E1,"")</f>
        <v>Year for 2015</v>
      </c>
    </row>
    <row r="6" spans="2:5" x14ac:dyDescent="0.25">
      <c r="B6" s="234" t="s">
        <v>212</v>
      </c>
      <c r="C6" s="239"/>
      <c r="D6" s="237">
        <f>C34</f>
        <v>0</v>
      </c>
      <c r="E6" s="208">
        <f>D34</f>
        <v>0</v>
      </c>
    </row>
    <row r="7" spans="2:5" x14ac:dyDescent="0.25">
      <c r="B7" s="238" t="s">
        <v>214</v>
      </c>
      <c r="C7" s="142"/>
      <c r="D7" s="142"/>
      <c r="E7" s="68"/>
    </row>
    <row r="8" spans="2:5" x14ac:dyDescent="0.25">
      <c r="B8" s="133" t="s">
        <v>105</v>
      </c>
      <c r="C8" s="239"/>
      <c r="D8" s="237">
        <f>IF(inputPrYr!H16&gt;0,inputPrYr!G29,inputPrYr!E29)</f>
        <v>0</v>
      </c>
      <c r="E8" s="267" t="s">
        <v>93</v>
      </c>
    </row>
    <row r="9" spans="2:5" x14ac:dyDescent="0.25">
      <c r="B9" s="133" t="s">
        <v>106</v>
      </c>
      <c r="C9" s="239"/>
      <c r="D9" s="239"/>
      <c r="E9" s="48"/>
    </row>
    <row r="10" spans="2:5" x14ac:dyDescent="0.25">
      <c r="B10" s="133" t="s">
        <v>107</v>
      </c>
      <c r="C10" s="239"/>
      <c r="D10" s="239"/>
      <c r="E10" s="208" t="str">
        <f>mvalloc!D18</f>
        <v xml:space="preserve">  </v>
      </c>
    </row>
    <row r="11" spans="2:5" x14ac:dyDescent="0.25">
      <c r="B11" s="133" t="s">
        <v>108</v>
      </c>
      <c r="C11" s="239"/>
      <c r="D11" s="239"/>
      <c r="E11" s="208" t="str">
        <f>mvalloc!E18</f>
        <v xml:space="preserve"> </v>
      </c>
    </row>
    <row r="12" spans="2:5" x14ac:dyDescent="0.25">
      <c r="B12" s="142" t="s">
        <v>202</v>
      </c>
      <c r="C12" s="239"/>
      <c r="D12" s="239"/>
      <c r="E12" s="208" t="str">
        <f>mvalloc!F18</f>
        <v xml:space="preserve"> </v>
      </c>
    </row>
    <row r="13" spans="2:5" x14ac:dyDescent="0.25">
      <c r="B13" s="255"/>
      <c r="C13" s="239"/>
      <c r="D13" s="239"/>
      <c r="E13" s="48"/>
    </row>
    <row r="14" spans="2:5" x14ac:dyDescent="0.25">
      <c r="B14" s="255"/>
      <c r="C14" s="239"/>
      <c r="D14" s="239"/>
      <c r="E14" s="48"/>
    </row>
    <row r="15" spans="2:5" x14ac:dyDescent="0.25">
      <c r="B15" s="255"/>
      <c r="C15" s="239"/>
      <c r="D15" s="239"/>
      <c r="E15" s="48"/>
    </row>
    <row r="16" spans="2:5" x14ac:dyDescent="0.25">
      <c r="B16" s="255"/>
      <c r="C16" s="239"/>
      <c r="D16" s="239"/>
      <c r="E16" s="48"/>
    </row>
    <row r="17" spans="2:10" x14ac:dyDescent="0.25">
      <c r="B17" s="243" t="s">
        <v>110</v>
      </c>
      <c r="C17" s="239"/>
      <c r="D17" s="239"/>
      <c r="E17" s="48"/>
    </row>
    <row r="18" spans="2:10" x14ac:dyDescent="0.25">
      <c r="B18" s="142" t="s">
        <v>13</v>
      </c>
      <c r="C18" s="239"/>
      <c r="D18" s="239"/>
      <c r="E18" s="48"/>
    </row>
    <row r="19" spans="2:10" x14ac:dyDescent="0.25">
      <c r="B19" s="234" t="s">
        <v>781</v>
      </c>
      <c r="C19" s="244" t="str">
        <f>IF(C20*0.1&lt;C18,"Exceed 10% Rule","")</f>
        <v/>
      </c>
      <c r="D19" s="244" t="str">
        <f>IF(D20*0.1&lt;D18,"Exceed 10% Rule","")</f>
        <v/>
      </c>
      <c r="E19" s="281" t="str">
        <f>IF(E20*0.1+E40&lt;E18,"Exceed 10% Rule","")</f>
        <v/>
      </c>
    </row>
    <row r="20" spans="2:10" x14ac:dyDescent="0.25">
      <c r="B20" s="246" t="s">
        <v>111</v>
      </c>
      <c r="C20" s="248">
        <f>SUM(C8:C18)</f>
        <v>0</v>
      </c>
      <c r="D20" s="248">
        <f>SUM(D8:D18)</f>
        <v>0</v>
      </c>
      <c r="E20" s="249">
        <f>SUM(E8:E18)</f>
        <v>0</v>
      </c>
    </row>
    <row r="21" spans="2:10" x14ac:dyDescent="0.25">
      <c r="B21" s="246" t="s">
        <v>112</v>
      </c>
      <c r="C21" s="248">
        <f>C6+C20</f>
        <v>0</v>
      </c>
      <c r="D21" s="248">
        <f>D6+D20</f>
        <v>0</v>
      </c>
      <c r="E21" s="249">
        <f>E6+E20</f>
        <v>0</v>
      </c>
    </row>
    <row r="22" spans="2:10" x14ac:dyDescent="0.25">
      <c r="B22" s="133" t="s">
        <v>114</v>
      </c>
      <c r="C22" s="256"/>
      <c r="D22" s="256"/>
      <c r="E22" s="46"/>
    </row>
    <row r="23" spans="2:10" x14ac:dyDescent="0.25">
      <c r="B23" s="255"/>
      <c r="C23" s="239"/>
      <c r="D23" s="239"/>
      <c r="E23" s="48"/>
    </row>
    <row r="24" spans="2:10" x14ac:dyDescent="0.25">
      <c r="B24" s="255"/>
      <c r="C24" s="239"/>
      <c r="D24" s="239"/>
      <c r="E24" s="48"/>
      <c r="G24" s="1042" t="str">
        <f>CONCATENATE("Desired Carryover Into ",E1+1,"")</f>
        <v>Desired Carryover Into 2016</v>
      </c>
      <c r="H24" s="1028"/>
      <c r="I24" s="1028"/>
      <c r="J24" s="1029"/>
    </row>
    <row r="25" spans="2:10" x14ac:dyDescent="0.25">
      <c r="B25" s="255"/>
      <c r="C25" s="239"/>
      <c r="D25" s="239"/>
      <c r="E25" s="48"/>
      <c r="G25" s="773"/>
      <c r="H25" s="774"/>
      <c r="I25" s="775"/>
      <c r="J25" s="776"/>
    </row>
    <row r="26" spans="2:10" x14ac:dyDescent="0.25">
      <c r="B26" s="255"/>
      <c r="C26" s="239"/>
      <c r="D26" s="239"/>
      <c r="E26" s="48"/>
      <c r="G26" s="777" t="s">
        <v>769</v>
      </c>
      <c r="H26" s="775"/>
      <c r="I26" s="775"/>
      <c r="J26" s="778">
        <v>0</v>
      </c>
    </row>
    <row r="27" spans="2:10" x14ac:dyDescent="0.25">
      <c r="B27" s="255"/>
      <c r="C27" s="239"/>
      <c r="D27" s="239"/>
      <c r="E27" s="48"/>
      <c r="G27" s="773" t="s">
        <v>770</v>
      </c>
      <c r="H27" s="774"/>
      <c r="I27" s="774"/>
      <c r="J27" s="779" t="str">
        <f>IF(J26=0,"",ROUND((J26+E40-G39)/inputOth!E9*1000,3)-G44)</f>
        <v/>
      </c>
    </row>
    <row r="28" spans="2:10" x14ac:dyDescent="0.25">
      <c r="B28" s="255"/>
      <c r="C28" s="239"/>
      <c r="D28" s="239"/>
      <c r="E28" s="48"/>
      <c r="G28" s="780" t="str">
        <f>CONCATENATE("",E1," Tot Exp/Non-Appr Must Be:")</f>
        <v>2015 Tot Exp/Non-Appr Must Be:</v>
      </c>
      <c r="H28" s="781"/>
      <c r="I28" s="782"/>
      <c r="J28" s="783">
        <f>IF(J26&gt;0,IF(E37&lt;E21,IF(J26=G39,E37,((J26-G39)*(1-D39))+E21),E37+(J26-G39)),0)</f>
        <v>0</v>
      </c>
    </row>
    <row r="29" spans="2:10" x14ac:dyDescent="0.25">
      <c r="B29" s="255"/>
      <c r="C29" s="239"/>
      <c r="D29" s="239"/>
      <c r="E29" s="48"/>
      <c r="G29" s="784" t="s">
        <v>806</v>
      </c>
      <c r="H29" s="785"/>
      <c r="I29" s="785"/>
      <c r="J29" s="752">
        <f>IF(J26&gt;0,J28-E37,0)</f>
        <v>0</v>
      </c>
    </row>
    <row r="30" spans="2:10" x14ac:dyDescent="0.3">
      <c r="B30" s="256" t="s">
        <v>12</v>
      </c>
      <c r="C30" s="239"/>
      <c r="D30" s="239"/>
      <c r="E30" s="63" t="str">
        <f>nhood!E17</f>
        <v/>
      </c>
      <c r="J30" s="2"/>
    </row>
    <row r="31" spans="2:10" x14ac:dyDescent="0.25">
      <c r="B31" s="256" t="s">
        <v>13</v>
      </c>
      <c r="C31" s="239"/>
      <c r="D31" s="239"/>
      <c r="E31" s="48"/>
      <c r="G31" s="1042" t="str">
        <f>CONCATENATE("Projected Carryover Into ",E1+1,"")</f>
        <v>Projected Carryover Into 2016</v>
      </c>
      <c r="H31" s="1048"/>
      <c r="I31" s="1048"/>
      <c r="J31" s="1047"/>
    </row>
    <row r="32" spans="2:10" x14ac:dyDescent="0.3">
      <c r="B32" s="256" t="s">
        <v>782</v>
      </c>
      <c r="C32" s="244" t="str">
        <f>IF(C33*0.1&lt;C31,"Exceed 10% Rule","")</f>
        <v/>
      </c>
      <c r="D32" s="244" t="str">
        <f>IF(D33*0.1&lt;D31,"Exceed 10% Rule","")</f>
        <v/>
      </c>
      <c r="E32" s="281" t="str">
        <f>IF(E33*0.1&lt;E31,"Exceed 10% Rule","")</f>
        <v/>
      </c>
      <c r="G32" s="773"/>
      <c r="H32" s="775"/>
      <c r="I32" s="775"/>
      <c r="J32" s="799"/>
    </row>
    <row r="33" spans="2:11" x14ac:dyDescent="0.3">
      <c r="B33" s="246" t="s">
        <v>118</v>
      </c>
      <c r="C33" s="248">
        <f>SUM(C23:C31)</f>
        <v>0</v>
      </c>
      <c r="D33" s="248">
        <f>SUM(D23:D31)</f>
        <v>0</v>
      </c>
      <c r="E33" s="249">
        <f>SUM(E23:E31)</f>
        <v>0</v>
      </c>
      <c r="G33" s="800">
        <f>D34</f>
        <v>0</v>
      </c>
      <c r="H33" s="764" t="str">
        <f>CONCATENATE("",E1-1," Ending Cash Balance (est.)")</f>
        <v>2014 Ending Cash Balance (est.)</v>
      </c>
      <c r="I33" s="801"/>
      <c r="J33" s="799"/>
    </row>
    <row r="34" spans="2:11" x14ac:dyDescent="0.3">
      <c r="B34" s="133" t="s">
        <v>213</v>
      </c>
      <c r="C34" s="252">
        <f>C21-C33</f>
        <v>0</v>
      </c>
      <c r="D34" s="252">
        <f>D21-D33</f>
        <v>0</v>
      </c>
      <c r="E34" s="267" t="s">
        <v>93</v>
      </c>
      <c r="G34" s="800">
        <f>E20</f>
        <v>0</v>
      </c>
      <c r="H34" s="775" t="str">
        <f>CONCATENATE("",E1," Non-AV Receipts (est.)")</f>
        <v>2015 Non-AV Receipts (est.)</v>
      </c>
      <c r="I34" s="801"/>
      <c r="J34" s="799"/>
    </row>
    <row r="35" spans="2:11" x14ac:dyDescent="0.25">
      <c r="B35" s="153" t="str">
        <f>CONCATENATE("",E1-2,"/",E1-1,"/",E1," Budget Authority Amount:")</f>
        <v>2013/2014/2015 Budget Authority Amount:</v>
      </c>
      <c r="C35" s="824">
        <f>inputOth!B74</f>
        <v>0</v>
      </c>
      <c r="D35" s="824">
        <f>inputPrYr!D29</f>
        <v>0</v>
      </c>
      <c r="E35" s="208">
        <f>E33</f>
        <v>0</v>
      </c>
      <c r="F35" s="258"/>
      <c r="G35" s="802">
        <f>IF(E39&gt;0,E38,E40)</f>
        <v>0</v>
      </c>
      <c r="H35" s="775" t="str">
        <f>CONCATENATE("",E1," Ad Valorem Tax (est.)")</f>
        <v>2015 Ad Valorem Tax (est.)</v>
      </c>
      <c r="I35" s="801"/>
      <c r="J35" s="787"/>
      <c r="K35" s="757" t="str">
        <f>IF(G35=E40,"","Note: Does not include Delinquent Taxes")</f>
        <v/>
      </c>
    </row>
    <row r="36" spans="2:11" x14ac:dyDescent="0.3">
      <c r="B36" s="119"/>
      <c r="C36" s="1021" t="s">
        <v>628</v>
      </c>
      <c r="D36" s="1022"/>
      <c r="E36" s="48"/>
      <c r="F36" s="860" t="str">
        <f>IF(E33/0.95-E33&lt;E36,"Exceeds 5%","")</f>
        <v/>
      </c>
      <c r="G36" s="800">
        <f>SUM(G33:G35)</f>
        <v>0</v>
      </c>
      <c r="H36" s="775" t="str">
        <f>CONCATENATE("Total ",E1," Resources Available")</f>
        <v>Total 2015 Resources Available</v>
      </c>
      <c r="I36" s="801"/>
      <c r="J36" s="799"/>
    </row>
    <row r="37" spans="2:11" x14ac:dyDescent="0.3">
      <c r="B37" s="526" t="str">
        <f>CONCATENATE(C94,"     ",D94)</f>
        <v xml:space="preserve">     </v>
      </c>
      <c r="C37" s="1023" t="s">
        <v>629</v>
      </c>
      <c r="D37" s="1024"/>
      <c r="E37" s="208">
        <f>E33+E36</f>
        <v>0</v>
      </c>
      <c r="G37" s="819"/>
      <c r="H37" s="775"/>
      <c r="I37" s="775"/>
      <c r="J37" s="799"/>
    </row>
    <row r="38" spans="2:11" x14ac:dyDescent="0.3">
      <c r="B38" s="526" t="str">
        <f>CONCATENATE(C95,"     ",D95)</f>
        <v xml:space="preserve">     </v>
      </c>
      <c r="C38" s="259"/>
      <c r="D38" s="151" t="s">
        <v>119</v>
      </c>
      <c r="E38" s="63">
        <f>IF(E37-E21&gt;0,E37-E21,0)</f>
        <v>0</v>
      </c>
      <c r="G38" s="802">
        <f>ROUND(C33*0.05+C33,0)</f>
        <v>0</v>
      </c>
      <c r="H38" s="775" t="str">
        <f>CONCATENATE("Less ",E1-2," Expenditures + 5%")</f>
        <v>Less 2013 Expenditures + 5%</v>
      </c>
      <c r="I38" s="801"/>
      <c r="J38" s="799"/>
    </row>
    <row r="39" spans="2:11" x14ac:dyDescent="0.3">
      <c r="B39" s="151"/>
      <c r="C39" s="369" t="s">
        <v>627</v>
      </c>
      <c r="D39" s="732">
        <f>inputOth!$E$50</f>
        <v>0.08</v>
      </c>
      <c r="E39" s="208">
        <f>ROUND(IF(D39&gt;0,(E38*D39),0),0)</f>
        <v>0</v>
      </c>
      <c r="G39" s="820">
        <f>G36-G38</f>
        <v>0</v>
      </c>
      <c r="H39" s="821" t="str">
        <f>CONCATENATE("Projected ",E1+1," carryover (est.)")</f>
        <v>Projected 2016 carryover (est.)</v>
      </c>
      <c r="I39" s="822"/>
      <c r="J39" s="812"/>
    </row>
    <row r="40" spans="2:11" ht="16.2" thickBot="1" x14ac:dyDescent="0.35">
      <c r="B40" s="32"/>
      <c r="C40" s="1025" t="str">
        <f>CONCATENATE("Amount of  ",$E$1-1," Ad Valorem Tax")</f>
        <v>Amount of  2014 Ad Valorem Tax</v>
      </c>
      <c r="D40" s="1026"/>
      <c r="E40" s="735">
        <f>E38+E39</f>
        <v>0</v>
      </c>
      <c r="G40" s="2"/>
      <c r="H40" s="2"/>
      <c r="I40" s="2"/>
      <c r="J40" s="2"/>
    </row>
    <row r="41" spans="2:11" ht="16.2" thickTop="1" x14ac:dyDescent="0.25">
      <c r="B41" s="32"/>
      <c r="C41" s="32"/>
      <c r="D41" s="32"/>
      <c r="E41" s="32"/>
      <c r="G41" s="1018" t="s">
        <v>807</v>
      </c>
      <c r="H41" s="1019"/>
      <c r="I41" s="1019"/>
      <c r="J41" s="1020"/>
    </row>
    <row r="42" spans="2:11" x14ac:dyDescent="0.25">
      <c r="B42" s="33"/>
      <c r="C42" s="125"/>
      <c r="D42" s="125"/>
      <c r="E42" s="125"/>
      <c r="G42" s="763"/>
      <c r="H42" s="764"/>
      <c r="I42" s="765"/>
      <c r="J42" s="766"/>
    </row>
    <row r="43" spans="2:11" x14ac:dyDescent="0.25">
      <c r="B43" s="33" t="s">
        <v>104</v>
      </c>
      <c r="C43" s="404" t="s">
        <v>803</v>
      </c>
      <c r="D43" s="403" t="s">
        <v>804</v>
      </c>
      <c r="E43" s="382" t="s">
        <v>805</v>
      </c>
      <c r="G43" s="767" t="str">
        <f>summ!H26</f>
        <v xml:space="preserve">  </v>
      </c>
      <c r="H43" s="764" t="str">
        <f>CONCATENATE("",E1," Fund Mill Rate")</f>
        <v>2015 Fund Mill Rate</v>
      </c>
      <c r="I43" s="765"/>
      <c r="J43" s="766"/>
    </row>
    <row r="44" spans="2:11" x14ac:dyDescent="0.25">
      <c r="B44" s="530">
        <f>inputPrYr!B30</f>
        <v>0</v>
      </c>
      <c r="C44" s="405" t="str">
        <f>CONCATENATE("Actual for ",E1-2,"")</f>
        <v>Actual for 2013</v>
      </c>
      <c r="D44" s="405" t="str">
        <f>CONCATENATE("Estimate for ",E1-1,"")</f>
        <v>Estimate for 2014</v>
      </c>
      <c r="E44" s="390" t="str">
        <f>CONCATENATE("Year for ",E1,"")</f>
        <v>Year for 2015</v>
      </c>
      <c r="G44" s="768" t="str">
        <f>summ!E26</f>
        <v xml:space="preserve">  </v>
      </c>
      <c r="H44" s="764" t="str">
        <f>CONCATENATE("",E1-1," Fund Mill Rate")</f>
        <v>2014 Fund Mill Rate</v>
      </c>
      <c r="I44" s="765"/>
      <c r="J44" s="766"/>
    </row>
    <row r="45" spans="2:11" x14ac:dyDescent="0.25">
      <c r="B45" s="234" t="s">
        <v>212</v>
      </c>
      <c r="C45" s="239"/>
      <c r="D45" s="237">
        <f>C74</f>
        <v>0</v>
      </c>
      <c r="E45" s="208">
        <f>D74</f>
        <v>0</v>
      </c>
      <c r="G45" s="769">
        <f>summ!H52</f>
        <v>64.292999999999992</v>
      </c>
      <c r="H45" s="764" t="str">
        <f>CONCATENATE("Total ",E1," Mill Rate")</f>
        <v>Total 2015 Mill Rate</v>
      </c>
      <c r="I45" s="765"/>
      <c r="J45" s="766"/>
    </row>
    <row r="46" spans="2:11" x14ac:dyDescent="0.25">
      <c r="B46" s="238" t="s">
        <v>214</v>
      </c>
      <c r="C46" s="142"/>
      <c r="D46" s="142"/>
      <c r="E46" s="68"/>
      <c r="G46" s="768">
        <f>summ!E52</f>
        <v>59.930999999999997</v>
      </c>
      <c r="H46" s="770" t="str">
        <f>CONCATENATE("Total ",E1-1," Mill Rate")</f>
        <v>Total 2014 Mill Rate</v>
      </c>
      <c r="I46" s="771"/>
      <c r="J46" s="772"/>
    </row>
    <row r="47" spans="2:11" x14ac:dyDescent="0.25">
      <c r="B47" s="133" t="s">
        <v>105</v>
      </c>
      <c r="C47" s="239"/>
      <c r="D47" s="237">
        <f>IF(inputPrYr!H16&gt;0,inputPrYr!G30,inputPrYr!E30)</f>
        <v>0</v>
      </c>
      <c r="E47" s="267" t="s">
        <v>93</v>
      </c>
    </row>
    <row r="48" spans="2:11" x14ac:dyDescent="0.25">
      <c r="B48" s="133" t="s">
        <v>106</v>
      </c>
      <c r="C48" s="239"/>
      <c r="D48" s="239"/>
      <c r="E48" s="48"/>
      <c r="G48" s="932" t="s">
        <v>986</v>
      </c>
      <c r="H48" s="889"/>
      <c r="I48" s="888" t="str">
        <f>cert!F60</f>
        <v>Yes</v>
      </c>
    </row>
    <row r="49" spans="2:10" x14ac:dyDescent="0.25">
      <c r="B49" s="133" t="s">
        <v>107</v>
      </c>
      <c r="C49" s="239"/>
      <c r="D49" s="239"/>
      <c r="E49" s="208" t="str">
        <f>mvalloc!D19</f>
        <v xml:space="preserve">  </v>
      </c>
    </row>
    <row r="50" spans="2:10" x14ac:dyDescent="0.25">
      <c r="B50" s="133" t="s">
        <v>108</v>
      </c>
      <c r="C50" s="239"/>
      <c r="D50" s="239"/>
      <c r="E50" s="208" t="str">
        <f>mvalloc!E19</f>
        <v xml:space="preserve"> </v>
      </c>
    </row>
    <row r="51" spans="2:10" x14ac:dyDescent="0.25">
      <c r="B51" s="142" t="s">
        <v>202</v>
      </c>
      <c r="C51" s="239"/>
      <c r="D51" s="239"/>
      <c r="E51" s="208" t="str">
        <f>mvalloc!F19</f>
        <v xml:space="preserve"> </v>
      </c>
    </row>
    <row r="52" spans="2:10" x14ac:dyDescent="0.25">
      <c r="B52" s="255"/>
      <c r="C52" s="239"/>
      <c r="D52" s="239"/>
      <c r="E52" s="48"/>
    </row>
    <row r="53" spans="2:10" x14ac:dyDescent="0.25">
      <c r="B53" s="255"/>
      <c r="C53" s="239"/>
      <c r="D53" s="239"/>
      <c r="E53" s="48"/>
    </row>
    <row r="54" spans="2:10" x14ac:dyDescent="0.25">
      <c r="B54" s="255"/>
      <c r="C54" s="239"/>
      <c r="D54" s="239"/>
      <c r="E54" s="48"/>
    </row>
    <row r="55" spans="2:10" x14ac:dyDescent="0.25">
      <c r="B55" s="255"/>
      <c r="C55" s="239"/>
      <c r="D55" s="239"/>
      <c r="E55" s="48"/>
    </row>
    <row r="56" spans="2:10" x14ac:dyDescent="0.25">
      <c r="B56" s="255"/>
      <c r="C56" s="239"/>
      <c r="D56" s="239"/>
      <c r="E56" s="48"/>
    </row>
    <row r="57" spans="2:10" x14ac:dyDescent="0.25">
      <c r="B57" s="243" t="s">
        <v>110</v>
      </c>
      <c r="C57" s="239"/>
      <c r="D57" s="239"/>
      <c r="E57" s="48"/>
    </row>
    <row r="58" spans="2:10" x14ac:dyDescent="0.25">
      <c r="B58" s="142" t="s">
        <v>13</v>
      </c>
      <c r="C58" s="239"/>
      <c r="D58" s="239"/>
      <c r="E58" s="48"/>
    </row>
    <row r="59" spans="2:10" x14ac:dyDescent="0.25">
      <c r="B59" s="234" t="s">
        <v>781</v>
      </c>
      <c r="C59" s="244" t="str">
        <f>IF(C60*0.1&lt;C58,"Exceed 10% Rule","")</f>
        <v/>
      </c>
      <c r="D59" s="244" t="str">
        <f>IF(D60*0.1&lt;D58,"Exceed 10% Rule","")</f>
        <v/>
      </c>
      <c r="E59" s="281" t="str">
        <f>IF(E60*0.1+E80&lt;E58,"Exceed 10% Rule","")</f>
        <v/>
      </c>
    </row>
    <row r="60" spans="2:10" x14ac:dyDescent="0.25">
      <c r="B60" s="246" t="s">
        <v>111</v>
      </c>
      <c r="C60" s="248">
        <f>SUM(C47:C58)</f>
        <v>0</v>
      </c>
      <c r="D60" s="248">
        <f>SUM(D47:D58)</f>
        <v>0</v>
      </c>
      <c r="E60" s="249">
        <f>SUM(E47:E58)</f>
        <v>0</v>
      </c>
    </row>
    <row r="61" spans="2:10" x14ac:dyDescent="0.25">
      <c r="B61" s="246" t="s">
        <v>112</v>
      </c>
      <c r="C61" s="248">
        <f>C45+C60</f>
        <v>0</v>
      </c>
      <c r="D61" s="248">
        <f>D45+D60</f>
        <v>0</v>
      </c>
      <c r="E61" s="249">
        <f>E45+E60</f>
        <v>0</v>
      </c>
    </row>
    <row r="62" spans="2:10" x14ac:dyDescent="0.25">
      <c r="B62" s="133" t="s">
        <v>114</v>
      </c>
      <c r="C62" s="256"/>
      <c r="D62" s="256"/>
      <c r="E62" s="46"/>
    </row>
    <row r="63" spans="2:10" x14ac:dyDescent="0.25">
      <c r="B63" s="255"/>
      <c r="C63" s="239"/>
      <c r="D63" s="239"/>
      <c r="E63" s="48"/>
    </row>
    <row r="64" spans="2:10" x14ac:dyDescent="0.25">
      <c r="B64" s="255"/>
      <c r="C64" s="239"/>
      <c r="D64" s="239"/>
      <c r="E64" s="48"/>
      <c r="G64" s="1042" t="str">
        <f>CONCATENATE("Desired Carryover Into ",E1+1,"")</f>
        <v>Desired Carryover Into 2016</v>
      </c>
      <c r="H64" s="1028"/>
      <c r="I64" s="1028"/>
      <c r="J64" s="1029"/>
    </row>
    <row r="65" spans="2:11" x14ac:dyDescent="0.25">
      <c r="B65" s="255"/>
      <c r="C65" s="239"/>
      <c r="D65" s="239"/>
      <c r="E65" s="48"/>
      <c r="G65" s="773"/>
      <c r="H65" s="774"/>
      <c r="I65" s="775"/>
      <c r="J65" s="776"/>
    </row>
    <row r="66" spans="2:11" x14ac:dyDescent="0.25">
      <c r="B66" s="255"/>
      <c r="C66" s="239"/>
      <c r="D66" s="239"/>
      <c r="E66" s="48"/>
      <c r="G66" s="777" t="s">
        <v>769</v>
      </c>
      <c r="H66" s="775"/>
      <c r="I66" s="775"/>
      <c r="J66" s="778">
        <v>0</v>
      </c>
    </row>
    <row r="67" spans="2:11" x14ac:dyDescent="0.25">
      <c r="B67" s="255"/>
      <c r="C67" s="239"/>
      <c r="D67" s="239"/>
      <c r="E67" s="48"/>
      <c r="G67" s="773" t="s">
        <v>770</v>
      </c>
      <c r="H67" s="774"/>
      <c r="I67" s="774"/>
      <c r="J67" s="779" t="str">
        <f>IF(J66=0,"",ROUND((J66+E80-G79)/inputOth!E9*1000,3)-G84)</f>
        <v/>
      </c>
    </row>
    <row r="68" spans="2:11" x14ac:dyDescent="0.25">
      <c r="B68" s="255"/>
      <c r="C68" s="239"/>
      <c r="D68" s="239"/>
      <c r="E68" s="48"/>
      <c r="G68" s="780" t="str">
        <f>CONCATENATE("",E1," Tot Exp/Non-Appr Must Be:")</f>
        <v>2015 Tot Exp/Non-Appr Must Be:</v>
      </c>
      <c r="H68" s="781"/>
      <c r="I68" s="782"/>
      <c r="J68" s="783">
        <f>IF(J66&gt;0,IF(E77&lt;E61,IF(J66=G79,E77,((J66-G79)*(1-D79))+E61),E77+(J66-G79)),0)</f>
        <v>0</v>
      </c>
    </row>
    <row r="69" spans="2:11" x14ac:dyDescent="0.25">
      <c r="B69" s="255"/>
      <c r="C69" s="239"/>
      <c r="D69" s="239"/>
      <c r="E69" s="48"/>
      <c r="G69" s="784" t="s">
        <v>806</v>
      </c>
      <c r="H69" s="785"/>
      <c r="I69" s="785"/>
      <c r="J69" s="752">
        <f>IF(J66&gt;0,J68-E78,0)</f>
        <v>0</v>
      </c>
    </row>
    <row r="70" spans="2:11" x14ac:dyDescent="0.3">
      <c r="B70" s="256" t="s">
        <v>12</v>
      </c>
      <c r="C70" s="239"/>
      <c r="D70" s="239"/>
      <c r="E70" s="63" t="str">
        <f>nhood!E18</f>
        <v/>
      </c>
      <c r="J70" s="2"/>
    </row>
    <row r="71" spans="2:11" x14ac:dyDescent="0.25">
      <c r="B71" s="256" t="s">
        <v>13</v>
      </c>
      <c r="C71" s="239"/>
      <c r="D71" s="239"/>
      <c r="E71" s="48"/>
      <c r="G71" s="1042" t="str">
        <f>CONCATENATE("Projected Carryover Into ",E1+1,"")</f>
        <v>Projected Carryover Into 2016</v>
      </c>
      <c r="H71" s="1046"/>
      <c r="I71" s="1046"/>
      <c r="J71" s="1047"/>
    </row>
    <row r="72" spans="2:11" x14ac:dyDescent="0.25">
      <c r="B72" s="256" t="s">
        <v>782</v>
      </c>
      <c r="C72" s="244" t="str">
        <f>IF(C73*0.1&lt;C71,"Exceed 10% Rule","")</f>
        <v/>
      </c>
      <c r="D72" s="244" t="str">
        <f>IF(D73*0.1&lt;D71,"Exceed 10% Rule","")</f>
        <v/>
      </c>
      <c r="E72" s="281" t="str">
        <f>IF(E73*0.1&lt;E71,"Exceed 10% Rule","")</f>
        <v/>
      </c>
      <c r="G72" s="798"/>
      <c r="H72" s="774"/>
      <c r="I72" s="774"/>
      <c r="J72" s="805"/>
    </row>
    <row r="73" spans="2:11" x14ac:dyDescent="0.25">
      <c r="B73" s="246" t="s">
        <v>118</v>
      </c>
      <c r="C73" s="248">
        <f>SUM(C63:C71)</f>
        <v>0</v>
      </c>
      <c r="D73" s="248">
        <f>SUM(D63:D71)</f>
        <v>0</v>
      </c>
      <c r="E73" s="249">
        <f>SUM(E63:E71)</f>
        <v>0</v>
      </c>
      <c r="G73" s="800">
        <f>D74</f>
        <v>0</v>
      </c>
      <c r="H73" s="764" t="str">
        <f>CONCATENATE("",E1-1," Ending Cash Balance (est.)")</f>
        <v>2014 Ending Cash Balance (est.)</v>
      </c>
      <c r="I73" s="801"/>
      <c r="J73" s="805"/>
    </row>
    <row r="74" spans="2:11" x14ac:dyDescent="0.25">
      <c r="B74" s="133" t="s">
        <v>213</v>
      </c>
      <c r="C74" s="252">
        <f>C61-C73</f>
        <v>0</v>
      </c>
      <c r="D74" s="252">
        <f>D61-D73</f>
        <v>0</v>
      </c>
      <c r="E74" s="267" t="s">
        <v>93</v>
      </c>
      <c r="G74" s="800">
        <f>E60</f>
        <v>0</v>
      </c>
      <c r="H74" s="775" t="str">
        <f>CONCATENATE("",E1," Non-AV Receipts (est.)")</f>
        <v>2015 Non-AV Receipts (est.)</v>
      </c>
      <c r="I74" s="801"/>
      <c r="J74" s="805"/>
    </row>
    <row r="75" spans="2:11" x14ac:dyDescent="0.25">
      <c r="B75" s="153" t="str">
        <f>CONCATENATE("",E1-2,"/",E1-1,"/",E1," Budget Authority Amount:")</f>
        <v>2013/2014/2015 Budget Authority Amount:</v>
      </c>
      <c r="C75" s="824">
        <f>inputOth!B75</f>
        <v>0</v>
      </c>
      <c r="D75" s="824">
        <f>inputPrYr!D30</f>
        <v>0</v>
      </c>
      <c r="E75" s="208">
        <f>E73</f>
        <v>0</v>
      </c>
      <c r="F75" s="258"/>
      <c r="G75" s="802">
        <f>IF(D79&gt;0,E78,E80)</f>
        <v>0</v>
      </c>
      <c r="H75" s="775" t="str">
        <f>CONCATENATE("",E1," Ad Valorem Tax (est.)")</f>
        <v>2015 Ad Valorem Tax (est.)</v>
      </c>
      <c r="I75" s="801"/>
      <c r="J75" s="805"/>
      <c r="K75" s="757" t="str">
        <f>IF(G75=E80,"","Note: Does not include Delinquent Taxes")</f>
        <v/>
      </c>
    </row>
    <row r="76" spans="2:11" x14ac:dyDescent="0.25">
      <c r="B76" s="119"/>
      <c r="C76" s="1021" t="s">
        <v>628</v>
      </c>
      <c r="D76" s="1022"/>
      <c r="E76" s="48"/>
      <c r="F76" s="860" t="str">
        <f>IF(E73/0.95-E73&lt;E76,"Exceeds 5%","")</f>
        <v/>
      </c>
      <c r="G76" s="804">
        <f>SUM(G73:G75)</f>
        <v>0</v>
      </c>
      <c r="H76" s="775" t="str">
        <f>CONCATENATE("Total ",E1," Resources Available")</f>
        <v>Total 2015 Resources Available</v>
      </c>
      <c r="I76" s="805"/>
      <c r="J76" s="805"/>
    </row>
    <row r="77" spans="2:11" x14ac:dyDescent="0.25">
      <c r="B77" s="526" t="str">
        <f>CONCATENATE(C96,"     ",D96)</f>
        <v xml:space="preserve">     </v>
      </c>
      <c r="C77" s="1023" t="s">
        <v>629</v>
      </c>
      <c r="D77" s="1024"/>
      <c r="E77" s="208">
        <f>E73+E76</f>
        <v>0</v>
      </c>
      <c r="G77" s="806"/>
      <c r="H77" s="807"/>
      <c r="I77" s="774"/>
      <c r="J77" s="805"/>
    </row>
    <row r="78" spans="2:11" x14ac:dyDescent="0.25">
      <c r="B78" s="526" t="str">
        <f>CONCATENATE(C97,"     ",D97)</f>
        <v xml:space="preserve">     </v>
      </c>
      <c r="C78" s="259"/>
      <c r="D78" s="151" t="s">
        <v>119</v>
      </c>
      <c r="E78" s="63">
        <f>IF(E77-E61&gt;0,E77-E61,0)</f>
        <v>0</v>
      </c>
      <c r="G78" s="808">
        <f>ROUND(C73*0.05+C73,0)</f>
        <v>0</v>
      </c>
      <c r="H78" s="807" t="str">
        <f>CONCATENATE("Less ",E1-2," Expenditures + 5%")</f>
        <v>Less 2013 Expenditures + 5%</v>
      </c>
      <c r="I78" s="805"/>
      <c r="J78" s="805"/>
    </row>
    <row r="79" spans="2:11" x14ac:dyDescent="0.3">
      <c r="B79" s="119"/>
      <c r="C79" s="369" t="s">
        <v>627</v>
      </c>
      <c r="D79" s="732">
        <f>inputOth!$E$50</f>
        <v>0.08</v>
      </c>
      <c r="E79" s="208">
        <f>ROUND(IF(D79&gt;0,(E78*D79),0),0)</f>
        <v>0</v>
      </c>
      <c r="G79" s="809">
        <f>G76-G78</f>
        <v>0</v>
      </c>
      <c r="H79" s="810" t="str">
        <f>CONCATENATE("Projected ",E1+1," carryover (est.)")</f>
        <v>Projected 2016 carryover (est.)</v>
      </c>
      <c r="I79" s="811"/>
      <c r="J79" s="812"/>
    </row>
    <row r="80" spans="2:11" ht="16.2" thickBot="1" x14ac:dyDescent="0.35">
      <c r="B80" s="151"/>
      <c r="C80" s="1025" t="str">
        <f>CONCATENATE("Amount of  ",$E$1-1," Ad Valorem Tax")</f>
        <v>Amount of  2014 Ad Valorem Tax</v>
      </c>
      <c r="D80" s="1026"/>
      <c r="E80" s="735">
        <f>E78+E79</f>
        <v>0</v>
      </c>
      <c r="G80" s="2"/>
      <c r="H80" s="2"/>
      <c r="I80" s="2"/>
    </row>
    <row r="81" spans="2:10" ht="16.2" thickTop="1" x14ac:dyDescent="0.25">
      <c r="B81" s="32"/>
      <c r="C81" s="32"/>
      <c r="D81" s="32"/>
      <c r="E81" s="32"/>
      <c r="G81" s="1018" t="s">
        <v>807</v>
      </c>
      <c r="H81" s="1019"/>
      <c r="I81" s="1019"/>
      <c r="J81" s="1020"/>
    </row>
    <row r="82" spans="2:10" x14ac:dyDescent="0.25">
      <c r="B82" s="119" t="s">
        <v>121</v>
      </c>
      <c r="C82" s="263"/>
      <c r="D82" s="32"/>
      <c r="E82" s="32"/>
      <c r="G82" s="763"/>
      <c r="H82" s="764"/>
      <c r="I82" s="765"/>
      <c r="J82" s="766"/>
    </row>
    <row r="83" spans="2:10" x14ac:dyDescent="0.25">
      <c r="B83" s="79"/>
      <c r="G83" s="767" t="str">
        <f>summ!H27</f>
        <v xml:space="preserve">  </v>
      </c>
      <c r="H83" s="764" t="str">
        <f>CONCATENATE("",E1," Fund Mill Rate")</f>
        <v>2015 Fund Mill Rate</v>
      </c>
      <c r="I83" s="765"/>
      <c r="J83" s="766"/>
    </row>
    <row r="84" spans="2:10" x14ac:dyDescent="0.25">
      <c r="G84" s="768" t="str">
        <f>summ!E27</f>
        <v xml:space="preserve">  </v>
      </c>
      <c r="H84" s="764" t="str">
        <f>CONCATENATE("",E1-1," Fund Mill Rate")</f>
        <v>2014 Fund Mill Rate</v>
      </c>
      <c r="I84" s="765"/>
      <c r="J84" s="766"/>
    </row>
    <row r="85" spans="2:10" x14ac:dyDescent="0.25">
      <c r="G85" s="769">
        <f>summ!H52</f>
        <v>64.292999999999992</v>
      </c>
      <c r="H85" s="764" t="str">
        <f>CONCATENATE("Total ",E1," Mill Rate")</f>
        <v>Total 2015 Mill Rate</v>
      </c>
      <c r="I85" s="765"/>
      <c r="J85" s="766"/>
    </row>
    <row r="86" spans="2:10" x14ac:dyDescent="0.25">
      <c r="G86" s="768">
        <f>summ!E52</f>
        <v>59.930999999999997</v>
      </c>
      <c r="H86" s="770" t="str">
        <f>CONCATENATE("Total ",E1-1," Mill Rate")</f>
        <v>Total 2014 Mill Rate</v>
      </c>
      <c r="I86" s="771"/>
      <c r="J86" s="772"/>
    </row>
    <row r="88" spans="2:10" x14ac:dyDescent="0.25">
      <c r="G88" s="933" t="s">
        <v>986</v>
      </c>
      <c r="H88" s="891"/>
      <c r="I88" s="890" t="str">
        <f>cert!F60</f>
        <v>Yes</v>
      </c>
    </row>
    <row r="94" spans="2:10" hidden="1" x14ac:dyDescent="0.25">
      <c r="C94" s="525" t="str">
        <f>IF(C33&gt;C35,"See Tab A","")</f>
        <v/>
      </c>
      <c r="D94" s="525" t="str">
        <f>IF(D31&gt;D35,"See Tab C","")</f>
        <v/>
      </c>
    </row>
    <row r="95" spans="2:10" hidden="1" x14ac:dyDescent="0.25">
      <c r="C95" s="525" t="str">
        <f>IF(C34&lt;0,"See Tab B","")</f>
        <v/>
      </c>
      <c r="D95" s="525" t="str">
        <f>IF(D34&lt;0,"See Tab D","")</f>
        <v/>
      </c>
    </row>
    <row r="96" spans="2:10" hidden="1" x14ac:dyDescent="0.25">
      <c r="C96" s="525" t="str">
        <f>IF(C71&gt;C75,"See Tab A","")</f>
        <v/>
      </c>
      <c r="D96" s="525" t="str">
        <f>IF(D71&gt;D75,"See Tab C","")</f>
        <v/>
      </c>
    </row>
    <row r="97" spans="3:4" hidden="1" x14ac:dyDescent="0.25">
      <c r="C97" s="525" t="str">
        <f>IF(C74&lt;0,"See Tab B","")</f>
        <v/>
      </c>
      <c r="D97" s="525" t="str">
        <f>IF(D74&lt;0,"See Tab D","")</f>
        <v/>
      </c>
    </row>
  </sheetData>
  <sheetProtection sheet="1"/>
  <mergeCells count="12">
    <mergeCell ref="C36:D36"/>
    <mergeCell ref="C37:D37"/>
    <mergeCell ref="C80:D80"/>
    <mergeCell ref="C40:D40"/>
    <mergeCell ref="C76:D76"/>
    <mergeCell ref="C77:D77"/>
    <mergeCell ref="G81:J81"/>
    <mergeCell ref="G24:J24"/>
    <mergeCell ref="G31:J31"/>
    <mergeCell ref="G41:J41"/>
    <mergeCell ref="G64:J64"/>
    <mergeCell ref="G71:J71"/>
  </mergeCells>
  <phoneticPr fontId="0" type="noConversion"/>
  <conditionalFormatting sqref="E31">
    <cfRule type="cellIs" dxfId="207" priority="3" stopIfTrue="1" operator="greaterThan">
      <formula>$E$33*0.1</formula>
    </cfRule>
  </conditionalFormatting>
  <conditionalFormatting sqref="E36">
    <cfRule type="cellIs" dxfId="206" priority="4" stopIfTrue="1" operator="greaterThan">
      <formula>$E$33/0.95-$E$33</formula>
    </cfRule>
  </conditionalFormatting>
  <conditionalFormatting sqref="E71">
    <cfRule type="cellIs" dxfId="205" priority="5" stopIfTrue="1" operator="greaterThan">
      <formula>$E$73*0.1</formula>
    </cfRule>
  </conditionalFormatting>
  <conditionalFormatting sqref="E76">
    <cfRule type="cellIs" dxfId="204" priority="6" stopIfTrue="1" operator="greaterThan">
      <formula>$E$73/0.95-$E$73</formula>
    </cfRule>
  </conditionalFormatting>
  <conditionalFormatting sqref="C31">
    <cfRule type="cellIs" dxfId="203" priority="7" stopIfTrue="1" operator="greaterThan">
      <formula>$C$33*0.1</formula>
    </cfRule>
  </conditionalFormatting>
  <conditionalFormatting sqref="D31">
    <cfRule type="cellIs" dxfId="202" priority="8" stopIfTrue="1" operator="greaterThan">
      <formula>$D$33*0.1</formula>
    </cfRule>
  </conditionalFormatting>
  <conditionalFormatting sqref="D33">
    <cfRule type="cellIs" dxfId="201" priority="9" stopIfTrue="1" operator="greaterThan">
      <formula>$C$35</formula>
    </cfRule>
  </conditionalFormatting>
  <conditionalFormatting sqref="C33">
    <cfRule type="cellIs" dxfId="200" priority="10" stopIfTrue="1" operator="greaterThan">
      <formula>$C$35</formula>
    </cfRule>
  </conditionalFormatting>
  <conditionalFormatting sqref="C34 C74">
    <cfRule type="cellIs" dxfId="199" priority="11" stopIfTrue="1" operator="lessThan">
      <formula>0</formula>
    </cfRule>
  </conditionalFormatting>
  <conditionalFormatting sqref="C71">
    <cfRule type="cellIs" dxfId="198" priority="12" stopIfTrue="1" operator="greaterThan">
      <formula>$C$73*0.1</formula>
    </cfRule>
  </conditionalFormatting>
  <conditionalFormatting sqref="D71">
    <cfRule type="cellIs" dxfId="197" priority="13" stopIfTrue="1" operator="greaterThan">
      <formula>$D$73*0.1</formula>
    </cfRule>
  </conditionalFormatting>
  <conditionalFormatting sqref="D73">
    <cfRule type="cellIs" dxfId="196" priority="14" stopIfTrue="1" operator="greaterThan">
      <formula>$C$75</formula>
    </cfRule>
  </conditionalFormatting>
  <conditionalFormatting sqref="C73">
    <cfRule type="cellIs" dxfId="195" priority="15" stopIfTrue="1" operator="greaterThan">
      <formula>$C$75</formula>
    </cfRule>
  </conditionalFormatting>
  <conditionalFormatting sqref="D18">
    <cfRule type="cellIs" dxfId="194" priority="16" stopIfTrue="1" operator="greaterThan">
      <formula>$D$20*0.1</formula>
    </cfRule>
  </conditionalFormatting>
  <conditionalFormatting sqref="C18">
    <cfRule type="cellIs" dxfId="193" priority="17" stopIfTrue="1" operator="greaterThan">
      <formula>$C$20*0.1</formula>
    </cfRule>
  </conditionalFormatting>
  <conditionalFormatting sqref="D58">
    <cfRule type="cellIs" dxfId="192" priority="18" stopIfTrue="1" operator="greaterThan">
      <formula>$D$60*0.1</formula>
    </cfRule>
  </conditionalFormatting>
  <conditionalFormatting sqref="C58">
    <cfRule type="cellIs" dxfId="191" priority="19" stopIfTrue="1" operator="greaterThan">
      <formula>$C$60*0.1</formula>
    </cfRule>
  </conditionalFormatting>
  <conditionalFormatting sqref="E58">
    <cfRule type="cellIs" dxfId="190" priority="20" stopIfTrue="1" operator="greaterThan">
      <formula>$E$60*0.1+E80</formula>
    </cfRule>
  </conditionalFormatting>
  <conditionalFormatting sqref="E18">
    <cfRule type="cellIs" dxfId="189" priority="21" stopIfTrue="1" operator="greaterThan">
      <formula>$E$20*0.1+E40</formula>
    </cfRule>
  </conditionalFormatting>
  <conditionalFormatting sqref="D74 D34">
    <cfRule type="cellIs" dxfId="188" priority="2" stopIfTrue="1" operator="lessThan">
      <formula>0</formula>
    </cfRule>
  </conditionalFormatting>
  <pageMargins left="0.5" right="0.5" top="1" bottom="0.5" header="0.5" footer="0.5"/>
  <pageSetup scale="56" orientation="portrait" blackAndWhite="1" horizontalDpi="120" verticalDpi="144" r:id="rId1"/>
  <headerFooter alignWithMargins="0">
    <oddHeader>&amp;RState of Kansas
City</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70"/>
  <sheetViews>
    <sheetView view="pageBreakPreview" zoomScale="115" zoomScaleNormal="100" zoomScaleSheetLayoutView="115" workbookViewId="0">
      <selection activeCell="C11" sqref="C11"/>
    </sheetView>
  </sheetViews>
  <sheetFormatPr defaultColWidth="8.9140625" defaultRowHeight="15.6" x14ac:dyDescent="0.25"/>
  <cols>
    <col min="1" max="1" width="2.4140625" style="30" customWidth="1"/>
    <col min="2" max="2" width="31.08203125" style="30" customWidth="1"/>
    <col min="3" max="3" width="15.4140625" style="30" customWidth="1"/>
    <col min="4" max="4" width="15.25" style="30" customWidth="1"/>
    <col min="5" max="5" width="15.58203125" style="30" customWidth="1"/>
    <col min="6" max="16384" width="8.9140625" style="30"/>
  </cols>
  <sheetData>
    <row r="1" spans="2:5" x14ac:dyDescent="0.25">
      <c r="B1" s="176" t="str">
        <f>(inputPrYr!D2)</f>
        <v>City of Osawatomie</v>
      </c>
      <c r="C1" s="32"/>
      <c r="D1" s="32"/>
      <c r="E1" s="228">
        <f>inputPrYr!C5</f>
        <v>2015</v>
      </c>
    </row>
    <row r="2" spans="2:5" x14ac:dyDescent="0.25">
      <c r="B2" s="32"/>
      <c r="C2" s="32"/>
      <c r="D2" s="32"/>
      <c r="E2" s="151"/>
    </row>
    <row r="3" spans="2:5" x14ac:dyDescent="0.25">
      <c r="B3" s="229" t="s">
        <v>171</v>
      </c>
      <c r="C3" s="270"/>
      <c r="D3" s="270"/>
      <c r="E3" s="270"/>
    </row>
    <row r="4" spans="2:5" x14ac:dyDescent="0.25">
      <c r="B4" s="33" t="s">
        <v>104</v>
      </c>
      <c r="C4" s="404" t="s">
        <v>803</v>
      </c>
      <c r="D4" s="403" t="s">
        <v>804</v>
      </c>
      <c r="E4" s="382" t="s">
        <v>805</v>
      </c>
    </row>
    <row r="5" spans="2:5" x14ac:dyDescent="0.25">
      <c r="B5" s="530" t="str">
        <f>(inputPrYr!B36)</f>
        <v>Street Improvements</v>
      </c>
      <c r="C5" s="405" t="str">
        <f>CONCATENATE("Actual for ",E1-2,"")</f>
        <v>Actual for 2013</v>
      </c>
      <c r="D5" s="405" t="str">
        <f>CONCATENATE("Estimate for ",E1-1,"")</f>
        <v>Estimate for 2014</v>
      </c>
      <c r="E5" s="390" t="str">
        <f>CONCATENATE("Year for ",E1,"")</f>
        <v>Year for 2015</v>
      </c>
    </row>
    <row r="6" spans="2:5" x14ac:dyDescent="0.25">
      <c r="B6" s="234" t="s">
        <v>212</v>
      </c>
      <c r="C6" s="48">
        <v>99272</v>
      </c>
      <c r="D6" s="208">
        <f>C31</f>
        <v>122076</v>
      </c>
      <c r="E6" s="208">
        <f>D31</f>
        <v>54226</v>
      </c>
    </row>
    <row r="7" spans="2:5" x14ac:dyDescent="0.25">
      <c r="B7" s="238" t="s">
        <v>214</v>
      </c>
      <c r="C7" s="68"/>
      <c r="D7" s="68"/>
      <c r="E7" s="68"/>
    </row>
    <row r="8" spans="2:5" x14ac:dyDescent="0.25">
      <c r="B8" s="256" t="s">
        <v>204</v>
      </c>
      <c r="C8" s="48">
        <v>111163</v>
      </c>
      <c r="D8" s="274">
        <f>inputOth!E55</f>
        <v>111930</v>
      </c>
      <c r="E8" s="208">
        <f>inputOth!E53</f>
        <v>112840</v>
      </c>
    </row>
    <row r="9" spans="2:5" x14ac:dyDescent="0.25">
      <c r="B9" s="275" t="s">
        <v>253</v>
      </c>
      <c r="C9" s="48"/>
      <c r="D9" s="274">
        <f>inputOth!E56</f>
        <v>0</v>
      </c>
      <c r="E9" s="274">
        <f>inputOth!E54</f>
        <v>0</v>
      </c>
    </row>
    <row r="10" spans="2:5" x14ac:dyDescent="0.25">
      <c r="B10" s="255" t="s">
        <v>1144</v>
      </c>
      <c r="C10" s="48">
        <v>5100</v>
      </c>
      <c r="D10" s="48">
        <v>5100</v>
      </c>
      <c r="E10" s="48">
        <v>5100</v>
      </c>
    </row>
    <row r="11" spans="2:5" x14ac:dyDescent="0.25">
      <c r="B11" s="255" t="s">
        <v>1223</v>
      </c>
      <c r="C11" s="48">
        <v>3831</v>
      </c>
      <c r="D11" s="48"/>
      <c r="E11" s="48">
        <v>10000</v>
      </c>
    </row>
    <row r="12" spans="2:5" x14ac:dyDescent="0.25">
      <c r="B12" s="255"/>
      <c r="C12" s="48"/>
      <c r="D12" s="48"/>
      <c r="E12" s="48"/>
    </row>
    <row r="13" spans="2:5" x14ac:dyDescent="0.25">
      <c r="B13" s="255"/>
      <c r="C13" s="48"/>
      <c r="D13" s="48"/>
      <c r="E13" s="48"/>
    </row>
    <row r="14" spans="2:5" x14ac:dyDescent="0.25">
      <c r="B14" s="243" t="s">
        <v>110</v>
      </c>
      <c r="C14" s="48"/>
      <c r="D14" s="48"/>
      <c r="E14" s="48"/>
    </row>
    <row r="15" spans="2:5" x14ac:dyDescent="0.25">
      <c r="B15" s="142" t="s">
        <v>13</v>
      </c>
      <c r="C15" s="48"/>
      <c r="D15" s="240"/>
      <c r="E15" s="240"/>
    </row>
    <row r="16" spans="2:5" x14ac:dyDescent="0.25">
      <c r="B16" s="234" t="s">
        <v>781</v>
      </c>
      <c r="C16" s="281" t="str">
        <f>IF(C17*0.1&lt;C15,"Exceed 10% Rule","")</f>
        <v/>
      </c>
      <c r="D16" s="245" t="str">
        <f>IF(D17*0.1&lt;D15,"Exceed 10% Rule","")</f>
        <v/>
      </c>
      <c r="E16" s="245" t="str">
        <f>IF(E17*0.1&lt;E15,"Exceed 10% Rule","")</f>
        <v/>
      </c>
    </row>
    <row r="17" spans="2:5" x14ac:dyDescent="0.25">
      <c r="B17" s="246" t="s">
        <v>111</v>
      </c>
      <c r="C17" s="249">
        <f>SUM(C8:C15)</f>
        <v>120094</v>
      </c>
      <c r="D17" s="249">
        <f>SUM(D8:D15)</f>
        <v>117030</v>
      </c>
      <c r="E17" s="249">
        <f>SUM(E8:E15)</f>
        <v>127940</v>
      </c>
    </row>
    <row r="18" spans="2:5" x14ac:dyDescent="0.25">
      <c r="B18" s="246" t="s">
        <v>112</v>
      </c>
      <c r="C18" s="249">
        <f>C6+C17</f>
        <v>219366</v>
      </c>
      <c r="D18" s="249">
        <f>D6+D17</f>
        <v>239106</v>
      </c>
      <c r="E18" s="249">
        <f>E6+E17</f>
        <v>182166</v>
      </c>
    </row>
    <row r="19" spans="2:5" x14ac:dyDescent="0.25">
      <c r="B19" s="133" t="s">
        <v>114</v>
      </c>
      <c r="C19" s="208"/>
      <c r="D19" s="208"/>
      <c r="E19" s="208"/>
    </row>
    <row r="20" spans="2:5" x14ac:dyDescent="0.25">
      <c r="B20" s="255" t="s">
        <v>1055</v>
      </c>
      <c r="C20" s="48">
        <v>2937</v>
      </c>
      <c r="D20" s="48">
        <v>10000</v>
      </c>
      <c r="E20" s="48">
        <v>5500</v>
      </c>
    </row>
    <row r="21" spans="2:5" x14ac:dyDescent="0.25">
      <c r="B21" s="255" t="s">
        <v>1056</v>
      </c>
      <c r="C21" s="48">
        <v>36128</v>
      </c>
      <c r="D21" s="48">
        <v>62000</v>
      </c>
      <c r="E21" s="48">
        <v>62000</v>
      </c>
    </row>
    <row r="22" spans="2:5" x14ac:dyDescent="0.25">
      <c r="B22" s="255" t="s">
        <v>1057</v>
      </c>
      <c r="C22" s="48">
        <v>58225</v>
      </c>
      <c r="D22" s="48">
        <v>112880</v>
      </c>
      <c r="E22" s="48">
        <v>90480</v>
      </c>
    </row>
    <row r="23" spans="2:5" hidden="1" x14ac:dyDescent="0.25">
      <c r="B23" s="255"/>
      <c r="C23" s="48"/>
      <c r="D23" s="48"/>
      <c r="E23" s="48"/>
    </row>
    <row r="24" spans="2:5" hidden="1" x14ac:dyDescent="0.25">
      <c r="B24" s="255"/>
      <c r="C24" s="48"/>
      <c r="D24" s="48"/>
      <c r="E24" s="48"/>
    </row>
    <row r="25" spans="2:5" hidden="1" x14ac:dyDescent="0.25">
      <c r="B25" s="255"/>
      <c r="C25" s="48"/>
      <c r="D25" s="48"/>
      <c r="E25" s="48"/>
    </row>
    <row r="26" spans="2:5" hidden="1" x14ac:dyDescent="0.25">
      <c r="B26" s="255"/>
      <c r="C26" s="48"/>
      <c r="D26" s="48"/>
      <c r="E26" s="48"/>
    </row>
    <row r="27" spans="2:5" x14ac:dyDescent="0.25">
      <c r="B27" s="255"/>
      <c r="C27" s="48"/>
      <c r="D27" s="48"/>
      <c r="E27" s="48"/>
    </row>
    <row r="28" spans="2:5" x14ac:dyDescent="0.25">
      <c r="B28" s="256" t="s">
        <v>13</v>
      </c>
      <c r="C28" s="48"/>
      <c r="D28" s="240"/>
      <c r="E28" s="240"/>
    </row>
    <row r="29" spans="2:5" x14ac:dyDescent="0.25">
      <c r="B29" s="256" t="s">
        <v>782</v>
      </c>
      <c r="C29" s="281" t="str">
        <f>IF(C30*0.1&lt;C28,"Exceed 10% Rule","")</f>
        <v/>
      </c>
      <c r="D29" s="245" t="str">
        <f>IF(D30*0.1&lt;D28,"Exceed 10% Rule","")</f>
        <v/>
      </c>
      <c r="E29" s="245" t="str">
        <f>IF(E30*0.1&lt;E28,"Exceed 10% Rule","")</f>
        <v/>
      </c>
    </row>
    <row r="30" spans="2:5" x14ac:dyDescent="0.25">
      <c r="B30" s="246" t="s">
        <v>118</v>
      </c>
      <c r="C30" s="249">
        <f>SUM(C20:C28)</f>
        <v>97290</v>
      </c>
      <c r="D30" s="249">
        <f>SUM(D20:D28)</f>
        <v>184880</v>
      </c>
      <c r="E30" s="249">
        <f>SUM(E20:E28)</f>
        <v>157980</v>
      </c>
    </row>
    <row r="31" spans="2:5" x14ac:dyDescent="0.25">
      <c r="B31" s="133" t="s">
        <v>213</v>
      </c>
      <c r="C31" s="63">
        <f>C18-C30</f>
        <v>122076</v>
      </c>
      <c r="D31" s="63">
        <f>D18-D30</f>
        <v>54226</v>
      </c>
      <c r="E31" s="63">
        <f>E18-E30</f>
        <v>24186</v>
      </c>
    </row>
    <row r="32" spans="2:5" x14ac:dyDescent="0.25">
      <c r="B32" s="153" t="str">
        <f>CONCATENATE("",E1-2,"/",E1-1,"/",E1," Budget Authority Amount:")</f>
        <v>2013/2014/2015 Budget Authority Amount:</v>
      </c>
      <c r="C32" s="824">
        <f>inputOth!B77</f>
        <v>129000</v>
      </c>
      <c r="D32" s="824">
        <f>inputPrYr!D36</f>
        <v>182000</v>
      </c>
      <c r="E32" s="898">
        <f>E30</f>
        <v>157980</v>
      </c>
    </row>
    <row r="33" spans="2:5" x14ac:dyDescent="0.25">
      <c r="B33" s="119"/>
      <c r="C33" s="259" t="str">
        <f>IF(C30&gt;C32,"See Tab A","")</f>
        <v/>
      </c>
      <c r="D33" s="259" t="str">
        <f>IF(D30&gt;D32,"See Tab C","")</f>
        <v>See Tab C</v>
      </c>
      <c r="E33" s="899" t="str">
        <f>IF(E31&lt;0,"See Tab E","")</f>
        <v/>
      </c>
    </row>
    <row r="34" spans="2:5" x14ac:dyDescent="0.25">
      <c r="B34" s="119"/>
      <c r="C34" s="259" t="str">
        <f>IF(C31&lt;0,"See Tab B","")</f>
        <v/>
      </c>
      <c r="D34" s="259" t="str">
        <f>IF(D31&lt;0,"See Tab D","")</f>
        <v/>
      </c>
      <c r="E34" s="78"/>
    </row>
    <row r="35" spans="2:5" x14ac:dyDescent="0.25">
      <c r="B35" s="389" t="s">
        <v>121</v>
      </c>
      <c r="C35" s="400">
        <v>16</v>
      </c>
      <c r="D35" s="391"/>
      <c r="E35" s="391"/>
    </row>
    <row r="36" spans="2:5" x14ac:dyDescent="0.25">
      <c r="B36" s="374"/>
      <c r="C36" s="374"/>
      <c r="D36" s="391"/>
      <c r="E36" s="391"/>
    </row>
    <row r="37" spans="2:5" x14ac:dyDescent="0.25">
      <c r="B37" s="387" t="s">
        <v>1014</v>
      </c>
      <c r="C37" s="387"/>
      <c r="D37" s="372"/>
      <c r="E37" s="380">
        <v>2015</v>
      </c>
    </row>
    <row r="38" spans="2:5" x14ac:dyDescent="0.25">
      <c r="B38" s="33"/>
      <c r="C38" s="270"/>
      <c r="D38" s="270"/>
      <c r="E38" s="270"/>
    </row>
    <row r="39" spans="2:5" x14ac:dyDescent="0.25">
      <c r="B39" s="229" t="s">
        <v>171</v>
      </c>
      <c r="C39" s="365"/>
      <c r="D39" s="365"/>
      <c r="E39" s="365"/>
    </row>
    <row r="40" spans="2:5" x14ac:dyDescent="0.25">
      <c r="B40" s="33" t="s">
        <v>104</v>
      </c>
      <c r="C40" s="261" t="s">
        <v>803</v>
      </c>
      <c r="D40" s="127" t="s">
        <v>804</v>
      </c>
      <c r="E40" s="127" t="s">
        <v>805</v>
      </c>
    </row>
    <row r="41" spans="2:5" x14ac:dyDescent="0.25">
      <c r="B41" s="530" t="str">
        <f>(inputPrYr!B37)</f>
        <v>Refuse</v>
      </c>
      <c r="C41" s="233" t="str">
        <f>C5</f>
        <v>Actual for 2013</v>
      </c>
      <c r="D41" s="233" t="str">
        <f>D5</f>
        <v>Estimate for 2014</v>
      </c>
      <c r="E41" s="233" t="str">
        <f>E5</f>
        <v>Year for 2015</v>
      </c>
    </row>
    <row r="42" spans="2:5" x14ac:dyDescent="0.25">
      <c r="B42" s="234" t="s">
        <v>212</v>
      </c>
      <c r="C42" s="48">
        <v>6252</v>
      </c>
      <c r="D42" s="208">
        <f>C65</f>
        <v>5511</v>
      </c>
      <c r="E42" s="208">
        <f>D65</f>
        <v>5154</v>
      </c>
    </row>
    <row r="43" spans="2:5" x14ac:dyDescent="0.25">
      <c r="B43" s="238" t="s">
        <v>214</v>
      </c>
      <c r="C43" s="68"/>
      <c r="D43" s="68"/>
      <c r="E43" s="68"/>
    </row>
    <row r="44" spans="2:5" x14ac:dyDescent="0.25">
      <c r="B44" s="255" t="s">
        <v>1145</v>
      </c>
      <c r="C44" s="48">
        <v>387118</v>
      </c>
      <c r="D44" s="48">
        <v>388000</v>
      </c>
      <c r="E44" s="48">
        <v>395000</v>
      </c>
    </row>
    <row r="45" spans="2:5" hidden="1" x14ac:dyDescent="0.25">
      <c r="B45" s="255"/>
      <c r="C45" s="48"/>
      <c r="D45" s="48"/>
      <c r="E45" s="48"/>
    </row>
    <row r="46" spans="2:5" hidden="1" x14ac:dyDescent="0.25">
      <c r="B46" s="255"/>
      <c r="C46" s="48"/>
      <c r="D46" s="48"/>
      <c r="E46" s="48"/>
    </row>
    <row r="47" spans="2:5" x14ac:dyDescent="0.25">
      <c r="B47" s="255"/>
      <c r="C47" s="48"/>
      <c r="D47" s="48"/>
      <c r="E47" s="48"/>
    </row>
    <row r="48" spans="2:5" x14ac:dyDescent="0.25">
      <c r="B48" s="243" t="s">
        <v>110</v>
      </c>
      <c r="C48" s="48"/>
      <c r="D48" s="48"/>
      <c r="E48" s="48"/>
    </row>
    <row r="49" spans="2:5" x14ac:dyDescent="0.25">
      <c r="B49" s="142" t="s">
        <v>13</v>
      </c>
      <c r="C49" s="48">
        <v>360</v>
      </c>
      <c r="D49" s="240">
        <v>225</v>
      </c>
      <c r="E49" s="240">
        <v>500</v>
      </c>
    </row>
    <row r="50" spans="2:5" x14ac:dyDescent="0.25">
      <c r="B50" s="234" t="s">
        <v>781</v>
      </c>
      <c r="C50" s="281" t="str">
        <f>IF(C51*0.1&lt;C49,"Exceed 10% Rule","")</f>
        <v/>
      </c>
      <c r="D50" s="245" t="str">
        <f>IF(D51*0.1&lt;D49,"Exceed 10% Rule","")</f>
        <v/>
      </c>
      <c r="E50" s="245" t="str">
        <f>IF(E51*0.1&lt;E49,"Exceed 10% Rule","")</f>
        <v/>
      </c>
    </row>
    <row r="51" spans="2:5" x14ac:dyDescent="0.25">
      <c r="B51" s="246" t="s">
        <v>111</v>
      </c>
      <c r="C51" s="249">
        <f>SUM(C44:C49)</f>
        <v>387478</v>
      </c>
      <c r="D51" s="249">
        <f>SUM(D44:D49)</f>
        <v>388225</v>
      </c>
      <c r="E51" s="249">
        <f>SUM(E44:E49)</f>
        <v>395500</v>
      </c>
    </row>
    <row r="52" spans="2:5" x14ac:dyDescent="0.25">
      <c r="B52" s="246" t="s">
        <v>112</v>
      </c>
      <c r="C52" s="249">
        <f>C42+C51</f>
        <v>393730</v>
      </c>
      <c r="D52" s="249">
        <f>D42+D51</f>
        <v>393736</v>
      </c>
      <c r="E52" s="249">
        <f>E42+E51</f>
        <v>400654</v>
      </c>
    </row>
    <row r="53" spans="2:5" x14ac:dyDescent="0.25">
      <c r="B53" s="133" t="s">
        <v>114</v>
      </c>
      <c r="C53" s="208"/>
      <c r="D53" s="208"/>
      <c r="E53" s="208"/>
    </row>
    <row r="54" spans="2:5" x14ac:dyDescent="0.25">
      <c r="B54" s="255" t="s">
        <v>1146</v>
      </c>
      <c r="C54" s="48">
        <v>387619</v>
      </c>
      <c r="D54" s="48">
        <v>387982</v>
      </c>
      <c r="E54" s="48">
        <v>395000</v>
      </c>
    </row>
    <row r="55" spans="2:5" x14ac:dyDescent="0.25">
      <c r="B55" s="255" t="s">
        <v>1147</v>
      </c>
      <c r="C55" s="48">
        <v>600</v>
      </c>
      <c r="D55" s="48">
        <v>600</v>
      </c>
      <c r="E55" s="48">
        <v>1000</v>
      </c>
    </row>
    <row r="56" spans="2:5" x14ac:dyDescent="0.25">
      <c r="B56" s="255" t="s">
        <v>1129</v>
      </c>
      <c r="C56" s="48"/>
      <c r="D56" s="48"/>
      <c r="E56" s="48">
        <v>700</v>
      </c>
    </row>
    <row r="57" spans="2:5" hidden="1" x14ac:dyDescent="0.25">
      <c r="B57" s="255"/>
      <c r="C57" s="48"/>
      <c r="D57" s="48"/>
      <c r="E57" s="48"/>
    </row>
    <row r="58" spans="2:5" hidden="1" x14ac:dyDescent="0.25">
      <c r="B58" s="255"/>
      <c r="C58" s="48"/>
      <c r="D58" s="48"/>
      <c r="E58" s="48"/>
    </row>
    <row r="59" spans="2:5" hidden="1" x14ac:dyDescent="0.25">
      <c r="B59" s="255"/>
      <c r="C59" s="48"/>
      <c r="D59" s="48"/>
      <c r="E59" s="48"/>
    </row>
    <row r="60" spans="2:5" hidden="1" x14ac:dyDescent="0.25">
      <c r="B60" s="255"/>
      <c r="C60" s="48"/>
      <c r="D60" s="48"/>
      <c r="E60" s="48"/>
    </row>
    <row r="61" spans="2:5" x14ac:dyDescent="0.25">
      <c r="B61" s="255"/>
      <c r="C61" s="48"/>
      <c r="D61" s="48"/>
      <c r="E61" s="48"/>
    </row>
    <row r="62" spans="2:5" x14ac:dyDescent="0.25">
      <c r="B62" s="256" t="s">
        <v>13</v>
      </c>
      <c r="C62" s="48"/>
      <c r="D62" s="240"/>
      <c r="E62" s="240"/>
    </row>
    <row r="63" spans="2:5" x14ac:dyDescent="0.25">
      <c r="B63" s="256" t="s">
        <v>782</v>
      </c>
      <c r="C63" s="281" t="str">
        <f>IF(C64*0.1&lt;C62,"Exceed 10% Rule","")</f>
        <v/>
      </c>
      <c r="D63" s="245" t="str">
        <f>IF(D64*0.1&lt;D62,"Exceed 10% Rule","")</f>
        <v/>
      </c>
      <c r="E63" s="245" t="str">
        <f>IF(E64*0.1&lt;E62,"Exceed 10% Rule","")</f>
        <v/>
      </c>
    </row>
    <row r="64" spans="2:5" x14ac:dyDescent="0.25">
      <c r="B64" s="246" t="s">
        <v>118</v>
      </c>
      <c r="C64" s="249">
        <f>SUM(C54:C62)</f>
        <v>388219</v>
      </c>
      <c r="D64" s="249">
        <f>SUM(D54:D62)</f>
        <v>388582</v>
      </c>
      <c r="E64" s="249">
        <f>SUM(E54:E62)</f>
        <v>396700</v>
      </c>
    </row>
    <row r="65" spans="2:5" x14ac:dyDescent="0.25">
      <c r="B65" s="133" t="s">
        <v>213</v>
      </c>
      <c r="C65" s="63">
        <f>C52-C64</f>
        <v>5511</v>
      </c>
      <c r="D65" s="63">
        <f>D52-D64</f>
        <v>5154</v>
      </c>
      <c r="E65" s="63">
        <f>E52-E64</f>
        <v>3954</v>
      </c>
    </row>
    <row r="66" spans="2:5" x14ac:dyDescent="0.25">
      <c r="B66" s="153" t="str">
        <f>CONCATENATE("",E1-2,"/",E1-1,"/",E1," Budget Authority Amount:")</f>
        <v>2013/2014/2015 Budget Authority Amount:</v>
      </c>
      <c r="C66" s="824">
        <f>inputOth!B78</f>
        <v>392500</v>
      </c>
      <c r="D66" s="824">
        <f>inputPrYr!D37</f>
        <v>379700</v>
      </c>
      <c r="E66" s="898">
        <f>E64</f>
        <v>396700</v>
      </c>
    </row>
    <row r="67" spans="2:5" x14ac:dyDescent="0.25">
      <c r="B67" s="119"/>
      <c r="C67" s="259" t="str">
        <f>IF(C64&gt;C66,"See Tab A","")</f>
        <v/>
      </c>
      <c r="D67" s="259" t="str">
        <f>IF(D64&gt;D66,"See Tab C","")</f>
        <v>See Tab C</v>
      </c>
      <c r="E67" s="899" t="str">
        <f>IF(E65&lt;0,"See Tab E","")</f>
        <v/>
      </c>
    </row>
    <row r="68" spans="2:5" x14ac:dyDescent="0.25">
      <c r="B68" s="119"/>
      <c r="C68" s="259" t="str">
        <f>IF(C65&lt;0,"See Tab B","")</f>
        <v/>
      </c>
      <c r="D68" s="259" t="str">
        <f>IF(D65&lt;0,"See Tab D","")</f>
        <v/>
      </c>
      <c r="E68" s="32"/>
    </row>
    <row r="69" spans="2:5" x14ac:dyDescent="0.25">
      <c r="B69" s="32"/>
      <c r="C69" s="32"/>
      <c r="D69" s="32"/>
      <c r="E69" s="32"/>
    </row>
    <row r="70" spans="2:5" x14ac:dyDescent="0.25">
      <c r="B70" s="151" t="s">
        <v>121</v>
      </c>
      <c r="C70" s="263">
        <v>17</v>
      </c>
      <c r="D70" s="32"/>
      <c r="E70" s="32"/>
    </row>
  </sheetData>
  <phoneticPr fontId="0" type="noConversion"/>
  <conditionalFormatting sqref="C15">
    <cfRule type="cellIs" dxfId="187" priority="3" stopIfTrue="1" operator="greaterThan">
      <formula>$C$17*0.1</formula>
    </cfRule>
  </conditionalFormatting>
  <conditionalFormatting sqref="D15">
    <cfRule type="cellIs" dxfId="186" priority="4" stopIfTrue="1" operator="greaterThan">
      <formula>$D$17*0.1</formula>
    </cfRule>
  </conditionalFormatting>
  <conditionalFormatting sqref="E15">
    <cfRule type="cellIs" dxfId="185" priority="5" stopIfTrue="1" operator="greaterThan">
      <formula>$E$17*0.1</formula>
    </cfRule>
  </conditionalFormatting>
  <conditionalFormatting sqref="C28">
    <cfRule type="cellIs" dxfId="184" priority="6" stopIfTrue="1" operator="greaterThan">
      <formula>$C$30*0.1</formula>
    </cfRule>
  </conditionalFormatting>
  <conditionalFormatting sqref="D28">
    <cfRule type="cellIs" dxfId="183" priority="7" stopIfTrue="1" operator="greaterThan">
      <formula>$D$30*0.1</formula>
    </cfRule>
  </conditionalFormatting>
  <conditionalFormatting sqref="E28">
    <cfRule type="cellIs" dxfId="182" priority="8" stopIfTrue="1" operator="greaterThan">
      <formula>$E$30*0.1</formula>
    </cfRule>
  </conditionalFormatting>
  <conditionalFormatting sqref="C49">
    <cfRule type="cellIs" dxfId="181" priority="9" stopIfTrue="1" operator="greaterThan">
      <formula>$C$51*0.1</formula>
    </cfRule>
  </conditionalFormatting>
  <conditionalFormatting sqref="D49">
    <cfRule type="cellIs" dxfId="180" priority="10" stopIfTrue="1" operator="greaterThan">
      <formula>$D$51*0.1</formula>
    </cfRule>
  </conditionalFormatting>
  <conditionalFormatting sqref="E49">
    <cfRule type="cellIs" dxfId="179" priority="11" stopIfTrue="1" operator="greaterThan">
      <formula>$E$51*0.1</formula>
    </cfRule>
  </conditionalFormatting>
  <conditionalFormatting sqref="C62">
    <cfRule type="cellIs" dxfId="178" priority="12" stopIfTrue="1" operator="greaterThan">
      <formula>$C$64*0.1</formula>
    </cfRule>
  </conditionalFormatting>
  <conditionalFormatting sqref="D62">
    <cfRule type="cellIs" dxfId="177" priority="13" stopIfTrue="1" operator="greaterThan">
      <formula>$D$64*0.1</formula>
    </cfRule>
  </conditionalFormatting>
  <conditionalFormatting sqref="E62">
    <cfRule type="cellIs" dxfId="176" priority="14" stopIfTrue="1" operator="greaterThan">
      <formula>$E$64*0.1</formula>
    </cfRule>
  </conditionalFormatting>
  <conditionalFormatting sqref="D64">
    <cfRule type="cellIs" dxfId="175" priority="15" stopIfTrue="1" operator="greaterThan">
      <formula>$D$66</formula>
    </cfRule>
  </conditionalFormatting>
  <conditionalFormatting sqref="C64">
    <cfRule type="cellIs" dxfId="174" priority="16" stopIfTrue="1" operator="greaterThan">
      <formula>$C$66</formula>
    </cfRule>
  </conditionalFormatting>
  <conditionalFormatting sqref="C65 E65 C31 E31">
    <cfRule type="cellIs" dxfId="173" priority="17" stopIfTrue="1" operator="lessThan">
      <formula>0</formula>
    </cfRule>
  </conditionalFormatting>
  <conditionalFormatting sqref="D30">
    <cfRule type="cellIs" dxfId="172" priority="18" stopIfTrue="1" operator="greaterThan">
      <formula>$D$32</formula>
    </cfRule>
  </conditionalFormatting>
  <conditionalFormatting sqref="C30">
    <cfRule type="cellIs" dxfId="171" priority="19" stopIfTrue="1" operator="greaterThan">
      <formula>$C$32</formula>
    </cfRule>
  </conditionalFormatting>
  <conditionalFormatting sqref="D31">
    <cfRule type="cellIs" dxfId="170" priority="2" stopIfTrue="1" operator="lessThan">
      <formula>0</formula>
    </cfRule>
  </conditionalFormatting>
  <conditionalFormatting sqref="D65">
    <cfRule type="cellIs" dxfId="169" priority="1" stopIfTrue="1" operator="lessThan">
      <formula>0</formula>
    </cfRule>
  </conditionalFormatting>
  <pageMargins left="0.5" right="0.5" top="1" bottom="0.5" header="0.5" footer="0.5"/>
  <pageSetup fitToHeight="2" orientation="portrait" blackAndWhite="1" horizontalDpi="120" verticalDpi="144" r:id="rId1"/>
  <headerFooter alignWithMargins="0">
    <oddHeader>&amp;RState of Kansas
City</oddHeader>
  </headerFooter>
  <rowBreaks count="1" manualBreakCount="1">
    <brk id="36" min="1" max="4"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75"/>
  <sheetViews>
    <sheetView view="pageBreakPreview" topLeftCell="A28" zoomScale="85" zoomScaleNormal="100" zoomScaleSheetLayoutView="85" workbookViewId="0">
      <selection activeCell="B45" sqref="B45"/>
    </sheetView>
  </sheetViews>
  <sheetFormatPr defaultColWidth="8.9140625" defaultRowHeight="15.6" x14ac:dyDescent="0.25"/>
  <cols>
    <col min="1" max="1" width="2.4140625" style="30" customWidth="1"/>
    <col min="2" max="2" width="31.08203125" style="30" customWidth="1"/>
    <col min="3" max="3" width="15.33203125" style="30" customWidth="1"/>
    <col min="4" max="4" width="15.25" style="30" customWidth="1"/>
    <col min="5" max="5" width="15.58203125" style="30" customWidth="1"/>
    <col min="6" max="16384" width="8.9140625" style="30"/>
  </cols>
  <sheetData>
    <row r="1" spans="2:5" x14ac:dyDescent="0.25">
      <c r="B1" s="176" t="str">
        <f>(inputPrYr!D2)</f>
        <v>City of Osawatomie</v>
      </c>
      <c r="C1" s="32"/>
      <c r="D1" s="32"/>
      <c r="E1" s="228">
        <f>inputPrYr!C5</f>
        <v>2015</v>
      </c>
    </row>
    <row r="2" spans="2:5" x14ac:dyDescent="0.25">
      <c r="B2" s="32"/>
      <c r="C2" s="32"/>
      <c r="D2" s="32"/>
      <c r="E2" s="151"/>
    </row>
    <row r="3" spans="2:5" x14ac:dyDescent="0.25">
      <c r="B3" s="229" t="s">
        <v>171</v>
      </c>
      <c r="C3" s="270"/>
      <c r="D3" s="270"/>
      <c r="E3" s="270"/>
    </row>
    <row r="4" spans="2:5" x14ac:dyDescent="0.25">
      <c r="B4" s="33" t="s">
        <v>104</v>
      </c>
      <c r="C4" s="404" t="s">
        <v>803</v>
      </c>
      <c r="D4" s="403" t="s">
        <v>804</v>
      </c>
      <c r="E4" s="382" t="s">
        <v>805</v>
      </c>
    </row>
    <row r="5" spans="2:5" x14ac:dyDescent="0.25">
      <c r="B5" s="530" t="str">
        <f>(inputPrYr!B38)</f>
        <v>Golf Course</v>
      </c>
      <c r="C5" s="405" t="str">
        <f>CONCATENATE("Actual for ",E1-2,"")</f>
        <v>Actual for 2013</v>
      </c>
      <c r="D5" s="405" t="str">
        <f>CONCATENATE("Estimate for ",E1-1,"")</f>
        <v>Estimate for 2014</v>
      </c>
      <c r="E5" s="390" t="str">
        <f>CONCATENATE("Year for ",E1,"")</f>
        <v>Year for 2015</v>
      </c>
    </row>
    <row r="6" spans="2:5" x14ac:dyDescent="0.25">
      <c r="B6" s="234" t="s">
        <v>212</v>
      </c>
      <c r="C6" s="48">
        <v>4804</v>
      </c>
      <c r="D6" s="208">
        <f>C36</f>
        <v>26038</v>
      </c>
      <c r="E6" s="208">
        <f>D36</f>
        <v>19788.78</v>
      </c>
    </row>
    <row r="7" spans="2:5" x14ac:dyDescent="0.25">
      <c r="B7" s="238" t="s">
        <v>214</v>
      </c>
      <c r="C7" s="68"/>
      <c r="D7" s="68"/>
      <c r="E7" s="68"/>
    </row>
    <row r="8" spans="2:5" x14ac:dyDescent="0.25">
      <c r="B8" s="255" t="s">
        <v>1148</v>
      </c>
      <c r="C8" s="48">
        <v>56859</v>
      </c>
      <c r="D8" s="48">
        <v>46800</v>
      </c>
      <c r="E8" s="48">
        <v>48600</v>
      </c>
    </row>
    <row r="9" spans="2:5" x14ac:dyDescent="0.25">
      <c r="B9" s="255" t="s">
        <v>1149</v>
      </c>
      <c r="C9" s="48">
        <v>47977</v>
      </c>
      <c r="D9" s="48">
        <v>47000</v>
      </c>
      <c r="E9" s="48">
        <v>48000</v>
      </c>
    </row>
    <row r="10" spans="2:5" x14ac:dyDescent="0.25">
      <c r="B10" s="255" t="s">
        <v>1150</v>
      </c>
      <c r="C10" s="48">
        <v>44468</v>
      </c>
      <c r="D10" s="48">
        <v>40500</v>
      </c>
      <c r="E10" s="48">
        <v>40600</v>
      </c>
    </row>
    <row r="11" spans="2:5" x14ac:dyDescent="0.25">
      <c r="B11" s="255" t="s">
        <v>1151</v>
      </c>
      <c r="C11" s="48">
        <v>23138</v>
      </c>
      <c r="D11" s="48">
        <v>30500</v>
      </c>
      <c r="E11" s="48">
        <v>30500</v>
      </c>
    </row>
    <row r="12" spans="2:5" x14ac:dyDescent="0.25">
      <c r="B12" s="255" t="s">
        <v>13</v>
      </c>
      <c r="C12" s="48">
        <v>12672</v>
      </c>
      <c r="D12" s="48">
        <v>10600</v>
      </c>
      <c r="E12" s="48">
        <v>9700</v>
      </c>
    </row>
    <row r="13" spans="2:5" x14ac:dyDescent="0.25">
      <c r="B13" s="255" t="s">
        <v>1054</v>
      </c>
      <c r="C13" s="48">
        <v>98250</v>
      </c>
      <c r="D13" s="48">
        <v>70000</v>
      </c>
      <c r="E13" s="48">
        <v>70000</v>
      </c>
    </row>
    <row r="14" spans="2:5" x14ac:dyDescent="0.25">
      <c r="B14" s="255" t="s">
        <v>1152</v>
      </c>
      <c r="C14" s="48"/>
      <c r="D14" s="48"/>
      <c r="E14" s="48"/>
    </row>
    <row r="15" spans="2:5" hidden="1" x14ac:dyDescent="0.25">
      <c r="B15" s="255"/>
      <c r="C15" s="48"/>
      <c r="D15" s="48"/>
      <c r="E15" s="48"/>
    </row>
    <row r="16" spans="2:5" x14ac:dyDescent="0.25">
      <c r="B16" s="255"/>
      <c r="C16" s="48"/>
      <c r="D16" s="48"/>
      <c r="E16" s="48"/>
    </row>
    <row r="17" spans="2:5" x14ac:dyDescent="0.25">
      <c r="B17" s="243" t="s">
        <v>110</v>
      </c>
      <c r="C17" s="48"/>
      <c r="D17" s="48"/>
      <c r="E17" s="48"/>
    </row>
    <row r="18" spans="2:5" x14ac:dyDescent="0.25">
      <c r="B18" s="142" t="s">
        <v>13</v>
      </c>
      <c r="C18" s="48"/>
      <c r="D18" s="240"/>
      <c r="E18" s="240"/>
    </row>
    <row r="19" spans="2:5" x14ac:dyDescent="0.25">
      <c r="B19" s="234" t="s">
        <v>781</v>
      </c>
      <c r="C19" s="281" t="str">
        <f>IF(C20*0.1&lt;C18,"Exceed 10% Rule","")</f>
        <v/>
      </c>
      <c r="D19" s="245" t="str">
        <f>IF(D20*0.1&lt;D18,"Exceed 10% Rule","")</f>
        <v/>
      </c>
      <c r="E19" s="245" t="str">
        <f>IF(E20*0.1&lt;E18,"Exceed 10% Rule","")</f>
        <v/>
      </c>
    </row>
    <row r="20" spans="2:5" x14ac:dyDescent="0.25">
      <c r="B20" s="246" t="s">
        <v>111</v>
      </c>
      <c r="C20" s="249">
        <f>SUM(C8:C18)</f>
        <v>283364</v>
      </c>
      <c r="D20" s="249">
        <f>SUM(D8:D18)</f>
        <v>245400</v>
      </c>
      <c r="E20" s="249">
        <f>SUM(E8:E18)</f>
        <v>247400</v>
      </c>
    </row>
    <row r="21" spans="2:5" x14ac:dyDescent="0.25">
      <c r="B21" s="246" t="s">
        <v>112</v>
      </c>
      <c r="C21" s="249">
        <f>C6+C20</f>
        <v>288168</v>
      </c>
      <c r="D21" s="249">
        <f>D6+D20</f>
        <v>271438</v>
      </c>
      <c r="E21" s="249">
        <f>E6+E20</f>
        <v>267188.78000000003</v>
      </c>
    </row>
    <row r="22" spans="2:5" x14ac:dyDescent="0.25">
      <c r="B22" s="133" t="s">
        <v>114</v>
      </c>
      <c r="C22" s="208"/>
      <c r="D22" s="208"/>
      <c r="E22" s="208"/>
    </row>
    <row r="23" spans="2:5" x14ac:dyDescent="0.25">
      <c r="B23" s="255" t="s">
        <v>252</v>
      </c>
      <c r="C23" s="48">
        <v>122465</v>
      </c>
      <c r="D23" s="48">
        <v>118440</v>
      </c>
      <c r="E23" s="48">
        <v>122110</v>
      </c>
    </row>
    <row r="24" spans="2:5" x14ac:dyDescent="0.25">
      <c r="B24" s="255" t="s">
        <v>1153</v>
      </c>
      <c r="C24" s="48">
        <v>13328</v>
      </c>
      <c r="D24" s="48">
        <v>18116</v>
      </c>
      <c r="E24" s="48">
        <v>14610</v>
      </c>
    </row>
    <row r="25" spans="2:5" x14ac:dyDescent="0.25">
      <c r="B25" s="255" t="s">
        <v>1154</v>
      </c>
      <c r="C25" s="48">
        <v>5000</v>
      </c>
      <c r="D25" s="48">
        <v>5250</v>
      </c>
      <c r="E25" s="48">
        <v>5250</v>
      </c>
    </row>
    <row r="26" spans="2:5" x14ac:dyDescent="0.25">
      <c r="B26" s="255" t="s">
        <v>1155</v>
      </c>
      <c r="C26" s="48">
        <v>15305</v>
      </c>
      <c r="D26" s="48">
        <v>14000</v>
      </c>
      <c r="E26" s="48">
        <v>14000</v>
      </c>
    </row>
    <row r="27" spans="2:5" x14ac:dyDescent="0.25">
      <c r="B27" s="255" t="s">
        <v>1156</v>
      </c>
      <c r="C27" s="48">
        <v>15707</v>
      </c>
      <c r="D27" s="48">
        <v>13000</v>
      </c>
      <c r="E27" s="48">
        <v>13000</v>
      </c>
    </row>
    <row r="28" spans="2:5" x14ac:dyDescent="0.25">
      <c r="B28" s="255" t="s">
        <v>1151</v>
      </c>
      <c r="C28" s="48">
        <v>18556</v>
      </c>
      <c r="D28" s="48">
        <v>18500</v>
      </c>
      <c r="E28" s="48">
        <v>20000</v>
      </c>
    </row>
    <row r="29" spans="2:5" x14ac:dyDescent="0.25">
      <c r="B29" s="255" t="s">
        <v>1157</v>
      </c>
      <c r="C29" s="48">
        <v>200</v>
      </c>
      <c r="D29" s="48">
        <v>0</v>
      </c>
      <c r="E29" s="48">
        <v>0</v>
      </c>
    </row>
    <row r="30" spans="2:5" x14ac:dyDescent="0.25">
      <c r="B30" s="255" t="s">
        <v>45</v>
      </c>
      <c r="C30" s="48">
        <v>21371</v>
      </c>
      <c r="D30" s="48">
        <v>22750</v>
      </c>
      <c r="E30" s="48">
        <v>22750</v>
      </c>
    </row>
    <row r="31" spans="2:5" x14ac:dyDescent="0.25">
      <c r="B31" s="255" t="s">
        <v>1158</v>
      </c>
      <c r="C31" s="48">
        <v>50198</v>
      </c>
      <c r="D31" s="48">
        <v>41593.22</v>
      </c>
      <c r="E31" s="48">
        <v>46734</v>
      </c>
    </row>
    <row r="32" spans="2:5" x14ac:dyDescent="0.25">
      <c r="B32" s="255"/>
      <c r="C32" s="48"/>
      <c r="D32" s="48"/>
      <c r="E32" s="48"/>
    </row>
    <row r="33" spans="2:5" x14ac:dyDescent="0.25">
      <c r="B33" s="256" t="s">
        <v>13</v>
      </c>
      <c r="C33" s="48"/>
      <c r="D33" s="240"/>
      <c r="E33" s="240"/>
    </row>
    <row r="34" spans="2:5" x14ac:dyDescent="0.25">
      <c r="B34" s="256" t="s">
        <v>782</v>
      </c>
      <c r="C34" s="281" t="str">
        <f>IF(C35*0.1&lt;C33,"Exceed 10% Rule","")</f>
        <v/>
      </c>
      <c r="D34" s="245" t="str">
        <f>IF(D35*0.1&lt;D33,"Exceed 10% Rule","")</f>
        <v/>
      </c>
      <c r="E34" s="245" t="str">
        <f>IF(E35*0.1&lt;E33,"Exceed 10% Rule","")</f>
        <v/>
      </c>
    </row>
    <row r="35" spans="2:5" x14ac:dyDescent="0.25">
      <c r="B35" s="246" t="s">
        <v>118</v>
      </c>
      <c r="C35" s="249">
        <f>SUM(C23:C33)</f>
        <v>262130</v>
      </c>
      <c r="D35" s="249">
        <f>SUM(D23:D33)</f>
        <v>251649.22</v>
      </c>
      <c r="E35" s="249">
        <f>SUM(E23:E33)</f>
        <v>258454</v>
      </c>
    </row>
    <row r="36" spans="2:5" x14ac:dyDescent="0.25">
      <c r="B36" s="133" t="s">
        <v>213</v>
      </c>
      <c r="C36" s="63">
        <f>C21-C35</f>
        <v>26038</v>
      </c>
      <c r="D36" s="63">
        <f>D21-D35</f>
        <v>19788.78</v>
      </c>
      <c r="E36" s="63">
        <f>E21-E35</f>
        <v>8734.7800000000279</v>
      </c>
    </row>
    <row r="37" spans="2:5" x14ac:dyDescent="0.25">
      <c r="B37" s="153" t="str">
        <f>CONCATENATE("",E1-2,"/",E1-1,"/",E1," Budget Authority Amount:")</f>
        <v>2013/2014/2015 Budget Authority Amount:</v>
      </c>
      <c r="C37" s="824">
        <f>inputOth!B79</f>
        <v>280000</v>
      </c>
      <c r="D37" s="824">
        <f>inputPrYr!D38</f>
        <v>255122.78599999999</v>
      </c>
      <c r="E37" s="898">
        <f>E35</f>
        <v>258454</v>
      </c>
    </row>
    <row r="38" spans="2:5" x14ac:dyDescent="0.25">
      <c r="B38" s="119"/>
      <c r="C38" s="259" t="str">
        <f>IF(C35&gt;C37,"See Tab A","")</f>
        <v/>
      </c>
      <c r="D38" s="259" t="str">
        <f>IF(D35&gt;D37,"See Tab C","")</f>
        <v/>
      </c>
      <c r="E38" s="899" t="str">
        <f>IF(E36&lt;0,"See Tab E","")</f>
        <v/>
      </c>
    </row>
    <row r="39" spans="2:5" x14ac:dyDescent="0.25">
      <c r="B39" s="971"/>
      <c r="C39" s="259"/>
      <c r="D39" s="259"/>
      <c r="E39" s="972"/>
    </row>
    <row r="40" spans="2:5" x14ac:dyDescent="0.25">
      <c r="B40" s="389" t="s">
        <v>121</v>
      </c>
      <c r="C40" s="400">
        <v>18</v>
      </c>
      <c r="D40" s="391"/>
      <c r="E40" s="391"/>
    </row>
    <row r="41" spans="2:5" x14ac:dyDescent="0.25">
      <c r="B41" s="374"/>
      <c r="C41" s="374"/>
      <c r="D41" s="391"/>
      <c r="E41" s="391"/>
    </row>
    <row r="42" spans="2:5" x14ac:dyDescent="0.25">
      <c r="B42" s="387" t="s">
        <v>1014</v>
      </c>
      <c r="C42" s="387"/>
      <c r="D42" s="372"/>
      <c r="E42" s="380">
        <v>2015</v>
      </c>
    </row>
    <row r="43" spans="2:5" x14ac:dyDescent="0.25">
      <c r="B43" s="33"/>
      <c r="C43" s="270"/>
      <c r="D43" s="270"/>
      <c r="E43" s="270"/>
    </row>
    <row r="44" spans="2:5" x14ac:dyDescent="0.25">
      <c r="B44" s="229" t="s">
        <v>171</v>
      </c>
      <c r="C44" s="365"/>
      <c r="D44" s="365"/>
      <c r="E44" s="365"/>
    </row>
    <row r="45" spans="2:5" x14ac:dyDescent="0.25">
      <c r="B45" s="33" t="s">
        <v>104</v>
      </c>
      <c r="C45" s="261" t="s">
        <v>803</v>
      </c>
      <c r="D45" s="127" t="s">
        <v>804</v>
      </c>
      <c r="E45" s="127" t="s">
        <v>805</v>
      </c>
    </row>
    <row r="46" spans="2:5" x14ac:dyDescent="0.25">
      <c r="B46" s="530" t="str">
        <f>(inputPrYr!B39)</f>
        <v>Special Revenue (911)</v>
      </c>
      <c r="C46" s="233" t="str">
        <f>C5</f>
        <v>Actual for 2013</v>
      </c>
      <c r="D46" s="233" t="str">
        <f>D5</f>
        <v>Estimate for 2014</v>
      </c>
      <c r="E46" s="233" t="str">
        <f>E5</f>
        <v>Year for 2015</v>
      </c>
    </row>
    <row r="47" spans="2:5" x14ac:dyDescent="0.25">
      <c r="B47" s="234" t="s">
        <v>212</v>
      </c>
      <c r="C47" s="48">
        <v>9897</v>
      </c>
      <c r="D47" s="208">
        <f>C70</f>
        <v>9897</v>
      </c>
      <c r="E47" s="208">
        <f>D70</f>
        <v>9897</v>
      </c>
    </row>
    <row r="48" spans="2:5" x14ac:dyDescent="0.25">
      <c r="B48" s="238" t="s">
        <v>214</v>
      </c>
      <c r="C48" s="68"/>
      <c r="D48" s="68"/>
      <c r="E48" s="68"/>
    </row>
    <row r="49" spans="2:5" x14ac:dyDescent="0.25">
      <c r="B49" s="255"/>
      <c r="C49" s="48"/>
      <c r="D49" s="48"/>
      <c r="E49" s="48"/>
    </row>
    <row r="50" spans="2:5" hidden="1" x14ac:dyDescent="0.25">
      <c r="B50" s="255"/>
      <c r="C50" s="48"/>
      <c r="D50" s="48"/>
      <c r="E50" s="48"/>
    </row>
    <row r="51" spans="2:5" hidden="1" x14ac:dyDescent="0.25">
      <c r="B51" s="255"/>
      <c r="C51" s="48"/>
      <c r="D51" s="48"/>
      <c r="E51" s="48"/>
    </row>
    <row r="52" spans="2:5" hidden="1" x14ac:dyDescent="0.25">
      <c r="B52" s="255"/>
      <c r="C52" s="48"/>
      <c r="D52" s="48"/>
      <c r="E52" s="48"/>
    </row>
    <row r="53" spans="2:5" x14ac:dyDescent="0.25">
      <c r="B53" s="243" t="s">
        <v>110</v>
      </c>
      <c r="C53" s="48"/>
      <c r="D53" s="48"/>
      <c r="E53" s="48"/>
    </row>
    <row r="54" spans="2:5" x14ac:dyDescent="0.25">
      <c r="B54" s="142" t="s">
        <v>13</v>
      </c>
      <c r="C54" s="48"/>
      <c r="D54" s="240"/>
      <c r="E54" s="240"/>
    </row>
    <row r="55" spans="2:5" x14ac:dyDescent="0.25">
      <c r="B55" s="234" t="s">
        <v>781</v>
      </c>
      <c r="C55" s="281" t="str">
        <f>IF(C56*0.1&lt;C54,"Exceed 10% Rule","")</f>
        <v/>
      </c>
      <c r="D55" s="245" t="str">
        <f>IF(D56*0.1&lt;D54,"Exceed 10% Rule","")</f>
        <v/>
      </c>
      <c r="E55" s="245" t="str">
        <f>IF(E56*0.1&lt;E54,"Exceed 10% Rule","")</f>
        <v/>
      </c>
    </row>
    <row r="56" spans="2:5" x14ac:dyDescent="0.25">
      <c r="B56" s="246" t="s">
        <v>111</v>
      </c>
      <c r="C56" s="249">
        <f>SUM(C49:C54)</f>
        <v>0</v>
      </c>
      <c r="D56" s="249">
        <f>SUM(D49:D54)</f>
        <v>0</v>
      </c>
      <c r="E56" s="249">
        <f>SUM(E49:E54)</f>
        <v>0</v>
      </c>
    </row>
    <row r="57" spans="2:5" x14ac:dyDescent="0.25">
      <c r="B57" s="246" t="s">
        <v>112</v>
      </c>
      <c r="C57" s="249">
        <f>C47+C56</f>
        <v>9897</v>
      </c>
      <c r="D57" s="249">
        <f>D47+D56</f>
        <v>9897</v>
      </c>
      <c r="E57" s="249">
        <f>E47+E56</f>
        <v>9897</v>
      </c>
    </row>
    <row r="58" spans="2:5" x14ac:dyDescent="0.25">
      <c r="B58" s="133" t="s">
        <v>114</v>
      </c>
      <c r="C58" s="208"/>
      <c r="D58" s="208"/>
      <c r="E58" s="208"/>
    </row>
    <row r="59" spans="2:5" x14ac:dyDescent="0.25">
      <c r="B59" s="255" t="s">
        <v>1019</v>
      </c>
      <c r="C59" s="48"/>
      <c r="D59" s="48"/>
      <c r="E59" s="48">
        <v>9897</v>
      </c>
    </row>
    <row r="60" spans="2:5" hidden="1" x14ac:dyDescent="0.25">
      <c r="B60" s="255"/>
      <c r="C60" s="48"/>
      <c r="D60" s="48"/>
      <c r="E60" s="48"/>
    </row>
    <row r="61" spans="2:5" hidden="1" x14ac:dyDescent="0.25">
      <c r="B61" s="255"/>
      <c r="C61" s="48"/>
      <c r="D61" s="48"/>
      <c r="E61" s="48"/>
    </row>
    <row r="62" spans="2:5" hidden="1" x14ac:dyDescent="0.25">
      <c r="B62" s="255"/>
      <c r="C62" s="48"/>
      <c r="D62" s="48"/>
      <c r="E62" s="48"/>
    </row>
    <row r="63" spans="2:5" hidden="1" x14ac:dyDescent="0.25">
      <c r="B63" s="255"/>
      <c r="C63" s="48"/>
      <c r="D63" s="48"/>
      <c r="E63" s="48"/>
    </row>
    <row r="64" spans="2:5" hidden="1" x14ac:dyDescent="0.25">
      <c r="B64" s="255"/>
      <c r="C64" s="48"/>
      <c r="D64" s="48"/>
      <c r="E64" s="48"/>
    </row>
    <row r="65" spans="2:5" hidden="1" x14ac:dyDescent="0.25">
      <c r="B65" s="255"/>
      <c r="C65" s="48"/>
      <c r="D65" s="48"/>
      <c r="E65" s="48"/>
    </row>
    <row r="66" spans="2:5" x14ac:dyDescent="0.25">
      <c r="B66" s="255"/>
      <c r="C66" s="48"/>
      <c r="D66" s="48"/>
      <c r="E66" s="48"/>
    </row>
    <row r="67" spans="2:5" x14ac:dyDescent="0.25">
      <c r="B67" s="256" t="s">
        <v>13</v>
      </c>
      <c r="C67" s="48"/>
      <c r="D67" s="240"/>
      <c r="E67" s="240"/>
    </row>
    <row r="68" spans="2:5" x14ac:dyDescent="0.25">
      <c r="B68" s="256" t="s">
        <v>782</v>
      </c>
      <c r="C68" s="281" t="str">
        <f>IF(C69*0.1&lt;C67,"Exceed 10% Rule","")</f>
        <v/>
      </c>
      <c r="D68" s="245" t="str">
        <f>IF(D69*0.1&lt;D67,"Exceed 10% Rule","")</f>
        <v/>
      </c>
      <c r="E68" s="245" t="str">
        <f>IF(E69*0.1&lt;E67,"Exceed 10% Rule","")</f>
        <v/>
      </c>
    </row>
    <row r="69" spans="2:5" x14ac:dyDescent="0.25">
      <c r="B69" s="246" t="s">
        <v>118</v>
      </c>
      <c r="C69" s="249">
        <f>SUM(C59:C67)</f>
        <v>0</v>
      </c>
      <c r="D69" s="249">
        <f>SUM(D59:D67)</f>
        <v>0</v>
      </c>
      <c r="E69" s="249">
        <f>SUM(E59:E67)</f>
        <v>9897</v>
      </c>
    </row>
    <row r="70" spans="2:5" x14ac:dyDescent="0.25">
      <c r="B70" s="133" t="s">
        <v>213</v>
      </c>
      <c r="C70" s="63">
        <f>C57-C69</f>
        <v>9897</v>
      </c>
      <c r="D70" s="63">
        <f>D57-D69</f>
        <v>9897</v>
      </c>
      <c r="E70" s="63">
        <f>E57-E69</f>
        <v>0</v>
      </c>
    </row>
    <row r="71" spans="2:5" x14ac:dyDescent="0.25">
      <c r="B71" s="153" t="str">
        <f>CONCATENATE("",E1-2,"/",E1-1,"/",E1," Budget Authority Amount:")</f>
        <v>2013/2014/2015 Budget Authority Amount:</v>
      </c>
      <c r="C71" s="824">
        <f>inputOth!B80</f>
        <v>9897</v>
      </c>
      <c r="D71" s="824">
        <f>inputPrYr!D39</f>
        <v>9897</v>
      </c>
      <c r="E71" s="898">
        <f>E69</f>
        <v>9897</v>
      </c>
    </row>
    <row r="72" spans="2:5" x14ac:dyDescent="0.25">
      <c r="B72" s="119"/>
      <c r="C72" s="259" t="str">
        <f>IF(C69&gt;C71,"See Tab A","")</f>
        <v/>
      </c>
      <c r="D72" s="259" t="str">
        <f>IF(D69&gt;D71,"See Tab C","")</f>
        <v/>
      </c>
      <c r="E72" s="899" t="str">
        <f>IF(E70&lt;0,"See Tab E","")</f>
        <v/>
      </c>
    </row>
    <row r="73" spans="2:5" x14ac:dyDescent="0.25">
      <c r="B73" s="119"/>
      <c r="C73" s="259" t="str">
        <f>IF(C70&lt;0,"See Tab B","")</f>
        <v/>
      </c>
      <c r="D73" s="259" t="str">
        <f>IF(D70&lt;0,"See Tab D","")</f>
        <v/>
      </c>
      <c r="E73" s="32"/>
    </row>
    <row r="74" spans="2:5" x14ac:dyDescent="0.25">
      <c r="B74" s="32"/>
      <c r="C74" s="32"/>
      <c r="D74" s="32"/>
      <c r="E74" s="32"/>
    </row>
    <row r="75" spans="2:5" x14ac:dyDescent="0.25">
      <c r="B75" s="151" t="s">
        <v>121</v>
      </c>
      <c r="C75" s="263">
        <v>19</v>
      </c>
      <c r="D75" s="32"/>
      <c r="E75" s="32"/>
    </row>
  </sheetData>
  <phoneticPr fontId="0" type="noConversion"/>
  <conditionalFormatting sqref="C18">
    <cfRule type="cellIs" dxfId="168" priority="3" stopIfTrue="1" operator="greaterThan">
      <formula>$C$20*0.1</formula>
    </cfRule>
  </conditionalFormatting>
  <conditionalFormatting sqref="D18">
    <cfRule type="cellIs" dxfId="167" priority="4" stopIfTrue="1" operator="greaterThan">
      <formula>$D$20*0.1</formula>
    </cfRule>
  </conditionalFormatting>
  <conditionalFormatting sqref="E18">
    <cfRule type="cellIs" dxfId="166" priority="5" stopIfTrue="1" operator="greaterThan">
      <formula>$E$20*0.1</formula>
    </cfRule>
  </conditionalFormatting>
  <conditionalFormatting sqref="C33">
    <cfRule type="cellIs" dxfId="165" priority="6" stopIfTrue="1" operator="greaterThan">
      <formula>$C$35*0.1</formula>
    </cfRule>
  </conditionalFormatting>
  <conditionalFormatting sqref="D33">
    <cfRule type="cellIs" dxfId="164" priority="7" stopIfTrue="1" operator="greaterThan">
      <formula>$D$35*0.1</formula>
    </cfRule>
  </conditionalFormatting>
  <conditionalFormatting sqref="E33">
    <cfRule type="cellIs" dxfId="163" priority="8" stopIfTrue="1" operator="greaterThan">
      <formula>$E$35*0.1</formula>
    </cfRule>
  </conditionalFormatting>
  <conditionalFormatting sqref="C54">
    <cfRule type="cellIs" dxfId="162" priority="9" stopIfTrue="1" operator="greaterThan">
      <formula>$C$56*0.1</formula>
    </cfRule>
  </conditionalFormatting>
  <conditionalFormatting sqref="D54">
    <cfRule type="cellIs" dxfId="161" priority="10" stopIfTrue="1" operator="greaterThan">
      <formula>$D$56*0.1</formula>
    </cfRule>
  </conditionalFormatting>
  <conditionalFormatting sqref="E54">
    <cfRule type="cellIs" dxfId="160" priority="11" stopIfTrue="1" operator="greaterThan">
      <formula>$E$56*0.1</formula>
    </cfRule>
  </conditionalFormatting>
  <conditionalFormatting sqref="C67">
    <cfRule type="cellIs" dxfId="159" priority="12" stopIfTrue="1" operator="greaterThan">
      <formula>$C$69*0.1</formula>
    </cfRule>
  </conditionalFormatting>
  <conditionalFormatting sqref="D67">
    <cfRule type="cellIs" dxfId="158" priority="13" stopIfTrue="1" operator="greaterThan">
      <formula>$D$69*0.1</formula>
    </cfRule>
  </conditionalFormatting>
  <conditionalFormatting sqref="E67">
    <cfRule type="cellIs" dxfId="157" priority="14" stopIfTrue="1" operator="greaterThan">
      <formula>$E$69*0.1</formula>
    </cfRule>
  </conditionalFormatting>
  <conditionalFormatting sqref="D69">
    <cfRule type="cellIs" dxfId="156" priority="15" stopIfTrue="1" operator="greaterThan">
      <formula>$D$71</formula>
    </cfRule>
  </conditionalFormatting>
  <conditionalFormatting sqref="C69">
    <cfRule type="cellIs" dxfId="155" priority="16" stopIfTrue="1" operator="greaterThan">
      <formula>$C$71</formula>
    </cfRule>
  </conditionalFormatting>
  <conditionalFormatting sqref="C70 E70 C36 E36">
    <cfRule type="cellIs" dxfId="154" priority="17" stopIfTrue="1" operator="lessThan">
      <formula>0</formula>
    </cfRule>
  </conditionalFormatting>
  <conditionalFormatting sqref="D35">
    <cfRule type="cellIs" dxfId="153" priority="18" stopIfTrue="1" operator="greaterThan">
      <formula>$D$37</formula>
    </cfRule>
  </conditionalFormatting>
  <conditionalFormatting sqref="C35">
    <cfRule type="cellIs" dxfId="152" priority="19" stopIfTrue="1" operator="greaterThan">
      <formula>$C$37</formula>
    </cfRule>
  </conditionalFormatting>
  <conditionalFormatting sqref="D70">
    <cfRule type="cellIs" dxfId="151" priority="2" stopIfTrue="1" operator="lessThan">
      <formula>0</formula>
    </cfRule>
  </conditionalFormatting>
  <conditionalFormatting sqref="D36">
    <cfRule type="cellIs" dxfId="150" priority="1" stopIfTrue="1" operator="lessThan">
      <formula>0</formula>
    </cfRule>
  </conditionalFormatting>
  <pageMargins left="0.5" right="0.5" top="1" bottom="0.5" header="0.5" footer="0.5"/>
  <pageSetup fitToHeight="2" orientation="portrait" blackAndWhite="1" horizontalDpi="120" verticalDpi="144" r:id="rId1"/>
  <headerFooter alignWithMargins="0">
    <oddHeader>&amp;RState of Kansas
City</oddHeader>
  </headerFooter>
  <rowBreaks count="1" manualBreakCount="1">
    <brk id="41" min="1" max="4"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75"/>
  <sheetViews>
    <sheetView view="pageBreakPreview" topLeftCell="A20" zoomScaleNormal="100" zoomScaleSheetLayoutView="100" workbookViewId="0">
      <selection activeCell="B34" sqref="B34"/>
    </sheetView>
  </sheetViews>
  <sheetFormatPr defaultColWidth="8.9140625" defaultRowHeight="15.6" x14ac:dyDescent="0.25"/>
  <cols>
    <col min="1" max="1" width="2.4140625" style="30" customWidth="1"/>
    <col min="2" max="2" width="31.08203125" style="30" customWidth="1"/>
    <col min="3" max="4" width="15.75" style="30" customWidth="1"/>
    <col min="5" max="5" width="16.08203125" style="30" customWidth="1"/>
    <col min="6" max="16384" width="8.9140625" style="30"/>
  </cols>
  <sheetData>
    <row r="1" spans="2:5" x14ac:dyDescent="0.25">
      <c r="B1" s="176" t="str">
        <f>(inputPrYr!D2)</f>
        <v>City of Osawatomie</v>
      </c>
      <c r="C1" s="32"/>
      <c r="D1" s="32"/>
      <c r="E1" s="228">
        <f>inputPrYr!C5</f>
        <v>2015</v>
      </c>
    </row>
    <row r="2" spans="2:5" x14ac:dyDescent="0.25">
      <c r="B2" s="32"/>
      <c r="C2" s="32"/>
      <c r="D2" s="32"/>
      <c r="E2" s="151"/>
    </row>
    <row r="3" spans="2:5" x14ac:dyDescent="0.25">
      <c r="B3" s="229" t="s">
        <v>171</v>
      </c>
      <c r="C3" s="270"/>
      <c r="D3" s="270"/>
      <c r="E3" s="270"/>
    </row>
    <row r="4" spans="2:5" x14ac:dyDescent="0.25">
      <c r="B4" s="33" t="s">
        <v>104</v>
      </c>
      <c r="C4" s="404" t="s">
        <v>803</v>
      </c>
      <c r="D4" s="403" t="s">
        <v>804</v>
      </c>
      <c r="E4" s="382" t="s">
        <v>805</v>
      </c>
    </row>
    <row r="5" spans="2:5" x14ac:dyDescent="0.25">
      <c r="B5" s="530" t="str">
        <f>(inputPrYr!B40)</f>
        <v>Tourism</v>
      </c>
      <c r="C5" s="405" t="str">
        <f>CONCATENATE("Actual for ",E1-2,"")</f>
        <v>Actual for 2013</v>
      </c>
      <c r="D5" s="405" t="str">
        <f>CONCATENATE("Estimate for ",E1-1,"")</f>
        <v>Estimate for 2014</v>
      </c>
      <c r="E5" s="390" t="str">
        <f>CONCATENATE("Year for ",E1,"")</f>
        <v>Year for 2015</v>
      </c>
    </row>
    <row r="6" spans="2:5" x14ac:dyDescent="0.25">
      <c r="B6" s="234" t="s">
        <v>212</v>
      </c>
      <c r="C6" s="48">
        <v>9423</v>
      </c>
      <c r="D6" s="208">
        <f>C39</f>
        <v>7978.9700000000012</v>
      </c>
      <c r="E6" s="208">
        <f>D39</f>
        <v>19722.450000000004</v>
      </c>
    </row>
    <row r="7" spans="2:5" x14ac:dyDescent="0.25">
      <c r="B7" s="238" t="s">
        <v>214</v>
      </c>
      <c r="C7" s="68"/>
      <c r="D7" s="68"/>
      <c r="E7" s="68"/>
    </row>
    <row r="8" spans="2:5" x14ac:dyDescent="0.25">
      <c r="B8" s="966" t="s">
        <v>1159</v>
      </c>
      <c r="C8" s="48"/>
      <c r="D8" s="48"/>
      <c r="E8" s="48"/>
    </row>
    <row r="9" spans="2:5" x14ac:dyDescent="0.25">
      <c r="B9" s="255" t="s">
        <v>1233</v>
      </c>
      <c r="C9" s="48">
        <v>12169.109999999999</v>
      </c>
      <c r="D9" s="48">
        <v>12500</v>
      </c>
      <c r="E9" s="48">
        <v>12500</v>
      </c>
    </row>
    <row r="10" spans="2:5" x14ac:dyDescent="0.25">
      <c r="B10" s="255" t="s">
        <v>1234</v>
      </c>
      <c r="C10" s="48">
        <v>4773</v>
      </c>
      <c r="D10" s="48">
        <v>3950</v>
      </c>
      <c r="E10" s="48">
        <v>3950</v>
      </c>
    </row>
    <row r="11" spans="2:5" x14ac:dyDescent="0.25">
      <c r="B11" s="255" t="s">
        <v>1235</v>
      </c>
      <c r="C11" s="48">
        <v>165</v>
      </c>
      <c r="D11" s="48">
        <v>150</v>
      </c>
      <c r="E11" s="48">
        <v>150</v>
      </c>
    </row>
    <row r="12" spans="2:5" x14ac:dyDescent="0.25">
      <c r="B12" s="966" t="s">
        <v>1224</v>
      </c>
      <c r="C12" s="48"/>
      <c r="D12" s="48"/>
      <c r="E12" s="48"/>
    </row>
    <row r="13" spans="2:5" x14ac:dyDescent="0.25">
      <c r="B13" s="255" t="s">
        <v>1225</v>
      </c>
      <c r="C13" s="48">
        <v>14625</v>
      </c>
      <c r="D13" s="48">
        <v>16750</v>
      </c>
      <c r="E13" s="48">
        <v>18000</v>
      </c>
    </row>
    <row r="14" spans="2:5" x14ac:dyDescent="0.25">
      <c r="B14" s="255" t="s">
        <v>1226</v>
      </c>
      <c r="C14" s="48">
        <v>7820</v>
      </c>
      <c r="D14" s="48">
        <v>4410</v>
      </c>
      <c r="E14" s="48">
        <v>8000</v>
      </c>
    </row>
    <row r="15" spans="2:5" x14ac:dyDescent="0.25">
      <c r="B15" s="255" t="s">
        <v>1227</v>
      </c>
      <c r="C15" s="48">
        <v>1180</v>
      </c>
      <c r="D15" s="48">
        <v>421</v>
      </c>
      <c r="E15" s="48">
        <v>1250</v>
      </c>
    </row>
    <row r="16" spans="2:5" x14ac:dyDescent="0.25">
      <c r="B16" s="255" t="s">
        <v>1228</v>
      </c>
      <c r="C16" s="48">
        <v>3640</v>
      </c>
      <c r="D16" s="48">
        <v>2649</v>
      </c>
      <c r="E16" s="48">
        <v>3000</v>
      </c>
    </row>
    <row r="17" spans="2:8" x14ac:dyDescent="0.25">
      <c r="B17" s="255" t="s">
        <v>1229</v>
      </c>
      <c r="C17" s="48">
        <v>2736</v>
      </c>
      <c r="D17" s="48">
        <v>2642</v>
      </c>
      <c r="E17" s="48">
        <v>2750</v>
      </c>
    </row>
    <row r="18" spans="2:8" x14ac:dyDescent="0.25">
      <c r="B18" s="255" t="s">
        <v>1230</v>
      </c>
      <c r="C18" s="48">
        <v>12000</v>
      </c>
      <c r="D18" s="48">
        <v>12000</v>
      </c>
      <c r="E18" s="48">
        <v>12000</v>
      </c>
    </row>
    <row r="19" spans="2:8" x14ac:dyDescent="0.25">
      <c r="B19" s="255" t="s">
        <v>1231</v>
      </c>
      <c r="C19" s="48"/>
      <c r="D19" s="48"/>
      <c r="E19" s="48">
        <v>9000</v>
      </c>
    </row>
    <row r="20" spans="2:8" x14ac:dyDescent="0.25">
      <c r="B20" s="243" t="s">
        <v>1232</v>
      </c>
      <c r="C20" s="48"/>
      <c r="D20" s="48"/>
      <c r="E20" s="48"/>
    </row>
    <row r="21" spans="2:8" x14ac:dyDescent="0.25">
      <c r="B21" s="142" t="s">
        <v>13</v>
      </c>
      <c r="C21" s="48">
        <v>954</v>
      </c>
      <c r="D21" s="240">
        <v>350</v>
      </c>
      <c r="E21" s="240">
        <v>1000</v>
      </c>
      <c r="G21" s="967"/>
      <c r="H21" s="967"/>
    </row>
    <row r="22" spans="2:8" x14ac:dyDescent="0.25">
      <c r="B22" s="234" t="s">
        <v>781</v>
      </c>
      <c r="C22" s="281" t="str">
        <f>IF(C23*0.1&lt;C21,"Exceed 10% Rule","")</f>
        <v/>
      </c>
      <c r="D22" s="245" t="str">
        <f>IF(D23*0.1&lt;D21,"Exceed 10% Rule","")</f>
        <v/>
      </c>
      <c r="E22" s="245" t="str">
        <f>IF(E23*0.1&lt;E21,"Exceed 10% Rule","")</f>
        <v/>
      </c>
    </row>
    <row r="23" spans="2:8" x14ac:dyDescent="0.25">
      <c r="B23" s="246" t="s">
        <v>111</v>
      </c>
      <c r="C23" s="249">
        <f>SUM(C8:C21)</f>
        <v>60062.11</v>
      </c>
      <c r="D23" s="249">
        <f>SUM(D8:D21)</f>
        <v>55822</v>
      </c>
      <c r="E23" s="249">
        <f>SUM(E8:E21)</f>
        <v>71600</v>
      </c>
    </row>
    <row r="24" spans="2:8" x14ac:dyDescent="0.25">
      <c r="B24" s="246" t="s">
        <v>112</v>
      </c>
      <c r="C24" s="249">
        <f>C6+C23</f>
        <v>69485.11</v>
      </c>
      <c r="D24" s="249">
        <f>D6+D23</f>
        <v>63800.97</v>
      </c>
      <c r="E24" s="249">
        <f>E6+E23</f>
        <v>91322.450000000012</v>
      </c>
    </row>
    <row r="25" spans="2:8" x14ac:dyDescent="0.25">
      <c r="B25" s="133" t="s">
        <v>114</v>
      </c>
      <c r="C25" s="208"/>
      <c r="D25" s="208"/>
      <c r="E25" s="208"/>
    </row>
    <row r="26" spans="2:8" x14ac:dyDescent="0.25">
      <c r="B26" s="966" t="s">
        <v>1159</v>
      </c>
      <c r="C26" s="48"/>
      <c r="D26" s="48"/>
      <c r="E26" s="48"/>
    </row>
    <row r="27" spans="2:8" x14ac:dyDescent="0.25">
      <c r="B27" s="255" t="s">
        <v>1160</v>
      </c>
      <c r="C27" s="48">
        <v>9613</v>
      </c>
      <c r="D27" s="48">
        <v>8500</v>
      </c>
      <c r="E27" s="48">
        <v>11350</v>
      </c>
    </row>
    <row r="28" spans="2:8" x14ac:dyDescent="0.25">
      <c r="B28" s="255" t="s">
        <v>116</v>
      </c>
      <c r="C28" s="48">
        <v>1593.05</v>
      </c>
      <c r="D28" s="48">
        <v>2400</v>
      </c>
      <c r="E28" s="48">
        <v>3000</v>
      </c>
    </row>
    <row r="29" spans="2:8" x14ac:dyDescent="0.25">
      <c r="B29" s="255" t="s">
        <v>1161</v>
      </c>
      <c r="C29" s="48">
        <v>2074.9</v>
      </c>
      <c r="D29" s="48">
        <v>2000</v>
      </c>
      <c r="E29" s="48">
        <v>2000</v>
      </c>
    </row>
    <row r="30" spans="2:8" x14ac:dyDescent="0.25">
      <c r="B30" s="966" t="s">
        <v>1224</v>
      </c>
      <c r="C30" s="48"/>
      <c r="D30" s="48"/>
      <c r="E30" s="48"/>
    </row>
    <row r="31" spans="2:8" x14ac:dyDescent="0.25">
      <c r="B31" s="255" t="s">
        <v>1160</v>
      </c>
      <c r="C31" s="48">
        <v>34535.380000000005</v>
      </c>
      <c r="D31" s="48">
        <v>22249.599999999999</v>
      </c>
      <c r="E31" s="48">
        <v>40400</v>
      </c>
    </row>
    <row r="32" spans="2:8" x14ac:dyDescent="0.25">
      <c r="B32" s="255" t="s">
        <v>116</v>
      </c>
      <c r="C32" s="48">
        <v>12790.310000000001</v>
      </c>
      <c r="D32" s="48">
        <v>8320.5</v>
      </c>
      <c r="E32" s="48">
        <v>18600</v>
      </c>
    </row>
    <row r="33" spans="2:5" x14ac:dyDescent="0.25">
      <c r="B33" s="255" t="s">
        <v>1161</v>
      </c>
      <c r="C33" s="48">
        <v>899.5</v>
      </c>
      <c r="D33" s="48">
        <v>608.42000000000007</v>
      </c>
      <c r="E33" s="48">
        <v>1200</v>
      </c>
    </row>
    <row r="34" spans="2:5" x14ac:dyDescent="0.25">
      <c r="B34" s="255"/>
      <c r="C34" s="48"/>
      <c r="D34" s="48"/>
      <c r="E34" s="48"/>
    </row>
    <row r="35" spans="2:5" x14ac:dyDescent="0.25">
      <c r="B35" s="255"/>
      <c r="C35" s="48"/>
      <c r="D35" s="48"/>
      <c r="E35" s="48"/>
    </row>
    <row r="36" spans="2:5" x14ac:dyDescent="0.25">
      <c r="B36" s="256" t="s">
        <v>13</v>
      </c>
      <c r="C36" s="48"/>
      <c r="D36" s="240"/>
      <c r="E36" s="240"/>
    </row>
    <row r="37" spans="2:5" x14ac:dyDescent="0.25">
      <c r="B37" s="256" t="s">
        <v>782</v>
      </c>
      <c r="C37" s="281" t="str">
        <f>IF(C38*0.1&lt;C36,"Exceed 10% Rule","")</f>
        <v/>
      </c>
      <c r="D37" s="245" t="str">
        <f>IF(D38*0.1&lt;D36,"Exceed 10% Rule","")</f>
        <v/>
      </c>
      <c r="E37" s="245" t="str">
        <f>IF(E38*0.1&lt;E36,"Exceed 10% Rule","")</f>
        <v/>
      </c>
    </row>
    <row r="38" spans="2:5" x14ac:dyDescent="0.25">
      <c r="B38" s="246" t="s">
        <v>118</v>
      </c>
      <c r="C38" s="249">
        <f>SUM(C26:C36)</f>
        <v>61506.14</v>
      </c>
      <c r="D38" s="249">
        <f>SUM(D26:D36)</f>
        <v>44078.52</v>
      </c>
      <c r="E38" s="249">
        <f>SUM(E26:E36)</f>
        <v>76550</v>
      </c>
    </row>
    <row r="39" spans="2:5" x14ac:dyDescent="0.25">
      <c r="B39" s="133" t="s">
        <v>213</v>
      </c>
      <c r="C39" s="63">
        <f>C24-C38</f>
        <v>7978.9700000000012</v>
      </c>
      <c r="D39" s="63">
        <f>D24-D38</f>
        <v>19722.450000000004</v>
      </c>
      <c r="E39" s="63">
        <f>E24-E38</f>
        <v>14772.450000000012</v>
      </c>
    </row>
    <row r="40" spans="2:5" x14ac:dyDescent="0.25">
      <c r="B40" s="153" t="str">
        <f>CONCATENATE("",E1-2,"/",E1-1,"/",E1," Budget Authority Amount:")</f>
        <v>2013/2014/2015 Budget Authority Amount:</v>
      </c>
      <c r="C40" s="824">
        <f>inputOth!B81</f>
        <v>65000</v>
      </c>
      <c r="D40" s="824">
        <f>inputPrYr!D40</f>
        <v>74380</v>
      </c>
      <c r="E40" s="898">
        <f>E38</f>
        <v>76550</v>
      </c>
    </row>
    <row r="41" spans="2:5" x14ac:dyDescent="0.25">
      <c r="B41" s="119"/>
      <c r="C41" s="259" t="str">
        <f>IF(C38&gt;C40,"See Tab A","")</f>
        <v/>
      </c>
      <c r="D41" s="259" t="str">
        <f>IF(D38&gt;D40,"See Tab C","")</f>
        <v/>
      </c>
      <c r="E41" s="899" t="str">
        <f>IF(E39&lt;0,"See Tab E","")</f>
        <v/>
      </c>
    </row>
    <row r="42" spans="2:5" hidden="1" x14ac:dyDescent="0.25">
      <c r="B42" s="119"/>
      <c r="C42" s="259" t="str">
        <f>IF(C39&lt;0,"See Tab B","")</f>
        <v/>
      </c>
      <c r="D42" s="259" t="str">
        <f>IF(D39&lt;0,"See Tab D","")</f>
        <v/>
      </c>
      <c r="E42" s="78"/>
    </row>
    <row r="43" spans="2:5" hidden="1" x14ac:dyDescent="0.25">
      <c r="B43" s="32"/>
      <c r="C43" s="78"/>
      <c r="D43" s="78"/>
      <c r="E43" s="78"/>
    </row>
    <row r="44" spans="2:5" hidden="1" x14ac:dyDescent="0.25">
      <c r="B44" s="33"/>
      <c r="C44" s="276"/>
      <c r="D44" s="276"/>
      <c r="E44" s="276"/>
    </row>
    <row r="45" spans="2:5" hidden="1" x14ac:dyDescent="0.25">
      <c r="B45" s="33" t="s">
        <v>104</v>
      </c>
      <c r="C45" s="261" t="s">
        <v>803</v>
      </c>
      <c r="D45" s="127" t="s">
        <v>804</v>
      </c>
      <c r="E45" s="127" t="s">
        <v>805</v>
      </c>
    </row>
    <row r="46" spans="2:5" hidden="1" x14ac:dyDescent="0.25">
      <c r="B46" s="530">
        <f>(inputPrYr!B41)</f>
        <v>0</v>
      </c>
      <c r="C46" s="233" t="str">
        <f>C5</f>
        <v>Actual for 2013</v>
      </c>
      <c r="D46" s="233" t="str">
        <f>D5</f>
        <v>Estimate for 2014</v>
      </c>
      <c r="E46" s="233" t="str">
        <f>E5</f>
        <v>Year for 2015</v>
      </c>
    </row>
    <row r="47" spans="2:5" hidden="1" x14ac:dyDescent="0.25">
      <c r="B47" s="234" t="s">
        <v>212</v>
      </c>
      <c r="C47" s="48"/>
      <c r="D47" s="208">
        <f>C70</f>
        <v>0</v>
      </c>
      <c r="E47" s="208">
        <f>D70</f>
        <v>0</v>
      </c>
    </row>
    <row r="48" spans="2:5" hidden="1" x14ac:dyDescent="0.25">
      <c r="B48" s="238" t="s">
        <v>214</v>
      </c>
      <c r="C48" s="68"/>
      <c r="D48" s="68"/>
      <c r="E48" s="68"/>
    </row>
    <row r="49" spans="2:5" hidden="1" x14ac:dyDescent="0.25">
      <c r="B49" s="255"/>
      <c r="C49" s="48"/>
      <c r="D49" s="48"/>
      <c r="E49" s="48"/>
    </row>
    <row r="50" spans="2:5" hidden="1" x14ac:dyDescent="0.25">
      <c r="B50" s="255"/>
      <c r="C50" s="48"/>
      <c r="D50" s="48"/>
      <c r="E50" s="48"/>
    </row>
    <row r="51" spans="2:5" hidden="1" x14ac:dyDescent="0.25">
      <c r="B51" s="255"/>
      <c r="C51" s="48"/>
      <c r="D51" s="48"/>
      <c r="E51" s="48"/>
    </row>
    <row r="52" spans="2:5" hidden="1" x14ac:dyDescent="0.25">
      <c r="B52" s="255"/>
      <c r="C52" s="48"/>
      <c r="D52" s="48"/>
      <c r="E52" s="48"/>
    </row>
    <row r="53" spans="2:5" hidden="1" x14ac:dyDescent="0.25">
      <c r="B53" s="243" t="s">
        <v>110</v>
      </c>
      <c r="C53" s="48"/>
      <c r="D53" s="48"/>
      <c r="E53" s="48"/>
    </row>
    <row r="54" spans="2:5" hidden="1" x14ac:dyDescent="0.25">
      <c r="B54" s="142" t="s">
        <v>13</v>
      </c>
      <c r="C54" s="48"/>
      <c r="D54" s="240"/>
      <c r="E54" s="240"/>
    </row>
    <row r="55" spans="2:5" hidden="1" x14ac:dyDescent="0.25">
      <c r="B55" s="234" t="s">
        <v>781</v>
      </c>
      <c r="C55" s="281" t="str">
        <f>IF(C56*0.1&lt;C54,"Exceed 10% Rule","")</f>
        <v/>
      </c>
      <c r="D55" s="245" t="str">
        <f>IF(D56*0.1&lt;D54,"Exceed 10% Rule","")</f>
        <v/>
      </c>
      <c r="E55" s="245" t="str">
        <f>IF(E56*0.1&lt;E54,"Exceed 10% Rule","")</f>
        <v/>
      </c>
    </row>
    <row r="56" spans="2:5" hidden="1" x14ac:dyDescent="0.25">
      <c r="B56" s="246" t="s">
        <v>111</v>
      </c>
      <c r="C56" s="249">
        <f>SUM(C49:C54)</f>
        <v>0</v>
      </c>
      <c r="D56" s="249">
        <f>SUM(D49:D54)</f>
        <v>0</v>
      </c>
      <c r="E56" s="249">
        <f>SUM(E49:E54)</f>
        <v>0</v>
      </c>
    </row>
    <row r="57" spans="2:5" hidden="1" x14ac:dyDescent="0.25">
      <c r="B57" s="246" t="s">
        <v>112</v>
      </c>
      <c r="C57" s="249">
        <f>C47+C56</f>
        <v>0</v>
      </c>
      <c r="D57" s="249">
        <f>D47+D56</f>
        <v>0</v>
      </c>
      <c r="E57" s="249">
        <f>E47+E56</f>
        <v>0</v>
      </c>
    </row>
    <row r="58" spans="2:5" hidden="1" x14ac:dyDescent="0.25">
      <c r="B58" s="133" t="s">
        <v>114</v>
      </c>
      <c r="C58" s="208"/>
      <c r="D58" s="208"/>
      <c r="E58" s="208"/>
    </row>
    <row r="59" spans="2:5" hidden="1" x14ac:dyDescent="0.25">
      <c r="B59" s="255"/>
      <c r="C59" s="48"/>
      <c r="D59" s="48"/>
      <c r="E59" s="48"/>
    </row>
    <row r="60" spans="2:5" hidden="1" x14ac:dyDescent="0.25">
      <c r="B60" s="255"/>
      <c r="C60" s="48"/>
      <c r="D60" s="48"/>
      <c r="E60" s="48"/>
    </row>
    <row r="61" spans="2:5" hidden="1" x14ac:dyDescent="0.25">
      <c r="B61" s="255"/>
      <c r="C61" s="48"/>
      <c r="D61" s="48"/>
      <c r="E61" s="48"/>
    </row>
    <row r="62" spans="2:5" hidden="1" x14ac:dyDescent="0.25">
      <c r="B62" s="255"/>
      <c r="C62" s="48"/>
      <c r="D62" s="48"/>
      <c r="E62" s="48"/>
    </row>
    <row r="63" spans="2:5" hidden="1" x14ac:dyDescent="0.25">
      <c r="B63" s="255"/>
      <c r="C63" s="48"/>
      <c r="D63" s="48"/>
      <c r="E63" s="48"/>
    </row>
    <row r="64" spans="2:5" hidden="1" x14ac:dyDescent="0.25">
      <c r="B64" s="255"/>
      <c r="C64" s="48"/>
      <c r="D64" s="48"/>
      <c r="E64" s="48"/>
    </row>
    <row r="65" spans="2:5" hidden="1" x14ac:dyDescent="0.25">
      <c r="B65" s="255"/>
      <c r="C65" s="48"/>
      <c r="D65" s="48"/>
      <c r="E65" s="48"/>
    </row>
    <row r="66" spans="2:5" hidden="1" x14ac:dyDescent="0.25">
      <c r="B66" s="255"/>
      <c r="C66" s="48"/>
      <c r="D66" s="48"/>
      <c r="E66" s="48"/>
    </row>
    <row r="67" spans="2:5" hidden="1" x14ac:dyDescent="0.25">
      <c r="B67" s="256" t="s">
        <v>13</v>
      </c>
      <c r="C67" s="48"/>
      <c r="D67" s="240"/>
      <c r="E67" s="240"/>
    </row>
    <row r="68" spans="2:5" hidden="1" x14ac:dyDescent="0.25">
      <c r="B68" s="277" t="s">
        <v>782</v>
      </c>
      <c r="C68" s="281" t="str">
        <f>IF(C69*0.1&lt;C67,"Exceed 10% Rule","")</f>
        <v/>
      </c>
      <c r="D68" s="245" t="str">
        <f>IF(D69*0.1&lt;D67,"Exceed 10% Rule","")</f>
        <v/>
      </c>
      <c r="E68" s="245" t="str">
        <f>IF(E69*0.1&lt;E67,"Exceed 10% Rule","")</f>
        <v/>
      </c>
    </row>
    <row r="69" spans="2:5" hidden="1" x14ac:dyDescent="0.25">
      <c r="B69" s="246" t="s">
        <v>118</v>
      </c>
      <c r="C69" s="249">
        <f>SUM(C59:C67)</f>
        <v>0</v>
      </c>
      <c r="D69" s="249">
        <f>SUM(D59:D67)</f>
        <v>0</v>
      </c>
      <c r="E69" s="249">
        <f>SUM(E59:E67)</f>
        <v>0</v>
      </c>
    </row>
    <row r="70" spans="2:5" hidden="1" x14ac:dyDescent="0.25">
      <c r="B70" s="133" t="s">
        <v>213</v>
      </c>
      <c r="C70" s="63">
        <f>C57-C69</f>
        <v>0</v>
      </c>
      <c r="D70" s="63">
        <f>D57-D69</f>
        <v>0</v>
      </c>
      <c r="E70" s="63">
        <f>E57-E69</f>
        <v>0</v>
      </c>
    </row>
    <row r="71" spans="2:5" hidden="1" x14ac:dyDescent="0.25">
      <c r="B71" s="153" t="str">
        <f>CONCATENATE("",E1-2,"/",E1-1,"/",E1," Budget Authority Amount:")</f>
        <v>2013/2014/2015 Budget Authority Amount:</v>
      </c>
      <c r="C71" s="824">
        <f>inputOth!B82</f>
        <v>0</v>
      </c>
      <c r="D71" s="824">
        <f>inputPrYr!D41</f>
        <v>0</v>
      </c>
      <c r="E71" s="898">
        <f>E69</f>
        <v>0</v>
      </c>
    </row>
    <row r="72" spans="2:5" hidden="1" x14ac:dyDescent="0.25">
      <c r="B72" s="119"/>
      <c r="C72" s="259" t="str">
        <f>IF(C69&gt;C71,"See Tab A","")</f>
        <v/>
      </c>
      <c r="D72" s="259" t="str">
        <f>IF(D69&gt;D71,"See Tab C","")</f>
        <v/>
      </c>
      <c r="E72" s="899" t="str">
        <f>IF(E70&lt;0,"See Tab E","")</f>
        <v/>
      </c>
    </row>
    <row r="73" spans="2:5" x14ac:dyDescent="0.25">
      <c r="B73" s="119"/>
      <c r="C73" s="259" t="str">
        <f>IF(C70&lt;0,"See Tab B","")</f>
        <v/>
      </c>
      <c r="D73" s="259" t="str">
        <f>IF(D70&lt;0,"See Tab D","")</f>
        <v/>
      </c>
      <c r="E73" s="32"/>
    </row>
    <row r="74" spans="2:5" x14ac:dyDescent="0.25">
      <c r="B74" s="32"/>
      <c r="C74" s="32"/>
      <c r="D74" s="32"/>
      <c r="E74" s="32"/>
    </row>
    <row r="75" spans="2:5" x14ac:dyDescent="0.25">
      <c r="B75" s="151" t="s">
        <v>121</v>
      </c>
      <c r="C75" s="263">
        <v>20</v>
      </c>
      <c r="D75" s="32"/>
      <c r="E75" s="32"/>
    </row>
  </sheetData>
  <sheetProtection sheet="1" objects="1" scenarios="1"/>
  <phoneticPr fontId="0" type="noConversion"/>
  <conditionalFormatting sqref="C21">
    <cfRule type="cellIs" dxfId="149" priority="3" stopIfTrue="1" operator="greaterThan">
      <formula>$C$23*0.1</formula>
    </cfRule>
  </conditionalFormatting>
  <conditionalFormatting sqref="D21">
    <cfRule type="cellIs" dxfId="148" priority="4" stopIfTrue="1" operator="greaterThan">
      <formula>$D$23*0.1</formula>
    </cfRule>
  </conditionalFormatting>
  <conditionalFormatting sqref="E21">
    <cfRule type="cellIs" dxfId="147" priority="5" stopIfTrue="1" operator="greaterThan">
      <formula>$E$23*0.1</formula>
    </cfRule>
  </conditionalFormatting>
  <conditionalFormatting sqref="C36">
    <cfRule type="cellIs" dxfId="146" priority="6" stopIfTrue="1" operator="greaterThan">
      <formula>$C$38*0.1</formula>
    </cfRule>
  </conditionalFormatting>
  <conditionalFormatting sqref="D36">
    <cfRule type="cellIs" dxfId="145" priority="7" stopIfTrue="1" operator="greaterThan">
      <formula>$D$38*0.1</formula>
    </cfRule>
  </conditionalFormatting>
  <conditionalFormatting sqref="E36">
    <cfRule type="cellIs" dxfId="144" priority="8" stopIfTrue="1" operator="greaterThan">
      <formula>$E$38*0.1</formula>
    </cfRule>
  </conditionalFormatting>
  <conditionalFormatting sqref="C54">
    <cfRule type="cellIs" dxfId="143" priority="9" stopIfTrue="1" operator="greaterThan">
      <formula>$C$56*0.1</formula>
    </cfRule>
  </conditionalFormatting>
  <conditionalFormatting sqref="D54">
    <cfRule type="cellIs" dxfId="142" priority="10" stopIfTrue="1" operator="greaterThan">
      <formula>$D$56*0.1</formula>
    </cfRule>
  </conditionalFormatting>
  <conditionalFormatting sqref="E54">
    <cfRule type="cellIs" dxfId="141" priority="11" stopIfTrue="1" operator="greaterThan">
      <formula>$E$56*0.1</formula>
    </cfRule>
  </conditionalFormatting>
  <conditionalFormatting sqref="C67">
    <cfRule type="cellIs" dxfId="140" priority="12" stopIfTrue="1" operator="greaterThan">
      <formula>$C$69*0.1</formula>
    </cfRule>
  </conditionalFormatting>
  <conditionalFormatting sqref="D67">
    <cfRule type="cellIs" dxfId="139" priority="13" stopIfTrue="1" operator="greaterThan">
      <formula>$D$69*0.1</formula>
    </cfRule>
  </conditionalFormatting>
  <conditionalFormatting sqref="E67">
    <cfRule type="cellIs" dxfId="138" priority="14" stopIfTrue="1" operator="greaterThan">
      <formula>$E$69*0.1</formula>
    </cfRule>
  </conditionalFormatting>
  <conditionalFormatting sqref="D69">
    <cfRule type="cellIs" dxfId="137" priority="15" stopIfTrue="1" operator="greaterThan">
      <formula>$D$71</formula>
    </cfRule>
  </conditionalFormatting>
  <conditionalFormatting sqref="C69">
    <cfRule type="cellIs" dxfId="136" priority="16" stopIfTrue="1" operator="greaterThan">
      <formula>$C$71</formula>
    </cfRule>
  </conditionalFormatting>
  <conditionalFormatting sqref="C70 E70 C39 E39">
    <cfRule type="cellIs" dxfId="135" priority="17" stopIfTrue="1" operator="lessThan">
      <formula>0</formula>
    </cfRule>
  </conditionalFormatting>
  <conditionalFormatting sqref="D38">
    <cfRule type="cellIs" dxfId="134" priority="18" stopIfTrue="1" operator="greaterThan">
      <formula>$D$40</formula>
    </cfRule>
  </conditionalFormatting>
  <conditionalFormatting sqref="C38">
    <cfRule type="cellIs" dxfId="133" priority="19" stopIfTrue="1" operator="greaterThan">
      <formula>$C$40</formula>
    </cfRule>
  </conditionalFormatting>
  <conditionalFormatting sqref="D70">
    <cfRule type="cellIs" dxfId="132" priority="2" stopIfTrue="1" operator="lessThan">
      <formula>0</formula>
    </cfRule>
  </conditionalFormatting>
  <conditionalFormatting sqref="D39">
    <cfRule type="cellIs" dxfId="131" priority="1" stopIfTrue="1" operator="lessThan">
      <formula>0</formula>
    </cfRule>
  </conditionalFormatting>
  <pageMargins left="0.5" right="0.5" top="1" bottom="0.5" header="0.5" footer="0.5"/>
  <pageSetup fitToHeight="2" orientation="portrait" blackAndWhite="1" horizontalDpi="120" verticalDpi="144" r:id="rId1"/>
  <headerFooter alignWithMargins="0">
    <oddHeader>&amp;RState of Kansas
City</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67"/>
  <sheetViews>
    <sheetView topLeftCell="C59" workbookViewId="0">
      <selection activeCell="Q91" sqref="Q91"/>
    </sheetView>
  </sheetViews>
  <sheetFormatPr defaultColWidth="8.9140625" defaultRowHeight="15.6" x14ac:dyDescent="0.25"/>
  <cols>
    <col min="1" max="1" width="2.4140625" style="30" customWidth="1"/>
    <col min="2" max="2" width="31.08203125" style="30" customWidth="1"/>
    <col min="3" max="4" width="15.75" style="30" customWidth="1"/>
    <col min="5" max="5" width="16.25" style="30" customWidth="1"/>
    <col min="6" max="16384" width="8.9140625" style="30"/>
  </cols>
  <sheetData>
    <row r="1" spans="2:5" x14ac:dyDescent="0.25">
      <c r="B1" s="176" t="str">
        <f>(inputPrYr!D2)</f>
        <v>City of Osawatomie</v>
      </c>
      <c r="C1" s="32"/>
      <c r="D1" s="32"/>
      <c r="E1" s="228">
        <f>inputPrYr!C5</f>
        <v>2015</v>
      </c>
    </row>
    <row r="2" spans="2:5" x14ac:dyDescent="0.25">
      <c r="B2" s="32"/>
      <c r="C2" s="32"/>
      <c r="D2" s="32"/>
      <c r="E2" s="151"/>
    </row>
    <row r="3" spans="2:5" x14ac:dyDescent="0.25">
      <c r="B3" s="229" t="s">
        <v>171</v>
      </c>
      <c r="C3" s="270"/>
      <c r="D3" s="270"/>
      <c r="E3" s="270"/>
    </row>
    <row r="4" spans="2:5" x14ac:dyDescent="0.25">
      <c r="B4" s="33" t="s">
        <v>104</v>
      </c>
      <c r="C4" s="404" t="s">
        <v>803</v>
      </c>
      <c r="D4" s="403" t="s">
        <v>804</v>
      </c>
      <c r="E4" s="382" t="s">
        <v>805</v>
      </c>
    </row>
    <row r="5" spans="2:5" x14ac:dyDescent="0.25">
      <c r="B5" s="530">
        <f>inputPrYr!B42</f>
        <v>0</v>
      </c>
      <c r="C5" s="405" t="str">
        <f>CONCATENATE("Actual for ",E1-2,"")</f>
        <v>Actual for 2013</v>
      </c>
      <c r="D5" s="405" t="str">
        <f>CONCATENATE("Estimate for ",E1-1,"")</f>
        <v>Estimate for 2014</v>
      </c>
      <c r="E5" s="390" t="str">
        <f>CONCATENATE("Year for ",E1,"")</f>
        <v>Year for 2015</v>
      </c>
    </row>
    <row r="6" spans="2:5" x14ac:dyDescent="0.25">
      <c r="B6" s="234" t="s">
        <v>212</v>
      </c>
      <c r="C6" s="48"/>
      <c r="D6" s="208">
        <f>C31</f>
        <v>0</v>
      </c>
      <c r="E6" s="208">
        <f>D31</f>
        <v>0</v>
      </c>
    </row>
    <row r="7" spans="2:5" x14ac:dyDescent="0.25">
      <c r="B7" s="238" t="s">
        <v>214</v>
      </c>
      <c r="C7" s="68"/>
      <c r="D7" s="68"/>
      <c r="E7" s="68"/>
    </row>
    <row r="8" spans="2:5" x14ac:dyDescent="0.25">
      <c r="B8" s="255"/>
      <c r="C8" s="48"/>
      <c r="D8" s="48"/>
      <c r="E8" s="48"/>
    </row>
    <row r="9" spans="2:5" x14ac:dyDescent="0.25">
      <c r="B9" s="255"/>
      <c r="C9" s="48"/>
      <c r="D9" s="48"/>
      <c r="E9" s="48"/>
    </row>
    <row r="10" spans="2:5" x14ac:dyDescent="0.25">
      <c r="B10" s="255"/>
      <c r="C10" s="48"/>
      <c r="D10" s="48"/>
      <c r="E10" s="48"/>
    </row>
    <row r="11" spans="2:5" x14ac:dyDescent="0.25">
      <c r="B11" s="255"/>
      <c r="C11" s="48"/>
      <c r="D11" s="48"/>
      <c r="E11" s="48"/>
    </row>
    <row r="12" spans="2:5" x14ac:dyDescent="0.25">
      <c r="B12" s="255"/>
      <c r="C12" s="48"/>
      <c r="D12" s="48"/>
      <c r="E12" s="48"/>
    </row>
    <row r="13" spans="2:5" x14ac:dyDescent="0.25">
      <c r="B13" s="255"/>
      <c r="C13" s="48"/>
      <c r="D13" s="48"/>
      <c r="E13" s="48"/>
    </row>
    <row r="14" spans="2:5" x14ac:dyDescent="0.25">
      <c r="B14" s="243" t="s">
        <v>110</v>
      </c>
      <c r="C14" s="48"/>
      <c r="D14" s="48"/>
      <c r="E14" s="48"/>
    </row>
    <row r="15" spans="2:5" x14ac:dyDescent="0.25">
      <c r="B15" s="142" t="s">
        <v>13</v>
      </c>
      <c r="C15" s="48"/>
      <c r="D15" s="240"/>
      <c r="E15" s="240"/>
    </row>
    <row r="16" spans="2:5" x14ac:dyDescent="0.25">
      <c r="B16" s="234" t="s">
        <v>781</v>
      </c>
      <c r="C16" s="281" t="str">
        <f>IF(C17*0.1&lt;C15,"Exceed 10% Rule","")</f>
        <v/>
      </c>
      <c r="D16" s="245" t="str">
        <f>IF(D17*0.1&lt;D15,"Exceed 10% Rule","")</f>
        <v/>
      </c>
      <c r="E16" s="245" t="str">
        <f>IF(E17*0.1&lt;E15,"Exceed 10% Rule","")</f>
        <v/>
      </c>
    </row>
    <row r="17" spans="2:5" x14ac:dyDescent="0.25">
      <c r="B17" s="246" t="s">
        <v>111</v>
      </c>
      <c r="C17" s="249">
        <f>SUM(C8:C15)</f>
        <v>0</v>
      </c>
      <c r="D17" s="249">
        <f>SUM(D8:D15)</f>
        <v>0</v>
      </c>
      <c r="E17" s="249">
        <f>SUM(E8:E15)</f>
        <v>0</v>
      </c>
    </row>
    <row r="18" spans="2:5" x14ac:dyDescent="0.25">
      <c r="B18" s="246" t="s">
        <v>112</v>
      </c>
      <c r="C18" s="249">
        <f>C6+C17</f>
        <v>0</v>
      </c>
      <c r="D18" s="249">
        <f>D6+D17</f>
        <v>0</v>
      </c>
      <c r="E18" s="249">
        <f>E6+E17</f>
        <v>0</v>
      </c>
    </row>
    <row r="19" spans="2:5" x14ac:dyDescent="0.25">
      <c r="B19" s="133" t="s">
        <v>114</v>
      </c>
      <c r="C19" s="208"/>
      <c r="D19" s="208"/>
      <c r="E19" s="208"/>
    </row>
    <row r="20" spans="2:5" x14ac:dyDescent="0.25">
      <c r="B20" s="255"/>
      <c r="C20" s="48"/>
      <c r="D20" s="48"/>
      <c r="E20" s="48"/>
    </row>
    <row r="21" spans="2:5" x14ac:dyDescent="0.25">
      <c r="B21" s="255"/>
      <c r="C21" s="48"/>
      <c r="D21" s="48"/>
      <c r="E21" s="48"/>
    </row>
    <row r="22" spans="2:5" x14ac:dyDescent="0.25">
      <c r="B22" s="255"/>
      <c r="C22" s="48"/>
      <c r="D22" s="48"/>
      <c r="E22" s="48"/>
    </row>
    <row r="23" spans="2:5" x14ac:dyDescent="0.25">
      <c r="B23" s="255"/>
      <c r="C23" s="48"/>
      <c r="D23" s="48"/>
      <c r="E23" s="48"/>
    </row>
    <row r="24" spans="2:5" x14ac:dyDescent="0.25">
      <c r="B24" s="255"/>
      <c r="C24" s="48"/>
      <c r="D24" s="48"/>
      <c r="E24" s="48"/>
    </row>
    <row r="25" spans="2:5" x14ac:dyDescent="0.25">
      <c r="B25" s="255"/>
      <c r="C25" s="48"/>
      <c r="D25" s="48"/>
      <c r="E25" s="48"/>
    </row>
    <row r="26" spans="2:5" x14ac:dyDescent="0.25">
      <c r="B26" s="255"/>
      <c r="C26" s="48"/>
      <c r="D26" s="48"/>
      <c r="E26" s="48"/>
    </row>
    <row r="27" spans="2:5" x14ac:dyDescent="0.25">
      <c r="B27" s="255"/>
      <c r="C27" s="48"/>
      <c r="D27" s="48"/>
      <c r="E27" s="48"/>
    </row>
    <row r="28" spans="2:5" x14ac:dyDescent="0.25">
      <c r="B28" s="256" t="s">
        <v>13</v>
      </c>
      <c r="C28" s="48"/>
      <c r="D28" s="240"/>
      <c r="E28" s="240"/>
    </row>
    <row r="29" spans="2:5" x14ac:dyDescent="0.25">
      <c r="B29" s="256" t="s">
        <v>782</v>
      </c>
      <c r="C29" s="281" t="str">
        <f>IF(C30*0.1&lt;C28,"Exceed 10% Rule","")</f>
        <v/>
      </c>
      <c r="D29" s="245" t="str">
        <f>IF(D30*0.1&lt;D28,"Exceed 10% Rule","")</f>
        <v/>
      </c>
      <c r="E29" s="245" t="str">
        <f>IF(E30*0.1&lt;E28,"Exceed 10% Rule","")</f>
        <v/>
      </c>
    </row>
    <row r="30" spans="2:5" x14ac:dyDescent="0.25">
      <c r="B30" s="246" t="s">
        <v>118</v>
      </c>
      <c r="C30" s="249">
        <f>SUM(C20:C28)</f>
        <v>0</v>
      </c>
      <c r="D30" s="249">
        <f>SUM(D20:D28)</f>
        <v>0</v>
      </c>
      <c r="E30" s="249">
        <f>SUM(E20:E28)</f>
        <v>0</v>
      </c>
    </row>
    <row r="31" spans="2:5" x14ac:dyDescent="0.25">
      <c r="B31" s="133" t="s">
        <v>213</v>
      </c>
      <c r="C31" s="63">
        <f>C18-C30</f>
        <v>0</v>
      </c>
      <c r="D31" s="63">
        <f>D18-D30</f>
        <v>0</v>
      </c>
      <c r="E31" s="63">
        <f>E18-E30</f>
        <v>0</v>
      </c>
    </row>
    <row r="32" spans="2:5" x14ac:dyDescent="0.25">
      <c r="B32" s="153" t="str">
        <f>CONCATENATE("",E1-2,"/",E1-1,"/",E1," Budget Authority Amount:")</f>
        <v>2013/2014/2015 Budget Authority Amount:</v>
      </c>
      <c r="C32" s="824">
        <f>inputOth!B83</f>
        <v>0</v>
      </c>
      <c r="D32" s="824">
        <f>inputPrYr!D42</f>
        <v>0</v>
      </c>
      <c r="E32" s="898">
        <f>E30</f>
        <v>0</v>
      </c>
    </row>
    <row r="33" spans="2:5" x14ac:dyDescent="0.25">
      <c r="B33" s="119"/>
      <c r="C33" s="259" t="str">
        <f>IF(C30&gt;C32,"See Tab A","")</f>
        <v/>
      </c>
      <c r="D33" s="259" t="str">
        <f>IF(D30&gt;D32,"See Tab C","")</f>
        <v/>
      </c>
      <c r="E33" s="899" t="str">
        <f>IF(E31&lt;0,"See Tab E","")</f>
        <v/>
      </c>
    </row>
    <row r="34" spans="2:5" x14ac:dyDescent="0.25">
      <c r="B34" s="119"/>
      <c r="C34" s="259" t="str">
        <f>IF(C31&lt;0,"See Tab B","")</f>
        <v/>
      </c>
      <c r="D34" s="259" t="str">
        <f>IF(D31&lt;0,"See Tab D","")</f>
        <v/>
      </c>
      <c r="E34" s="78"/>
    </row>
    <row r="35" spans="2:5" x14ac:dyDescent="0.25">
      <c r="B35" s="32"/>
      <c r="C35" s="78"/>
      <c r="D35" s="78"/>
      <c r="E35" s="78"/>
    </row>
    <row r="36" spans="2:5" x14ac:dyDescent="0.25">
      <c r="B36" s="33"/>
      <c r="C36" s="276"/>
      <c r="D36" s="276"/>
      <c r="E36" s="276"/>
    </row>
    <row r="37" spans="2:5" x14ac:dyDescent="0.25">
      <c r="B37" s="33" t="s">
        <v>104</v>
      </c>
      <c r="C37" s="261" t="s">
        <v>803</v>
      </c>
      <c r="D37" s="127" t="s">
        <v>804</v>
      </c>
      <c r="E37" s="127" t="s">
        <v>805</v>
      </c>
    </row>
    <row r="38" spans="2:5" x14ac:dyDescent="0.25">
      <c r="B38" s="530">
        <f>inputPrYr!B43</f>
        <v>0</v>
      </c>
      <c r="C38" s="233" t="str">
        <f>C5</f>
        <v>Actual for 2013</v>
      </c>
      <c r="D38" s="233" t="str">
        <f>D5</f>
        <v>Estimate for 2014</v>
      </c>
      <c r="E38" s="233" t="str">
        <f>E5</f>
        <v>Year for 2015</v>
      </c>
    </row>
    <row r="39" spans="2:5" x14ac:dyDescent="0.25">
      <c r="B39" s="234" t="s">
        <v>212</v>
      </c>
      <c r="C39" s="48"/>
      <c r="D39" s="208">
        <f>C62</f>
        <v>0</v>
      </c>
      <c r="E39" s="208">
        <f>D62</f>
        <v>0</v>
      </c>
    </row>
    <row r="40" spans="2:5" x14ac:dyDescent="0.25">
      <c r="B40" s="238" t="s">
        <v>214</v>
      </c>
      <c r="C40" s="68"/>
      <c r="D40" s="68"/>
      <c r="E40" s="68"/>
    </row>
    <row r="41" spans="2:5" x14ac:dyDescent="0.25">
      <c r="B41" s="255"/>
      <c r="C41" s="48"/>
      <c r="D41" s="48"/>
      <c r="E41" s="48"/>
    </row>
    <row r="42" spans="2:5" x14ac:dyDescent="0.25">
      <c r="B42" s="255"/>
      <c r="C42" s="48"/>
      <c r="D42" s="48"/>
      <c r="E42" s="48"/>
    </row>
    <row r="43" spans="2:5" x14ac:dyDescent="0.25">
      <c r="B43" s="255"/>
      <c r="C43" s="48"/>
      <c r="D43" s="48"/>
      <c r="E43" s="48"/>
    </row>
    <row r="44" spans="2:5" x14ac:dyDescent="0.25">
      <c r="B44" s="255"/>
      <c r="C44" s="48"/>
      <c r="D44" s="48"/>
      <c r="E44" s="48"/>
    </row>
    <row r="45" spans="2:5" x14ac:dyDescent="0.25">
      <c r="B45" s="243" t="s">
        <v>110</v>
      </c>
      <c r="C45" s="48"/>
      <c r="D45" s="48"/>
      <c r="E45" s="48"/>
    </row>
    <row r="46" spans="2:5" x14ac:dyDescent="0.25">
      <c r="B46" s="142" t="s">
        <v>13</v>
      </c>
      <c r="C46" s="48"/>
      <c r="D46" s="240"/>
      <c r="E46" s="240"/>
    </row>
    <row r="47" spans="2:5" x14ac:dyDescent="0.25">
      <c r="B47" s="234" t="s">
        <v>781</v>
      </c>
      <c r="C47" s="281" t="str">
        <f>IF(C48*0.1&lt;C46,"Exceed 10% Rule","")</f>
        <v/>
      </c>
      <c r="D47" s="245" t="str">
        <f>IF(D48*0.1&lt;D46,"Exceed 10% Rule","")</f>
        <v/>
      </c>
      <c r="E47" s="245" t="str">
        <f>IF(E48*0.1&lt;E46,"Exceed 10% Rule","")</f>
        <v/>
      </c>
    </row>
    <row r="48" spans="2:5" x14ac:dyDescent="0.25">
      <c r="B48" s="246" t="s">
        <v>111</v>
      </c>
      <c r="C48" s="249">
        <f>SUM(C41:C46)</f>
        <v>0</v>
      </c>
      <c r="D48" s="249">
        <f>SUM(D41:D46)</f>
        <v>0</v>
      </c>
      <c r="E48" s="249">
        <f>SUM(E41:E46)</f>
        <v>0</v>
      </c>
    </row>
    <row r="49" spans="2:5" x14ac:dyDescent="0.25">
      <c r="B49" s="246" t="s">
        <v>112</v>
      </c>
      <c r="C49" s="249">
        <f>C39+C48</f>
        <v>0</v>
      </c>
      <c r="D49" s="249">
        <f>D39+D48</f>
        <v>0</v>
      </c>
      <c r="E49" s="249">
        <f>E39+E48</f>
        <v>0</v>
      </c>
    </row>
    <row r="50" spans="2:5" x14ac:dyDescent="0.25">
      <c r="B50" s="133" t="s">
        <v>114</v>
      </c>
      <c r="C50" s="208"/>
      <c r="D50" s="208"/>
      <c r="E50" s="208"/>
    </row>
    <row r="51" spans="2:5" x14ac:dyDescent="0.25">
      <c r="B51" s="255"/>
      <c r="C51" s="48"/>
      <c r="D51" s="48"/>
      <c r="E51" s="48"/>
    </row>
    <row r="52" spans="2:5" x14ac:dyDescent="0.25">
      <c r="B52" s="255"/>
      <c r="C52" s="48"/>
      <c r="D52" s="48"/>
      <c r="E52" s="48"/>
    </row>
    <row r="53" spans="2:5" x14ac:dyDescent="0.25">
      <c r="B53" s="255"/>
      <c r="C53" s="48"/>
      <c r="D53" s="48"/>
      <c r="E53" s="48"/>
    </row>
    <row r="54" spans="2:5" x14ac:dyDescent="0.25">
      <c r="B54" s="255"/>
      <c r="C54" s="48"/>
      <c r="D54" s="48"/>
      <c r="E54" s="48"/>
    </row>
    <row r="55" spans="2:5" x14ac:dyDescent="0.25">
      <c r="B55" s="255"/>
      <c r="C55" s="48"/>
      <c r="D55" s="48"/>
      <c r="E55" s="48"/>
    </row>
    <row r="56" spans="2:5" x14ac:dyDescent="0.25">
      <c r="B56" s="255"/>
      <c r="C56" s="48"/>
      <c r="D56" s="48"/>
      <c r="E56" s="48"/>
    </row>
    <row r="57" spans="2:5" x14ac:dyDescent="0.25">
      <c r="B57" s="255"/>
      <c r="C57" s="48"/>
      <c r="D57" s="48"/>
      <c r="E57" s="48"/>
    </row>
    <row r="58" spans="2:5" x14ac:dyDescent="0.25">
      <c r="B58" s="255"/>
      <c r="C58" s="48"/>
      <c r="D58" s="48"/>
      <c r="E58" s="48"/>
    </row>
    <row r="59" spans="2:5" x14ac:dyDescent="0.25">
      <c r="B59" s="256" t="s">
        <v>13</v>
      </c>
      <c r="C59" s="48"/>
      <c r="D59" s="240"/>
      <c r="E59" s="240"/>
    </row>
    <row r="60" spans="2:5" x14ac:dyDescent="0.25">
      <c r="B60" s="256" t="s">
        <v>782</v>
      </c>
      <c r="C60" s="281" t="str">
        <f>IF(C61*0.1&lt;C59,"Exceed 10% Rule","")</f>
        <v/>
      </c>
      <c r="D60" s="245" t="str">
        <f>IF(D61*0.1&lt;D59,"Exceed 10% Rule","")</f>
        <v/>
      </c>
      <c r="E60" s="245" t="str">
        <f>IF(E61*0.1&lt;E59,"Exceed 10% Rule","")</f>
        <v/>
      </c>
    </row>
    <row r="61" spans="2:5" x14ac:dyDescent="0.25">
      <c r="B61" s="246" t="s">
        <v>118</v>
      </c>
      <c r="C61" s="249">
        <f>SUM(C51:C59)</f>
        <v>0</v>
      </c>
      <c r="D61" s="249">
        <f>SUM(D51:D59)</f>
        <v>0</v>
      </c>
      <c r="E61" s="249">
        <f>SUM(E51:E59)</f>
        <v>0</v>
      </c>
    </row>
    <row r="62" spans="2:5" x14ac:dyDescent="0.25">
      <c r="B62" s="133" t="s">
        <v>213</v>
      </c>
      <c r="C62" s="63">
        <f>C49-C61</f>
        <v>0</v>
      </c>
      <c r="D62" s="63">
        <f>D49-D61</f>
        <v>0</v>
      </c>
      <c r="E62" s="63">
        <f>E49-E61</f>
        <v>0</v>
      </c>
    </row>
    <row r="63" spans="2:5" x14ac:dyDescent="0.25">
      <c r="B63" s="153" t="str">
        <f>CONCATENATE("",E1-2,"/",E1-1,"/",E1," Budget Authority Amount:")</f>
        <v>2013/2014/2015 Budget Authority Amount:</v>
      </c>
      <c r="C63" s="824">
        <f>inputOth!B84</f>
        <v>0</v>
      </c>
      <c r="D63" s="824">
        <f>inputPrYr!D43</f>
        <v>0</v>
      </c>
      <c r="E63" s="898">
        <f>E61</f>
        <v>0</v>
      </c>
    </row>
    <row r="64" spans="2:5" x14ac:dyDescent="0.25">
      <c r="B64" s="119"/>
      <c r="C64" s="259" t="str">
        <f>IF(C61&gt;C63,"See Tab A","")</f>
        <v/>
      </c>
      <c r="D64" s="259" t="str">
        <f>IF(D61&gt;D63,"See Tab C","")</f>
        <v/>
      </c>
      <c r="E64" s="899" t="str">
        <f>IF(E62&lt;0,"See Tab E","")</f>
        <v/>
      </c>
    </row>
    <row r="65" spans="2:5" x14ac:dyDescent="0.25">
      <c r="B65" s="119"/>
      <c r="C65" s="259" t="str">
        <f>IF(C62&lt;0,"See Tab B","")</f>
        <v/>
      </c>
      <c r="D65" s="259" t="str">
        <f>IF(D62&lt;0,"See Tab D","")</f>
        <v/>
      </c>
      <c r="E65" s="32"/>
    </row>
    <row r="66" spans="2:5" x14ac:dyDescent="0.25">
      <c r="B66" s="32"/>
      <c r="C66" s="32"/>
      <c r="D66" s="32"/>
      <c r="E66" s="32"/>
    </row>
    <row r="67" spans="2:5" x14ac:dyDescent="0.25">
      <c r="B67" s="151" t="s">
        <v>121</v>
      </c>
      <c r="C67" s="263"/>
      <c r="D67" s="32"/>
      <c r="E67" s="32"/>
    </row>
  </sheetData>
  <sheetProtection sheet="1"/>
  <phoneticPr fontId="0" type="noConversion"/>
  <conditionalFormatting sqref="C15">
    <cfRule type="cellIs" dxfId="130" priority="3" stopIfTrue="1" operator="greaterThan">
      <formula>$C$17*0.1</formula>
    </cfRule>
  </conditionalFormatting>
  <conditionalFormatting sqref="D15">
    <cfRule type="cellIs" dxfId="129" priority="4" stopIfTrue="1" operator="greaterThan">
      <formula>$D$17*0.1</formula>
    </cfRule>
  </conditionalFormatting>
  <conditionalFormatting sqref="E15">
    <cfRule type="cellIs" dxfId="128" priority="5" stopIfTrue="1" operator="greaterThan">
      <formula>$E$17*0.1</formula>
    </cfRule>
  </conditionalFormatting>
  <conditionalFormatting sqref="C28">
    <cfRule type="cellIs" dxfId="127" priority="6" stopIfTrue="1" operator="greaterThan">
      <formula>$C$30*0.1</formula>
    </cfRule>
  </conditionalFormatting>
  <conditionalFormatting sqref="D28">
    <cfRule type="cellIs" dxfId="126" priority="7" stopIfTrue="1" operator="greaterThan">
      <formula>$D$30*0.1</formula>
    </cfRule>
  </conditionalFormatting>
  <conditionalFormatting sqref="E28">
    <cfRule type="cellIs" dxfId="125" priority="8" stopIfTrue="1" operator="greaterThan">
      <formula>$E$30*0.1</formula>
    </cfRule>
  </conditionalFormatting>
  <conditionalFormatting sqref="C46">
    <cfRule type="cellIs" dxfId="124" priority="9" stopIfTrue="1" operator="greaterThan">
      <formula>$C$48*0.1</formula>
    </cfRule>
  </conditionalFormatting>
  <conditionalFormatting sqref="D46">
    <cfRule type="cellIs" dxfId="123" priority="10" stopIfTrue="1" operator="greaterThan">
      <formula>$D$48*0.1</formula>
    </cfRule>
  </conditionalFormatting>
  <conditionalFormatting sqref="E46">
    <cfRule type="cellIs" dxfId="122" priority="11" stopIfTrue="1" operator="greaterThan">
      <formula>$E$48*0.1</formula>
    </cfRule>
  </conditionalFormatting>
  <conditionalFormatting sqref="C59">
    <cfRule type="cellIs" dxfId="121" priority="12" stopIfTrue="1" operator="greaterThan">
      <formula>$C$61*0.1</formula>
    </cfRule>
  </conditionalFormatting>
  <conditionalFormatting sqref="D59">
    <cfRule type="cellIs" dxfId="120" priority="13" stopIfTrue="1" operator="greaterThan">
      <formula>$D$61*0.1</formula>
    </cfRule>
  </conditionalFormatting>
  <conditionalFormatting sqref="E59">
    <cfRule type="cellIs" dxfId="119" priority="14" stopIfTrue="1" operator="greaterThan">
      <formula>$E$61*0.1</formula>
    </cfRule>
  </conditionalFormatting>
  <conditionalFormatting sqref="D61">
    <cfRule type="cellIs" dxfId="118" priority="15" stopIfTrue="1" operator="greaterThan">
      <formula>$D$63</formula>
    </cfRule>
  </conditionalFormatting>
  <conditionalFormatting sqref="C61">
    <cfRule type="cellIs" dxfId="117" priority="16" stopIfTrue="1" operator="greaterThan">
      <formula>$C$63</formula>
    </cfRule>
  </conditionalFormatting>
  <conditionalFormatting sqref="C62 E62 C31 E31">
    <cfRule type="cellIs" dxfId="116" priority="17" stopIfTrue="1" operator="lessThan">
      <formula>0</formula>
    </cfRule>
  </conditionalFormatting>
  <conditionalFormatting sqref="D30">
    <cfRule type="cellIs" dxfId="115" priority="18" stopIfTrue="1" operator="greaterThan">
      <formula>$D$32</formula>
    </cfRule>
  </conditionalFormatting>
  <conditionalFormatting sqref="C30">
    <cfRule type="cellIs" dxfId="114" priority="19" stopIfTrue="1" operator="greaterThan">
      <formula>$C$32</formula>
    </cfRule>
  </conditionalFormatting>
  <conditionalFormatting sqref="D62">
    <cfRule type="cellIs" dxfId="113" priority="2" stopIfTrue="1" operator="lessThan">
      <formula>0</formula>
    </cfRule>
  </conditionalFormatting>
  <conditionalFormatting sqref="D31">
    <cfRule type="cellIs" dxfId="112" priority="1" stopIfTrue="1" operator="lessThan">
      <formula>0</formula>
    </cfRule>
  </conditionalFormatting>
  <pageMargins left="0.5" right="0.5" top="1" bottom="0.5" header="0.5" footer="0.5"/>
  <pageSetup scale="72" orientation="portrait" blackAndWhite="1" horizontalDpi="120" verticalDpi="144" r:id="rId1"/>
  <headerFooter alignWithMargins="0">
    <oddHeader>&amp;RState of Kansas
City</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67"/>
  <sheetViews>
    <sheetView zoomScaleNormal="100" workbookViewId="0">
      <selection activeCell="Q91" sqref="Q91"/>
    </sheetView>
  </sheetViews>
  <sheetFormatPr defaultColWidth="8.9140625" defaultRowHeight="15.6" x14ac:dyDescent="0.25"/>
  <cols>
    <col min="1" max="1" width="2.4140625" style="30" customWidth="1"/>
    <col min="2" max="2" width="31.08203125" style="30" customWidth="1"/>
    <col min="3" max="4" width="15.75" style="30" customWidth="1"/>
    <col min="5" max="5" width="16.08203125" style="30" customWidth="1"/>
    <col min="6" max="6" width="8.08203125" style="30" customWidth="1"/>
    <col min="7" max="7" width="10.25" style="30" customWidth="1"/>
    <col min="8" max="8" width="8.9140625" style="30"/>
    <col min="9" max="9" width="5" style="30" customWidth="1"/>
    <col min="10" max="10" width="10" style="30" customWidth="1"/>
    <col min="11" max="16384" width="8.9140625" style="30"/>
  </cols>
  <sheetData>
    <row r="1" spans="2:5" x14ac:dyDescent="0.25">
      <c r="B1" s="176" t="str">
        <f>(inputPrYr!D2)</f>
        <v>City of Osawatomie</v>
      </c>
      <c r="C1" s="32"/>
      <c r="D1" s="32"/>
      <c r="E1" s="228">
        <f>inputPrYr!C5</f>
        <v>2015</v>
      </c>
    </row>
    <row r="2" spans="2:5" x14ac:dyDescent="0.25">
      <c r="B2" s="32"/>
      <c r="C2" s="32"/>
      <c r="D2" s="32"/>
      <c r="E2" s="151"/>
    </row>
    <row r="3" spans="2:5" x14ac:dyDescent="0.25">
      <c r="B3" s="229" t="s">
        <v>171</v>
      </c>
      <c r="C3" s="270"/>
      <c r="D3" s="270"/>
      <c r="E3" s="270"/>
    </row>
    <row r="4" spans="2:5" x14ac:dyDescent="0.25">
      <c r="B4" s="33" t="s">
        <v>104</v>
      </c>
      <c r="C4" s="404" t="s">
        <v>803</v>
      </c>
      <c r="D4" s="403" t="s">
        <v>804</v>
      </c>
      <c r="E4" s="382" t="s">
        <v>805</v>
      </c>
    </row>
    <row r="5" spans="2:5" x14ac:dyDescent="0.25">
      <c r="B5" s="530">
        <f>inputPrYr!B44</f>
        <v>0</v>
      </c>
      <c r="C5" s="405" t="str">
        <f>CONCATENATE("Actual for ",E1-2,"")</f>
        <v>Actual for 2013</v>
      </c>
      <c r="D5" s="405" t="str">
        <f>CONCATENATE("Estimate for ",E1-1,"")</f>
        <v>Estimate for 2014</v>
      </c>
      <c r="E5" s="390" t="str">
        <f>CONCATENATE("Year for ",E1,"")</f>
        <v>Year for 2015</v>
      </c>
    </row>
    <row r="6" spans="2:5" x14ac:dyDescent="0.25">
      <c r="B6" s="234" t="s">
        <v>212</v>
      </c>
      <c r="C6" s="48"/>
      <c r="D6" s="208">
        <f>C31</f>
        <v>0</v>
      </c>
      <c r="E6" s="208">
        <f>D31</f>
        <v>0</v>
      </c>
    </row>
    <row r="7" spans="2:5" x14ac:dyDescent="0.25">
      <c r="B7" s="238" t="s">
        <v>214</v>
      </c>
      <c r="C7" s="68"/>
      <c r="D7" s="68"/>
      <c r="E7" s="68"/>
    </row>
    <row r="8" spans="2:5" x14ac:dyDescent="0.25">
      <c r="B8" s="255"/>
      <c r="C8" s="48"/>
      <c r="D8" s="48"/>
      <c r="E8" s="48"/>
    </row>
    <row r="9" spans="2:5" x14ac:dyDescent="0.25">
      <c r="B9" s="255"/>
      <c r="C9" s="48"/>
      <c r="D9" s="48"/>
      <c r="E9" s="48"/>
    </row>
    <row r="10" spans="2:5" x14ac:dyDescent="0.25">
      <c r="B10" s="255"/>
      <c r="C10" s="48"/>
      <c r="D10" s="48"/>
      <c r="E10" s="48"/>
    </row>
    <row r="11" spans="2:5" x14ac:dyDescent="0.25">
      <c r="B11" s="255"/>
      <c r="C11" s="48"/>
      <c r="D11" s="48"/>
      <c r="E11" s="48"/>
    </row>
    <row r="12" spans="2:5" x14ac:dyDescent="0.25">
      <c r="B12" s="255"/>
      <c r="C12" s="48"/>
      <c r="D12" s="48"/>
      <c r="E12" s="48"/>
    </row>
    <row r="13" spans="2:5" x14ac:dyDescent="0.25">
      <c r="B13" s="255"/>
      <c r="C13" s="48"/>
      <c r="D13" s="48"/>
      <c r="E13" s="48"/>
    </row>
    <row r="14" spans="2:5" x14ac:dyDescent="0.25">
      <c r="B14" s="243" t="s">
        <v>110</v>
      </c>
      <c r="C14" s="48"/>
      <c r="D14" s="48"/>
      <c r="E14" s="48"/>
    </row>
    <row r="15" spans="2:5" x14ac:dyDescent="0.25">
      <c r="B15" s="142" t="s">
        <v>13</v>
      </c>
      <c r="C15" s="192"/>
      <c r="D15" s="192"/>
      <c r="E15" s="192"/>
    </row>
    <row r="16" spans="2:5" x14ac:dyDescent="0.25">
      <c r="B16" s="234" t="s">
        <v>781</v>
      </c>
      <c r="C16" s="281" t="str">
        <f>IF(C17*0.1&lt;C15,"Exceed 10% Rule","")</f>
        <v/>
      </c>
      <c r="D16" s="245" t="str">
        <f>IF(D17*0.1&lt;D15,"Exceed 10% Rule","")</f>
        <v/>
      </c>
      <c r="E16" s="245" t="str">
        <f>IF(E17*0.1&lt;E15,"Exceed 10% Rule","")</f>
        <v/>
      </c>
    </row>
    <row r="17" spans="2:5" x14ac:dyDescent="0.25">
      <c r="B17" s="246" t="s">
        <v>111</v>
      </c>
      <c r="C17" s="249">
        <f>SUM(C8:C15)</f>
        <v>0</v>
      </c>
      <c r="D17" s="249">
        <f>SUM(D8:D15)</f>
        <v>0</v>
      </c>
      <c r="E17" s="249">
        <f>SUM(E8:E15)</f>
        <v>0</v>
      </c>
    </row>
    <row r="18" spans="2:5" x14ac:dyDescent="0.25">
      <c r="B18" s="246" t="s">
        <v>112</v>
      </c>
      <c r="C18" s="249">
        <f>C6+C17</f>
        <v>0</v>
      </c>
      <c r="D18" s="249">
        <f>D6+D17</f>
        <v>0</v>
      </c>
      <c r="E18" s="249">
        <f>E6+E17</f>
        <v>0</v>
      </c>
    </row>
    <row r="19" spans="2:5" x14ac:dyDescent="0.25">
      <c r="B19" s="133" t="s">
        <v>114</v>
      </c>
      <c r="C19" s="208"/>
      <c r="D19" s="208"/>
      <c r="E19" s="208"/>
    </row>
    <row r="20" spans="2:5" x14ac:dyDescent="0.25">
      <c r="B20" s="255"/>
      <c r="C20" s="48"/>
      <c r="D20" s="48"/>
      <c r="E20" s="48"/>
    </row>
    <row r="21" spans="2:5" x14ac:dyDescent="0.25">
      <c r="B21" s="255"/>
      <c r="C21" s="48"/>
      <c r="D21" s="48"/>
      <c r="E21" s="48"/>
    </row>
    <row r="22" spans="2:5" x14ac:dyDescent="0.25">
      <c r="B22" s="255"/>
      <c r="C22" s="48"/>
      <c r="D22" s="48"/>
      <c r="E22" s="48"/>
    </row>
    <row r="23" spans="2:5" x14ac:dyDescent="0.25">
      <c r="B23" s="255"/>
      <c r="C23" s="48"/>
      <c r="D23" s="48"/>
      <c r="E23" s="48"/>
    </row>
    <row r="24" spans="2:5" x14ac:dyDescent="0.25">
      <c r="B24" s="255"/>
      <c r="C24" s="48"/>
      <c r="D24" s="48"/>
      <c r="E24" s="48"/>
    </row>
    <row r="25" spans="2:5" x14ac:dyDescent="0.25">
      <c r="B25" s="255"/>
      <c r="C25" s="48"/>
      <c r="D25" s="48"/>
      <c r="E25" s="48"/>
    </row>
    <row r="26" spans="2:5" x14ac:dyDescent="0.25">
      <c r="B26" s="255"/>
      <c r="C26" s="48"/>
      <c r="D26" s="48"/>
      <c r="E26" s="48"/>
    </row>
    <row r="27" spans="2:5" x14ac:dyDescent="0.25">
      <c r="B27" s="255"/>
      <c r="C27" s="48"/>
      <c r="D27" s="48"/>
      <c r="E27" s="48"/>
    </row>
    <row r="28" spans="2:5" x14ac:dyDescent="0.25">
      <c r="B28" s="256" t="s">
        <v>13</v>
      </c>
      <c r="C28" s="48"/>
      <c r="D28" s="240"/>
      <c r="E28" s="240"/>
    </row>
    <row r="29" spans="2:5" x14ac:dyDescent="0.25">
      <c r="B29" s="256" t="s">
        <v>782</v>
      </c>
      <c r="C29" s="281" t="str">
        <f>IF(C30*0.1&lt;C28,"Exceed 10% Rule","")</f>
        <v/>
      </c>
      <c r="D29" s="245" t="str">
        <f>IF(D30*0.1&lt;D28,"Exceed 10% Rule","")</f>
        <v/>
      </c>
      <c r="E29" s="245" t="str">
        <f>IF(E30*0.1&lt;E28,"Exceed 10% Rule","")</f>
        <v/>
      </c>
    </row>
    <row r="30" spans="2:5" x14ac:dyDescent="0.25">
      <c r="B30" s="246" t="s">
        <v>118</v>
      </c>
      <c r="C30" s="249">
        <f>SUM(C20:C28)</f>
        <v>0</v>
      </c>
      <c r="D30" s="249">
        <f>SUM(D20:D28)</f>
        <v>0</v>
      </c>
      <c r="E30" s="249">
        <f>SUM(E20:E28)</f>
        <v>0</v>
      </c>
    </row>
    <row r="31" spans="2:5" x14ac:dyDescent="0.25">
      <c r="B31" s="133" t="s">
        <v>213</v>
      </c>
      <c r="C31" s="63">
        <f>C18-C30</f>
        <v>0</v>
      </c>
      <c r="D31" s="63">
        <f>D18-D30</f>
        <v>0</v>
      </c>
      <c r="E31" s="63">
        <f>E18-E30</f>
        <v>0</v>
      </c>
    </row>
    <row r="32" spans="2:5" x14ac:dyDescent="0.25">
      <c r="B32" s="153" t="str">
        <f>CONCATENATE("",E1-2,"/",E1-1,"/",E1," Budget Authority Amount:")</f>
        <v>2013/2014/2015 Budget Authority Amount:</v>
      </c>
      <c r="C32" s="824">
        <f>inputOth!B85</f>
        <v>0</v>
      </c>
      <c r="D32" s="824">
        <f>inputPrYr!D44</f>
        <v>0</v>
      </c>
      <c r="E32" s="898">
        <f>E30</f>
        <v>0</v>
      </c>
    </row>
    <row r="33" spans="2:5" x14ac:dyDescent="0.25">
      <c r="B33" s="119"/>
      <c r="C33" s="259" t="str">
        <f>IF(C30&gt;C32,"See Tab A","")</f>
        <v/>
      </c>
      <c r="D33" s="259" t="str">
        <f>IF(D30&gt;D32,"See Tab C","")</f>
        <v/>
      </c>
      <c r="E33" s="899" t="str">
        <f>IF(E31&lt;0,"See Tab E","")</f>
        <v/>
      </c>
    </row>
    <row r="34" spans="2:5" x14ac:dyDescent="0.25">
      <c r="B34" s="119"/>
      <c r="C34" s="259" t="str">
        <f>IF(C31&lt;0,"See Tab B","")</f>
        <v/>
      </c>
      <c r="D34" s="259" t="str">
        <f>IF(D31&lt;0,"See Tab D","")</f>
        <v/>
      </c>
      <c r="E34" s="78"/>
    </row>
    <row r="35" spans="2:5" x14ac:dyDescent="0.25">
      <c r="B35" s="32"/>
      <c r="C35" s="78"/>
      <c r="D35" s="78"/>
      <c r="E35" s="78"/>
    </row>
    <row r="36" spans="2:5" x14ac:dyDescent="0.25">
      <c r="B36" s="33"/>
      <c r="C36" s="276"/>
      <c r="D36" s="276"/>
      <c r="E36" s="276"/>
    </row>
    <row r="37" spans="2:5" x14ac:dyDescent="0.25">
      <c r="B37" s="33" t="s">
        <v>104</v>
      </c>
      <c r="C37" s="261" t="s">
        <v>803</v>
      </c>
      <c r="D37" s="127" t="s">
        <v>804</v>
      </c>
      <c r="E37" s="127" t="s">
        <v>880</v>
      </c>
    </row>
    <row r="38" spans="2:5" x14ac:dyDescent="0.25">
      <c r="B38" s="530">
        <f>inputPrYr!B45</f>
        <v>0</v>
      </c>
      <c r="C38" s="233" t="str">
        <f>C5</f>
        <v>Actual for 2013</v>
      </c>
      <c r="D38" s="233" t="str">
        <f>D5</f>
        <v>Estimate for 2014</v>
      </c>
      <c r="E38" s="233" t="str">
        <f>E5</f>
        <v>Year for 2015</v>
      </c>
    </row>
    <row r="39" spans="2:5" x14ac:dyDescent="0.25">
      <c r="B39" s="234" t="s">
        <v>212</v>
      </c>
      <c r="C39" s="48"/>
      <c r="D39" s="208">
        <f>C62</f>
        <v>0</v>
      </c>
      <c r="E39" s="208">
        <f>D62</f>
        <v>0</v>
      </c>
    </row>
    <row r="40" spans="2:5" x14ac:dyDescent="0.25">
      <c r="B40" s="238" t="s">
        <v>214</v>
      </c>
      <c r="C40" s="68"/>
      <c r="D40" s="68"/>
      <c r="E40" s="68"/>
    </row>
    <row r="41" spans="2:5" x14ac:dyDescent="0.25">
      <c r="B41" s="255"/>
      <c r="C41" s="48"/>
      <c r="D41" s="48"/>
      <c r="E41" s="48"/>
    </row>
    <row r="42" spans="2:5" x14ac:dyDescent="0.25">
      <c r="B42" s="255"/>
      <c r="C42" s="48"/>
      <c r="D42" s="48"/>
      <c r="E42" s="48"/>
    </row>
    <row r="43" spans="2:5" x14ac:dyDescent="0.25">
      <c r="B43" s="255"/>
      <c r="C43" s="48"/>
      <c r="D43" s="48"/>
      <c r="E43" s="48"/>
    </row>
    <row r="44" spans="2:5" x14ac:dyDescent="0.25">
      <c r="B44" s="255"/>
      <c r="C44" s="48"/>
      <c r="D44" s="48"/>
      <c r="E44" s="48"/>
    </row>
    <row r="45" spans="2:5" x14ac:dyDescent="0.25">
      <c r="B45" s="243" t="s">
        <v>110</v>
      </c>
      <c r="C45" s="48"/>
      <c r="D45" s="48"/>
      <c r="E45" s="48"/>
    </row>
    <row r="46" spans="2:5" x14ac:dyDescent="0.25">
      <c r="B46" s="142" t="s">
        <v>13</v>
      </c>
      <c r="C46" s="48"/>
      <c r="D46" s="240"/>
      <c r="E46" s="240"/>
    </row>
    <row r="47" spans="2:5" x14ac:dyDescent="0.25">
      <c r="B47" s="234" t="s">
        <v>781</v>
      </c>
      <c r="C47" s="281" t="str">
        <f>IF(C48*0.1&lt;C46,"Exceed 10% Rule","")</f>
        <v/>
      </c>
      <c r="D47" s="245" t="str">
        <f>IF(D48*0.1&lt;D46,"Exceed 10% Rule","")</f>
        <v/>
      </c>
      <c r="E47" s="245" t="str">
        <f>IF(E48*0.1&lt;E46,"Exceed 10% Rule","")</f>
        <v/>
      </c>
    </row>
    <row r="48" spans="2:5" x14ac:dyDescent="0.25">
      <c r="B48" s="246" t="s">
        <v>111</v>
      </c>
      <c r="C48" s="249">
        <f>SUM(C41:C46)</f>
        <v>0</v>
      </c>
      <c r="D48" s="249">
        <f>SUM(D41:D46)</f>
        <v>0</v>
      </c>
      <c r="E48" s="249">
        <f>SUM(E41:E46)</f>
        <v>0</v>
      </c>
    </row>
    <row r="49" spans="2:5" x14ac:dyDescent="0.25">
      <c r="B49" s="246" t="s">
        <v>112</v>
      </c>
      <c r="C49" s="249">
        <f>C39+C48</f>
        <v>0</v>
      </c>
      <c r="D49" s="249">
        <f>D39+D48</f>
        <v>0</v>
      </c>
      <c r="E49" s="249">
        <f>E39+E48</f>
        <v>0</v>
      </c>
    </row>
    <row r="50" spans="2:5" x14ac:dyDescent="0.25">
      <c r="B50" s="133" t="s">
        <v>114</v>
      </c>
      <c r="C50" s="208"/>
      <c r="D50" s="208"/>
      <c r="E50" s="208"/>
    </row>
    <row r="51" spans="2:5" x14ac:dyDescent="0.25">
      <c r="B51" s="255"/>
      <c r="C51" s="48"/>
      <c r="D51" s="48"/>
      <c r="E51" s="48"/>
    </row>
    <row r="52" spans="2:5" x14ac:dyDescent="0.25">
      <c r="B52" s="255"/>
      <c r="C52" s="48"/>
      <c r="D52" s="48"/>
      <c r="E52" s="48"/>
    </row>
    <row r="53" spans="2:5" x14ac:dyDescent="0.25">
      <c r="B53" s="255"/>
      <c r="C53" s="48"/>
      <c r="D53" s="48"/>
      <c r="E53" s="48"/>
    </row>
    <row r="54" spans="2:5" x14ac:dyDescent="0.25">
      <c r="B54" s="255"/>
      <c r="C54" s="48"/>
      <c r="D54" s="48"/>
      <c r="E54" s="48"/>
    </row>
    <row r="55" spans="2:5" x14ac:dyDescent="0.25">
      <c r="B55" s="255"/>
      <c r="C55" s="48"/>
      <c r="D55" s="48"/>
      <c r="E55" s="48"/>
    </row>
    <row r="56" spans="2:5" x14ac:dyDescent="0.25">
      <c r="B56" s="255"/>
      <c r="C56" s="48"/>
      <c r="D56" s="48"/>
      <c r="E56" s="48"/>
    </row>
    <row r="57" spans="2:5" x14ac:dyDescent="0.25">
      <c r="B57" s="255"/>
      <c r="C57" s="48"/>
      <c r="D57" s="48"/>
      <c r="E57" s="48"/>
    </row>
    <row r="58" spans="2:5" x14ac:dyDescent="0.25">
      <c r="B58" s="255"/>
      <c r="C58" s="48"/>
      <c r="D58" s="48"/>
      <c r="E58" s="48"/>
    </row>
    <row r="59" spans="2:5" x14ac:dyDescent="0.25">
      <c r="B59" s="256" t="s">
        <v>13</v>
      </c>
      <c r="C59" s="48"/>
      <c r="D59" s="240"/>
      <c r="E59" s="240"/>
    </row>
    <row r="60" spans="2:5" x14ac:dyDescent="0.25">
      <c r="B60" s="256" t="s">
        <v>782</v>
      </c>
      <c r="C60" s="281" t="str">
        <f>IF(C61*0.1&lt;C59,"Exceed 10% Rule","")</f>
        <v/>
      </c>
      <c r="D60" s="245" t="str">
        <f>IF(D61*0.1&lt;D59,"Exceed 10% Rule","")</f>
        <v/>
      </c>
      <c r="E60" s="245" t="str">
        <f>IF(E61*0.1&lt;E59,"Exceed 10% Rule","")</f>
        <v/>
      </c>
    </row>
    <row r="61" spans="2:5" x14ac:dyDescent="0.25">
      <c r="B61" s="246" t="s">
        <v>118</v>
      </c>
      <c r="C61" s="249">
        <f>SUM(C51:C59)</f>
        <v>0</v>
      </c>
      <c r="D61" s="249">
        <f>SUM(D51:D59)</f>
        <v>0</v>
      </c>
      <c r="E61" s="249">
        <f>SUM(E51:E59)</f>
        <v>0</v>
      </c>
    </row>
    <row r="62" spans="2:5" x14ac:dyDescent="0.25">
      <c r="B62" s="133" t="s">
        <v>213</v>
      </c>
      <c r="C62" s="63">
        <f>C49-C61</f>
        <v>0</v>
      </c>
      <c r="D62" s="63">
        <f>D49-D61</f>
        <v>0</v>
      </c>
      <c r="E62" s="63">
        <f>E49-E61</f>
        <v>0</v>
      </c>
    </row>
    <row r="63" spans="2:5" x14ac:dyDescent="0.25">
      <c r="B63" s="153" t="str">
        <f>CONCATENATE("",E1-2,"/",E1-1,"/",E1," Budget Authority Amount:")</f>
        <v>2013/2014/2015 Budget Authority Amount:</v>
      </c>
      <c r="C63" s="824">
        <f>inputOth!B86</f>
        <v>0</v>
      </c>
      <c r="D63" s="824">
        <f>inputPrYr!D45</f>
        <v>0</v>
      </c>
      <c r="E63" s="898">
        <f>E61</f>
        <v>0</v>
      </c>
    </row>
    <row r="64" spans="2:5" x14ac:dyDescent="0.25">
      <c r="B64" s="119"/>
      <c r="C64" s="259" t="str">
        <f>IF(C61&gt;C63,"See Tab A","")</f>
        <v/>
      </c>
      <c r="D64" s="259" t="str">
        <f>IF(D61&gt;D63,"See Tab C","")</f>
        <v/>
      </c>
      <c r="E64" s="899" t="str">
        <f>IF(E62&lt;0,"See Tab E","")</f>
        <v/>
      </c>
    </row>
    <row r="65" spans="2:5" x14ac:dyDescent="0.25">
      <c r="B65" s="119"/>
      <c r="C65" s="259" t="str">
        <f>IF(C62&lt;0,"See Tab B","")</f>
        <v/>
      </c>
      <c r="D65" s="259" t="str">
        <f>IF(D62&lt;0,"See Tab D","")</f>
        <v/>
      </c>
      <c r="E65" s="32"/>
    </row>
    <row r="66" spans="2:5" x14ac:dyDescent="0.25">
      <c r="B66" s="32"/>
      <c r="C66" s="32"/>
      <c r="D66" s="32"/>
      <c r="E66" s="32"/>
    </row>
    <row r="67" spans="2:5" x14ac:dyDescent="0.25">
      <c r="B67" s="151" t="s">
        <v>121</v>
      </c>
      <c r="C67" s="263"/>
      <c r="D67" s="32"/>
      <c r="E67" s="32"/>
    </row>
  </sheetData>
  <sheetProtection sheet="1"/>
  <phoneticPr fontId="0" type="noConversion"/>
  <conditionalFormatting sqref="C15">
    <cfRule type="cellIs" dxfId="111" priority="4" stopIfTrue="1" operator="greaterThan">
      <formula>$C$17*0.1</formula>
    </cfRule>
  </conditionalFormatting>
  <conditionalFormatting sqref="D15">
    <cfRule type="cellIs" dxfId="110" priority="5" stopIfTrue="1" operator="greaterThan">
      <formula>$D$17*0.1</formula>
    </cfRule>
  </conditionalFormatting>
  <conditionalFormatting sqref="E15">
    <cfRule type="cellIs" dxfId="109" priority="6" stopIfTrue="1" operator="greaterThan">
      <formula>$E$17*0.1</formula>
    </cfRule>
  </conditionalFormatting>
  <conditionalFormatting sqref="C28">
    <cfRule type="cellIs" dxfId="108" priority="7" stopIfTrue="1" operator="greaterThan">
      <formula>$C$30*0.1</formula>
    </cfRule>
  </conditionalFormatting>
  <conditionalFormatting sqref="D28">
    <cfRule type="cellIs" dxfId="107" priority="8" stopIfTrue="1" operator="greaterThan">
      <formula>$D$30*0.1</formula>
    </cfRule>
  </conditionalFormatting>
  <conditionalFormatting sqref="E28">
    <cfRule type="cellIs" dxfId="106" priority="9" stopIfTrue="1" operator="greaterThan">
      <formula>$E$30*0.1</formula>
    </cfRule>
  </conditionalFormatting>
  <conditionalFormatting sqref="C46">
    <cfRule type="cellIs" dxfId="105" priority="10" stopIfTrue="1" operator="greaterThan">
      <formula>$C$48*0.1</formula>
    </cfRule>
  </conditionalFormatting>
  <conditionalFormatting sqref="D46">
    <cfRule type="cellIs" dxfId="104" priority="11" stopIfTrue="1" operator="greaterThan">
      <formula>$D$48*0.1</formula>
    </cfRule>
  </conditionalFormatting>
  <conditionalFormatting sqref="E46">
    <cfRule type="cellIs" dxfId="103" priority="12" stopIfTrue="1" operator="greaterThan">
      <formula>$E$48*0.1</formula>
    </cfRule>
  </conditionalFormatting>
  <conditionalFormatting sqref="C59">
    <cfRule type="cellIs" dxfId="102" priority="13" stopIfTrue="1" operator="greaterThan">
      <formula>$C$61*0.1</formula>
    </cfRule>
  </conditionalFormatting>
  <conditionalFormatting sqref="D59">
    <cfRule type="cellIs" dxfId="101" priority="14" stopIfTrue="1" operator="greaterThan">
      <formula>$D$61*0.1</formula>
    </cfRule>
  </conditionalFormatting>
  <conditionalFormatting sqref="E59">
    <cfRule type="cellIs" dxfId="100" priority="15" stopIfTrue="1" operator="greaterThan">
      <formula>$E$61*0.1</formula>
    </cfRule>
  </conditionalFormatting>
  <conditionalFormatting sqref="D61">
    <cfRule type="cellIs" dxfId="99" priority="16" stopIfTrue="1" operator="greaterThan">
      <formula>$D$63</formula>
    </cfRule>
  </conditionalFormatting>
  <conditionalFormatting sqref="C61">
    <cfRule type="cellIs" dxfId="98" priority="17" stopIfTrue="1" operator="greaterThan">
      <formula>$C$63</formula>
    </cfRule>
  </conditionalFormatting>
  <conditionalFormatting sqref="C62 E62 C31 E31">
    <cfRule type="cellIs" dxfId="97" priority="18" stopIfTrue="1" operator="lessThan">
      <formula>0</formula>
    </cfRule>
  </conditionalFormatting>
  <conditionalFormatting sqref="C30">
    <cfRule type="cellIs" dxfId="96" priority="20" stopIfTrue="1" operator="greaterThan">
      <formula>$C$32</formula>
    </cfRule>
  </conditionalFormatting>
  <conditionalFormatting sqref="D62">
    <cfRule type="cellIs" dxfId="95" priority="3" stopIfTrue="1" operator="lessThan">
      <formula>0</formula>
    </cfRule>
  </conditionalFormatting>
  <conditionalFormatting sqref="D31">
    <cfRule type="cellIs" dxfId="94" priority="1" stopIfTrue="1" operator="lessThan">
      <formula>0</formula>
    </cfRule>
  </conditionalFormatting>
  <pageMargins left="0.5" right="0.5" top="1" bottom="0.5" header="0.5" footer="0.5"/>
  <pageSetup scale="70" orientation="portrait" blackAndWhite="1" horizontalDpi="120" verticalDpi="144" r:id="rId1"/>
  <headerFooter alignWithMargins="0">
    <oddHeader>&amp;RState of Kansas
City</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67"/>
  <sheetViews>
    <sheetView workbookViewId="0">
      <selection activeCell="Q91" sqref="Q91"/>
    </sheetView>
  </sheetViews>
  <sheetFormatPr defaultColWidth="8.9140625" defaultRowHeight="15.6" x14ac:dyDescent="0.25"/>
  <cols>
    <col min="1" max="1" width="2.4140625" style="18" customWidth="1"/>
    <col min="2" max="2" width="31.08203125" style="18" customWidth="1"/>
    <col min="3" max="4" width="15.75" style="18" customWidth="1"/>
    <col min="5" max="5" width="16.08203125" style="18" customWidth="1"/>
    <col min="6" max="16384" width="8.9140625" style="18"/>
  </cols>
  <sheetData>
    <row r="1" spans="2:5" x14ac:dyDescent="0.25">
      <c r="B1" s="176" t="str">
        <f>(inputPrYr!D2)</f>
        <v>City of Osawatomie</v>
      </c>
      <c r="C1" s="32"/>
      <c r="D1" s="32"/>
      <c r="E1" s="228">
        <f>inputPrYr!C5</f>
        <v>2015</v>
      </c>
    </row>
    <row r="2" spans="2:5" x14ac:dyDescent="0.25">
      <c r="B2" s="32"/>
      <c r="C2" s="32"/>
      <c r="D2" s="32"/>
      <c r="E2" s="151"/>
    </row>
    <row r="3" spans="2:5" x14ac:dyDescent="0.25">
      <c r="B3" s="229" t="s">
        <v>171</v>
      </c>
      <c r="C3" s="270"/>
      <c r="D3" s="270"/>
      <c r="E3" s="270"/>
    </row>
    <row r="4" spans="2:5" x14ac:dyDescent="0.25">
      <c r="B4" s="33" t="s">
        <v>104</v>
      </c>
      <c r="C4" s="404" t="s">
        <v>803</v>
      </c>
      <c r="D4" s="403" t="s">
        <v>804</v>
      </c>
      <c r="E4" s="382" t="s">
        <v>805</v>
      </c>
    </row>
    <row r="5" spans="2:5" x14ac:dyDescent="0.25">
      <c r="B5" s="530">
        <f>inputPrYr!B46</f>
        <v>0</v>
      </c>
      <c r="C5" s="405" t="str">
        <f>CONCATENATE("Actual for ",E1-2,"")</f>
        <v>Actual for 2013</v>
      </c>
      <c r="D5" s="405" t="str">
        <f>CONCATENATE("Estimate for ",E1-1,"")</f>
        <v>Estimate for 2014</v>
      </c>
      <c r="E5" s="390" t="str">
        <f>CONCATENATE("Year for ",E1,"")</f>
        <v>Year for 2015</v>
      </c>
    </row>
    <row r="6" spans="2:5" x14ac:dyDescent="0.25">
      <c r="B6" s="234" t="s">
        <v>212</v>
      </c>
      <c r="C6" s="48"/>
      <c r="D6" s="208">
        <f>C31</f>
        <v>0</v>
      </c>
      <c r="E6" s="208">
        <f>D31</f>
        <v>0</v>
      </c>
    </row>
    <row r="7" spans="2:5" s="30" customFormat="1" x14ac:dyDescent="0.25">
      <c r="B7" s="238" t="s">
        <v>214</v>
      </c>
      <c r="C7" s="68"/>
      <c r="D7" s="68"/>
      <c r="E7" s="68"/>
    </row>
    <row r="8" spans="2:5" x14ac:dyDescent="0.25">
      <c r="B8" s="255"/>
      <c r="C8" s="48"/>
      <c r="D8" s="48"/>
      <c r="E8" s="48"/>
    </row>
    <row r="9" spans="2:5" x14ac:dyDescent="0.25">
      <c r="B9" s="255"/>
      <c r="C9" s="48"/>
      <c r="D9" s="48"/>
      <c r="E9" s="48"/>
    </row>
    <row r="10" spans="2:5" x14ac:dyDescent="0.25">
      <c r="B10" s="255"/>
      <c r="C10" s="48"/>
      <c r="D10" s="48"/>
      <c r="E10" s="48"/>
    </row>
    <row r="11" spans="2:5" x14ac:dyDescent="0.25">
      <c r="B11" s="255"/>
      <c r="C11" s="48"/>
      <c r="D11" s="48"/>
      <c r="E11" s="48"/>
    </row>
    <row r="12" spans="2:5" x14ac:dyDescent="0.25">
      <c r="B12" s="255"/>
      <c r="C12" s="48"/>
      <c r="D12" s="48"/>
      <c r="E12" s="48"/>
    </row>
    <row r="13" spans="2:5" x14ac:dyDescent="0.25">
      <c r="B13" s="255"/>
      <c r="C13" s="48"/>
      <c r="D13" s="48"/>
      <c r="E13" s="48"/>
    </row>
    <row r="14" spans="2:5" x14ac:dyDescent="0.25">
      <c r="B14" s="243" t="s">
        <v>110</v>
      </c>
      <c r="C14" s="48"/>
      <c r="D14" s="48"/>
      <c r="E14" s="48"/>
    </row>
    <row r="15" spans="2:5" x14ac:dyDescent="0.25">
      <c r="B15" s="142" t="s">
        <v>13</v>
      </c>
      <c r="C15" s="48"/>
      <c r="D15" s="240"/>
      <c r="E15" s="240"/>
    </row>
    <row r="16" spans="2:5" x14ac:dyDescent="0.25">
      <c r="B16" s="234" t="s">
        <v>781</v>
      </c>
      <c r="C16" s="281" t="str">
        <f>IF(C17*0.1&lt;C15,"Exceed 10% Rule","")</f>
        <v/>
      </c>
      <c r="D16" s="245" t="str">
        <f>IF(D17*0.1&lt;D15,"Exceed 10% Rule","")</f>
        <v/>
      </c>
      <c r="E16" s="245" t="str">
        <f>IF(E17*0.1&lt;E15,"Exceed 10% Rule","")</f>
        <v/>
      </c>
    </row>
    <row r="17" spans="2:5" x14ac:dyDescent="0.25">
      <c r="B17" s="246" t="s">
        <v>111</v>
      </c>
      <c r="C17" s="249">
        <f>SUM(C8:C15)</f>
        <v>0</v>
      </c>
      <c r="D17" s="249">
        <f>SUM(D8:D15)</f>
        <v>0</v>
      </c>
      <c r="E17" s="249">
        <f>SUM(E8:E15)</f>
        <v>0</v>
      </c>
    </row>
    <row r="18" spans="2:5" x14ac:dyDescent="0.25">
      <c r="B18" s="246" t="s">
        <v>112</v>
      </c>
      <c r="C18" s="249">
        <f>C6+C17</f>
        <v>0</v>
      </c>
      <c r="D18" s="249">
        <f>D6+D17</f>
        <v>0</v>
      </c>
      <c r="E18" s="249">
        <f>E6+E17</f>
        <v>0</v>
      </c>
    </row>
    <row r="19" spans="2:5" x14ac:dyDescent="0.25">
      <c r="B19" s="133" t="s">
        <v>114</v>
      </c>
      <c r="C19" s="208"/>
      <c r="D19" s="208"/>
      <c r="E19" s="208"/>
    </row>
    <row r="20" spans="2:5" x14ac:dyDescent="0.25">
      <c r="B20" s="255"/>
      <c r="C20" s="48"/>
      <c r="D20" s="48"/>
      <c r="E20" s="48"/>
    </row>
    <row r="21" spans="2:5" x14ac:dyDescent="0.25">
      <c r="B21" s="255"/>
      <c r="C21" s="48"/>
      <c r="D21" s="48"/>
      <c r="E21" s="48"/>
    </row>
    <row r="22" spans="2:5" x14ac:dyDescent="0.25">
      <c r="B22" s="255"/>
      <c r="C22" s="48"/>
      <c r="D22" s="48"/>
      <c r="E22" s="48"/>
    </row>
    <row r="23" spans="2:5" x14ac:dyDescent="0.25">
      <c r="B23" s="255"/>
      <c r="C23" s="48"/>
      <c r="D23" s="48"/>
      <c r="E23" s="48"/>
    </row>
    <row r="24" spans="2:5" x14ac:dyDescent="0.25">
      <c r="B24" s="255"/>
      <c r="C24" s="48"/>
      <c r="D24" s="48"/>
      <c r="E24" s="48"/>
    </row>
    <row r="25" spans="2:5" x14ac:dyDescent="0.25">
      <c r="B25" s="255"/>
      <c r="C25" s="48"/>
      <c r="D25" s="48"/>
      <c r="E25" s="48"/>
    </row>
    <row r="26" spans="2:5" x14ac:dyDescent="0.25">
      <c r="B26" s="255"/>
      <c r="C26" s="48"/>
      <c r="D26" s="48"/>
      <c r="E26" s="48"/>
    </row>
    <row r="27" spans="2:5" x14ac:dyDescent="0.25">
      <c r="B27" s="255"/>
      <c r="C27" s="48"/>
      <c r="D27" s="48"/>
      <c r="E27" s="48"/>
    </row>
    <row r="28" spans="2:5" x14ac:dyDescent="0.25">
      <c r="B28" s="256" t="s">
        <v>13</v>
      </c>
      <c r="C28" s="48"/>
      <c r="D28" s="240"/>
      <c r="E28" s="240"/>
    </row>
    <row r="29" spans="2:5" x14ac:dyDescent="0.25">
      <c r="B29" s="256" t="s">
        <v>782</v>
      </c>
      <c r="C29" s="281" t="str">
        <f>IF(C30*0.1&lt;C28,"Exceed 10% Rule","")</f>
        <v/>
      </c>
      <c r="D29" s="245" t="str">
        <f>IF(D30*0.1&lt;D28,"Exceed 10% Rule","")</f>
        <v/>
      </c>
      <c r="E29" s="245" t="str">
        <f>IF(E30*0.1&lt;E28,"Exceed 10% Rule","")</f>
        <v/>
      </c>
    </row>
    <row r="30" spans="2:5" x14ac:dyDescent="0.25">
      <c r="B30" s="246" t="s">
        <v>118</v>
      </c>
      <c r="C30" s="249">
        <f>SUM(C20:C28)</f>
        <v>0</v>
      </c>
      <c r="D30" s="249">
        <f>SUM(D20:D28)</f>
        <v>0</v>
      </c>
      <c r="E30" s="249">
        <f>SUM(E20:E28)</f>
        <v>0</v>
      </c>
    </row>
    <row r="31" spans="2:5" x14ac:dyDescent="0.25">
      <c r="B31" s="133" t="s">
        <v>213</v>
      </c>
      <c r="C31" s="63">
        <f>C18-C30</f>
        <v>0</v>
      </c>
      <c r="D31" s="63">
        <f>D18-D30</f>
        <v>0</v>
      </c>
      <c r="E31" s="63">
        <f>E18-E30</f>
        <v>0</v>
      </c>
    </row>
    <row r="32" spans="2:5" x14ac:dyDescent="0.25">
      <c r="B32" s="153" t="str">
        <f>CONCATENATE("",E1-2,"/",E1-1,"/",E1," Budget Authority Amount:")</f>
        <v>2013/2014/2015 Budget Authority Amount:</v>
      </c>
      <c r="C32" s="824">
        <f>inputOth!B87</f>
        <v>0</v>
      </c>
      <c r="D32" s="824">
        <f>inputPrYr!D46</f>
        <v>0</v>
      </c>
      <c r="E32" s="898">
        <f>E30</f>
        <v>0</v>
      </c>
    </row>
    <row r="33" spans="2:5" x14ac:dyDescent="0.25">
      <c r="B33" s="119"/>
      <c r="C33" s="259" t="str">
        <f>IF(C30&gt;C32,"See Tab A","")</f>
        <v/>
      </c>
      <c r="D33" s="259" t="str">
        <f>IF(D30&gt;D32,"See Tab C","")</f>
        <v/>
      </c>
      <c r="E33" s="899" t="str">
        <f>IF(E31&lt;0,"See Tab E","")</f>
        <v/>
      </c>
    </row>
    <row r="34" spans="2:5" x14ac:dyDescent="0.25">
      <c r="B34" s="119"/>
      <c r="C34" s="259" t="str">
        <f>IF(C31&lt;0,"See Tab B","")</f>
        <v/>
      </c>
      <c r="D34" s="259" t="str">
        <f>IF(D31&lt;0,"See Tab D","")</f>
        <v/>
      </c>
      <c r="E34" s="78"/>
    </row>
    <row r="35" spans="2:5" x14ac:dyDescent="0.25">
      <c r="B35" s="32"/>
      <c r="C35" s="78"/>
      <c r="D35" s="78"/>
      <c r="E35" s="78"/>
    </row>
    <row r="36" spans="2:5" x14ac:dyDescent="0.25">
      <c r="B36" s="33"/>
      <c r="C36" s="276"/>
      <c r="D36" s="276"/>
      <c r="E36" s="276"/>
    </row>
    <row r="37" spans="2:5" x14ac:dyDescent="0.25">
      <c r="B37" s="33" t="s">
        <v>104</v>
      </c>
      <c r="C37" s="261" t="s">
        <v>879</v>
      </c>
      <c r="D37" s="127" t="s">
        <v>804</v>
      </c>
      <c r="E37" s="127" t="s">
        <v>805</v>
      </c>
    </row>
    <row r="38" spans="2:5" x14ac:dyDescent="0.25">
      <c r="B38" s="530">
        <f>inputPrYr!B47</f>
        <v>0</v>
      </c>
      <c r="C38" s="233" t="str">
        <f>C5</f>
        <v>Actual for 2013</v>
      </c>
      <c r="D38" s="233" t="str">
        <f>D5</f>
        <v>Estimate for 2014</v>
      </c>
      <c r="E38" s="233" t="str">
        <f>E5</f>
        <v>Year for 2015</v>
      </c>
    </row>
    <row r="39" spans="2:5" x14ac:dyDescent="0.25">
      <c r="B39" s="234" t="s">
        <v>212</v>
      </c>
      <c r="C39" s="48"/>
      <c r="D39" s="208">
        <f>C62</f>
        <v>0</v>
      </c>
      <c r="E39" s="208">
        <f>D62</f>
        <v>0</v>
      </c>
    </row>
    <row r="40" spans="2:5" s="30" customFormat="1" x14ac:dyDescent="0.25">
      <c r="B40" s="238" t="s">
        <v>214</v>
      </c>
      <c r="C40" s="68"/>
      <c r="D40" s="68"/>
      <c r="E40" s="68"/>
    </row>
    <row r="41" spans="2:5" x14ac:dyDescent="0.25">
      <c r="B41" s="255"/>
      <c r="C41" s="48"/>
      <c r="D41" s="48"/>
      <c r="E41" s="48"/>
    </row>
    <row r="42" spans="2:5" x14ac:dyDescent="0.25">
      <c r="B42" s="255"/>
      <c r="C42" s="48"/>
      <c r="D42" s="48"/>
      <c r="E42" s="48"/>
    </row>
    <row r="43" spans="2:5" x14ac:dyDescent="0.25">
      <c r="B43" s="255"/>
      <c r="C43" s="48"/>
      <c r="D43" s="48"/>
      <c r="E43" s="48"/>
    </row>
    <row r="44" spans="2:5" x14ac:dyDescent="0.25">
      <c r="B44" s="255"/>
      <c r="C44" s="48"/>
      <c r="D44" s="48"/>
      <c r="E44" s="48"/>
    </row>
    <row r="45" spans="2:5" x14ac:dyDescent="0.25">
      <c r="B45" s="243" t="s">
        <v>110</v>
      </c>
      <c r="C45" s="48"/>
      <c r="D45" s="48"/>
      <c r="E45" s="48"/>
    </row>
    <row r="46" spans="2:5" x14ac:dyDescent="0.25">
      <c r="B46" s="142" t="s">
        <v>13</v>
      </c>
      <c r="C46" s="48"/>
      <c r="D46" s="240"/>
      <c r="E46" s="240"/>
    </row>
    <row r="47" spans="2:5" x14ac:dyDescent="0.25">
      <c r="B47" s="234" t="s">
        <v>781</v>
      </c>
      <c r="C47" s="281" t="str">
        <f>IF(C48*0.1&lt;C46,"Exceed 10% Rule","")</f>
        <v/>
      </c>
      <c r="D47" s="245" t="str">
        <f>IF(D48*0.1&lt;D46,"Exceed 10% Rule","")</f>
        <v/>
      </c>
      <c r="E47" s="245" t="str">
        <f>IF(E48*0.1&lt;E46,"Exceed 10% Rule","")</f>
        <v/>
      </c>
    </row>
    <row r="48" spans="2:5" x14ac:dyDescent="0.25">
      <c r="B48" s="246" t="s">
        <v>111</v>
      </c>
      <c r="C48" s="249">
        <f>SUM(C41:C46)</f>
        <v>0</v>
      </c>
      <c r="D48" s="249">
        <f>SUM(D41:D46)</f>
        <v>0</v>
      </c>
      <c r="E48" s="249">
        <f>SUM(E41:E46)</f>
        <v>0</v>
      </c>
    </row>
    <row r="49" spans="2:5" x14ac:dyDescent="0.25">
      <c r="B49" s="246" t="s">
        <v>112</v>
      </c>
      <c r="C49" s="249">
        <f>C39+C48</f>
        <v>0</v>
      </c>
      <c r="D49" s="249">
        <f>D39+D48</f>
        <v>0</v>
      </c>
      <c r="E49" s="249">
        <f>E39+E48</f>
        <v>0</v>
      </c>
    </row>
    <row r="50" spans="2:5" x14ac:dyDescent="0.25">
      <c r="B50" s="133" t="s">
        <v>114</v>
      </c>
      <c r="C50" s="208"/>
      <c r="D50" s="208"/>
      <c r="E50" s="208"/>
    </row>
    <row r="51" spans="2:5" x14ac:dyDescent="0.25">
      <c r="B51" s="255"/>
      <c r="C51" s="48"/>
      <c r="D51" s="48"/>
      <c r="E51" s="48"/>
    </row>
    <row r="52" spans="2:5" x14ac:dyDescent="0.25">
      <c r="B52" s="255"/>
      <c r="C52" s="48"/>
      <c r="D52" s="48"/>
      <c r="E52" s="48"/>
    </row>
    <row r="53" spans="2:5" x14ac:dyDescent="0.25">
      <c r="B53" s="255"/>
      <c r="C53" s="48"/>
      <c r="D53" s="48"/>
      <c r="E53" s="48"/>
    </row>
    <row r="54" spans="2:5" x14ac:dyDescent="0.25">
      <c r="B54" s="255"/>
      <c r="C54" s="48"/>
      <c r="D54" s="48"/>
      <c r="E54" s="48"/>
    </row>
    <row r="55" spans="2:5" x14ac:dyDescent="0.25">
      <c r="B55" s="255"/>
      <c r="C55" s="48"/>
      <c r="D55" s="48"/>
      <c r="E55" s="48"/>
    </row>
    <row r="56" spans="2:5" x14ac:dyDescent="0.25">
      <c r="B56" s="255"/>
      <c r="C56" s="48"/>
      <c r="D56" s="48"/>
      <c r="E56" s="48"/>
    </row>
    <row r="57" spans="2:5" x14ac:dyDescent="0.25">
      <c r="B57" s="255"/>
      <c r="C57" s="48"/>
      <c r="D57" s="48"/>
      <c r="E57" s="48"/>
    </row>
    <row r="58" spans="2:5" x14ac:dyDescent="0.25">
      <c r="B58" s="255"/>
      <c r="C58" s="48"/>
      <c r="D58" s="48"/>
      <c r="E58" s="48"/>
    </row>
    <row r="59" spans="2:5" x14ac:dyDescent="0.25">
      <c r="B59" s="256" t="s">
        <v>13</v>
      </c>
      <c r="C59" s="48"/>
      <c r="D59" s="240"/>
      <c r="E59" s="240"/>
    </row>
    <row r="60" spans="2:5" x14ac:dyDescent="0.25">
      <c r="B60" s="256" t="s">
        <v>782</v>
      </c>
      <c r="C60" s="281" t="str">
        <f>IF(C61*0.1&lt;C59,"Exceed 10% Rule","")</f>
        <v/>
      </c>
      <c r="D60" s="245" t="str">
        <f>IF(D61*0.1&lt;D59,"Exceed 10% Rule","")</f>
        <v/>
      </c>
      <c r="E60" s="245" t="str">
        <f>IF(E61*0.1&lt;E59,"Exceed 10% Rule","")</f>
        <v/>
      </c>
    </row>
    <row r="61" spans="2:5" x14ac:dyDescent="0.25">
      <c r="B61" s="246" t="s">
        <v>118</v>
      </c>
      <c r="C61" s="249">
        <f>SUM(C51:C59)</f>
        <v>0</v>
      </c>
      <c r="D61" s="249">
        <f>SUM(D51:D59)</f>
        <v>0</v>
      </c>
      <c r="E61" s="249">
        <f>SUM(E51:E59)</f>
        <v>0</v>
      </c>
    </row>
    <row r="62" spans="2:5" x14ac:dyDescent="0.25">
      <c r="B62" s="133" t="s">
        <v>213</v>
      </c>
      <c r="C62" s="63">
        <f>C49-C61</f>
        <v>0</v>
      </c>
      <c r="D62" s="63">
        <f>D49-D61</f>
        <v>0</v>
      </c>
      <c r="E62" s="63">
        <f>E49-E61</f>
        <v>0</v>
      </c>
    </row>
    <row r="63" spans="2:5" x14ac:dyDescent="0.25">
      <c r="B63" s="153" t="str">
        <f>CONCATENATE("",E1-2,"/",E1-1,"/",E1," Budget Authority Amount:")</f>
        <v>2013/2014/2015 Budget Authority Amount:</v>
      </c>
      <c r="C63" s="824">
        <f>inputOth!B88</f>
        <v>0</v>
      </c>
      <c r="D63" s="824">
        <f>inputPrYr!D47</f>
        <v>0</v>
      </c>
      <c r="E63" s="898">
        <f>E61</f>
        <v>0</v>
      </c>
    </row>
    <row r="64" spans="2:5" x14ac:dyDescent="0.25">
      <c r="B64" s="119"/>
      <c r="C64" s="259" t="str">
        <f>IF(C61&gt;C63,"See Tab A","")</f>
        <v/>
      </c>
      <c r="D64" s="259" t="str">
        <f>IF(D61&gt;D63,"See Tab C","")</f>
        <v/>
      </c>
      <c r="E64" s="899" t="str">
        <f>IF(E62&lt;0,"See Tab E","")</f>
        <v/>
      </c>
    </row>
    <row r="65" spans="2:5" x14ac:dyDescent="0.25">
      <c r="B65" s="119"/>
      <c r="C65" s="259" t="str">
        <f>IF(C62&lt;0,"See Tab B","")</f>
        <v/>
      </c>
      <c r="D65" s="259" t="str">
        <f>IF(D62&lt;0,"See Tab D","")</f>
        <v/>
      </c>
      <c r="E65" s="32"/>
    </row>
    <row r="66" spans="2:5" x14ac:dyDescent="0.25">
      <c r="B66" s="32"/>
      <c r="C66" s="32"/>
      <c r="D66" s="32"/>
      <c r="E66" s="32"/>
    </row>
    <row r="67" spans="2:5" x14ac:dyDescent="0.25">
      <c r="B67" s="151" t="s">
        <v>121</v>
      </c>
      <c r="C67" s="263"/>
      <c r="D67" s="32"/>
      <c r="E67" s="32"/>
    </row>
  </sheetData>
  <sheetProtection sheet="1"/>
  <phoneticPr fontId="0" type="noConversion"/>
  <conditionalFormatting sqref="C15">
    <cfRule type="cellIs" dxfId="93" priority="3" stopIfTrue="1" operator="greaterThan">
      <formula>$C$17*0.1</formula>
    </cfRule>
  </conditionalFormatting>
  <conditionalFormatting sqref="D15">
    <cfRule type="cellIs" dxfId="92" priority="4" stopIfTrue="1" operator="greaterThan">
      <formula>$D$17*0.1</formula>
    </cfRule>
  </conditionalFormatting>
  <conditionalFormatting sqref="E15">
    <cfRule type="cellIs" dxfId="91" priority="5" stopIfTrue="1" operator="greaterThan">
      <formula>$E$17*0.1</formula>
    </cfRule>
  </conditionalFormatting>
  <conditionalFormatting sqref="C28">
    <cfRule type="cellIs" dxfId="90" priority="6" stopIfTrue="1" operator="greaterThan">
      <formula>$C$30*0.1</formula>
    </cfRule>
  </conditionalFormatting>
  <conditionalFormatting sqref="D28">
    <cfRule type="cellIs" dxfId="89" priority="7" stopIfTrue="1" operator="greaterThan">
      <formula>$D$30*0.1</formula>
    </cfRule>
  </conditionalFormatting>
  <conditionalFormatting sqref="E28">
    <cfRule type="cellIs" dxfId="88" priority="8" stopIfTrue="1" operator="greaterThan">
      <formula>$E$30*0.1</formula>
    </cfRule>
  </conditionalFormatting>
  <conditionalFormatting sqref="C46">
    <cfRule type="cellIs" dxfId="87" priority="9" stopIfTrue="1" operator="greaterThan">
      <formula>$C$48*0.1</formula>
    </cfRule>
  </conditionalFormatting>
  <conditionalFormatting sqref="D46">
    <cfRule type="cellIs" dxfId="86" priority="10" stopIfTrue="1" operator="greaterThan">
      <formula>$D$48*0.1</formula>
    </cfRule>
  </conditionalFormatting>
  <conditionalFormatting sqref="E46">
    <cfRule type="cellIs" dxfId="85" priority="11" stopIfTrue="1" operator="greaterThan">
      <formula>$E$48*0.1</formula>
    </cfRule>
  </conditionalFormatting>
  <conditionalFormatting sqref="C59">
    <cfRule type="cellIs" dxfId="84" priority="12" stopIfTrue="1" operator="greaterThan">
      <formula>$C$61*0.1</formula>
    </cfRule>
  </conditionalFormatting>
  <conditionalFormatting sqref="D59">
    <cfRule type="cellIs" dxfId="83" priority="13" stopIfTrue="1" operator="greaterThan">
      <formula>$D$61*0.1</formula>
    </cfRule>
  </conditionalFormatting>
  <conditionalFormatting sqref="E59">
    <cfRule type="cellIs" dxfId="82" priority="14" stopIfTrue="1" operator="greaterThan">
      <formula>$E$61*0.1</formula>
    </cfRule>
  </conditionalFormatting>
  <conditionalFormatting sqref="C61:D61">
    <cfRule type="cellIs" dxfId="81" priority="15" stopIfTrue="1" operator="greaterThan">
      <formula>$D$63</formula>
    </cfRule>
  </conditionalFormatting>
  <conditionalFormatting sqref="C62 E62 C31 E31">
    <cfRule type="cellIs" dxfId="80" priority="16" stopIfTrue="1" operator="lessThan">
      <formula>0</formula>
    </cfRule>
  </conditionalFormatting>
  <conditionalFormatting sqref="D30">
    <cfRule type="cellIs" dxfId="79" priority="17" stopIfTrue="1" operator="greaterThan">
      <formula>$D$32</formula>
    </cfRule>
  </conditionalFormatting>
  <conditionalFormatting sqref="C30">
    <cfRule type="cellIs" dxfId="78" priority="18" stopIfTrue="1" operator="greaterThan">
      <formula>$C$32</formula>
    </cfRule>
  </conditionalFormatting>
  <conditionalFormatting sqref="D62">
    <cfRule type="cellIs" dxfId="77" priority="2" stopIfTrue="1" operator="lessThan">
      <formula>0</formula>
    </cfRule>
  </conditionalFormatting>
  <conditionalFormatting sqref="D31">
    <cfRule type="cellIs" dxfId="76" priority="1" stopIfTrue="1" operator="lessThan">
      <formula>0</formula>
    </cfRule>
  </conditionalFormatting>
  <pageMargins left="0.5" right="0.5" top="1" bottom="0.5" header="0.5" footer="0.5"/>
  <pageSetup scale="72" orientation="portrait" blackAndWhite="1" horizontalDpi="120" verticalDpi="144" r:id="rId1"/>
  <headerFooter alignWithMargins="0">
    <oddHeader>&amp;RState of Kansas
City</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67"/>
  <sheetViews>
    <sheetView workbookViewId="0">
      <selection activeCell="Q91" sqref="Q91"/>
    </sheetView>
  </sheetViews>
  <sheetFormatPr defaultColWidth="8.9140625" defaultRowHeight="15.6" x14ac:dyDescent="0.25"/>
  <cols>
    <col min="1" max="1" width="2.4140625" style="18" customWidth="1"/>
    <col min="2" max="2" width="31.08203125" style="18" customWidth="1"/>
    <col min="3" max="4" width="15.75" style="18" customWidth="1"/>
    <col min="5" max="5" width="16.08203125" style="18" customWidth="1"/>
    <col min="6" max="16384" width="8.9140625" style="18"/>
  </cols>
  <sheetData>
    <row r="1" spans="2:5" x14ac:dyDescent="0.25">
      <c r="B1" s="176" t="str">
        <f>(inputPrYr!D2)</f>
        <v>City of Osawatomie</v>
      </c>
      <c r="C1" s="32"/>
      <c r="D1" s="32"/>
      <c r="E1" s="228">
        <f>inputPrYr!C5</f>
        <v>2015</v>
      </c>
    </row>
    <row r="2" spans="2:5" x14ac:dyDescent="0.25">
      <c r="B2" s="32"/>
      <c r="C2" s="32"/>
      <c r="D2" s="32"/>
      <c r="E2" s="151"/>
    </row>
    <row r="3" spans="2:5" x14ac:dyDescent="0.25">
      <c r="B3" s="229" t="s">
        <v>171</v>
      </c>
      <c r="C3" s="270"/>
      <c r="D3" s="270"/>
      <c r="E3" s="270"/>
    </row>
    <row r="4" spans="2:5" x14ac:dyDescent="0.25">
      <c r="B4" s="33" t="s">
        <v>104</v>
      </c>
      <c r="C4" s="404" t="s">
        <v>803</v>
      </c>
      <c r="D4" s="403" t="s">
        <v>804</v>
      </c>
      <c r="E4" s="382" t="s">
        <v>805</v>
      </c>
    </row>
    <row r="5" spans="2:5" x14ac:dyDescent="0.25">
      <c r="B5" s="530">
        <f>inputPrYr!B48</f>
        <v>0</v>
      </c>
      <c r="C5" s="405" t="str">
        <f>CONCATENATE("Actual for ",E1-2,"")</f>
        <v>Actual for 2013</v>
      </c>
      <c r="D5" s="405" t="str">
        <f>CONCATENATE("Estimate for ",E1-1,"")</f>
        <v>Estimate for 2014</v>
      </c>
      <c r="E5" s="390" t="str">
        <f>CONCATENATE("Year for ",E1,"")</f>
        <v>Year for 2015</v>
      </c>
    </row>
    <row r="6" spans="2:5" x14ac:dyDescent="0.25">
      <c r="B6" s="234" t="s">
        <v>212</v>
      </c>
      <c r="C6" s="48"/>
      <c r="D6" s="208">
        <f>C31</f>
        <v>0</v>
      </c>
      <c r="E6" s="208">
        <f>D31</f>
        <v>0</v>
      </c>
    </row>
    <row r="7" spans="2:5" s="30" customFormat="1" x14ac:dyDescent="0.25">
      <c r="B7" s="238" t="s">
        <v>214</v>
      </c>
      <c r="C7" s="68"/>
      <c r="D7" s="68"/>
      <c r="E7" s="68"/>
    </row>
    <row r="8" spans="2:5" x14ac:dyDescent="0.25">
      <c r="B8" s="255"/>
      <c r="C8" s="48"/>
      <c r="D8" s="48"/>
      <c r="E8" s="48"/>
    </row>
    <row r="9" spans="2:5" x14ac:dyDescent="0.25">
      <c r="B9" s="255"/>
      <c r="C9" s="48"/>
      <c r="D9" s="48"/>
      <c r="E9" s="48"/>
    </row>
    <row r="10" spans="2:5" x14ac:dyDescent="0.25">
      <c r="B10" s="255"/>
      <c r="C10" s="48"/>
      <c r="D10" s="48"/>
      <c r="E10" s="48"/>
    </row>
    <row r="11" spans="2:5" x14ac:dyDescent="0.25">
      <c r="B11" s="255"/>
      <c r="C11" s="48"/>
      <c r="D11" s="48"/>
      <c r="E11" s="48"/>
    </row>
    <row r="12" spans="2:5" x14ac:dyDescent="0.25">
      <c r="B12" s="255"/>
      <c r="C12" s="48"/>
      <c r="D12" s="48"/>
      <c r="E12" s="48"/>
    </row>
    <row r="13" spans="2:5" x14ac:dyDescent="0.25">
      <c r="B13" s="255"/>
      <c r="C13" s="48"/>
      <c r="D13" s="48"/>
      <c r="E13" s="48"/>
    </row>
    <row r="14" spans="2:5" x14ac:dyDescent="0.25">
      <c r="B14" s="243" t="s">
        <v>110</v>
      </c>
      <c r="C14" s="48"/>
      <c r="D14" s="48"/>
      <c r="E14" s="48"/>
    </row>
    <row r="15" spans="2:5" x14ac:dyDescent="0.25">
      <c r="B15" s="142" t="s">
        <v>13</v>
      </c>
      <c r="C15" s="48"/>
      <c r="D15" s="240"/>
      <c r="E15" s="240"/>
    </row>
    <row r="16" spans="2:5" x14ac:dyDescent="0.25">
      <c r="B16" s="234" t="s">
        <v>781</v>
      </c>
      <c r="C16" s="281" t="str">
        <f>IF(C17*0.1&lt;C15,"Exceed 10% Rule","")</f>
        <v/>
      </c>
      <c r="D16" s="245" t="str">
        <f>IF(D17*0.1&lt;D15,"Exceed 10% Rule","")</f>
        <v/>
      </c>
      <c r="E16" s="245" t="str">
        <f>IF(E17*0.1&lt;E15,"Exceed 10% Rule","")</f>
        <v/>
      </c>
    </row>
    <row r="17" spans="2:5" x14ac:dyDescent="0.25">
      <c r="B17" s="246" t="s">
        <v>111</v>
      </c>
      <c r="C17" s="249">
        <f>SUM(C8:C15)</f>
        <v>0</v>
      </c>
      <c r="D17" s="249">
        <f>SUM(D8:D15)</f>
        <v>0</v>
      </c>
      <c r="E17" s="249">
        <f>SUM(E8:E15)</f>
        <v>0</v>
      </c>
    </row>
    <row r="18" spans="2:5" x14ac:dyDescent="0.25">
      <c r="B18" s="246" t="s">
        <v>112</v>
      </c>
      <c r="C18" s="249">
        <f>C6+C17</f>
        <v>0</v>
      </c>
      <c r="D18" s="249">
        <f>D6+D17</f>
        <v>0</v>
      </c>
      <c r="E18" s="249">
        <f>E6+E17</f>
        <v>0</v>
      </c>
    </row>
    <row r="19" spans="2:5" x14ac:dyDescent="0.25">
      <c r="B19" s="133" t="s">
        <v>114</v>
      </c>
      <c r="C19" s="208"/>
      <c r="D19" s="208"/>
      <c r="E19" s="208"/>
    </row>
    <row r="20" spans="2:5" x14ac:dyDescent="0.25">
      <c r="B20" s="255"/>
      <c r="C20" s="48"/>
      <c r="D20" s="48"/>
      <c r="E20" s="48"/>
    </row>
    <row r="21" spans="2:5" x14ac:dyDescent="0.25">
      <c r="B21" s="255"/>
      <c r="C21" s="48"/>
      <c r="D21" s="48"/>
      <c r="E21" s="48"/>
    </row>
    <row r="22" spans="2:5" x14ac:dyDescent="0.25">
      <c r="B22" s="255"/>
      <c r="C22" s="48"/>
      <c r="D22" s="48"/>
      <c r="E22" s="48"/>
    </row>
    <row r="23" spans="2:5" x14ac:dyDescent="0.25">
      <c r="B23" s="255"/>
      <c r="C23" s="48"/>
      <c r="D23" s="48"/>
      <c r="E23" s="48"/>
    </row>
    <row r="24" spans="2:5" x14ac:dyDescent="0.25">
      <c r="B24" s="255"/>
      <c r="C24" s="48"/>
      <c r="D24" s="48"/>
      <c r="E24" s="48"/>
    </row>
    <row r="25" spans="2:5" x14ac:dyDescent="0.25">
      <c r="B25" s="255"/>
      <c r="C25" s="48"/>
      <c r="D25" s="48"/>
      <c r="E25" s="48"/>
    </row>
    <row r="26" spans="2:5" x14ac:dyDescent="0.25">
      <c r="B26" s="255"/>
      <c r="C26" s="48"/>
      <c r="D26" s="48"/>
      <c r="E26" s="48"/>
    </row>
    <row r="27" spans="2:5" x14ac:dyDescent="0.25">
      <c r="B27" s="255"/>
      <c r="C27" s="48"/>
      <c r="D27" s="48"/>
      <c r="E27" s="48"/>
    </row>
    <row r="28" spans="2:5" x14ac:dyDescent="0.25">
      <c r="B28" s="256" t="s">
        <v>13</v>
      </c>
      <c r="C28" s="48"/>
      <c r="D28" s="240"/>
      <c r="E28" s="240"/>
    </row>
    <row r="29" spans="2:5" x14ac:dyDescent="0.25">
      <c r="B29" s="256" t="s">
        <v>782</v>
      </c>
      <c r="C29" s="281" t="str">
        <f>IF(C30*0.1&lt;C28,"Exceed 10% Rule","")</f>
        <v/>
      </c>
      <c r="D29" s="245" t="str">
        <f>IF(D30*0.1&lt;D28,"Exceed 10% Rule","")</f>
        <v/>
      </c>
      <c r="E29" s="245" t="str">
        <f>IF(E30*0.1&lt;E28,"Exceed 10% Rule","")</f>
        <v/>
      </c>
    </row>
    <row r="30" spans="2:5" x14ac:dyDescent="0.25">
      <c r="B30" s="246" t="s">
        <v>118</v>
      </c>
      <c r="C30" s="249">
        <f>SUM(C20:C28)</f>
        <v>0</v>
      </c>
      <c r="D30" s="249">
        <f>SUM(D20:D28)</f>
        <v>0</v>
      </c>
      <c r="E30" s="249">
        <f>SUM(E20:E28)</f>
        <v>0</v>
      </c>
    </row>
    <row r="31" spans="2:5" x14ac:dyDescent="0.25">
      <c r="B31" s="133" t="s">
        <v>213</v>
      </c>
      <c r="C31" s="63">
        <f>C18-C30</f>
        <v>0</v>
      </c>
      <c r="D31" s="63">
        <f>D18-D30</f>
        <v>0</v>
      </c>
      <c r="E31" s="63">
        <f>E18-E30</f>
        <v>0</v>
      </c>
    </row>
    <row r="32" spans="2:5" x14ac:dyDescent="0.25">
      <c r="B32" s="153" t="str">
        <f>CONCATENATE("",E1-2,"/",E1-1,"/",E1," Budget Authority Amount:")</f>
        <v>2013/2014/2015 Budget Authority Amount:</v>
      </c>
      <c r="C32" s="824">
        <f>inputOth!B89</f>
        <v>0</v>
      </c>
      <c r="D32" s="824">
        <f>inputPrYr!D48</f>
        <v>0</v>
      </c>
      <c r="E32" s="898">
        <f>E30</f>
        <v>0</v>
      </c>
    </row>
    <row r="33" spans="2:5" x14ac:dyDescent="0.25">
      <c r="B33" s="119"/>
      <c r="C33" s="259" t="str">
        <f>IF(C30&gt;C32,"See Tab A","")</f>
        <v/>
      </c>
      <c r="D33" s="259" t="str">
        <f>IF(D30&gt;D32,"See Tab C","")</f>
        <v/>
      </c>
      <c r="E33" s="899" t="str">
        <f>IF(E31&lt;0,"See Tab E","")</f>
        <v/>
      </c>
    </row>
    <row r="34" spans="2:5" x14ac:dyDescent="0.25">
      <c r="B34" s="119"/>
      <c r="C34" s="259" t="str">
        <f>IF(C31&lt;0,"See Tab B","")</f>
        <v/>
      </c>
      <c r="D34" s="259" t="str">
        <f>IF(D31&lt;0,"See Tab D","")</f>
        <v/>
      </c>
      <c r="E34" s="78"/>
    </row>
    <row r="35" spans="2:5" x14ac:dyDescent="0.25">
      <c r="B35" s="32"/>
      <c r="C35" s="78"/>
      <c r="D35" s="78"/>
      <c r="E35" s="78"/>
    </row>
    <row r="36" spans="2:5" x14ac:dyDescent="0.25">
      <c r="B36" s="33"/>
      <c r="C36" s="276"/>
      <c r="D36" s="276"/>
      <c r="E36" s="276"/>
    </row>
    <row r="37" spans="2:5" x14ac:dyDescent="0.25">
      <c r="B37" s="33" t="s">
        <v>104</v>
      </c>
      <c r="C37" s="261" t="s">
        <v>803</v>
      </c>
      <c r="D37" s="127" t="s">
        <v>804</v>
      </c>
      <c r="E37" s="127" t="s">
        <v>805</v>
      </c>
    </row>
    <row r="38" spans="2:5" x14ac:dyDescent="0.25">
      <c r="B38" s="530">
        <f>inputPrYr!B49</f>
        <v>0</v>
      </c>
      <c r="C38" s="233" t="str">
        <f>C5</f>
        <v>Actual for 2013</v>
      </c>
      <c r="D38" s="233" t="str">
        <f>D5</f>
        <v>Estimate for 2014</v>
      </c>
      <c r="E38" s="233" t="str">
        <f>E5</f>
        <v>Year for 2015</v>
      </c>
    </row>
    <row r="39" spans="2:5" x14ac:dyDescent="0.25">
      <c r="B39" s="234" t="s">
        <v>212</v>
      </c>
      <c r="C39" s="48"/>
      <c r="D39" s="208">
        <f>C62</f>
        <v>0</v>
      </c>
      <c r="E39" s="208">
        <f>D62</f>
        <v>0</v>
      </c>
    </row>
    <row r="40" spans="2:5" s="30" customFormat="1" x14ac:dyDescent="0.25">
      <c r="B40" s="238" t="s">
        <v>214</v>
      </c>
      <c r="C40" s="68"/>
      <c r="D40" s="68"/>
      <c r="E40" s="68"/>
    </row>
    <row r="41" spans="2:5" x14ac:dyDescent="0.25">
      <c r="B41" s="255"/>
      <c r="C41" s="48"/>
      <c r="D41" s="48"/>
      <c r="E41" s="48"/>
    </row>
    <row r="42" spans="2:5" x14ac:dyDescent="0.25">
      <c r="B42" s="255"/>
      <c r="C42" s="48"/>
      <c r="D42" s="48"/>
      <c r="E42" s="48"/>
    </row>
    <row r="43" spans="2:5" x14ac:dyDescent="0.25">
      <c r="B43" s="255"/>
      <c r="C43" s="48"/>
      <c r="D43" s="48"/>
      <c r="E43" s="48"/>
    </row>
    <row r="44" spans="2:5" x14ac:dyDescent="0.25">
      <c r="B44" s="255"/>
      <c r="C44" s="48"/>
      <c r="D44" s="48"/>
      <c r="E44" s="48"/>
    </row>
    <row r="45" spans="2:5" x14ac:dyDescent="0.25">
      <c r="B45" s="243" t="s">
        <v>110</v>
      </c>
      <c r="C45" s="48"/>
      <c r="D45" s="48"/>
      <c r="E45" s="48"/>
    </row>
    <row r="46" spans="2:5" x14ac:dyDescent="0.25">
      <c r="B46" s="142" t="s">
        <v>13</v>
      </c>
      <c r="C46" s="48"/>
      <c r="D46" s="240"/>
      <c r="E46" s="240"/>
    </row>
    <row r="47" spans="2:5" x14ac:dyDescent="0.25">
      <c r="B47" s="234" t="s">
        <v>781</v>
      </c>
      <c r="C47" s="281" t="str">
        <f>IF(C48*0.1&lt;C46,"Exceed 10% Rule","")</f>
        <v/>
      </c>
      <c r="D47" s="245" t="str">
        <f>IF(D48*0.1&lt;D46,"Exceed 10% Rule","")</f>
        <v/>
      </c>
      <c r="E47" s="245" t="str">
        <f>IF(E48*0.1&lt;E46,"Exceed 10% Rule","")</f>
        <v/>
      </c>
    </row>
    <row r="48" spans="2:5" x14ac:dyDescent="0.25">
      <c r="B48" s="246" t="s">
        <v>111</v>
      </c>
      <c r="C48" s="249">
        <f>SUM(C41:C46)</f>
        <v>0</v>
      </c>
      <c r="D48" s="249">
        <f>SUM(D41:D46)</f>
        <v>0</v>
      </c>
      <c r="E48" s="249">
        <f>SUM(E41:E46)</f>
        <v>0</v>
      </c>
    </row>
    <row r="49" spans="2:5" x14ac:dyDescent="0.25">
      <c r="B49" s="246" t="s">
        <v>112</v>
      </c>
      <c r="C49" s="249">
        <f>C39+C48</f>
        <v>0</v>
      </c>
      <c r="D49" s="249">
        <f>D39+D48</f>
        <v>0</v>
      </c>
      <c r="E49" s="249">
        <f>E39+E48</f>
        <v>0</v>
      </c>
    </row>
    <row r="50" spans="2:5" x14ac:dyDescent="0.25">
      <c r="B50" s="133" t="s">
        <v>114</v>
      </c>
      <c r="C50" s="208"/>
      <c r="D50" s="208"/>
      <c r="E50" s="208"/>
    </row>
    <row r="51" spans="2:5" x14ac:dyDescent="0.25">
      <c r="B51" s="255"/>
      <c r="C51" s="48"/>
      <c r="D51" s="48"/>
      <c r="E51" s="48"/>
    </row>
    <row r="52" spans="2:5" x14ac:dyDescent="0.25">
      <c r="B52" s="255"/>
      <c r="C52" s="48"/>
      <c r="D52" s="48"/>
      <c r="E52" s="48"/>
    </row>
    <row r="53" spans="2:5" x14ac:dyDescent="0.25">
      <c r="B53" s="255"/>
      <c r="C53" s="48"/>
      <c r="D53" s="48"/>
      <c r="E53" s="48"/>
    </row>
    <row r="54" spans="2:5" x14ac:dyDescent="0.25">
      <c r="B54" s="255"/>
      <c r="C54" s="48"/>
      <c r="D54" s="48"/>
      <c r="E54" s="48"/>
    </row>
    <row r="55" spans="2:5" x14ac:dyDescent="0.25">
      <c r="B55" s="255"/>
      <c r="C55" s="48"/>
      <c r="D55" s="48"/>
      <c r="E55" s="48"/>
    </row>
    <row r="56" spans="2:5" x14ac:dyDescent="0.25">
      <c r="B56" s="255"/>
      <c r="C56" s="48"/>
      <c r="D56" s="48"/>
      <c r="E56" s="48"/>
    </row>
    <row r="57" spans="2:5" x14ac:dyDescent="0.25">
      <c r="B57" s="255"/>
      <c r="C57" s="48"/>
      <c r="D57" s="48"/>
      <c r="E57" s="48"/>
    </row>
    <row r="58" spans="2:5" x14ac:dyDescent="0.25">
      <c r="B58" s="255"/>
      <c r="C58" s="48"/>
      <c r="D58" s="48"/>
      <c r="E58" s="48"/>
    </row>
    <row r="59" spans="2:5" x14ac:dyDescent="0.25">
      <c r="B59" s="256" t="s">
        <v>13</v>
      </c>
      <c r="C59" s="48"/>
      <c r="D59" s="240"/>
      <c r="E59" s="240"/>
    </row>
    <row r="60" spans="2:5" x14ac:dyDescent="0.25">
      <c r="B60" s="256" t="s">
        <v>782</v>
      </c>
      <c r="C60" s="281" t="str">
        <f>IF(C61*0.1&lt;C59,"Exceed 10% Rule","")</f>
        <v/>
      </c>
      <c r="D60" s="245" t="str">
        <f>IF(D61*0.1&lt;D59,"Exceed 10% Rule","")</f>
        <v/>
      </c>
      <c r="E60" s="245" t="str">
        <f>IF(E61*0.1&lt;E59,"Exceed 10% Rule","")</f>
        <v/>
      </c>
    </row>
    <row r="61" spans="2:5" x14ac:dyDescent="0.25">
      <c r="B61" s="246" t="s">
        <v>118</v>
      </c>
      <c r="C61" s="249">
        <f>SUM(C51:C59)</f>
        <v>0</v>
      </c>
      <c r="D61" s="249">
        <f>SUM(D51:D59)</f>
        <v>0</v>
      </c>
      <c r="E61" s="249">
        <f>SUM(E51:E59)</f>
        <v>0</v>
      </c>
    </row>
    <row r="62" spans="2:5" x14ac:dyDescent="0.25">
      <c r="B62" s="133" t="s">
        <v>213</v>
      </c>
      <c r="C62" s="63">
        <f>C49-C61</f>
        <v>0</v>
      </c>
      <c r="D62" s="63">
        <f>D49-D61</f>
        <v>0</v>
      </c>
      <c r="E62" s="63">
        <f>E49-E61</f>
        <v>0</v>
      </c>
    </row>
    <row r="63" spans="2:5" x14ac:dyDescent="0.25">
      <c r="B63" s="153" t="str">
        <f>CONCATENATE("",E1-2,"/",E1-1,"/",E1," Budget Authority Amount:")</f>
        <v>2013/2014/2015 Budget Authority Amount:</v>
      </c>
      <c r="C63" s="824">
        <f>inputOth!B90</f>
        <v>0</v>
      </c>
      <c r="D63" s="824">
        <f>inputPrYr!D49</f>
        <v>0</v>
      </c>
      <c r="E63" s="898">
        <f>E61</f>
        <v>0</v>
      </c>
    </row>
    <row r="64" spans="2:5" x14ac:dyDescent="0.25">
      <c r="B64" s="119"/>
      <c r="C64" s="259" t="str">
        <f>IF(C61&gt;C63,"See Tab A","")</f>
        <v/>
      </c>
      <c r="D64" s="259" t="str">
        <f>IF(D61&gt;D63,"See Tab C","")</f>
        <v/>
      </c>
      <c r="E64" s="899" t="str">
        <f>IF(E62&lt;0,"See Tab E","")</f>
        <v/>
      </c>
    </row>
    <row r="65" spans="2:5" x14ac:dyDescent="0.25">
      <c r="B65" s="119"/>
      <c r="C65" s="259" t="str">
        <f>IF(C62&lt;0,"See Tab B","")</f>
        <v/>
      </c>
      <c r="D65" s="259" t="str">
        <f>IF(D62&lt;0,"See Tab D","")</f>
        <v/>
      </c>
      <c r="E65" s="32"/>
    </row>
    <row r="66" spans="2:5" x14ac:dyDescent="0.25">
      <c r="B66" s="32"/>
      <c r="C66" s="32"/>
      <c r="D66" s="32"/>
      <c r="E66" s="32"/>
    </row>
    <row r="67" spans="2:5" x14ac:dyDescent="0.25">
      <c r="B67" s="151" t="s">
        <v>121</v>
      </c>
      <c r="C67" s="263"/>
      <c r="D67" s="32"/>
      <c r="E67" s="32"/>
    </row>
  </sheetData>
  <sheetProtection sheet="1"/>
  <conditionalFormatting sqref="C15">
    <cfRule type="cellIs" dxfId="75" priority="18" stopIfTrue="1" operator="greaterThan">
      <formula>$C$17*0.1</formula>
    </cfRule>
  </conditionalFormatting>
  <conditionalFormatting sqref="D15">
    <cfRule type="cellIs" dxfId="74" priority="17" stopIfTrue="1" operator="greaterThan">
      <formula>$D$17*0.1</formula>
    </cfRule>
  </conditionalFormatting>
  <conditionalFormatting sqref="E15">
    <cfRule type="cellIs" dxfId="73" priority="16" stopIfTrue="1" operator="greaterThan">
      <formula>$E$17*0.1</formula>
    </cfRule>
  </conditionalFormatting>
  <conditionalFormatting sqref="C28">
    <cfRule type="cellIs" dxfId="72" priority="15" stopIfTrue="1" operator="greaterThan">
      <formula>$C$30*0.1</formula>
    </cfRule>
  </conditionalFormatting>
  <conditionalFormatting sqref="D28">
    <cfRule type="cellIs" dxfId="71" priority="14" stopIfTrue="1" operator="greaterThan">
      <formula>$D$30*0.1</formula>
    </cfRule>
  </conditionalFormatting>
  <conditionalFormatting sqref="E28">
    <cfRule type="cellIs" dxfId="70" priority="13" stopIfTrue="1" operator="greaterThan">
      <formula>$E$30*0.1</formula>
    </cfRule>
  </conditionalFormatting>
  <conditionalFormatting sqref="C46">
    <cfRule type="cellIs" dxfId="69" priority="12" stopIfTrue="1" operator="greaterThan">
      <formula>$C$48*0.1</formula>
    </cfRule>
  </conditionalFormatting>
  <conditionalFormatting sqref="D46">
    <cfRule type="cellIs" dxfId="68" priority="11" stopIfTrue="1" operator="greaterThan">
      <formula>$D$48*0.1</formula>
    </cfRule>
  </conditionalFormatting>
  <conditionalFormatting sqref="E46">
    <cfRule type="cellIs" dxfId="67" priority="10" stopIfTrue="1" operator="greaterThan">
      <formula>$E$48*0.1</formula>
    </cfRule>
  </conditionalFormatting>
  <conditionalFormatting sqref="C59">
    <cfRule type="cellIs" dxfId="66" priority="9" stopIfTrue="1" operator="greaterThan">
      <formula>$C$61*0.1</formula>
    </cfRule>
  </conditionalFormatting>
  <conditionalFormatting sqref="D59">
    <cfRule type="cellIs" dxfId="65" priority="8" stopIfTrue="1" operator="greaterThan">
      <formula>$D$61*0.1</formula>
    </cfRule>
  </conditionalFormatting>
  <conditionalFormatting sqref="E59">
    <cfRule type="cellIs" dxfId="64" priority="7" stopIfTrue="1" operator="greaterThan">
      <formula>$E$61*0.1</formula>
    </cfRule>
  </conditionalFormatting>
  <conditionalFormatting sqref="C61:D61">
    <cfRule type="cellIs" dxfId="63" priority="6" stopIfTrue="1" operator="greaterThan">
      <formula>$D$63</formula>
    </cfRule>
  </conditionalFormatting>
  <conditionalFormatting sqref="C62 E62 C31 E31">
    <cfRule type="cellIs" dxfId="62" priority="5" stopIfTrue="1" operator="lessThan">
      <formula>0</formula>
    </cfRule>
  </conditionalFormatting>
  <conditionalFormatting sqref="D30">
    <cfRule type="cellIs" dxfId="61" priority="4" stopIfTrue="1" operator="greaterThan">
      <formula>$D$32</formula>
    </cfRule>
  </conditionalFormatting>
  <conditionalFormatting sqref="C30">
    <cfRule type="cellIs" dxfId="60" priority="3" stopIfTrue="1" operator="greaterThan">
      <formula>$C$32</formula>
    </cfRule>
  </conditionalFormatting>
  <conditionalFormatting sqref="D62">
    <cfRule type="cellIs" dxfId="59" priority="2" stopIfTrue="1" operator="lessThan">
      <formula>0</formula>
    </cfRule>
  </conditionalFormatting>
  <conditionalFormatting sqref="D31">
    <cfRule type="cellIs" dxfId="58" priority="1" stopIfTrue="1" operator="lessThan">
      <formula>0</formula>
    </cfRule>
  </conditionalFormatting>
  <pageMargins left="0.7" right="0.7" top="0.75" bottom="0.75" header="0.3" footer="0.3"/>
  <pageSetup scale="72" orientation="portrait" blackAndWhite="1" r:id="rId1"/>
  <headerFooter>
    <oddHeader>&amp;RState of Kansas
City</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67"/>
  <sheetViews>
    <sheetView workbookViewId="0">
      <selection activeCell="Q91" sqref="Q91"/>
    </sheetView>
  </sheetViews>
  <sheetFormatPr defaultColWidth="8.9140625" defaultRowHeight="15.6" x14ac:dyDescent="0.25"/>
  <cols>
    <col min="1" max="1" width="2.4140625" style="18" customWidth="1"/>
    <col min="2" max="2" width="31.08203125" style="18" customWidth="1"/>
    <col min="3" max="4" width="15.75" style="18" customWidth="1"/>
    <col min="5" max="5" width="16.08203125" style="18" customWidth="1"/>
    <col min="6" max="16384" width="8.9140625" style="18"/>
  </cols>
  <sheetData>
    <row r="1" spans="2:5" x14ac:dyDescent="0.25">
      <c r="B1" s="176" t="str">
        <f>(inputPrYr!D2)</f>
        <v>City of Osawatomie</v>
      </c>
      <c r="C1" s="32"/>
      <c r="D1" s="32"/>
      <c r="E1" s="228">
        <f>inputPrYr!C5</f>
        <v>2015</v>
      </c>
    </row>
    <row r="2" spans="2:5" x14ac:dyDescent="0.25">
      <c r="B2" s="32"/>
      <c r="C2" s="32"/>
      <c r="D2" s="32"/>
      <c r="E2" s="151"/>
    </row>
    <row r="3" spans="2:5" x14ac:dyDescent="0.25">
      <c r="B3" s="229" t="s">
        <v>171</v>
      </c>
      <c r="C3" s="270"/>
      <c r="D3" s="270"/>
      <c r="E3" s="270"/>
    </row>
    <row r="4" spans="2:5" x14ac:dyDescent="0.25">
      <c r="B4" s="33" t="s">
        <v>104</v>
      </c>
      <c r="C4" s="404" t="s">
        <v>803</v>
      </c>
      <c r="D4" s="403" t="s">
        <v>804</v>
      </c>
      <c r="E4" s="382" t="s">
        <v>805</v>
      </c>
    </row>
    <row r="5" spans="2:5" x14ac:dyDescent="0.25">
      <c r="B5" s="530">
        <f>inputPrYr!B50</f>
        <v>0</v>
      </c>
      <c r="C5" s="405" t="str">
        <f>CONCATENATE("Actual for ",E1-2,"")</f>
        <v>Actual for 2013</v>
      </c>
      <c r="D5" s="405" t="str">
        <f>CONCATENATE("Estimate for ",E1-1,"")</f>
        <v>Estimate for 2014</v>
      </c>
      <c r="E5" s="390" t="str">
        <f>CONCATENATE("Year for ",E1,"")</f>
        <v>Year for 2015</v>
      </c>
    </row>
    <row r="6" spans="2:5" x14ac:dyDescent="0.25">
      <c r="B6" s="234" t="s">
        <v>212</v>
      </c>
      <c r="C6" s="48"/>
      <c r="D6" s="208">
        <f>C31</f>
        <v>0</v>
      </c>
      <c r="E6" s="208">
        <f>D31</f>
        <v>0</v>
      </c>
    </row>
    <row r="7" spans="2:5" s="30" customFormat="1" x14ac:dyDescent="0.25">
      <c r="B7" s="238" t="s">
        <v>214</v>
      </c>
      <c r="C7" s="68"/>
      <c r="D7" s="68"/>
      <c r="E7" s="68"/>
    </row>
    <row r="8" spans="2:5" x14ac:dyDescent="0.25">
      <c r="B8" s="255"/>
      <c r="C8" s="48"/>
      <c r="D8" s="48"/>
      <c r="E8" s="48"/>
    </row>
    <row r="9" spans="2:5" x14ac:dyDescent="0.25">
      <c r="B9" s="255"/>
      <c r="C9" s="48"/>
      <c r="D9" s="48"/>
      <c r="E9" s="48"/>
    </row>
    <row r="10" spans="2:5" x14ac:dyDescent="0.25">
      <c r="B10" s="255"/>
      <c r="C10" s="48"/>
      <c r="D10" s="48"/>
      <c r="E10" s="48"/>
    </row>
    <row r="11" spans="2:5" x14ac:dyDescent="0.25">
      <c r="B11" s="255"/>
      <c r="C11" s="48"/>
      <c r="D11" s="48"/>
      <c r="E11" s="48"/>
    </row>
    <row r="12" spans="2:5" x14ac:dyDescent="0.25">
      <c r="B12" s="255"/>
      <c r="C12" s="48"/>
      <c r="D12" s="48"/>
      <c r="E12" s="48"/>
    </row>
    <row r="13" spans="2:5" x14ac:dyDescent="0.25">
      <c r="B13" s="255"/>
      <c r="C13" s="48"/>
      <c r="D13" s="48"/>
      <c r="E13" s="48"/>
    </row>
    <row r="14" spans="2:5" x14ac:dyDescent="0.25">
      <c r="B14" s="243" t="s">
        <v>110</v>
      </c>
      <c r="C14" s="48"/>
      <c r="D14" s="48"/>
      <c r="E14" s="48"/>
    </row>
    <row r="15" spans="2:5" x14ac:dyDescent="0.25">
      <c r="B15" s="142" t="s">
        <v>13</v>
      </c>
      <c r="C15" s="48"/>
      <c r="D15" s="240"/>
      <c r="E15" s="240"/>
    </row>
    <row r="16" spans="2:5" x14ac:dyDescent="0.25">
      <c r="B16" s="234" t="s">
        <v>781</v>
      </c>
      <c r="C16" s="281" t="str">
        <f>IF(C17*0.1&lt;C15,"Exceed 10% Rule","")</f>
        <v/>
      </c>
      <c r="D16" s="245" t="str">
        <f>IF(D17*0.1&lt;D15,"Exceed 10% Rule","")</f>
        <v/>
      </c>
      <c r="E16" s="245" t="str">
        <f>IF(E17*0.1&lt;E15,"Exceed 10% Rule","")</f>
        <v/>
      </c>
    </row>
    <row r="17" spans="2:5" x14ac:dyDescent="0.25">
      <c r="B17" s="246" t="s">
        <v>111</v>
      </c>
      <c r="C17" s="249">
        <f>SUM(C8:C15)</f>
        <v>0</v>
      </c>
      <c r="D17" s="249">
        <f>SUM(D8:D15)</f>
        <v>0</v>
      </c>
      <c r="E17" s="249">
        <f>SUM(E8:E15)</f>
        <v>0</v>
      </c>
    </row>
    <row r="18" spans="2:5" x14ac:dyDescent="0.25">
      <c r="B18" s="246" t="s">
        <v>112</v>
      </c>
      <c r="C18" s="249">
        <f>C6+C17</f>
        <v>0</v>
      </c>
      <c r="D18" s="249">
        <f>D6+D17</f>
        <v>0</v>
      </c>
      <c r="E18" s="249">
        <f>E6+E17</f>
        <v>0</v>
      </c>
    </row>
    <row r="19" spans="2:5" x14ac:dyDescent="0.25">
      <c r="B19" s="133" t="s">
        <v>114</v>
      </c>
      <c r="C19" s="208"/>
      <c r="D19" s="208"/>
      <c r="E19" s="208"/>
    </row>
    <row r="20" spans="2:5" x14ac:dyDescent="0.25">
      <c r="B20" s="255"/>
      <c r="C20" s="48"/>
      <c r="D20" s="48"/>
      <c r="E20" s="48"/>
    </row>
    <row r="21" spans="2:5" x14ac:dyDescent="0.25">
      <c r="B21" s="255"/>
      <c r="C21" s="48"/>
      <c r="D21" s="48"/>
      <c r="E21" s="48"/>
    </row>
    <row r="22" spans="2:5" x14ac:dyDescent="0.25">
      <c r="B22" s="255"/>
      <c r="C22" s="48"/>
      <c r="D22" s="48"/>
      <c r="E22" s="48"/>
    </row>
    <row r="23" spans="2:5" x14ac:dyDescent="0.25">
      <c r="B23" s="255"/>
      <c r="C23" s="48"/>
      <c r="D23" s="48"/>
      <c r="E23" s="48"/>
    </row>
    <row r="24" spans="2:5" x14ac:dyDescent="0.25">
      <c r="B24" s="255"/>
      <c r="C24" s="48"/>
      <c r="D24" s="48"/>
      <c r="E24" s="48"/>
    </row>
    <row r="25" spans="2:5" x14ac:dyDescent="0.25">
      <c r="B25" s="255"/>
      <c r="C25" s="48"/>
      <c r="D25" s="48"/>
      <c r="E25" s="48"/>
    </row>
    <row r="26" spans="2:5" x14ac:dyDescent="0.25">
      <c r="B26" s="255"/>
      <c r="C26" s="48"/>
      <c r="D26" s="48"/>
      <c r="E26" s="48"/>
    </row>
    <row r="27" spans="2:5" x14ac:dyDescent="0.25">
      <c r="B27" s="255"/>
      <c r="C27" s="48"/>
      <c r="D27" s="48"/>
      <c r="E27" s="48"/>
    </row>
    <row r="28" spans="2:5" x14ac:dyDescent="0.25">
      <c r="B28" s="256" t="s">
        <v>13</v>
      </c>
      <c r="C28" s="48"/>
      <c r="D28" s="240"/>
      <c r="E28" s="240"/>
    </row>
    <row r="29" spans="2:5" x14ac:dyDescent="0.25">
      <c r="B29" s="256" t="s">
        <v>782</v>
      </c>
      <c r="C29" s="281" t="str">
        <f>IF(C30*0.1&lt;C28,"Exceed 10% Rule","")</f>
        <v/>
      </c>
      <c r="D29" s="245" t="str">
        <f>IF(D30*0.1&lt;D28,"Exceed 10% Rule","")</f>
        <v/>
      </c>
      <c r="E29" s="245" t="str">
        <f>IF(E30*0.1&lt;E28,"Exceed 10% Rule","")</f>
        <v/>
      </c>
    </row>
    <row r="30" spans="2:5" x14ac:dyDescent="0.25">
      <c r="B30" s="246" t="s">
        <v>118</v>
      </c>
      <c r="C30" s="249">
        <f>SUM(C20:C28)</f>
        <v>0</v>
      </c>
      <c r="D30" s="249">
        <f>SUM(D20:D28)</f>
        <v>0</v>
      </c>
      <c r="E30" s="249">
        <f>SUM(E20:E28)</f>
        <v>0</v>
      </c>
    </row>
    <row r="31" spans="2:5" x14ac:dyDescent="0.25">
      <c r="B31" s="133" t="s">
        <v>213</v>
      </c>
      <c r="C31" s="63">
        <f>C18-C30</f>
        <v>0</v>
      </c>
      <c r="D31" s="63">
        <f>D18-D30</f>
        <v>0</v>
      </c>
      <c r="E31" s="63">
        <f>E18-E30</f>
        <v>0</v>
      </c>
    </row>
    <row r="32" spans="2:5" x14ac:dyDescent="0.25">
      <c r="B32" s="153" t="str">
        <f>CONCATENATE("",E1-2,"/",E1-1,"/",E1," Budget Authority Amount:")</f>
        <v>2013/2014/2015 Budget Authority Amount:</v>
      </c>
      <c r="C32" s="824">
        <f>inputOth!B91</f>
        <v>0</v>
      </c>
      <c r="D32" s="824">
        <f>inputPrYr!D50</f>
        <v>0</v>
      </c>
      <c r="E32" s="898">
        <f>E30</f>
        <v>0</v>
      </c>
    </row>
    <row r="33" spans="2:5" x14ac:dyDescent="0.25">
      <c r="B33" s="119"/>
      <c r="C33" s="363" t="str">
        <f>IF(C30&gt;C32,"See Tab A","")</f>
        <v/>
      </c>
      <c r="D33" s="259" t="str">
        <f>IF(D30&gt;D32,"See Tab C","")</f>
        <v/>
      </c>
      <c r="E33" s="899" t="str">
        <f>IF(E31&lt;0,"See Tab E","")</f>
        <v/>
      </c>
    </row>
    <row r="34" spans="2:5" x14ac:dyDescent="0.25">
      <c r="B34" s="119"/>
      <c r="C34" s="363" t="str">
        <f>IF(C31&lt;0,"See Tab B","")</f>
        <v/>
      </c>
      <c r="D34" s="259" t="str">
        <f>IF(D31&lt;0,"See Tab D","")</f>
        <v/>
      </c>
      <c r="E34" s="78"/>
    </row>
    <row r="35" spans="2:5" x14ac:dyDescent="0.25">
      <c r="B35" s="32"/>
      <c r="C35" s="364"/>
      <c r="D35" s="78"/>
      <c r="E35" s="78"/>
    </row>
    <row r="36" spans="2:5" x14ac:dyDescent="0.25">
      <c r="B36" s="33"/>
      <c r="C36" s="365"/>
      <c r="D36" s="276"/>
      <c r="E36" s="276"/>
    </row>
    <row r="37" spans="2:5" x14ac:dyDescent="0.25">
      <c r="B37" s="33" t="s">
        <v>104</v>
      </c>
      <c r="C37" s="261" t="s">
        <v>124</v>
      </c>
      <c r="D37" s="127" t="s">
        <v>226</v>
      </c>
      <c r="E37" s="127" t="s">
        <v>227</v>
      </c>
    </row>
    <row r="38" spans="2:5" x14ac:dyDescent="0.25">
      <c r="B38" s="530">
        <f>inputPrYr!B51</f>
        <v>0</v>
      </c>
      <c r="C38" s="233" t="str">
        <f>C5</f>
        <v>Actual for 2013</v>
      </c>
      <c r="D38" s="233" t="str">
        <f>D5</f>
        <v>Estimate for 2014</v>
      </c>
      <c r="E38" s="233" t="str">
        <f>E5</f>
        <v>Year for 2015</v>
      </c>
    </row>
    <row r="39" spans="2:5" x14ac:dyDescent="0.25">
      <c r="B39" s="234" t="s">
        <v>212</v>
      </c>
      <c r="C39" s="48"/>
      <c r="D39" s="208">
        <f>C62</f>
        <v>0</v>
      </c>
      <c r="E39" s="208">
        <f>D62</f>
        <v>0</v>
      </c>
    </row>
    <row r="40" spans="2:5" s="30" customFormat="1" x14ac:dyDescent="0.25">
      <c r="B40" s="238" t="s">
        <v>214</v>
      </c>
      <c r="C40" s="68"/>
      <c r="D40" s="68"/>
      <c r="E40" s="68"/>
    </row>
    <row r="41" spans="2:5" x14ac:dyDescent="0.25">
      <c r="B41" s="255"/>
      <c r="C41" s="48"/>
      <c r="D41" s="48"/>
      <c r="E41" s="48"/>
    </row>
    <row r="42" spans="2:5" x14ac:dyDescent="0.25">
      <c r="B42" s="255"/>
      <c r="C42" s="48"/>
      <c r="D42" s="48"/>
      <c r="E42" s="48"/>
    </row>
    <row r="43" spans="2:5" x14ac:dyDescent="0.25">
      <c r="B43" s="255"/>
      <c r="C43" s="48"/>
      <c r="D43" s="48"/>
      <c r="E43" s="48"/>
    </row>
    <row r="44" spans="2:5" x14ac:dyDescent="0.25">
      <c r="B44" s="255"/>
      <c r="C44" s="48"/>
      <c r="D44" s="48"/>
      <c r="E44" s="48"/>
    </row>
    <row r="45" spans="2:5" x14ac:dyDescent="0.25">
      <c r="B45" s="243" t="s">
        <v>110</v>
      </c>
      <c r="C45" s="48"/>
      <c r="D45" s="48"/>
      <c r="E45" s="48"/>
    </row>
    <row r="46" spans="2:5" x14ac:dyDescent="0.25">
      <c r="B46" s="142" t="s">
        <v>13</v>
      </c>
      <c r="C46" s="48"/>
      <c r="D46" s="240"/>
      <c r="E46" s="240"/>
    </row>
    <row r="47" spans="2:5" x14ac:dyDescent="0.25">
      <c r="B47" s="234" t="s">
        <v>781</v>
      </c>
      <c r="C47" s="281" t="str">
        <f>IF(C48*0.1&lt;C46,"Exceed 10% Rule","")</f>
        <v/>
      </c>
      <c r="D47" s="245" t="str">
        <f>IF(D48*0.1&lt;D46,"Exceed 10% Rule","")</f>
        <v/>
      </c>
      <c r="E47" s="245" t="str">
        <f>IF(E48*0.1&lt;E46,"Exceed 10% Rule","")</f>
        <v/>
      </c>
    </row>
    <row r="48" spans="2:5" x14ac:dyDescent="0.25">
      <c r="B48" s="246" t="s">
        <v>111</v>
      </c>
      <c r="C48" s="249">
        <f>SUM(C41:C46)</f>
        <v>0</v>
      </c>
      <c r="D48" s="249">
        <f>SUM(D41:D46)</f>
        <v>0</v>
      </c>
      <c r="E48" s="249">
        <f>SUM(E41:E46)</f>
        <v>0</v>
      </c>
    </row>
    <row r="49" spans="2:5" x14ac:dyDescent="0.25">
      <c r="B49" s="246" t="s">
        <v>112</v>
      </c>
      <c r="C49" s="249">
        <f>C39+C48</f>
        <v>0</v>
      </c>
      <c r="D49" s="249">
        <f>D39+D48</f>
        <v>0</v>
      </c>
      <c r="E49" s="249">
        <f>E39+E48</f>
        <v>0</v>
      </c>
    </row>
    <row r="50" spans="2:5" x14ac:dyDescent="0.25">
      <c r="B50" s="133" t="s">
        <v>114</v>
      </c>
      <c r="C50" s="208"/>
      <c r="D50" s="208"/>
      <c r="E50" s="208"/>
    </row>
    <row r="51" spans="2:5" x14ac:dyDescent="0.25">
      <c r="B51" s="255"/>
      <c r="C51" s="48"/>
      <c r="D51" s="48"/>
      <c r="E51" s="48"/>
    </row>
    <row r="52" spans="2:5" x14ac:dyDescent="0.25">
      <c r="B52" s="255"/>
      <c r="C52" s="48"/>
      <c r="D52" s="48"/>
      <c r="E52" s="48"/>
    </row>
    <row r="53" spans="2:5" x14ac:dyDescent="0.25">
      <c r="B53" s="255"/>
      <c r="C53" s="48"/>
      <c r="D53" s="48"/>
      <c r="E53" s="48"/>
    </row>
    <row r="54" spans="2:5" x14ac:dyDescent="0.25">
      <c r="B54" s="255"/>
      <c r="C54" s="48"/>
      <c r="D54" s="48"/>
      <c r="E54" s="48"/>
    </row>
    <row r="55" spans="2:5" x14ac:dyDescent="0.25">
      <c r="B55" s="255"/>
      <c r="C55" s="48"/>
      <c r="D55" s="48"/>
      <c r="E55" s="48"/>
    </row>
    <row r="56" spans="2:5" x14ac:dyDescent="0.25">
      <c r="B56" s="255"/>
      <c r="C56" s="48"/>
      <c r="D56" s="48"/>
      <c r="E56" s="48"/>
    </row>
    <row r="57" spans="2:5" x14ac:dyDescent="0.25">
      <c r="B57" s="255"/>
      <c r="C57" s="48"/>
      <c r="D57" s="48"/>
      <c r="E57" s="48"/>
    </row>
    <row r="58" spans="2:5" x14ac:dyDescent="0.25">
      <c r="B58" s="255"/>
      <c r="C58" s="48"/>
      <c r="D58" s="48"/>
      <c r="E58" s="48"/>
    </row>
    <row r="59" spans="2:5" x14ac:dyDescent="0.25">
      <c r="B59" s="256" t="s">
        <v>13</v>
      </c>
      <c r="C59" s="48"/>
      <c r="D59" s="240"/>
      <c r="E59" s="240"/>
    </row>
    <row r="60" spans="2:5" x14ac:dyDescent="0.25">
      <c r="B60" s="256" t="s">
        <v>782</v>
      </c>
      <c r="C60" s="281" t="str">
        <f>IF(C61*0.1&lt;C59,"Exceed 10% Rule","")</f>
        <v/>
      </c>
      <c r="D60" s="245" t="str">
        <f>IF(D61*0.1&lt;D59,"Exceed 10% Rule","")</f>
        <v/>
      </c>
      <c r="E60" s="245" t="str">
        <f>IF(E61*0.1&lt;E59,"Exceed 10% Rule","")</f>
        <v/>
      </c>
    </row>
    <row r="61" spans="2:5" x14ac:dyDescent="0.25">
      <c r="B61" s="246" t="s">
        <v>118</v>
      </c>
      <c r="C61" s="249">
        <f>SUM(C51:C59)</f>
        <v>0</v>
      </c>
      <c r="D61" s="249">
        <f>SUM(D51:D59)</f>
        <v>0</v>
      </c>
      <c r="E61" s="249">
        <f>SUM(E51:E59)</f>
        <v>0</v>
      </c>
    </row>
    <row r="62" spans="2:5" x14ac:dyDescent="0.25">
      <c r="B62" s="133" t="s">
        <v>213</v>
      </c>
      <c r="C62" s="63">
        <f>C49-C61</f>
        <v>0</v>
      </c>
      <c r="D62" s="63">
        <f>D49-D61</f>
        <v>0</v>
      </c>
      <c r="E62" s="63">
        <f>E49-E61</f>
        <v>0</v>
      </c>
    </row>
    <row r="63" spans="2:5" x14ac:dyDescent="0.25">
      <c r="B63" s="153" t="str">
        <f>CONCATENATE("",E1-2,"/",E1-1,"/",E1," Budget Authority Amount:")</f>
        <v>2013/2014/2015 Budget Authority Amount:</v>
      </c>
      <c r="C63" s="824">
        <f>inputOth!B92</f>
        <v>0</v>
      </c>
      <c r="D63" s="824">
        <f>inputPrYr!D51</f>
        <v>0</v>
      </c>
      <c r="E63" s="898">
        <f>E61</f>
        <v>0</v>
      </c>
    </row>
    <row r="64" spans="2:5" x14ac:dyDescent="0.25">
      <c r="B64" s="119"/>
      <c r="C64" s="259" t="str">
        <f>IF(C61&gt;C63,"See Tab A","")</f>
        <v/>
      </c>
      <c r="D64" s="259" t="str">
        <f>IF(D61&gt;D63,"See Tab C","")</f>
        <v/>
      </c>
      <c r="E64" s="899" t="str">
        <f>IF(E62&lt;0,"See Tab E","")</f>
        <v/>
      </c>
    </row>
    <row r="65" spans="2:5" x14ac:dyDescent="0.25">
      <c r="B65" s="119"/>
      <c r="C65" s="259" t="str">
        <f>IF(C62&lt;0,"See Tab B","")</f>
        <v/>
      </c>
      <c r="D65" s="259" t="str">
        <f>IF(D62&lt;0,"See Tab D","")</f>
        <v/>
      </c>
      <c r="E65" s="32"/>
    </row>
    <row r="66" spans="2:5" x14ac:dyDescent="0.25">
      <c r="B66" s="32"/>
      <c r="C66" s="32"/>
      <c r="D66" s="32"/>
      <c r="E66" s="32"/>
    </row>
    <row r="67" spans="2:5" x14ac:dyDescent="0.25">
      <c r="B67" s="151" t="s">
        <v>121</v>
      </c>
      <c r="C67" s="263"/>
      <c r="D67" s="32"/>
      <c r="E67" s="32"/>
    </row>
  </sheetData>
  <sheetProtection sheet="1"/>
  <conditionalFormatting sqref="C15">
    <cfRule type="cellIs" dxfId="57" priority="18" stopIfTrue="1" operator="greaterThan">
      <formula>$C$17*0.1</formula>
    </cfRule>
  </conditionalFormatting>
  <conditionalFormatting sqref="D15">
    <cfRule type="cellIs" dxfId="56" priority="17" stopIfTrue="1" operator="greaterThan">
      <formula>$D$17*0.1</formula>
    </cfRule>
  </conditionalFormatting>
  <conditionalFormatting sqref="E15">
    <cfRule type="cellIs" dxfId="55" priority="16" stopIfTrue="1" operator="greaterThan">
      <formula>$E$17*0.1</formula>
    </cfRule>
  </conditionalFormatting>
  <conditionalFormatting sqref="C28">
    <cfRule type="cellIs" dxfId="54" priority="15" stopIfTrue="1" operator="greaterThan">
      <formula>$C$30*0.1</formula>
    </cfRule>
  </conditionalFormatting>
  <conditionalFormatting sqref="D28">
    <cfRule type="cellIs" dxfId="53" priority="14" stopIfTrue="1" operator="greaterThan">
      <formula>$D$30*0.1</formula>
    </cfRule>
  </conditionalFormatting>
  <conditionalFormatting sqref="E28">
    <cfRule type="cellIs" dxfId="52" priority="13" stopIfTrue="1" operator="greaterThan">
      <formula>$E$30*0.1</formula>
    </cfRule>
  </conditionalFormatting>
  <conditionalFormatting sqref="C46">
    <cfRule type="cellIs" dxfId="51" priority="12" stopIfTrue="1" operator="greaterThan">
      <formula>$C$48*0.1</formula>
    </cfRule>
  </conditionalFormatting>
  <conditionalFormatting sqref="D46">
    <cfRule type="cellIs" dxfId="50" priority="11" stopIfTrue="1" operator="greaterThan">
      <formula>$D$48*0.1</formula>
    </cfRule>
  </conditionalFormatting>
  <conditionalFormatting sqref="E46">
    <cfRule type="cellIs" dxfId="49" priority="10" stopIfTrue="1" operator="greaterThan">
      <formula>$E$48*0.1</formula>
    </cfRule>
  </conditionalFormatting>
  <conditionalFormatting sqref="C59">
    <cfRule type="cellIs" dxfId="48" priority="9" stopIfTrue="1" operator="greaterThan">
      <formula>$C$61*0.1</formula>
    </cfRule>
  </conditionalFormatting>
  <conditionalFormatting sqref="D59">
    <cfRule type="cellIs" dxfId="47" priority="8" stopIfTrue="1" operator="greaterThan">
      <formula>$D$61*0.1</formula>
    </cfRule>
  </conditionalFormatting>
  <conditionalFormatting sqref="E59">
    <cfRule type="cellIs" dxfId="46" priority="7" stopIfTrue="1" operator="greaterThan">
      <formula>$E$61*0.1</formula>
    </cfRule>
  </conditionalFormatting>
  <conditionalFormatting sqref="C61:D61">
    <cfRule type="cellIs" dxfId="45" priority="6" stopIfTrue="1" operator="greaterThan">
      <formula>$D$63</formula>
    </cfRule>
  </conditionalFormatting>
  <conditionalFormatting sqref="C62 E62 C31 E31">
    <cfRule type="cellIs" dxfId="44" priority="5" stopIfTrue="1" operator="lessThan">
      <formula>0</formula>
    </cfRule>
  </conditionalFormatting>
  <conditionalFormatting sqref="D30">
    <cfRule type="cellIs" dxfId="43" priority="4" stopIfTrue="1" operator="greaterThan">
      <formula>$D$32</formula>
    </cfRule>
  </conditionalFormatting>
  <conditionalFormatting sqref="C30">
    <cfRule type="cellIs" dxfId="42" priority="3" stopIfTrue="1" operator="greaterThan">
      <formula>$C$32</formula>
    </cfRule>
  </conditionalFormatting>
  <conditionalFormatting sqref="D62">
    <cfRule type="cellIs" dxfId="41" priority="2" stopIfTrue="1" operator="lessThan">
      <formula>0</formula>
    </cfRule>
  </conditionalFormatting>
  <conditionalFormatting sqref="D31">
    <cfRule type="cellIs" dxfId="40" priority="1" stopIfTrue="1" operator="lessThan">
      <formula>0</formula>
    </cfRule>
  </conditionalFormatting>
  <pageMargins left="0.7" right="0.7" top="0.75" bottom="0.75" header="0.3" footer="0.3"/>
  <pageSetup scale="72" orientation="portrait" blackAndWhite="1" r:id="rId1"/>
  <headerFooter>
    <oddHeader>&amp;RState of Kansas
City</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96"/>
  <sheetViews>
    <sheetView topLeftCell="A29" workbookViewId="0">
      <selection activeCell="A29" sqref="A29"/>
    </sheetView>
  </sheetViews>
  <sheetFormatPr defaultColWidth="8.9140625" defaultRowHeight="15" x14ac:dyDescent="0.25"/>
  <cols>
    <col min="1" max="1" width="15.75" style="87" customWidth="1"/>
    <col min="2" max="2" width="20.75" style="87" customWidth="1"/>
    <col min="3" max="3" width="9.75" style="87" customWidth="1"/>
    <col min="4" max="4" width="15.08203125" style="87" customWidth="1"/>
    <col min="5" max="5" width="15.75" style="87" customWidth="1"/>
    <col min="6" max="16384" width="8.9140625" style="87"/>
  </cols>
  <sheetData>
    <row r="1" spans="1:5" ht="15.6" x14ac:dyDescent="0.25">
      <c r="A1" s="156" t="str">
        <f>inputPrYr!$D$2</f>
        <v>City of Osawatomie</v>
      </c>
      <c r="B1" s="49"/>
      <c r="C1" s="49"/>
      <c r="D1" s="49"/>
      <c r="E1" s="155">
        <f>inputPrYr!C5</f>
        <v>2015</v>
      </c>
    </row>
    <row r="2" spans="1:5" x14ac:dyDescent="0.25">
      <c r="A2" s="49"/>
      <c r="B2" s="49"/>
      <c r="C2" s="49"/>
      <c r="D2" s="49"/>
      <c r="E2" s="49"/>
    </row>
    <row r="3" spans="1:5" ht="15.6" x14ac:dyDescent="0.25">
      <c r="A3" s="973" t="s">
        <v>299</v>
      </c>
      <c r="B3" s="974"/>
      <c r="C3" s="974"/>
      <c r="D3" s="974"/>
      <c r="E3" s="974"/>
    </row>
    <row r="4" spans="1:5" x14ac:dyDescent="0.25">
      <c r="A4" s="49"/>
      <c r="B4" s="49"/>
      <c r="C4" s="49"/>
      <c r="D4" s="49"/>
      <c r="E4" s="49"/>
    </row>
    <row r="5" spans="1:5" ht="15.6" x14ac:dyDescent="0.25">
      <c r="A5" s="988" t="s">
        <v>636</v>
      </c>
      <c r="B5" s="989"/>
      <c r="C5" s="422"/>
      <c r="D5" s="426" t="s">
        <v>637</v>
      </c>
      <c r="E5" s="425" t="s">
        <v>638</v>
      </c>
    </row>
    <row r="6" spans="1:5" ht="15.6" x14ac:dyDescent="0.25">
      <c r="A6" s="422" t="s">
        <v>639</v>
      </c>
      <c r="B6" s="484"/>
      <c r="C6" s="424"/>
      <c r="D6" s="423" t="s">
        <v>632</v>
      </c>
      <c r="E6" s="483"/>
    </row>
    <row r="7" spans="1:5" x14ac:dyDescent="0.25">
      <c r="A7" s="49"/>
      <c r="B7" s="49"/>
      <c r="C7" s="49"/>
      <c r="D7" s="49"/>
      <c r="E7" s="49"/>
    </row>
    <row r="8" spans="1:5" ht="15.6" x14ac:dyDescent="0.25">
      <c r="A8" s="40" t="str">
        <f>CONCATENATE("From the County Clerks ",E1," Budget Information:")</f>
        <v>From the County Clerks 2015 Budget Information:</v>
      </c>
      <c r="B8" s="41"/>
      <c r="C8" s="32"/>
      <c r="D8" s="32"/>
      <c r="E8" s="78"/>
    </row>
    <row r="9" spans="1:5" ht="15.6" x14ac:dyDescent="0.25">
      <c r="A9" s="88" t="str">
        <f>CONCATENATE("Total Assessed Valuation for ",E1-1,"")</f>
        <v>Total Assessed Valuation for 2014</v>
      </c>
      <c r="B9" s="53"/>
      <c r="C9" s="53"/>
      <c r="D9" s="53"/>
      <c r="E9" s="48">
        <v>22268068</v>
      </c>
    </row>
    <row r="10" spans="1:5" ht="15.6" x14ac:dyDescent="0.25">
      <c r="A10" s="88" t="str">
        <f>CONCATENATE("New Improvements for ",E1-1,"")</f>
        <v>New Improvements for 2014</v>
      </c>
      <c r="B10" s="53"/>
      <c r="C10" s="53"/>
      <c r="D10" s="53"/>
      <c r="E10" s="89">
        <v>2788</v>
      </c>
    </row>
    <row r="11" spans="1:5" ht="15.6" x14ac:dyDescent="0.25">
      <c r="A11" s="88" t="str">
        <f>CONCATENATE("Personal Property excluding oil, gas, mobile homes - ",E1-1,"")</f>
        <v>Personal Property excluding oil, gas, mobile homes - 2014</v>
      </c>
      <c r="B11" s="53"/>
      <c r="C11" s="53"/>
      <c r="D11" s="53"/>
      <c r="E11" s="89">
        <v>243103</v>
      </c>
    </row>
    <row r="12" spans="1:5" ht="15.6" x14ac:dyDescent="0.25">
      <c r="A12" s="90" t="s">
        <v>239</v>
      </c>
      <c r="B12" s="53"/>
      <c r="C12" s="53"/>
      <c r="D12" s="53"/>
      <c r="E12" s="68"/>
    </row>
    <row r="13" spans="1:5" ht="15.6" x14ac:dyDescent="0.25">
      <c r="A13" s="88" t="s">
        <v>207</v>
      </c>
      <c r="B13" s="53"/>
      <c r="C13" s="53"/>
      <c r="D13" s="53"/>
      <c r="E13" s="89"/>
    </row>
    <row r="14" spans="1:5" ht="15.6" x14ac:dyDescent="0.25">
      <c r="A14" s="88" t="s">
        <v>208</v>
      </c>
      <c r="B14" s="53"/>
      <c r="C14" s="53"/>
      <c r="D14" s="53"/>
      <c r="E14" s="89"/>
    </row>
    <row r="15" spans="1:5" ht="15.6" x14ac:dyDescent="0.25">
      <c r="A15" s="88" t="s">
        <v>209</v>
      </c>
      <c r="B15" s="53"/>
      <c r="C15" s="53"/>
      <c r="D15" s="53"/>
      <c r="E15" s="89"/>
    </row>
    <row r="16" spans="1:5" ht="15.6" x14ac:dyDescent="0.25">
      <c r="A16" s="88" t="str">
        <f>CONCATENATE("Property that has changed in use for ",E1-1,"")</f>
        <v>Property that has changed in use for 2014</v>
      </c>
      <c r="B16" s="53"/>
      <c r="C16" s="53"/>
      <c r="D16" s="53"/>
      <c r="E16" s="89">
        <v>129226</v>
      </c>
    </row>
    <row r="17" spans="1:5" ht="15.6" x14ac:dyDescent="0.25">
      <c r="A17" s="88" t="str">
        <f>CONCATENATE("Personal Property  excluding oil, gas, mobile homes- ",E1-2,"")</f>
        <v>Personal Property  excluding oil, gas, mobile homes- 2013</v>
      </c>
      <c r="B17" s="53"/>
      <c r="C17" s="53"/>
      <c r="D17" s="53"/>
      <c r="E17" s="89">
        <v>310528</v>
      </c>
    </row>
    <row r="18" spans="1:5" ht="15.6" x14ac:dyDescent="0.25">
      <c r="A18" s="88" t="str">
        <f>CONCATENATE("Gross earnings (intangible) tax estimate for ",E1,"")</f>
        <v>Gross earnings (intangible) tax estimate for 2015</v>
      </c>
      <c r="B18" s="53"/>
      <c r="C18" s="53"/>
      <c r="D18" s="74"/>
      <c r="E18" s="48"/>
    </row>
    <row r="19" spans="1:5" ht="15.6" x14ac:dyDescent="0.25">
      <c r="A19" s="88" t="s">
        <v>240</v>
      </c>
      <c r="B19" s="53"/>
      <c r="C19" s="53"/>
      <c r="D19" s="53"/>
      <c r="E19" s="84">
        <v>0</v>
      </c>
    </row>
    <row r="20" spans="1:5" ht="15.6" x14ac:dyDescent="0.25">
      <c r="A20" s="56"/>
      <c r="B20" s="57"/>
      <c r="C20" s="57"/>
      <c r="D20" s="57"/>
      <c r="E20" s="65"/>
    </row>
    <row r="21" spans="1:5" ht="15.6" x14ac:dyDescent="0.25">
      <c r="A21" s="56" t="str">
        <f>CONCATENATE("Actual Tax Rates for the ",E1-1," Budget:")</f>
        <v>Actual Tax Rates for the 2014 Budget:</v>
      </c>
      <c r="B21" s="57"/>
      <c r="C21" s="57"/>
      <c r="D21" s="57"/>
      <c r="E21" s="65"/>
    </row>
    <row r="22" spans="1:5" ht="15.6" x14ac:dyDescent="0.25">
      <c r="A22" s="982" t="s">
        <v>90</v>
      </c>
      <c r="B22" s="983"/>
      <c r="C22" s="49"/>
      <c r="D22" s="91" t="s">
        <v>143</v>
      </c>
      <c r="E22" s="65"/>
    </row>
    <row r="23" spans="1:5" ht="15.6" x14ac:dyDescent="0.25">
      <c r="A23" s="51" t="s">
        <v>74</v>
      </c>
      <c r="B23" s="52"/>
      <c r="C23" s="57"/>
      <c r="D23" s="92">
        <v>24.094000000000001</v>
      </c>
      <c r="E23" s="65"/>
    </row>
    <row r="24" spans="1:5" ht="15.6" x14ac:dyDescent="0.25">
      <c r="A24" s="88" t="s">
        <v>45</v>
      </c>
      <c r="B24" s="53"/>
      <c r="C24" s="57"/>
      <c r="D24" s="93">
        <v>10.994</v>
      </c>
      <c r="E24" s="65"/>
    </row>
    <row r="25" spans="1:5" ht="15.6" x14ac:dyDescent="0.25">
      <c r="A25" s="88" t="str">
        <f>IF(inputPrYr!B19&gt;" ",(inputPrYr!B19)," ")</f>
        <v>Library</v>
      </c>
      <c r="B25" s="53"/>
      <c r="C25" s="57"/>
      <c r="D25" s="93"/>
      <c r="E25" s="65"/>
    </row>
    <row r="26" spans="1:5" ht="15.6" x14ac:dyDescent="0.25">
      <c r="A26" s="88" t="str">
        <f>IF(inputPrYr!B21&gt;" ",(inputPrYr!B21)," ")</f>
        <v>Industrial</v>
      </c>
      <c r="B26" s="53"/>
      <c r="C26" s="57"/>
      <c r="D26" s="93"/>
      <c r="E26" s="65"/>
    </row>
    <row r="27" spans="1:5" ht="15.6" x14ac:dyDescent="0.25">
      <c r="A27" s="88" t="str">
        <f>IF(inputPrYr!B22&gt;" ",(inputPrYr!B22)," ")</f>
        <v>Employee Benefits</v>
      </c>
      <c r="B27" s="53"/>
      <c r="C27" s="57"/>
      <c r="D27" s="93">
        <v>24.843</v>
      </c>
      <c r="E27" s="65"/>
    </row>
    <row r="28" spans="1:5" ht="15.6" x14ac:dyDescent="0.25">
      <c r="A28" s="88" t="str">
        <f>IF(inputPrYr!B23&gt;" ",(inputPrYr!B23)," ")</f>
        <v>Public Safety Equipment</v>
      </c>
      <c r="B28" s="53"/>
      <c r="C28" s="57"/>
      <c r="D28" s="93"/>
      <c r="E28" s="65"/>
    </row>
    <row r="29" spans="1:5" ht="15.6" x14ac:dyDescent="0.25">
      <c r="A29" s="88" t="str">
        <f>IF(inputPrYr!B24&gt;" ",(inputPrYr!B24)," ")</f>
        <v>Recreation Employee Benefits</v>
      </c>
      <c r="B29" s="94"/>
      <c r="C29" s="57"/>
      <c r="D29" s="95"/>
      <c r="E29" s="65"/>
    </row>
    <row r="30" spans="1:5" ht="15.6" x14ac:dyDescent="0.25">
      <c r="A30" s="88" t="str">
        <f>IF(inputPrYr!B25&gt;" ",(inputPrYr!B25)," ")</f>
        <v xml:space="preserve"> </v>
      </c>
      <c r="B30" s="94"/>
      <c r="C30" s="57"/>
      <c r="D30" s="95"/>
      <c r="E30" s="65"/>
    </row>
    <row r="31" spans="1:5" ht="15.6" x14ac:dyDescent="0.25">
      <c r="A31" s="88" t="str">
        <f>IF(inputPrYr!B26&gt;" ",(inputPrYr!B26)," ")</f>
        <v xml:space="preserve"> </v>
      </c>
      <c r="B31" s="94"/>
      <c r="C31" s="57"/>
      <c r="D31" s="95"/>
      <c r="E31" s="65"/>
    </row>
    <row r="32" spans="1:5" ht="15.6" x14ac:dyDescent="0.25">
      <c r="A32" s="88" t="str">
        <f>IF(inputPrYr!B27&gt;" ",(inputPrYr!B27)," ")</f>
        <v xml:space="preserve"> </v>
      </c>
      <c r="B32" s="94"/>
      <c r="C32" s="57"/>
      <c r="D32" s="95"/>
      <c r="E32" s="65"/>
    </row>
    <row r="33" spans="1:5" ht="15.6" x14ac:dyDescent="0.25">
      <c r="A33" s="88" t="str">
        <f>IF(inputPrYr!B28&gt;" ",(inputPrYr!B28)," ")</f>
        <v xml:space="preserve"> </v>
      </c>
      <c r="B33" s="94"/>
      <c r="C33" s="57"/>
      <c r="D33" s="95"/>
      <c r="E33" s="65"/>
    </row>
    <row r="34" spans="1:5" ht="15.6" x14ac:dyDescent="0.25">
      <c r="A34" s="88" t="str">
        <f>IF(inputPrYr!B29&gt;" ",(inputPrYr!B29)," ")</f>
        <v xml:space="preserve"> </v>
      </c>
      <c r="B34" s="94"/>
      <c r="C34" s="57"/>
      <c r="D34" s="95"/>
      <c r="E34" s="65"/>
    </row>
    <row r="35" spans="1:5" ht="15.6" x14ac:dyDescent="0.25">
      <c r="A35" s="88" t="str">
        <f>IF(inputPrYr!B30&gt;" ",(inputPrYr!B30)," ")</f>
        <v xml:space="preserve"> </v>
      </c>
      <c r="B35" s="94"/>
      <c r="C35" s="57"/>
      <c r="D35" s="95"/>
      <c r="E35" s="65"/>
    </row>
    <row r="36" spans="1:5" ht="15.6" x14ac:dyDescent="0.25">
      <c r="A36" s="88" t="str">
        <f>inputPrYr!B33</f>
        <v>Recreation</v>
      </c>
      <c r="B36" s="94"/>
      <c r="C36" s="57"/>
      <c r="D36" s="95"/>
      <c r="E36" s="65"/>
    </row>
    <row r="37" spans="1:5" ht="15.6" x14ac:dyDescent="0.25">
      <c r="A37" s="96"/>
      <c r="B37" s="46" t="s">
        <v>76</v>
      </c>
      <c r="C37" s="97"/>
      <c r="D37" s="98">
        <f>SUM(D23:D36)</f>
        <v>59.930999999999997</v>
      </c>
      <c r="E37" s="96"/>
    </row>
    <row r="38" spans="1:5" x14ac:dyDescent="0.25">
      <c r="A38" s="96"/>
      <c r="B38" s="96"/>
      <c r="C38" s="96"/>
      <c r="D38" s="96"/>
      <c r="E38" s="96"/>
    </row>
    <row r="39" spans="1:5" ht="15.6" x14ac:dyDescent="0.25">
      <c r="A39" s="52" t="str">
        <f>CONCATENATE("Final Assessed Valuation from the November 1, ",E1-2," Abstract")</f>
        <v>Final Assessed Valuation from the November 1, 2013 Abstract</v>
      </c>
      <c r="B39" s="99"/>
      <c r="C39" s="99"/>
      <c r="D39" s="99"/>
      <c r="E39" s="84">
        <v>22523898</v>
      </c>
    </row>
    <row r="40" spans="1:5" x14ac:dyDescent="0.25">
      <c r="A40" s="96"/>
      <c r="B40" s="96"/>
      <c r="C40" s="96"/>
      <c r="D40" s="96"/>
      <c r="E40" s="96"/>
    </row>
    <row r="41" spans="1:5" ht="15.6" x14ac:dyDescent="0.25">
      <c r="A41" s="100" t="str">
        <f>CONCATENATE("From the County Treasurer's Budget Information - ",E1," Budget Year Estimates:")</f>
        <v>From the County Treasurer's Budget Information - 2015 Budget Year Estimates:</v>
      </c>
      <c r="B41" s="39"/>
      <c r="C41" s="39"/>
      <c r="D41" s="101"/>
      <c r="E41" s="78"/>
    </row>
    <row r="42" spans="1:5" ht="15.6" x14ac:dyDescent="0.25">
      <c r="A42" s="51" t="s">
        <v>77</v>
      </c>
      <c r="B42" s="52"/>
      <c r="C42" s="52"/>
      <c r="D42" s="102"/>
      <c r="E42" s="48">
        <f>124131+1336</f>
        <v>125467</v>
      </c>
    </row>
    <row r="43" spans="1:5" ht="15.6" x14ac:dyDescent="0.25">
      <c r="A43" s="88" t="s">
        <v>78</v>
      </c>
      <c r="B43" s="53"/>
      <c r="C43" s="53"/>
      <c r="D43" s="103"/>
      <c r="E43" s="48">
        <v>1859</v>
      </c>
    </row>
    <row r="44" spans="1:5" ht="15.6" x14ac:dyDescent="0.25">
      <c r="A44" s="88" t="s">
        <v>241</v>
      </c>
      <c r="B44" s="53"/>
      <c r="C44" s="53"/>
      <c r="D44" s="103"/>
      <c r="E44" s="48">
        <v>1258</v>
      </c>
    </row>
    <row r="45" spans="1:5" ht="15.6" x14ac:dyDescent="0.25">
      <c r="A45" s="88" t="s">
        <v>242</v>
      </c>
      <c r="B45" s="53"/>
      <c r="C45" s="53"/>
      <c r="D45" s="103"/>
      <c r="E45" s="48"/>
    </row>
    <row r="46" spans="1:5" ht="15.6" x14ac:dyDescent="0.25">
      <c r="A46" s="88" t="s">
        <v>243</v>
      </c>
      <c r="B46" s="53"/>
      <c r="C46" s="53"/>
      <c r="D46" s="103"/>
      <c r="E46" s="48"/>
    </row>
    <row r="47" spans="1:5" ht="15.6" x14ac:dyDescent="0.25">
      <c r="A47" s="32" t="s">
        <v>244</v>
      </c>
      <c r="B47" s="32"/>
      <c r="C47" s="32"/>
      <c r="D47" s="32"/>
      <c r="E47" s="32"/>
    </row>
    <row r="48" spans="1:5" ht="15.6" x14ac:dyDescent="0.25">
      <c r="A48" s="31" t="s">
        <v>98</v>
      </c>
      <c r="B48" s="37"/>
      <c r="C48" s="37"/>
      <c r="D48" s="32"/>
      <c r="E48" s="32"/>
    </row>
    <row r="49" spans="1:5" ht="15.6" x14ac:dyDescent="0.25">
      <c r="A49" s="51" t="str">
        <f>CONCATENATE("Actual Delinquency for ",E1-3," Tax - (rate .01213 = 1.213%, key in 1.2)")</f>
        <v>Actual Delinquency for 2012 Tax - (rate .01213 = 1.213%, key in 1.2)</v>
      </c>
      <c r="B49" s="52"/>
      <c r="C49" s="52"/>
      <c r="D49" s="62"/>
      <c r="E49" s="745">
        <v>7.3999999999999996E-2</v>
      </c>
    </row>
    <row r="50" spans="1:5" ht="15.6" x14ac:dyDescent="0.25">
      <c r="A50" s="51" t="s">
        <v>876</v>
      </c>
      <c r="B50" s="51"/>
      <c r="C50" s="52"/>
      <c r="D50" s="52"/>
      <c r="E50" s="746">
        <v>0.08</v>
      </c>
    </row>
    <row r="51" spans="1:5" ht="15.6" x14ac:dyDescent="0.25">
      <c r="A51" s="32"/>
      <c r="B51" s="32"/>
      <c r="C51" s="32"/>
      <c r="D51" s="32"/>
      <c r="E51" s="32"/>
    </row>
    <row r="52" spans="1:5" ht="15.6" x14ac:dyDescent="0.25">
      <c r="A52" s="104" t="s">
        <v>4</v>
      </c>
      <c r="B52" s="105"/>
      <c r="C52" s="106"/>
      <c r="D52" s="106"/>
      <c r="E52" s="106"/>
    </row>
    <row r="53" spans="1:5" ht="15.6" x14ac:dyDescent="0.25">
      <c r="A53" s="107" t="str">
        <f>CONCATENATE("",E1," State Distribution for Kansas Gas Tax")</f>
        <v>2015 State Distribution for Kansas Gas Tax</v>
      </c>
      <c r="B53" s="108"/>
      <c r="C53" s="108"/>
      <c r="D53" s="109"/>
      <c r="E53" s="84">
        <v>112840</v>
      </c>
    </row>
    <row r="54" spans="1:5" ht="15.6" x14ac:dyDescent="0.25">
      <c r="A54" s="110" t="str">
        <f>CONCATENATE("",E1," County Transfers for Gas**")</f>
        <v>2015 County Transfers for Gas**</v>
      </c>
      <c r="B54" s="111"/>
      <c r="C54" s="111"/>
      <c r="D54" s="112"/>
      <c r="E54" s="84"/>
    </row>
    <row r="55" spans="1:5" ht="15.6" x14ac:dyDescent="0.25">
      <c r="A55" s="110" t="str">
        <f>CONCATENATE("Adjusted ",E1-1," State Distribution for Kansas Gas Tax")</f>
        <v>Adjusted 2014 State Distribution for Kansas Gas Tax</v>
      </c>
      <c r="B55" s="111"/>
      <c r="C55" s="111"/>
      <c r="D55" s="112"/>
      <c r="E55" s="84">
        <v>111930</v>
      </c>
    </row>
    <row r="56" spans="1:5" ht="15.6" x14ac:dyDescent="0.25">
      <c r="A56" s="110" t="str">
        <f>CONCATENATE("Adjusted ",E1-1," County Transfers for Gas**")</f>
        <v>Adjusted 2014 County Transfers for Gas**</v>
      </c>
      <c r="B56" s="111"/>
      <c r="C56" s="111"/>
      <c r="D56" s="112"/>
      <c r="E56" s="84"/>
    </row>
    <row r="57" spans="1:5" x14ac:dyDescent="0.25">
      <c r="A57" s="984" t="s">
        <v>294</v>
      </c>
      <c r="B57" s="985"/>
      <c r="C57" s="985"/>
      <c r="D57" s="985"/>
      <c r="E57" s="985"/>
    </row>
    <row r="58" spans="1:5" x14ac:dyDescent="0.25">
      <c r="A58" s="113" t="s">
        <v>295</v>
      </c>
      <c r="B58" s="113"/>
      <c r="C58" s="113"/>
      <c r="D58" s="113"/>
      <c r="E58" s="113"/>
    </row>
    <row r="59" spans="1:5" x14ac:dyDescent="0.25">
      <c r="A59" s="49"/>
      <c r="B59" s="49"/>
      <c r="C59" s="49"/>
      <c r="D59" s="49"/>
      <c r="E59" s="49"/>
    </row>
    <row r="60" spans="1:5" ht="15.6" x14ac:dyDescent="0.25">
      <c r="A60" s="986" t="str">
        <f>CONCATENATE("From the ",E1-2," Budget Certificate Page")</f>
        <v>From the 2013 Budget Certificate Page</v>
      </c>
      <c r="B60" s="987"/>
      <c r="C60" s="49"/>
      <c r="D60" s="49"/>
      <c r="E60" s="49"/>
    </row>
    <row r="61" spans="1:5" ht="15.6" x14ac:dyDescent="0.25">
      <c r="A61" s="114"/>
      <c r="B61" s="114" t="str">
        <f>CONCATENATE("",E1-2," Expenditure Amounts")</f>
        <v>2013 Expenditure Amounts</v>
      </c>
      <c r="C61" s="980" t="str">
        <f>CONCATENATE("Note: If the ",E1-2," budget was amended, then the")</f>
        <v>Note: If the 2013 budget was amended, then the</v>
      </c>
      <c r="D61" s="981"/>
      <c r="E61" s="981"/>
    </row>
    <row r="62" spans="1:5" ht="15.6" x14ac:dyDescent="0.25">
      <c r="A62" s="115" t="s">
        <v>8</v>
      </c>
      <c r="B62" s="115" t="s">
        <v>9</v>
      </c>
      <c r="C62" s="116" t="s">
        <v>10</v>
      </c>
      <c r="D62" s="117"/>
      <c r="E62" s="117"/>
    </row>
    <row r="63" spans="1:5" ht="15.6" x14ac:dyDescent="0.25">
      <c r="A63" s="118" t="str">
        <f>inputPrYr!B17</f>
        <v>General</v>
      </c>
      <c r="B63" s="84">
        <v>2190000</v>
      </c>
      <c r="C63" s="116" t="s">
        <v>11</v>
      </c>
      <c r="D63" s="117"/>
      <c r="E63" s="117"/>
    </row>
    <row r="64" spans="1:5" ht="15.6" x14ac:dyDescent="0.25">
      <c r="A64" s="118" t="str">
        <f>inputPrYr!B18</f>
        <v>Debt Service</v>
      </c>
      <c r="B64" s="84">
        <v>812788</v>
      </c>
      <c r="C64" s="116"/>
      <c r="D64" s="117"/>
      <c r="E64" s="117"/>
    </row>
    <row r="65" spans="1:5" ht="15.6" x14ac:dyDescent="0.25">
      <c r="A65" s="118" t="str">
        <f>inputPrYr!B19</f>
        <v>Library</v>
      </c>
      <c r="B65" s="84">
        <v>126000</v>
      </c>
      <c r="C65" s="116"/>
      <c r="D65" s="117"/>
      <c r="E65" s="117"/>
    </row>
    <row r="66" spans="1:5" ht="15.6" x14ac:dyDescent="0.25">
      <c r="A66" s="118" t="str">
        <f>inputPrYr!B21</f>
        <v>Industrial</v>
      </c>
      <c r="B66" s="84">
        <v>69000</v>
      </c>
      <c r="C66" s="49"/>
      <c r="D66" s="49"/>
      <c r="E66" s="49"/>
    </row>
    <row r="67" spans="1:5" ht="15.6" x14ac:dyDescent="0.25">
      <c r="A67" s="118" t="str">
        <f>inputPrYr!B22</f>
        <v>Employee Benefits</v>
      </c>
      <c r="B67" s="84">
        <v>665752</v>
      </c>
      <c r="C67" s="49"/>
      <c r="D67" s="49"/>
      <c r="E67" s="49"/>
    </row>
    <row r="68" spans="1:5" ht="15.6" x14ac:dyDescent="0.25">
      <c r="A68" s="118" t="str">
        <f>inputPrYr!B23</f>
        <v>Public Safety Equipment</v>
      </c>
      <c r="B68" s="84">
        <v>9855</v>
      </c>
      <c r="C68" s="49"/>
      <c r="D68" s="49"/>
      <c r="E68" s="49"/>
    </row>
    <row r="69" spans="1:5" ht="15.6" x14ac:dyDescent="0.25">
      <c r="A69" s="118" t="str">
        <f>inputPrYr!B24</f>
        <v>Recreation Employee Benefits</v>
      </c>
      <c r="B69" s="84">
        <v>2419</v>
      </c>
      <c r="C69" s="49"/>
      <c r="D69" s="49"/>
      <c r="E69" s="49"/>
    </row>
    <row r="70" spans="1:5" ht="15.6" x14ac:dyDescent="0.25">
      <c r="A70" s="118">
        <f>inputPrYr!B25</f>
        <v>0</v>
      </c>
      <c r="B70" s="84"/>
      <c r="C70" s="49"/>
      <c r="D70" s="49"/>
      <c r="E70" s="49"/>
    </row>
    <row r="71" spans="1:5" ht="15.6" x14ac:dyDescent="0.25">
      <c r="A71" s="118">
        <f>inputPrYr!B26</f>
        <v>0</v>
      </c>
      <c r="B71" s="84"/>
      <c r="C71" s="49"/>
      <c r="D71" s="49"/>
      <c r="E71" s="49"/>
    </row>
    <row r="72" spans="1:5" ht="15.6" x14ac:dyDescent="0.25">
      <c r="A72" s="118">
        <f>inputPrYr!B27</f>
        <v>0</v>
      </c>
      <c r="B72" s="84"/>
      <c r="C72" s="49"/>
      <c r="D72" s="49"/>
      <c r="E72" s="49"/>
    </row>
    <row r="73" spans="1:5" ht="15.6" x14ac:dyDescent="0.25">
      <c r="A73" s="118">
        <f>inputPrYr!B28</f>
        <v>0</v>
      </c>
      <c r="B73" s="84"/>
      <c r="C73" s="49"/>
      <c r="D73" s="49"/>
      <c r="E73" s="49"/>
    </row>
    <row r="74" spans="1:5" ht="15.6" x14ac:dyDescent="0.25">
      <c r="A74" s="118">
        <f>inputPrYr!B29</f>
        <v>0</v>
      </c>
      <c r="B74" s="84"/>
      <c r="C74" s="49"/>
      <c r="D74" s="49"/>
      <c r="E74" s="49"/>
    </row>
    <row r="75" spans="1:5" ht="15.6" x14ac:dyDescent="0.25">
      <c r="A75" s="118">
        <f>inputPrYr!B30</f>
        <v>0</v>
      </c>
      <c r="B75" s="84"/>
      <c r="C75" s="49"/>
      <c r="D75" s="49"/>
      <c r="E75" s="49"/>
    </row>
    <row r="76" spans="1:5" ht="15.6" x14ac:dyDescent="0.25">
      <c r="A76" s="118" t="str">
        <f>inputPrYr!B33</f>
        <v>Recreation</v>
      </c>
      <c r="B76" s="84">
        <v>13456</v>
      </c>
      <c r="C76" s="49"/>
      <c r="D76" s="49"/>
      <c r="E76" s="49"/>
    </row>
    <row r="77" spans="1:5" ht="15.6" x14ac:dyDescent="0.25">
      <c r="A77" s="118" t="str">
        <f>inputPrYr!B36</f>
        <v>Street Improvements</v>
      </c>
      <c r="B77" s="84">
        <v>129000</v>
      </c>
      <c r="C77" s="49"/>
      <c r="D77" s="49"/>
      <c r="E77" s="49"/>
    </row>
    <row r="78" spans="1:5" ht="15.6" x14ac:dyDescent="0.25">
      <c r="A78" s="118" t="str">
        <f>inputPrYr!B37</f>
        <v>Refuse</v>
      </c>
      <c r="B78" s="84">
        <v>392500</v>
      </c>
      <c r="C78" s="49"/>
      <c r="D78" s="49"/>
      <c r="E78" s="49"/>
    </row>
    <row r="79" spans="1:5" ht="15.6" x14ac:dyDescent="0.25">
      <c r="A79" s="118" t="str">
        <f>inputPrYr!B38</f>
        <v>Golf Course</v>
      </c>
      <c r="B79" s="84">
        <v>280000</v>
      </c>
      <c r="C79" s="49"/>
      <c r="D79" s="49"/>
      <c r="E79" s="49"/>
    </row>
    <row r="80" spans="1:5" ht="15.6" x14ac:dyDescent="0.25">
      <c r="A80" s="118" t="str">
        <f>inputPrYr!B39</f>
        <v>Special Revenue (911)</v>
      </c>
      <c r="B80" s="84">
        <v>9897</v>
      </c>
      <c r="C80" s="49"/>
      <c r="D80" s="49"/>
      <c r="E80" s="49"/>
    </row>
    <row r="81" spans="1:5" ht="15.6" x14ac:dyDescent="0.25">
      <c r="A81" s="118" t="str">
        <f>inputPrYr!B40</f>
        <v>Tourism</v>
      </c>
      <c r="B81" s="84">
        <v>65000</v>
      </c>
      <c r="C81" s="49"/>
      <c r="D81" s="49"/>
      <c r="E81" s="49"/>
    </row>
    <row r="82" spans="1:5" ht="15.6" x14ac:dyDescent="0.25">
      <c r="A82" s="118">
        <f>inputPrYr!B41</f>
        <v>0</v>
      </c>
      <c r="B82" s="84"/>
      <c r="C82" s="49"/>
      <c r="D82" s="49"/>
      <c r="E82" s="49"/>
    </row>
    <row r="83" spans="1:5" ht="15.6" x14ac:dyDescent="0.25">
      <c r="A83" s="118">
        <f>inputPrYr!B42</f>
        <v>0</v>
      </c>
      <c r="B83" s="84"/>
      <c r="C83" s="49"/>
      <c r="D83" s="49"/>
      <c r="E83" s="49"/>
    </row>
    <row r="84" spans="1:5" ht="15.6" x14ac:dyDescent="0.25">
      <c r="A84" s="118">
        <f>inputPrYr!B43</f>
        <v>0</v>
      </c>
      <c r="B84" s="84"/>
      <c r="C84" s="49"/>
      <c r="D84" s="49"/>
      <c r="E84" s="49"/>
    </row>
    <row r="85" spans="1:5" ht="15.6" x14ac:dyDescent="0.25">
      <c r="A85" s="118">
        <f>inputPrYr!B44</f>
        <v>0</v>
      </c>
      <c r="B85" s="84"/>
      <c r="C85" s="49"/>
      <c r="D85" s="49"/>
      <c r="E85" s="49"/>
    </row>
    <row r="86" spans="1:5" ht="15.6" x14ac:dyDescent="0.25">
      <c r="A86" s="118">
        <f>inputPrYr!B45</f>
        <v>0</v>
      </c>
      <c r="B86" s="84"/>
      <c r="C86" s="49"/>
      <c r="D86" s="49"/>
      <c r="E86" s="49"/>
    </row>
    <row r="87" spans="1:5" ht="15.6" x14ac:dyDescent="0.25">
      <c r="A87" s="118">
        <f>inputPrYr!B46</f>
        <v>0</v>
      </c>
      <c r="B87" s="84"/>
      <c r="C87" s="49"/>
      <c r="D87" s="49"/>
      <c r="E87" s="49"/>
    </row>
    <row r="88" spans="1:5" ht="15.6" x14ac:dyDescent="0.25">
      <c r="A88" s="118">
        <f>inputPrYr!B47</f>
        <v>0</v>
      </c>
      <c r="B88" s="84"/>
      <c r="C88" s="49"/>
      <c r="D88" s="49"/>
      <c r="E88" s="49"/>
    </row>
    <row r="89" spans="1:5" ht="15.6" x14ac:dyDescent="0.25">
      <c r="A89" s="118">
        <f>inputPrYr!B48</f>
        <v>0</v>
      </c>
      <c r="B89" s="84"/>
      <c r="C89" s="49"/>
      <c r="D89" s="49"/>
      <c r="E89" s="49"/>
    </row>
    <row r="90" spans="1:5" ht="15.6" x14ac:dyDescent="0.25">
      <c r="A90" s="118">
        <f>inputPrYr!B49</f>
        <v>0</v>
      </c>
      <c r="B90" s="84"/>
      <c r="C90" s="49"/>
      <c r="D90" s="49"/>
      <c r="E90" s="49"/>
    </row>
    <row r="91" spans="1:5" ht="15.6" x14ac:dyDescent="0.25">
      <c r="A91" s="118">
        <f>inputPrYr!B50</f>
        <v>0</v>
      </c>
      <c r="B91" s="84"/>
      <c r="C91" s="49"/>
      <c r="D91" s="49"/>
      <c r="E91" s="49"/>
    </row>
    <row r="92" spans="1:5" ht="15.6" x14ac:dyDescent="0.25">
      <c r="A92" s="118">
        <f>inputPrYr!B51</f>
        <v>0</v>
      </c>
      <c r="B92" s="84"/>
      <c r="C92" s="49"/>
      <c r="D92" s="49"/>
      <c r="E92" s="49"/>
    </row>
    <row r="93" spans="1:5" ht="15.6" x14ac:dyDescent="0.25">
      <c r="A93" s="118" t="str">
        <f>inputPrYr!B53</f>
        <v>Water</v>
      </c>
      <c r="B93" s="84">
        <v>814796</v>
      </c>
      <c r="C93" s="49"/>
      <c r="D93" s="49"/>
      <c r="E93" s="49"/>
    </row>
    <row r="94" spans="1:5" ht="15.6" x14ac:dyDescent="0.25">
      <c r="A94" s="118" t="str">
        <f>inputPrYr!B54</f>
        <v>Electric</v>
      </c>
      <c r="B94" s="84">
        <v>4017520</v>
      </c>
      <c r="C94" s="49"/>
      <c r="D94" s="49"/>
      <c r="E94" s="49"/>
    </row>
    <row r="95" spans="1:5" ht="15.6" x14ac:dyDescent="0.25">
      <c r="A95" s="118" t="str">
        <f>inputPrYr!B55</f>
        <v>Sewer</v>
      </c>
      <c r="B95" s="84">
        <v>836249</v>
      </c>
      <c r="C95" s="49"/>
      <c r="D95" s="49"/>
      <c r="E95" s="49"/>
    </row>
    <row r="96" spans="1:5" ht="15.6" x14ac:dyDescent="0.25">
      <c r="A96" s="118" t="str">
        <f>inputPrYr!B56</f>
        <v>Special Parks &amp; Recreation</v>
      </c>
      <c r="B96" s="84">
        <v>275000</v>
      </c>
      <c r="C96" s="49"/>
      <c r="D96" s="49"/>
      <c r="E96" s="49"/>
    </row>
  </sheetData>
  <sheetProtection sheet="1"/>
  <mergeCells count="6">
    <mergeCell ref="C61:E61"/>
    <mergeCell ref="A22:B22"/>
    <mergeCell ref="A57:E57"/>
    <mergeCell ref="A3:E3"/>
    <mergeCell ref="A60:B60"/>
    <mergeCell ref="A5:B5"/>
  </mergeCells>
  <phoneticPr fontId="9" type="noConversion"/>
  <pageMargins left="0.75" right="0.75" top="1" bottom="1" header="0.5" footer="0.5"/>
  <pageSetup scale="48" orientation="portrait" blackAndWhite="1"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43"/>
  <sheetViews>
    <sheetView view="pageBreakPreview" zoomScale="115" zoomScaleNormal="100" zoomScaleSheetLayoutView="115" workbookViewId="0">
      <selection activeCell="D15" sqref="D15"/>
    </sheetView>
  </sheetViews>
  <sheetFormatPr defaultColWidth="8.9140625" defaultRowHeight="15" x14ac:dyDescent="0.25"/>
  <cols>
    <col min="1" max="1" width="2.4140625" style="87" customWidth="1"/>
    <col min="2" max="2" width="31.08203125" style="87" customWidth="1"/>
    <col min="3" max="3" width="14.25" style="87" customWidth="1"/>
    <col min="4" max="4" width="14.08203125" style="87" customWidth="1"/>
    <col min="5" max="5" width="14.33203125" style="87" customWidth="1"/>
    <col min="6" max="16384" width="8.9140625" style="87"/>
  </cols>
  <sheetData>
    <row r="1" spans="2:5" ht="15.6" x14ac:dyDescent="0.25">
      <c r="B1" s="176" t="str">
        <f>(inputPrYr!D2)</f>
        <v>City of Osawatomie</v>
      </c>
      <c r="C1" s="32"/>
      <c r="D1" s="32"/>
      <c r="E1" s="199">
        <f>inputPrYr!$C$5</f>
        <v>2015</v>
      </c>
    </row>
    <row r="2" spans="2:5" ht="15.6" x14ac:dyDescent="0.25">
      <c r="B2" s="32"/>
      <c r="C2" s="32"/>
      <c r="D2" s="32"/>
      <c r="E2" s="151"/>
    </row>
    <row r="3" spans="2:5" ht="15.6" x14ac:dyDescent="0.25">
      <c r="B3" s="229" t="s">
        <v>171</v>
      </c>
      <c r="C3" s="278"/>
      <c r="D3" s="278"/>
      <c r="E3" s="279"/>
    </row>
    <row r="4" spans="2:5" ht="15.6" x14ac:dyDescent="0.25">
      <c r="B4" s="33" t="s">
        <v>104</v>
      </c>
      <c r="C4" s="404" t="s">
        <v>803</v>
      </c>
      <c r="D4" s="403" t="s">
        <v>804</v>
      </c>
      <c r="E4" s="382" t="s">
        <v>805</v>
      </c>
    </row>
    <row r="5" spans="2:5" ht="15.6" x14ac:dyDescent="0.25">
      <c r="B5" s="530" t="str">
        <f>(inputPrYr!B53)</f>
        <v>Water</v>
      </c>
      <c r="C5" s="405" t="str">
        <f>CONCATENATE("Actual for ",E1-2,"")</f>
        <v>Actual for 2013</v>
      </c>
      <c r="D5" s="405" t="str">
        <f>CONCATENATE("Estimate for ",E1-1,"")</f>
        <v>Estimate for 2014</v>
      </c>
      <c r="E5" s="390" t="str">
        <f>CONCATENATE("Year for ",E1,"")</f>
        <v>Year for 2015</v>
      </c>
    </row>
    <row r="6" spans="2:5" ht="15.6" x14ac:dyDescent="0.25">
      <c r="B6" s="133" t="s">
        <v>212</v>
      </c>
      <c r="C6" s="239">
        <v>176093</v>
      </c>
      <c r="D6" s="237">
        <f>C38</f>
        <v>206190</v>
      </c>
      <c r="E6" s="208">
        <f>D38</f>
        <v>132804</v>
      </c>
    </row>
    <row r="7" spans="2:5" ht="15.6" x14ac:dyDescent="0.25">
      <c r="B7" s="266" t="s">
        <v>214</v>
      </c>
      <c r="C7" s="142"/>
      <c r="D7" s="142"/>
      <c r="E7" s="68"/>
    </row>
    <row r="8" spans="2:5" ht="15.6" x14ac:dyDescent="0.25">
      <c r="B8" s="255" t="s">
        <v>1162</v>
      </c>
      <c r="C8" s="239">
        <v>539336</v>
      </c>
      <c r="D8" s="239">
        <v>567559</v>
      </c>
      <c r="E8" s="242">
        <f>570000+80000</f>
        <v>650000</v>
      </c>
    </row>
    <row r="9" spans="2:5" ht="15.6" x14ac:dyDescent="0.25">
      <c r="B9" s="255" t="s">
        <v>1163</v>
      </c>
      <c r="C9" s="239">
        <v>236647</v>
      </c>
      <c r="D9" s="239">
        <v>245000</v>
      </c>
      <c r="E9" s="242">
        <v>235000</v>
      </c>
    </row>
    <row r="10" spans="2:5" ht="15.6" x14ac:dyDescent="0.25">
      <c r="B10" s="255" t="s">
        <v>1164</v>
      </c>
      <c r="C10" s="239">
        <v>14295</v>
      </c>
      <c r="D10" s="239">
        <v>14000</v>
      </c>
      <c r="E10" s="242">
        <v>15000</v>
      </c>
    </row>
    <row r="11" spans="2:5" ht="15.6" x14ac:dyDescent="0.25">
      <c r="B11" s="255" t="s">
        <v>1111</v>
      </c>
      <c r="C11" s="239">
        <v>593</v>
      </c>
      <c r="D11" s="239">
        <v>1000</v>
      </c>
      <c r="E11" s="242">
        <v>0</v>
      </c>
    </row>
    <row r="12" spans="2:5" ht="15.6" x14ac:dyDescent="0.25">
      <c r="B12" s="273" t="s">
        <v>1165</v>
      </c>
      <c r="C12" s="239">
        <v>3322</v>
      </c>
      <c r="D12" s="239">
        <v>3555</v>
      </c>
      <c r="E12" s="89">
        <v>3500</v>
      </c>
    </row>
    <row r="13" spans="2:5" ht="15.6" x14ac:dyDescent="0.25">
      <c r="B13" s="255" t="s">
        <v>1166</v>
      </c>
      <c r="C13" s="239">
        <v>11592</v>
      </c>
      <c r="D13" s="239">
        <v>11592</v>
      </c>
      <c r="E13" s="242">
        <v>11592</v>
      </c>
    </row>
    <row r="14" spans="2:5" ht="15.6" hidden="1" x14ac:dyDescent="0.25">
      <c r="B14" s="280" t="s">
        <v>110</v>
      </c>
      <c r="C14" s="239"/>
      <c r="D14" s="239"/>
      <c r="E14" s="242"/>
    </row>
    <row r="15" spans="2:5" ht="15.6" x14ac:dyDescent="0.25">
      <c r="B15" s="142" t="s">
        <v>13</v>
      </c>
      <c r="C15" s="239">
        <v>1200</v>
      </c>
      <c r="D15" s="239"/>
      <c r="E15" s="242"/>
    </row>
    <row r="16" spans="2:5" ht="15.6" x14ac:dyDescent="0.25">
      <c r="B16" s="234" t="s">
        <v>781</v>
      </c>
      <c r="C16" s="244" t="str">
        <f>IF(C17*0.1&lt;C15,"Exceed 10% Rule","")</f>
        <v/>
      </c>
      <c r="D16" s="244" t="str">
        <f>IF(D17*0.1&lt;D15,"Exceed 10% Rule","")</f>
        <v/>
      </c>
      <c r="E16" s="281" t="str">
        <f>IF(E17*0.1&lt;E15,"Exceed 10% Rule","")</f>
        <v/>
      </c>
    </row>
    <row r="17" spans="2:5" ht="15.6" x14ac:dyDescent="0.25">
      <c r="B17" s="246" t="s">
        <v>111</v>
      </c>
      <c r="C17" s="248">
        <f>SUM(C8:C15)</f>
        <v>806985</v>
      </c>
      <c r="D17" s="248">
        <f>SUM(D8:D15)</f>
        <v>842706</v>
      </c>
      <c r="E17" s="249">
        <f>SUM(E8:E15)</f>
        <v>915092</v>
      </c>
    </row>
    <row r="18" spans="2:5" ht="15.6" x14ac:dyDescent="0.25">
      <c r="B18" s="246" t="s">
        <v>112</v>
      </c>
      <c r="C18" s="248">
        <f>C6+C17</f>
        <v>983078</v>
      </c>
      <c r="D18" s="248">
        <f>D6+D17</f>
        <v>1048896</v>
      </c>
      <c r="E18" s="249">
        <f>E6+E17</f>
        <v>1047896</v>
      </c>
    </row>
    <row r="19" spans="2:5" ht="15.6" x14ac:dyDescent="0.25">
      <c r="B19" s="133" t="s">
        <v>114</v>
      </c>
      <c r="C19" s="142"/>
      <c r="D19" s="142"/>
      <c r="E19" s="68"/>
    </row>
    <row r="20" spans="2:5" ht="15.6" x14ac:dyDescent="0.25">
      <c r="B20" s="255" t="s">
        <v>1167</v>
      </c>
      <c r="C20" s="239">
        <v>133464</v>
      </c>
      <c r="D20" s="239">
        <v>159624</v>
      </c>
      <c r="E20" s="242">
        <v>179695</v>
      </c>
    </row>
    <row r="21" spans="2:5" ht="15.6" x14ac:dyDescent="0.25">
      <c r="B21" s="255" t="s">
        <v>1236</v>
      </c>
      <c r="C21" s="239">
        <v>24545</v>
      </c>
      <c r="D21" s="239">
        <v>29232</v>
      </c>
      <c r="E21" s="242">
        <v>33330</v>
      </c>
    </row>
    <row r="22" spans="2:5" ht="15.6" x14ac:dyDescent="0.25">
      <c r="B22" s="255" t="s">
        <v>1169</v>
      </c>
      <c r="C22" s="239">
        <v>24487</v>
      </c>
      <c r="D22" s="239">
        <v>40888</v>
      </c>
      <c r="E22" s="89">
        <v>40603</v>
      </c>
    </row>
    <row r="23" spans="2:5" ht="15.6" x14ac:dyDescent="0.25">
      <c r="B23" s="255" t="s">
        <v>1153</v>
      </c>
      <c r="C23" s="239">
        <v>83238</v>
      </c>
      <c r="D23" s="239">
        <v>86000</v>
      </c>
      <c r="E23" s="89">
        <v>86975</v>
      </c>
    </row>
    <row r="24" spans="2:5" ht="15.6" x14ac:dyDescent="0.25">
      <c r="B24" s="255" t="s">
        <v>1170</v>
      </c>
      <c r="C24" s="239">
        <v>163855</v>
      </c>
      <c r="D24" s="239">
        <v>145150</v>
      </c>
      <c r="E24" s="89">
        <v>150150</v>
      </c>
    </row>
    <row r="25" spans="2:5" ht="15.6" x14ac:dyDescent="0.25">
      <c r="B25" s="255" t="s">
        <v>1128</v>
      </c>
      <c r="C25" s="239">
        <v>3791</v>
      </c>
      <c r="D25" s="239">
        <v>44500</v>
      </c>
      <c r="E25" s="89">
        <v>10500</v>
      </c>
    </row>
    <row r="26" spans="2:5" ht="15.6" x14ac:dyDescent="0.25">
      <c r="B26" s="255" t="s">
        <v>1171</v>
      </c>
      <c r="C26" s="239">
        <v>14361</v>
      </c>
      <c r="D26" s="239">
        <v>16500</v>
      </c>
      <c r="E26" s="89">
        <v>17500</v>
      </c>
    </row>
    <row r="27" spans="2:5" ht="15.6" x14ac:dyDescent="0.25">
      <c r="B27" s="255" t="s">
        <v>1172</v>
      </c>
      <c r="C27" s="239">
        <v>14290</v>
      </c>
      <c r="D27" s="239">
        <v>23406</v>
      </c>
      <c r="E27" s="89">
        <v>40000</v>
      </c>
    </row>
    <row r="28" spans="2:5" ht="15.6" x14ac:dyDescent="0.25">
      <c r="B28" s="255" t="s">
        <v>1109</v>
      </c>
      <c r="C28" s="239">
        <v>87346</v>
      </c>
      <c r="D28" s="239">
        <v>90210</v>
      </c>
      <c r="E28" s="89">
        <v>90919</v>
      </c>
    </row>
    <row r="29" spans="2:5" ht="15.6" x14ac:dyDescent="0.25">
      <c r="B29" s="255" t="s">
        <v>1173</v>
      </c>
      <c r="C29" s="239">
        <v>96100</v>
      </c>
      <c r="D29" s="239">
        <v>109255</v>
      </c>
      <c r="E29" s="89">
        <v>112145</v>
      </c>
    </row>
    <row r="30" spans="2:5" ht="15.6" x14ac:dyDescent="0.25">
      <c r="B30" s="255" t="s">
        <v>1174</v>
      </c>
      <c r="C30" s="239">
        <v>26584</v>
      </c>
      <c r="D30" s="239">
        <v>71500</v>
      </c>
      <c r="E30" s="89">
        <v>81500</v>
      </c>
    </row>
    <row r="31" spans="2:5" ht="15.6" x14ac:dyDescent="0.25">
      <c r="B31" s="255" t="s">
        <v>1175</v>
      </c>
      <c r="C31" s="239">
        <v>0</v>
      </c>
      <c r="D31" s="239">
        <v>0</v>
      </c>
      <c r="E31" s="89">
        <v>25000</v>
      </c>
    </row>
    <row r="32" spans="2:5" ht="15.6" x14ac:dyDescent="0.25">
      <c r="B32" s="255" t="s">
        <v>1176</v>
      </c>
      <c r="C32" s="239">
        <v>41000</v>
      </c>
      <c r="D32" s="239">
        <v>40000</v>
      </c>
      <c r="E32" s="89">
        <v>41000</v>
      </c>
    </row>
    <row r="33" spans="2:5" ht="15.6" x14ac:dyDescent="0.25">
      <c r="B33" s="255" t="s">
        <v>1177</v>
      </c>
      <c r="C33" s="239">
        <v>59827</v>
      </c>
      <c r="D33" s="239">
        <v>59827</v>
      </c>
      <c r="E33" s="242">
        <v>59827</v>
      </c>
    </row>
    <row r="34" spans="2:5" ht="15.6" x14ac:dyDescent="0.25">
      <c r="B34" s="255" t="s">
        <v>1237</v>
      </c>
      <c r="C34" s="239">
        <v>4000</v>
      </c>
      <c r="D34" s="239"/>
      <c r="E34" s="242"/>
    </row>
    <row r="35" spans="2:5" ht="15.6" x14ac:dyDescent="0.25">
      <c r="B35" s="256" t="s">
        <v>13</v>
      </c>
      <c r="C35" s="239"/>
      <c r="D35" s="239"/>
      <c r="E35" s="242"/>
    </row>
    <row r="36" spans="2:5" ht="15.6" x14ac:dyDescent="0.25">
      <c r="B36" s="256" t="s">
        <v>782</v>
      </c>
      <c r="C36" s="244" t="str">
        <f>IF(C37*0.1&lt;C35,"Exceed 10% Rule","")</f>
        <v/>
      </c>
      <c r="D36" s="244" t="str">
        <f>IF(D37*0.1&lt;D35,"Exceed 10% Rule","")</f>
        <v/>
      </c>
      <c r="E36" s="281" t="str">
        <f>IF(E37*0.1&lt;E35,"Exceed 10% Rule","")</f>
        <v/>
      </c>
    </row>
    <row r="37" spans="2:5" ht="15.6" x14ac:dyDescent="0.25">
      <c r="B37" s="246" t="s">
        <v>118</v>
      </c>
      <c r="C37" s="248">
        <f>SUM(C20:C35)</f>
        <v>776888</v>
      </c>
      <c r="D37" s="248">
        <f>SUM(D20:D35)</f>
        <v>916092</v>
      </c>
      <c r="E37" s="249">
        <f>SUM(E20:E35)</f>
        <v>969144</v>
      </c>
    </row>
    <row r="38" spans="2:5" ht="15.6" x14ac:dyDescent="0.25">
      <c r="B38" s="133" t="s">
        <v>213</v>
      </c>
      <c r="C38" s="252">
        <f>C18-C37</f>
        <v>206190</v>
      </c>
      <c r="D38" s="252">
        <f>D18-D37</f>
        <v>132804</v>
      </c>
      <c r="E38" s="63">
        <f>E18-E37</f>
        <v>78752</v>
      </c>
    </row>
    <row r="39" spans="2:5" ht="15.6" x14ac:dyDescent="0.25">
      <c r="B39" s="153" t="str">
        <f>CONCATENATE("",E1-2,"/",E1-1,"/",E1," Budget Authority Amount:")</f>
        <v>2013/2014/2015 Budget Authority Amount:</v>
      </c>
      <c r="C39" s="824">
        <f>inputOth!B93</f>
        <v>814796</v>
      </c>
      <c r="D39" s="824">
        <f>inputPrYr!D53</f>
        <v>903467</v>
      </c>
      <c r="E39" s="898">
        <f>E37</f>
        <v>969144</v>
      </c>
    </row>
    <row r="40" spans="2:5" ht="15.6" x14ac:dyDescent="0.25">
      <c r="B40" s="119"/>
      <c r="C40" s="259" t="str">
        <f>IF(C37&gt;C39,"See Tab A","")</f>
        <v/>
      </c>
      <c r="D40" s="259" t="str">
        <f>IF(D37&gt;D39,"See Tab C","")</f>
        <v>See Tab C</v>
      </c>
      <c r="E40" s="899" t="str">
        <f>IF(E38&lt;0,"See Tab E","")</f>
        <v/>
      </c>
    </row>
    <row r="41" spans="2:5" ht="15.6" hidden="1" x14ac:dyDescent="0.25">
      <c r="B41" s="119"/>
      <c r="C41" s="259" t="str">
        <f>IF(C38&lt;0,"See Tab B","")</f>
        <v/>
      </c>
      <c r="D41" s="259" t="str">
        <f>IF(D38&lt;0,"See Tab D","")</f>
        <v/>
      </c>
      <c r="E41" s="49"/>
    </row>
    <row r="42" spans="2:5" x14ac:dyDescent="0.25">
      <c r="B42" s="49"/>
      <c r="C42" s="49"/>
      <c r="D42" s="49"/>
      <c r="E42" s="49"/>
    </row>
    <row r="43" spans="2:5" ht="15.6" x14ac:dyDescent="0.25">
      <c r="B43" s="151" t="s">
        <v>121</v>
      </c>
      <c r="C43" s="263">
        <v>21</v>
      </c>
      <c r="D43" s="49"/>
      <c r="E43" s="49"/>
    </row>
  </sheetData>
  <phoneticPr fontId="9" type="noConversion"/>
  <conditionalFormatting sqref="E15">
    <cfRule type="cellIs" dxfId="39" priority="4" stopIfTrue="1" operator="greaterThan">
      <formula>$E$17*0.1</formula>
    </cfRule>
  </conditionalFormatting>
  <conditionalFormatting sqref="E35">
    <cfRule type="cellIs" dxfId="38" priority="5" stopIfTrue="1" operator="greaterThan">
      <formula>$E$37*0.1</formula>
    </cfRule>
  </conditionalFormatting>
  <conditionalFormatting sqref="C35">
    <cfRule type="cellIs" dxfId="37" priority="6" stopIfTrue="1" operator="greaterThan">
      <formula>$C$37*0.1</formula>
    </cfRule>
  </conditionalFormatting>
  <conditionalFormatting sqref="D35">
    <cfRule type="cellIs" dxfId="36" priority="7" stopIfTrue="1" operator="greaterThan">
      <formula>$D$37*0.1</formula>
    </cfRule>
  </conditionalFormatting>
  <conditionalFormatting sqref="D37">
    <cfRule type="cellIs" dxfId="35" priority="8" stopIfTrue="1" operator="greaterThan">
      <formula>$D$39</formula>
    </cfRule>
  </conditionalFormatting>
  <conditionalFormatting sqref="C37">
    <cfRule type="cellIs" dxfId="34" priority="9" stopIfTrue="1" operator="greaterThan">
      <formula>$C$39</formula>
    </cfRule>
  </conditionalFormatting>
  <conditionalFormatting sqref="C38 E38">
    <cfRule type="cellIs" dxfId="33" priority="10" stopIfTrue="1" operator="lessThan">
      <formula>0</formula>
    </cfRule>
  </conditionalFormatting>
  <conditionalFormatting sqref="D38">
    <cfRule type="cellIs" dxfId="32" priority="3" stopIfTrue="1" operator="lessThan">
      <formula>0</formula>
    </cfRule>
  </conditionalFormatting>
  <conditionalFormatting sqref="D15">
    <cfRule type="cellIs" dxfId="31" priority="2" stopIfTrue="1" operator="greaterThan">
      <formula>$D$17*0.1</formula>
    </cfRule>
  </conditionalFormatting>
  <conditionalFormatting sqref="C15">
    <cfRule type="cellIs" dxfId="30" priority="1" stopIfTrue="1" operator="greaterThan">
      <formula>$C$17*0.1</formula>
    </cfRule>
  </conditionalFormatting>
  <pageMargins left="0.75" right="0.75" top="1" bottom="1" header="0.5" footer="0.5"/>
  <pageSetup orientation="portrait" blackAndWhite="1" r:id="rId1"/>
  <headerFooter alignWithMargins="0">
    <oddHeader>&amp;RState of Kansas
City</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45"/>
  <sheetViews>
    <sheetView view="pageBreakPreview" zoomScale="115" zoomScaleNormal="100" zoomScaleSheetLayoutView="115" workbookViewId="0">
      <selection activeCell="B26" sqref="B26"/>
    </sheetView>
  </sheetViews>
  <sheetFormatPr defaultColWidth="8.9140625" defaultRowHeight="15" x14ac:dyDescent="0.25"/>
  <cols>
    <col min="1" max="1" width="2.4140625" style="87" customWidth="1"/>
    <col min="2" max="2" width="31.08203125" style="87" customWidth="1"/>
    <col min="3" max="3" width="13.75" style="87" customWidth="1"/>
    <col min="4" max="4" width="14.58203125" style="87" customWidth="1"/>
    <col min="5" max="5" width="14.08203125" style="87" customWidth="1"/>
    <col min="6" max="16384" width="8.9140625" style="87"/>
  </cols>
  <sheetData>
    <row r="1" spans="2:5" ht="15.6" x14ac:dyDescent="0.25">
      <c r="B1" s="176" t="str">
        <f>(inputPrYr!D2)</f>
        <v>City of Osawatomie</v>
      </c>
      <c r="C1" s="32"/>
      <c r="D1" s="32"/>
      <c r="E1" s="199">
        <f>inputPrYr!$C$5</f>
        <v>2015</v>
      </c>
    </row>
    <row r="2" spans="2:5" ht="15.6" x14ac:dyDescent="0.25">
      <c r="B2" s="32"/>
      <c r="C2" s="32"/>
      <c r="D2" s="32"/>
      <c r="E2" s="151"/>
    </row>
    <row r="3" spans="2:5" ht="15.6" x14ac:dyDescent="0.25">
      <c r="B3" s="229" t="s">
        <v>171</v>
      </c>
      <c r="C3" s="278"/>
      <c r="D3" s="278"/>
      <c r="E3" s="279"/>
    </row>
    <row r="4" spans="2:5" ht="15.6" x14ac:dyDescent="0.25">
      <c r="B4" s="33" t="s">
        <v>104</v>
      </c>
      <c r="C4" s="404" t="s">
        <v>803</v>
      </c>
      <c r="D4" s="403" t="s">
        <v>804</v>
      </c>
      <c r="E4" s="382" t="s">
        <v>805</v>
      </c>
    </row>
    <row r="5" spans="2:5" ht="15.6" x14ac:dyDescent="0.25">
      <c r="B5" s="530" t="str">
        <f>(inputPrYr!B54)</f>
        <v>Electric</v>
      </c>
      <c r="C5" s="405" t="str">
        <f>CONCATENATE("Actual for ",E1-2,"")</f>
        <v>Actual for 2013</v>
      </c>
      <c r="D5" s="405" t="str">
        <f>CONCATENATE("Estimate for ",E1-1,"")</f>
        <v>Estimate for 2014</v>
      </c>
      <c r="E5" s="390" t="str">
        <f>CONCATENATE("Year for ",E1,"")</f>
        <v>Year for 2015</v>
      </c>
    </row>
    <row r="6" spans="2:5" ht="15.6" x14ac:dyDescent="0.25">
      <c r="B6" s="133" t="s">
        <v>212</v>
      </c>
      <c r="C6" s="48">
        <v>443463</v>
      </c>
      <c r="D6" s="208">
        <f>C42</f>
        <v>420357.15000000037</v>
      </c>
      <c r="E6" s="208">
        <f>D42</f>
        <v>359393.23598943185</v>
      </c>
    </row>
    <row r="7" spans="2:5" ht="15.6" x14ac:dyDescent="0.25">
      <c r="B7" s="266" t="s">
        <v>214</v>
      </c>
      <c r="C7" s="68"/>
      <c r="D7" s="68"/>
      <c r="E7" s="68"/>
    </row>
    <row r="8" spans="2:5" ht="15.6" x14ac:dyDescent="0.25">
      <c r="B8" s="255" t="s">
        <v>1162</v>
      </c>
      <c r="C8" s="242">
        <v>3288091.57</v>
      </c>
      <c r="D8" s="242">
        <v>3597326.3259894312</v>
      </c>
      <c r="E8" s="242">
        <v>3709115</v>
      </c>
    </row>
    <row r="9" spans="2:5" ht="15.6" x14ac:dyDescent="0.25">
      <c r="B9" s="255" t="s">
        <v>1178</v>
      </c>
      <c r="C9" s="242">
        <v>92236.150000000009</v>
      </c>
      <c r="D9" s="242">
        <v>91750</v>
      </c>
      <c r="E9" s="242">
        <v>91914</v>
      </c>
    </row>
    <row r="10" spans="2:5" ht="15.6" x14ac:dyDescent="0.25">
      <c r="B10" s="255" t="s">
        <v>1179</v>
      </c>
      <c r="C10" s="242">
        <v>55997.74</v>
      </c>
      <c r="D10" s="242">
        <v>50000</v>
      </c>
      <c r="E10" s="242">
        <v>50000</v>
      </c>
    </row>
    <row r="11" spans="2:5" ht="15.6" x14ac:dyDescent="0.25">
      <c r="B11" s="255" t="s">
        <v>1180</v>
      </c>
      <c r="C11" s="242">
        <v>105189.35</v>
      </c>
      <c r="D11" s="242">
        <v>114825.76000000001</v>
      </c>
      <c r="E11" s="242">
        <v>118658</v>
      </c>
    </row>
    <row r="12" spans="2:5" ht="15.6" x14ac:dyDescent="0.25">
      <c r="B12" s="255" t="s">
        <v>1181</v>
      </c>
      <c r="C12" s="242">
        <v>160970</v>
      </c>
      <c r="D12" s="242">
        <v>0</v>
      </c>
      <c r="E12" s="242">
        <v>0</v>
      </c>
    </row>
    <row r="13" spans="2:5" ht="15.6" x14ac:dyDescent="0.25">
      <c r="B13" s="142" t="s">
        <v>13</v>
      </c>
      <c r="C13" s="242">
        <v>13292.240000000002</v>
      </c>
      <c r="D13" s="236">
        <v>12000</v>
      </c>
      <c r="E13" s="236">
        <v>12000</v>
      </c>
    </row>
    <row r="14" spans="2:5" ht="15.6" x14ac:dyDescent="0.25">
      <c r="B14" s="234" t="s">
        <v>781</v>
      </c>
      <c r="C14" s="281" t="str">
        <f>IF(C15*0.1&lt;C13,"Exceed 10% Rule","")</f>
        <v/>
      </c>
      <c r="D14" s="245" t="str">
        <f>IF(D15*0.1&lt;D13,"Exceed 10% Rule","")</f>
        <v/>
      </c>
      <c r="E14" s="245" t="str">
        <f>IF(E15*0.1&lt;E13,"Exceed 10% Rule","")</f>
        <v/>
      </c>
    </row>
    <row r="15" spans="2:5" ht="15.6" x14ac:dyDescent="0.25">
      <c r="B15" s="246" t="s">
        <v>111</v>
      </c>
      <c r="C15" s="249">
        <f>SUM(C8:C13)</f>
        <v>3715777.0500000003</v>
      </c>
      <c r="D15" s="249">
        <f>SUM(D8:D13)</f>
        <v>3865902.0859894315</v>
      </c>
      <c r="E15" s="249">
        <f>SUM(E8:E13)</f>
        <v>3981687</v>
      </c>
    </row>
    <row r="16" spans="2:5" ht="15.6" x14ac:dyDescent="0.25">
      <c r="B16" s="246" t="s">
        <v>112</v>
      </c>
      <c r="C16" s="249">
        <f>C6+C15</f>
        <v>4159240.0500000003</v>
      </c>
      <c r="D16" s="249">
        <f>D6+D15</f>
        <v>4286259.2359894319</v>
      </c>
      <c r="E16" s="249">
        <f>E6+E15</f>
        <v>4341080.2359894319</v>
      </c>
    </row>
    <row r="17" spans="2:5" ht="15.6" x14ac:dyDescent="0.25">
      <c r="B17" s="133" t="s">
        <v>114</v>
      </c>
      <c r="C17" s="68"/>
      <c r="D17" s="68"/>
      <c r="E17" s="68"/>
    </row>
    <row r="18" spans="2:5" ht="15.6" x14ac:dyDescent="0.25">
      <c r="B18" s="255" t="s">
        <v>1167</v>
      </c>
      <c r="C18" s="242">
        <v>361165.9499999999</v>
      </c>
      <c r="D18" s="242">
        <v>412632</v>
      </c>
      <c r="E18" s="242">
        <v>386361</v>
      </c>
    </row>
    <row r="19" spans="2:5" ht="15.6" x14ac:dyDescent="0.25">
      <c r="B19" s="255" t="s">
        <v>1236</v>
      </c>
      <c r="C19" s="242">
        <v>43380.78</v>
      </c>
      <c r="D19" s="242">
        <v>49254</v>
      </c>
      <c r="E19" s="242">
        <v>57757</v>
      </c>
    </row>
    <row r="20" spans="2:5" ht="15.6" x14ac:dyDescent="0.25">
      <c r="B20" s="255" t="s">
        <v>1169</v>
      </c>
      <c r="C20" s="89">
        <v>67790.100000000093</v>
      </c>
      <c r="D20" s="89">
        <v>84471</v>
      </c>
      <c r="E20" s="89">
        <v>83420</v>
      </c>
    </row>
    <row r="21" spans="2:5" ht="15.6" x14ac:dyDescent="0.25">
      <c r="B21" s="255" t="s">
        <v>1182</v>
      </c>
      <c r="C21" s="89">
        <v>2039190.9500000002</v>
      </c>
      <c r="D21" s="89">
        <v>2078793</v>
      </c>
      <c r="E21" s="89">
        <v>2237685</v>
      </c>
    </row>
    <row r="22" spans="2:5" ht="15.6" x14ac:dyDescent="0.25">
      <c r="B22" s="255" t="s">
        <v>1183</v>
      </c>
      <c r="C22" s="89">
        <v>61630.020000000004</v>
      </c>
      <c r="D22" s="89">
        <v>60060</v>
      </c>
      <c r="E22" s="89">
        <v>66066.000000000015</v>
      </c>
    </row>
    <row r="23" spans="2:5" ht="15.6" x14ac:dyDescent="0.25">
      <c r="B23" s="255" t="s">
        <v>1128</v>
      </c>
      <c r="C23" s="89">
        <v>19526.63</v>
      </c>
      <c r="D23" s="89">
        <v>31000</v>
      </c>
      <c r="E23" s="89">
        <v>79000</v>
      </c>
    </row>
    <row r="24" spans="2:5" ht="15.6" x14ac:dyDescent="0.25">
      <c r="B24" s="255" t="s">
        <v>1184</v>
      </c>
      <c r="C24" s="89">
        <v>71093.440000000017</v>
      </c>
      <c r="D24" s="89">
        <v>79950</v>
      </c>
      <c r="E24" s="89">
        <v>83950</v>
      </c>
    </row>
    <row r="25" spans="2:5" ht="15.6" x14ac:dyDescent="0.25">
      <c r="B25" s="255" t="s">
        <v>1185</v>
      </c>
      <c r="C25" s="89">
        <v>7729.9199999999992</v>
      </c>
      <c r="D25" s="89">
        <v>9500</v>
      </c>
      <c r="E25" s="89">
        <v>9725</v>
      </c>
    </row>
    <row r="26" spans="2:5" ht="15.6" x14ac:dyDescent="0.25">
      <c r="B26" s="255" t="s">
        <v>1186</v>
      </c>
      <c r="C26" s="89">
        <v>122340.29000000001</v>
      </c>
      <c r="D26" s="89">
        <v>125149</v>
      </c>
      <c r="E26" s="89">
        <v>125149</v>
      </c>
    </row>
    <row r="27" spans="2:5" ht="15.6" x14ac:dyDescent="0.25">
      <c r="B27" s="255" t="s">
        <v>1187</v>
      </c>
      <c r="C27" s="89">
        <v>56838.369999999995</v>
      </c>
      <c r="D27" s="89">
        <v>51000</v>
      </c>
      <c r="E27" s="89">
        <v>51000</v>
      </c>
    </row>
    <row r="28" spans="2:5" ht="15.6" x14ac:dyDescent="0.25">
      <c r="B28" s="255" t="s">
        <v>1188</v>
      </c>
      <c r="C28" s="89">
        <v>210603.4</v>
      </c>
      <c r="D28" s="89">
        <v>233806</v>
      </c>
      <c r="E28" s="89">
        <v>235701</v>
      </c>
    </row>
    <row r="29" spans="2:5" ht="15.6" x14ac:dyDescent="0.25">
      <c r="B29" s="255" t="s">
        <v>1189</v>
      </c>
      <c r="C29" s="89">
        <v>101042</v>
      </c>
      <c r="D29" s="89">
        <v>126251</v>
      </c>
      <c r="E29" s="89">
        <v>128155</v>
      </c>
    </row>
    <row r="30" spans="2:5" ht="15.6" x14ac:dyDescent="0.25">
      <c r="B30" s="255" t="s">
        <v>1190</v>
      </c>
      <c r="C30" s="89">
        <v>40995.050000000003</v>
      </c>
      <c r="D30" s="89">
        <v>45000</v>
      </c>
      <c r="E30" s="89">
        <v>60000</v>
      </c>
    </row>
    <row r="31" spans="2:5" ht="15.6" x14ac:dyDescent="0.25">
      <c r="B31" s="255" t="s">
        <v>1191</v>
      </c>
      <c r="C31" s="242">
        <v>7195</v>
      </c>
      <c r="D31" s="242">
        <v>0</v>
      </c>
      <c r="E31" s="242">
        <v>0</v>
      </c>
    </row>
    <row r="32" spans="2:5" ht="15.6" x14ac:dyDescent="0.25">
      <c r="B32" s="255" t="s">
        <v>1192</v>
      </c>
      <c r="C32" s="242">
        <v>10361</v>
      </c>
      <c r="D32" s="242">
        <v>28000</v>
      </c>
      <c r="E32" s="242">
        <v>155000</v>
      </c>
    </row>
    <row r="33" spans="2:7" ht="15.6" x14ac:dyDescent="0.25">
      <c r="B33" s="255" t="s">
        <v>1132</v>
      </c>
      <c r="C33" s="242">
        <v>84750</v>
      </c>
      <c r="D33" s="242">
        <v>90000</v>
      </c>
      <c r="E33" s="242">
        <v>86000</v>
      </c>
      <c r="G33" s="968"/>
    </row>
    <row r="34" spans="2:7" ht="15.6" x14ac:dyDescent="0.25">
      <c r="B34" s="255" t="s">
        <v>1193</v>
      </c>
      <c r="C34" s="242">
        <v>118000</v>
      </c>
      <c r="D34" s="242">
        <v>135000</v>
      </c>
      <c r="E34" s="242">
        <v>120000</v>
      </c>
    </row>
    <row r="35" spans="2:7" ht="15.6" x14ac:dyDescent="0.25">
      <c r="B35" s="255" t="s">
        <v>1194</v>
      </c>
      <c r="C35" s="242">
        <v>98250</v>
      </c>
      <c r="D35" s="242">
        <v>70000</v>
      </c>
      <c r="E35" s="242">
        <v>70000</v>
      </c>
    </row>
    <row r="36" spans="2:7" ht="15.6" x14ac:dyDescent="0.25">
      <c r="B36" s="255" t="s">
        <v>1255</v>
      </c>
      <c r="C36" s="242">
        <v>175000</v>
      </c>
      <c r="D36" s="242">
        <v>175000</v>
      </c>
      <c r="E36" s="242">
        <v>180000</v>
      </c>
    </row>
    <row r="37" spans="2:7" ht="15.6" x14ac:dyDescent="0.25">
      <c r="B37" s="255" t="s">
        <v>1195</v>
      </c>
      <c r="C37" s="242">
        <v>12000</v>
      </c>
      <c r="D37" s="242">
        <v>12000</v>
      </c>
      <c r="E37" s="242">
        <v>12000</v>
      </c>
    </row>
    <row r="38" spans="2:7" ht="15.6" x14ac:dyDescent="0.25">
      <c r="B38" s="255" t="s">
        <v>1196</v>
      </c>
      <c r="C38" s="242">
        <v>30000</v>
      </c>
      <c r="D38" s="242">
        <v>30000</v>
      </c>
      <c r="E38" s="242">
        <v>30000</v>
      </c>
    </row>
    <row r="39" spans="2:7" ht="15.6" x14ac:dyDescent="0.25">
      <c r="B39" s="256" t="s">
        <v>13</v>
      </c>
      <c r="C39" s="242"/>
      <c r="D39" s="236"/>
      <c r="E39" s="236"/>
    </row>
    <row r="40" spans="2:7" ht="15.6" x14ac:dyDescent="0.25">
      <c r="B40" s="256" t="s">
        <v>782</v>
      </c>
      <c r="C40" s="281" t="str">
        <f>IF(C41*0.1&lt;C39,"Exceed 10% Rule","")</f>
        <v/>
      </c>
      <c r="D40" s="245" t="str">
        <f>IF(D41*0.1&lt;D39,"Exceed 10% Rule","")</f>
        <v/>
      </c>
      <c r="E40" s="245" t="str">
        <f>IF(E41*0.1&lt;E39,"Exceed 10% Rule","")</f>
        <v/>
      </c>
    </row>
    <row r="41" spans="2:7" ht="15.6" x14ac:dyDescent="0.25">
      <c r="B41" s="246" t="s">
        <v>118</v>
      </c>
      <c r="C41" s="249">
        <f>SUM(C18:C39)</f>
        <v>3738882.9</v>
      </c>
      <c r="D41" s="249">
        <f>SUM(D18:D39)</f>
        <v>3926866</v>
      </c>
      <c r="E41" s="249">
        <f>SUM(E18:E39)</f>
        <v>4256969</v>
      </c>
    </row>
    <row r="42" spans="2:7" ht="15.6" x14ac:dyDescent="0.25">
      <c r="B42" s="133" t="s">
        <v>213</v>
      </c>
      <c r="C42" s="63">
        <f>C16-C41</f>
        <v>420357.15000000037</v>
      </c>
      <c r="D42" s="63">
        <f>D16-D41</f>
        <v>359393.23598943185</v>
      </c>
      <c r="E42" s="63">
        <f>E16-E41</f>
        <v>84111.235989431851</v>
      </c>
    </row>
    <row r="43" spans="2:7" ht="15.6" x14ac:dyDescent="0.25">
      <c r="B43" s="153" t="str">
        <f>CONCATENATE("",E1-2,"/",E1-1,"/",E1," Budget Authority Amount:")</f>
        <v>2013/2014/2015 Budget Authority Amount:</v>
      </c>
      <c r="C43" s="824">
        <f>inputOth!B94</f>
        <v>4017520</v>
      </c>
      <c r="D43" s="824">
        <f>inputPrYr!D54</f>
        <v>4143113</v>
      </c>
      <c r="E43" s="898">
        <f>E41</f>
        <v>4256969</v>
      </c>
    </row>
    <row r="44" spans="2:7" ht="15.6" x14ac:dyDescent="0.25">
      <c r="B44" s="119"/>
      <c r="C44" s="259" t="str">
        <f>IF(C41&gt;C43,"See Tab A","")</f>
        <v/>
      </c>
      <c r="D44" s="259" t="str">
        <f>IF(D41&gt;D43,"See Tab C","")</f>
        <v/>
      </c>
      <c r="E44" s="899" t="str">
        <f>IF(E42&lt;0,"See Tab E","")</f>
        <v/>
      </c>
    </row>
    <row r="45" spans="2:7" ht="15.6" x14ac:dyDescent="0.25">
      <c r="B45" s="151" t="s">
        <v>121</v>
      </c>
      <c r="C45" s="263">
        <v>22</v>
      </c>
      <c r="D45" s="49"/>
      <c r="E45" s="49"/>
    </row>
  </sheetData>
  <phoneticPr fontId="9" type="noConversion"/>
  <conditionalFormatting sqref="E13">
    <cfRule type="cellIs" dxfId="29" priority="2" stopIfTrue="1" operator="greaterThan">
      <formula>$E$15*0.1</formula>
    </cfRule>
  </conditionalFormatting>
  <conditionalFormatting sqref="E39">
    <cfRule type="cellIs" dxfId="28" priority="3" stopIfTrue="1" operator="greaterThan">
      <formula>$E$41*0.1</formula>
    </cfRule>
  </conditionalFormatting>
  <conditionalFormatting sqref="D13">
    <cfRule type="cellIs" dxfId="27" priority="4" stopIfTrue="1" operator="greaterThan">
      <formula>$D$15*0.1</formula>
    </cfRule>
  </conditionalFormatting>
  <conditionalFormatting sqref="D39">
    <cfRule type="cellIs" dxfId="26" priority="5" stopIfTrue="1" operator="greaterThan">
      <formula>$D$41*0.1</formula>
    </cfRule>
  </conditionalFormatting>
  <conditionalFormatting sqref="C13">
    <cfRule type="cellIs" dxfId="25" priority="6" stopIfTrue="1" operator="greaterThan">
      <formula>$C$15*0.1</formula>
    </cfRule>
  </conditionalFormatting>
  <conditionalFormatting sqref="C39">
    <cfRule type="cellIs" dxfId="24" priority="7" stopIfTrue="1" operator="greaterThan">
      <formula>$C$41*0.1</formula>
    </cfRule>
  </conditionalFormatting>
  <conditionalFormatting sqref="D41">
    <cfRule type="cellIs" dxfId="23" priority="8" stopIfTrue="1" operator="greaterThan">
      <formula>$D$43</formula>
    </cfRule>
  </conditionalFormatting>
  <conditionalFormatting sqref="C41">
    <cfRule type="cellIs" dxfId="22" priority="9" stopIfTrue="1" operator="greaterThan">
      <formula>$C$43</formula>
    </cfRule>
  </conditionalFormatting>
  <conditionalFormatting sqref="C42 E42">
    <cfRule type="cellIs" dxfId="21" priority="10" stopIfTrue="1" operator="lessThan">
      <formula>0</formula>
    </cfRule>
  </conditionalFormatting>
  <conditionalFormatting sqref="D42">
    <cfRule type="cellIs" dxfId="20" priority="1" stopIfTrue="1" operator="lessThan">
      <formula>0</formula>
    </cfRule>
  </conditionalFormatting>
  <pageMargins left="0.75" right="0.75" top="1" bottom="1" header="0.5" footer="0.5"/>
  <pageSetup scale="92" fitToHeight="2" orientation="portrait" blackAndWhite="1" r:id="rId1"/>
  <headerFooter alignWithMargins="0">
    <oddHeader>&amp;RState of Kansas
City</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38"/>
  <sheetViews>
    <sheetView view="pageBreakPreview" zoomScale="115" zoomScaleNormal="100" zoomScaleSheetLayoutView="115" workbookViewId="0">
      <selection activeCell="D10" sqref="D10"/>
    </sheetView>
  </sheetViews>
  <sheetFormatPr defaultColWidth="8.9140625" defaultRowHeight="15" x14ac:dyDescent="0.25"/>
  <cols>
    <col min="1" max="1" width="2.4140625" style="87" customWidth="1"/>
    <col min="2" max="2" width="31.08203125" style="87" customWidth="1"/>
    <col min="3" max="3" width="13.58203125" style="87" customWidth="1"/>
    <col min="4" max="4" width="14.25" style="87" customWidth="1"/>
    <col min="5" max="5" width="14.08203125" style="87" customWidth="1"/>
    <col min="6" max="16384" width="8.9140625" style="87"/>
  </cols>
  <sheetData>
    <row r="1" spans="2:5" ht="15.6" x14ac:dyDescent="0.25">
      <c r="B1" s="176" t="str">
        <f>(inputPrYr!D2)</f>
        <v>City of Osawatomie</v>
      </c>
      <c r="C1" s="32"/>
      <c r="D1" s="32"/>
      <c r="E1" s="199">
        <f>inputPrYr!$C$5</f>
        <v>2015</v>
      </c>
    </row>
    <row r="2" spans="2:5" ht="15.6" x14ac:dyDescent="0.25">
      <c r="B2" s="32"/>
      <c r="C2" s="32"/>
      <c r="D2" s="32"/>
      <c r="E2" s="151"/>
    </row>
    <row r="3" spans="2:5" ht="15.6" x14ac:dyDescent="0.25">
      <c r="B3" s="229" t="s">
        <v>171</v>
      </c>
      <c r="C3" s="278"/>
      <c r="D3" s="278"/>
      <c r="E3" s="279"/>
    </row>
    <row r="4" spans="2:5" ht="15.6" x14ac:dyDescent="0.25">
      <c r="B4" s="33" t="s">
        <v>104</v>
      </c>
      <c r="C4" s="404" t="s">
        <v>803</v>
      </c>
      <c r="D4" s="403" t="s">
        <v>804</v>
      </c>
      <c r="E4" s="382" t="s">
        <v>805</v>
      </c>
    </row>
    <row r="5" spans="2:5" ht="15.6" x14ac:dyDescent="0.25">
      <c r="B5" s="530" t="str">
        <f>(inputPrYr!B55)</f>
        <v>Sewer</v>
      </c>
      <c r="C5" s="405" t="str">
        <f>CONCATENATE("Actual for ",E1-2,"")</f>
        <v>Actual for 2013</v>
      </c>
      <c r="D5" s="405" t="str">
        <f>CONCATENATE("Estimate for ",E1-1,"")</f>
        <v>Estimate for 2014</v>
      </c>
      <c r="E5" s="390" t="str">
        <f>CONCATENATE("Year for ",E1,"")</f>
        <v>Year for 2015</v>
      </c>
    </row>
    <row r="6" spans="2:5" ht="15.6" x14ac:dyDescent="0.25">
      <c r="B6" s="133" t="s">
        <v>212</v>
      </c>
      <c r="C6" s="239">
        <v>335552</v>
      </c>
      <c r="D6" s="237">
        <f>C33</f>
        <v>383947.6</v>
      </c>
      <c r="E6" s="208">
        <f>D33</f>
        <v>224811.31475300016</v>
      </c>
    </row>
    <row r="7" spans="2:5" ht="15.6" x14ac:dyDescent="0.25">
      <c r="B7" s="266" t="s">
        <v>214</v>
      </c>
      <c r="C7" s="142"/>
      <c r="D7" s="142"/>
      <c r="E7" s="68"/>
    </row>
    <row r="8" spans="2:5" ht="15.6" x14ac:dyDescent="0.25">
      <c r="B8" s="255" t="s">
        <v>1145</v>
      </c>
      <c r="C8" s="239">
        <v>825379</v>
      </c>
      <c r="D8" s="239">
        <v>775624</v>
      </c>
      <c r="E8" s="242">
        <f>775624+38781</f>
        <v>814405</v>
      </c>
    </row>
    <row r="9" spans="2:5" ht="15.6" x14ac:dyDescent="0.25">
      <c r="B9" s="255" t="s">
        <v>1213</v>
      </c>
      <c r="C9" s="239">
        <v>6053</v>
      </c>
      <c r="D9" s="239"/>
      <c r="E9" s="242"/>
    </row>
    <row r="10" spans="2:5" ht="15.6" x14ac:dyDescent="0.25">
      <c r="B10" s="280" t="s">
        <v>110</v>
      </c>
      <c r="C10" s="239"/>
      <c r="D10" s="239"/>
      <c r="E10" s="242"/>
    </row>
    <row r="11" spans="2:5" ht="15.6" x14ac:dyDescent="0.25">
      <c r="B11" s="142" t="s">
        <v>13</v>
      </c>
      <c r="C11" s="239"/>
      <c r="D11" s="239"/>
      <c r="E11" s="242"/>
    </row>
    <row r="12" spans="2:5" ht="15.6" x14ac:dyDescent="0.25">
      <c r="B12" s="234" t="s">
        <v>781</v>
      </c>
      <c r="C12" s="244" t="str">
        <f>IF(C13*0.1&lt;C11,"Exceed 10% Rule","")</f>
        <v/>
      </c>
      <c r="D12" s="244" t="str">
        <f>IF(D13*0.1&lt;D11,"Exceed 10% Rule","")</f>
        <v/>
      </c>
      <c r="E12" s="281" t="str">
        <f>IF(E13*0.1&lt;E11,"Exceed 10% Rule","")</f>
        <v/>
      </c>
    </row>
    <row r="13" spans="2:5" ht="15.6" x14ac:dyDescent="0.25">
      <c r="B13" s="246" t="s">
        <v>111</v>
      </c>
      <c r="C13" s="248">
        <f>SUM(C8:C11)</f>
        <v>831432</v>
      </c>
      <c r="D13" s="248">
        <f>SUM(D8:D11)</f>
        <v>775624</v>
      </c>
      <c r="E13" s="249">
        <f>SUM(E8:E11)</f>
        <v>814405</v>
      </c>
    </row>
    <row r="14" spans="2:5" ht="15.6" x14ac:dyDescent="0.25">
      <c r="B14" s="246" t="s">
        <v>112</v>
      </c>
      <c r="C14" s="248">
        <f>C6+C13</f>
        <v>1166984</v>
      </c>
      <c r="D14" s="248">
        <f>D6+D13</f>
        <v>1159571.6000000001</v>
      </c>
      <c r="E14" s="249">
        <f>E6+E13</f>
        <v>1039216.3147530002</v>
      </c>
    </row>
    <row r="15" spans="2:5" ht="15.6" x14ac:dyDescent="0.25">
      <c r="B15" s="133" t="s">
        <v>114</v>
      </c>
      <c r="C15" s="142"/>
      <c r="D15" s="142"/>
      <c r="E15" s="68"/>
    </row>
    <row r="16" spans="2:5" ht="15.6" x14ac:dyDescent="0.25">
      <c r="B16" s="255" t="s">
        <v>252</v>
      </c>
      <c r="C16" s="239">
        <v>111171</v>
      </c>
      <c r="D16" s="239">
        <v>149055.28524699999</v>
      </c>
      <c r="E16" s="242">
        <v>135326.41753539402</v>
      </c>
    </row>
    <row r="17" spans="2:5" ht="15.6" x14ac:dyDescent="0.25">
      <c r="B17" s="255" t="s">
        <v>1153</v>
      </c>
      <c r="C17" s="239">
        <v>32187</v>
      </c>
      <c r="D17" s="239">
        <v>42000</v>
      </c>
      <c r="E17" s="242">
        <v>43260</v>
      </c>
    </row>
    <row r="18" spans="2:5" ht="15.6" x14ac:dyDescent="0.25">
      <c r="B18" s="255" t="s">
        <v>1197</v>
      </c>
      <c r="C18" s="239">
        <v>3096</v>
      </c>
      <c r="D18" s="239">
        <v>27500</v>
      </c>
      <c r="E18" s="89">
        <v>27500</v>
      </c>
    </row>
    <row r="19" spans="2:5" ht="15.6" x14ac:dyDescent="0.25">
      <c r="B19" s="255" t="s">
        <v>1198</v>
      </c>
      <c r="C19" s="239">
        <v>7054</v>
      </c>
      <c r="D19" s="239">
        <v>10000</v>
      </c>
      <c r="E19" s="89">
        <v>12000</v>
      </c>
    </row>
    <row r="20" spans="2:5" ht="15.6" x14ac:dyDescent="0.25">
      <c r="B20" s="255" t="s">
        <v>1199</v>
      </c>
      <c r="C20" s="239">
        <v>27415</v>
      </c>
      <c r="D20" s="239">
        <v>22000</v>
      </c>
      <c r="E20" s="89">
        <v>27000</v>
      </c>
    </row>
    <row r="21" spans="2:5" ht="15.6" x14ac:dyDescent="0.25">
      <c r="B21" s="255" t="s">
        <v>1057</v>
      </c>
      <c r="C21" s="239"/>
      <c r="D21" s="239">
        <v>70745</v>
      </c>
      <c r="E21" s="89">
        <v>63000</v>
      </c>
    </row>
    <row r="22" spans="2:5" ht="15.6" x14ac:dyDescent="0.25">
      <c r="B22" s="255" t="s">
        <v>1109</v>
      </c>
      <c r="C22" s="239">
        <v>87346</v>
      </c>
      <c r="D22" s="239">
        <v>90210</v>
      </c>
      <c r="E22" s="89">
        <v>90919</v>
      </c>
    </row>
    <row r="23" spans="2:5" ht="15.6" x14ac:dyDescent="0.25">
      <c r="B23" s="255" t="s">
        <v>1173</v>
      </c>
      <c r="C23" s="239">
        <v>41767.400000000023</v>
      </c>
      <c r="D23" s="239">
        <v>47249.999999999884</v>
      </c>
      <c r="E23" s="89">
        <v>50550</v>
      </c>
    </row>
    <row r="24" spans="2:5" ht="15.6" x14ac:dyDescent="0.25">
      <c r="B24" s="255" t="s">
        <v>45</v>
      </c>
      <c r="C24" s="239"/>
      <c r="D24" s="239">
        <v>0</v>
      </c>
      <c r="E24" s="89">
        <v>40000.019999999997</v>
      </c>
    </row>
    <row r="25" spans="2:5" ht="15.6" x14ac:dyDescent="0.25">
      <c r="B25" s="255" t="s">
        <v>1200</v>
      </c>
      <c r="C25" s="239">
        <v>434000</v>
      </c>
      <c r="D25" s="239">
        <v>435000</v>
      </c>
      <c r="E25" s="89">
        <v>434200</v>
      </c>
    </row>
    <row r="26" spans="2:5" ht="15.6" x14ac:dyDescent="0.25">
      <c r="B26" s="255" t="s">
        <v>1176</v>
      </c>
      <c r="C26" s="239">
        <v>39000</v>
      </c>
      <c r="D26" s="239">
        <v>41000</v>
      </c>
      <c r="E26" s="89">
        <v>39000</v>
      </c>
    </row>
    <row r="27" spans="2:5" ht="15.6" hidden="1" x14ac:dyDescent="0.25">
      <c r="B27" s="255"/>
      <c r="C27" s="239"/>
      <c r="D27" s="239"/>
      <c r="E27" s="242"/>
    </row>
    <row r="28" spans="2:5" ht="15.6" hidden="1" x14ac:dyDescent="0.25">
      <c r="B28" s="255"/>
      <c r="C28" s="239"/>
      <c r="D28" s="239"/>
      <c r="E28" s="242"/>
    </row>
    <row r="29" spans="2:5" ht="15.6" x14ac:dyDescent="0.25">
      <c r="B29" s="255"/>
      <c r="C29" s="239"/>
      <c r="D29" s="239"/>
      <c r="E29" s="242"/>
    </row>
    <row r="30" spans="2:5" ht="15.6" x14ac:dyDescent="0.25">
      <c r="B30" s="256" t="s">
        <v>13</v>
      </c>
      <c r="C30" s="239"/>
      <c r="D30" s="239"/>
      <c r="E30" s="242"/>
    </row>
    <row r="31" spans="2:5" ht="15.6" x14ac:dyDescent="0.25">
      <c r="B31" s="256" t="s">
        <v>782</v>
      </c>
      <c r="C31" s="244" t="str">
        <f>IF(C32*0.1&lt;C30,"Exceed 10% Rule","")</f>
        <v/>
      </c>
      <c r="D31" s="244" t="str">
        <f>IF(D32*0.1&lt;D30,"Exceed 10% Rule","")</f>
        <v/>
      </c>
      <c r="E31" s="281" t="str">
        <f>IF(E32*0.1&lt;E30,"Exceed 10% Rule","")</f>
        <v/>
      </c>
    </row>
    <row r="32" spans="2:5" ht="15.6" x14ac:dyDescent="0.25">
      <c r="B32" s="246" t="s">
        <v>118</v>
      </c>
      <c r="C32" s="248">
        <f>SUM(C16:C30)</f>
        <v>783036.4</v>
      </c>
      <c r="D32" s="248">
        <f>SUM(D16:D30)</f>
        <v>934760.28524699993</v>
      </c>
      <c r="E32" s="249">
        <f>SUM(E16:E30)</f>
        <v>962755.43753539398</v>
      </c>
    </row>
    <row r="33" spans="2:5" ht="15.6" x14ac:dyDescent="0.25">
      <c r="B33" s="133" t="s">
        <v>213</v>
      </c>
      <c r="C33" s="252">
        <f>C14-C32</f>
        <v>383947.6</v>
      </c>
      <c r="D33" s="252">
        <f>D14-D32</f>
        <v>224811.31475300016</v>
      </c>
      <c r="E33" s="63">
        <f>E14-E32</f>
        <v>76460.877217606176</v>
      </c>
    </row>
    <row r="34" spans="2:5" ht="15.6" x14ac:dyDescent="0.25">
      <c r="B34" s="153" t="str">
        <f>CONCATENATE("",E1-2,"/",E1-1,"/",E1," Budget Authority Amount:")</f>
        <v>2013/2014/2015 Budget Authority Amount:</v>
      </c>
      <c r="C34" s="824">
        <f>inputOth!B95</f>
        <v>836249</v>
      </c>
      <c r="D34" s="824">
        <f>inputPrYr!D55</f>
        <v>893881.00000000012</v>
      </c>
      <c r="E34" s="898">
        <f>E32</f>
        <v>962755.43753539398</v>
      </c>
    </row>
    <row r="35" spans="2:5" ht="15.6" x14ac:dyDescent="0.25">
      <c r="B35" s="119"/>
      <c r="C35" s="259" t="str">
        <f>IF(C32&gt;C34,"See Tab A","")</f>
        <v/>
      </c>
      <c r="D35" s="259" t="str">
        <f>IF(D32&gt;D34,"See Tab C","")</f>
        <v>See Tab C</v>
      </c>
      <c r="E35" s="899" t="str">
        <f>IF(E33&lt;0,"See Tab E","")</f>
        <v/>
      </c>
    </row>
    <row r="36" spans="2:5" ht="15.6" x14ac:dyDescent="0.25">
      <c r="B36" s="119"/>
      <c r="C36" s="259" t="str">
        <f>IF(C33&lt;0,"See Tab B","")</f>
        <v/>
      </c>
      <c r="D36" s="259" t="str">
        <f>IF(D33&lt;0,"See Tab D","")</f>
        <v/>
      </c>
      <c r="E36" s="49"/>
    </row>
    <row r="37" spans="2:5" x14ac:dyDescent="0.25">
      <c r="B37" s="49"/>
      <c r="C37" s="49"/>
      <c r="D37" s="49"/>
      <c r="E37" s="49"/>
    </row>
    <row r="38" spans="2:5" ht="15.6" x14ac:dyDescent="0.25">
      <c r="B38" s="151" t="s">
        <v>121</v>
      </c>
      <c r="C38" s="263">
        <v>23</v>
      </c>
      <c r="D38" s="49"/>
      <c r="E38" s="49"/>
    </row>
  </sheetData>
  <phoneticPr fontId="9" type="noConversion"/>
  <conditionalFormatting sqref="E11">
    <cfRule type="cellIs" dxfId="19" priority="4" stopIfTrue="1" operator="greaterThan">
      <formula>$E$13*0.1</formula>
    </cfRule>
  </conditionalFormatting>
  <conditionalFormatting sqref="E30">
    <cfRule type="cellIs" dxfId="18" priority="5" stopIfTrue="1" operator="greaterThan">
      <formula>$E$32*0.1</formula>
    </cfRule>
  </conditionalFormatting>
  <conditionalFormatting sqref="C30">
    <cfRule type="cellIs" dxfId="17" priority="6" stopIfTrue="1" operator="greaterThan">
      <formula>$C$32*0.1</formula>
    </cfRule>
  </conditionalFormatting>
  <conditionalFormatting sqref="D30">
    <cfRule type="cellIs" dxfId="16" priority="7" stopIfTrue="1" operator="greaterThan">
      <formula>$D$32*0.1</formula>
    </cfRule>
  </conditionalFormatting>
  <conditionalFormatting sqref="D32">
    <cfRule type="cellIs" dxfId="15" priority="8" stopIfTrue="1" operator="greaterThan">
      <formula>$D$34</formula>
    </cfRule>
  </conditionalFormatting>
  <conditionalFormatting sqref="C32">
    <cfRule type="cellIs" dxfId="14" priority="9" stopIfTrue="1" operator="greaterThan">
      <formula>$C$34</formula>
    </cfRule>
  </conditionalFormatting>
  <conditionalFormatting sqref="C33 E33">
    <cfRule type="cellIs" dxfId="13" priority="10" stopIfTrue="1" operator="lessThan">
      <formula>0</formula>
    </cfRule>
  </conditionalFormatting>
  <conditionalFormatting sqref="D33">
    <cfRule type="cellIs" dxfId="12" priority="3" stopIfTrue="1" operator="lessThan">
      <formula>0</formula>
    </cfRule>
  </conditionalFormatting>
  <conditionalFormatting sqref="D11">
    <cfRule type="cellIs" dxfId="11" priority="2" stopIfTrue="1" operator="greaterThan">
      <formula>$D$13*0.1</formula>
    </cfRule>
  </conditionalFormatting>
  <conditionalFormatting sqref="C11">
    <cfRule type="cellIs" dxfId="10" priority="1" stopIfTrue="1" operator="greaterThan">
      <formula>$C$13*0.1</formula>
    </cfRule>
  </conditionalFormatting>
  <pageMargins left="0.75" right="0.75" top="1" bottom="1" header="0.5" footer="0.5"/>
  <pageSetup orientation="portrait" blackAndWhite="1" r:id="rId1"/>
  <headerFooter alignWithMargins="0">
    <oddHeader>&amp;RState of Kansas
City</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44"/>
  <sheetViews>
    <sheetView view="pageBreakPreview" zoomScale="130" zoomScaleNormal="100" zoomScaleSheetLayoutView="130" workbookViewId="0">
      <selection activeCell="D42" sqref="D42:D43"/>
    </sheetView>
  </sheetViews>
  <sheetFormatPr defaultColWidth="8.9140625" defaultRowHeight="15" x14ac:dyDescent="0.25"/>
  <cols>
    <col min="1" max="1" width="2.4140625" style="87" customWidth="1"/>
    <col min="2" max="2" width="32.4140625" style="87" customWidth="1"/>
    <col min="3" max="3" width="13.75" style="87" customWidth="1"/>
    <col min="4" max="4" width="14.33203125" style="87" customWidth="1"/>
    <col min="5" max="5" width="14.08203125" style="87" customWidth="1"/>
    <col min="6" max="16384" width="8.9140625" style="87"/>
  </cols>
  <sheetData>
    <row r="1" spans="2:5" ht="15.6" x14ac:dyDescent="0.25">
      <c r="B1" s="176" t="str">
        <f>(inputPrYr!D2)</f>
        <v>City of Osawatomie</v>
      </c>
      <c r="C1" s="32"/>
      <c r="D1" s="32"/>
      <c r="E1" s="199">
        <f>inputPrYr!$C$5</f>
        <v>2015</v>
      </c>
    </row>
    <row r="2" spans="2:5" ht="15.6" x14ac:dyDescent="0.25">
      <c r="B2" s="32"/>
      <c r="C2" s="32"/>
      <c r="D2" s="32"/>
      <c r="E2" s="151"/>
    </row>
    <row r="3" spans="2:5" ht="15.6" x14ac:dyDescent="0.25">
      <c r="B3" s="229" t="s">
        <v>171</v>
      </c>
      <c r="C3" s="278"/>
      <c r="D3" s="278"/>
      <c r="E3" s="279"/>
    </row>
    <row r="4" spans="2:5" ht="15.6" x14ac:dyDescent="0.25">
      <c r="B4" s="33" t="s">
        <v>104</v>
      </c>
      <c r="C4" s="404" t="s">
        <v>803</v>
      </c>
      <c r="D4" s="403" t="s">
        <v>804</v>
      </c>
      <c r="E4" s="382" t="s">
        <v>805</v>
      </c>
    </row>
    <row r="5" spans="2:5" ht="15.6" x14ac:dyDescent="0.25">
      <c r="B5" s="530" t="str">
        <f>(inputPrYr!B56)</f>
        <v>Special Parks &amp; Recreation</v>
      </c>
      <c r="C5" s="405" t="str">
        <f>CONCATENATE("Actual for ",E1-2,"")</f>
        <v>Actual for 2013</v>
      </c>
      <c r="D5" s="405" t="str">
        <f>CONCATENATE("Estimate for ",E1-1,"")</f>
        <v>Estimate for 2014</v>
      </c>
      <c r="E5" s="390" t="str">
        <f>CONCATENATE("Year for ",E1,"")</f>
        <v>Year for 2015</v>
      </c>
    </row>
    <row r="6" spans="2:5" ht="15.6" x14ac:dyDescent="0.25">
      <c r="B6" s="133" t="s">
        <v>212</v>
      </c>
      <c r="C6" s="239">
        <v>91073</v>
      </c>
      <c r="D6" s="237">
        <f>C39</f>
        <v>88221</v>
      </c>
      <c r="E6" s="208">
        <f>D39</f>
        <v>62134.307823947514</v>
      </c>
    </row>
    <row r="7" spans="2:5" ht="15.6" x14ac:dyDescent="0.25">
      <c r="B7" s="266" t="s">
        <v>214</v>
      </c>
      <c r="C7" s="142"/>
      <c r="D7" s="142"/>
      <c r="E7" s="68"/>
    </row>
    <row r="8" spans="2:5" ht="15.6" x14ac:dyDescent="0.25">
      <c r="B8" s="255" t="s">
        <v>1201</v>
      </c>
      <c r="C8" s="239">
        <v>3409</v>
      </c>
      <c r="D8" s="239">
        <v>3100</v>
      </c>
      <c r="E8" s="242">
        <v>3146</v>
      </c>
    </row>
    <row r="9" spans="2:5" ht="15.6" x14ac:dyDescent="0.25">
      <c r="B9" s="255" t="s">
        <v>1202</v>
      </c>
      <c r="C9" s="239">
        <v>27137</v>
      </c>
      <c r="D9" s="239">
        <v>24600</v>
      </c>
      <c r="E9" s="242">
        <v>25000</v>
      </c>
    </row>
    <row r="10" spans="2:5" s="956" customFormat="1" ht="15.6" hidden="1" x14ac:dyDescent="0.25">
      <c r="B10" s="255" t="s">
        <v>1203</v>
      </c>
      <c r="C10" s="239"/>
      <c r="D10" s="239"/>
      <c r="E10" s="242"/>
    </row>
    <row r="11" spans="2:5" s="956" customFormat="1" ht="15.6" x14ac:dyDescent="0.25">
      <c r="B11" s="255" t="s">
        <v>1204</v>
      </c>
      <c r="C11" s="239">
        <v>2941</v>
      </c>
      <c r="D11" s="239">
        <v>180</v>
      </c>
      <c r="E11" s="242">
        <v>1500</v>
      </c>
    </row>
    <row r="12" spans="2:5" ht="15.6" x14ac:dyDescent="0.25">
      <c r="B12" s="255" t="s">
        <v>1205</v>
      </c>
      <c r="C12" s="239">
        <v>13625</v>
      </c>
      <c r="D12" s="239">
        <v>7288</v>
      </c>
      <c r="E12" s="242">
        <v>15000</v>
      </c>
    </row>
    <row r="13" spans="2:5" ht="15.6" x14ac:dyDescent="0.25">
      <c r="B13" s="255" t="s">
        <v>1206</v>
      </c>
      <c r="C13" s="239">
        <v>1375</v>
      </c>
      <c r="D13" s="239">
        <v>1000</v>
      </c>
      <c r="E13" s="242">
        <v>1000</v>
      </c>
    </row>
    <row r="14" spans="2:5" ht="15.6" x14ac:dyDescent="0.25">
      <c r="B14" s="255" t="s">
        <v>1127</v>
      </c>
      <c r="C14" s="239"/>
      <c r="D14" s="239">
        <v>500</v>
      </c>
      <c r="E14" s="242">
        <v>500</v>
      </c>
    </row>
    <row r="15" spans="2:5" ht="15.6" x14ac:dyDescent="0.25">
      <c r="B15" s="255" t="s">
        <v>1111</v>
      </c>
      <c r="C15" s="239">
        <v>4308</v>
      </c>
      <c r="D15" s="239">
        <v>1000</v>
      </c>
      <c r="E15" s="242">
        <v>0</v>
      </c>
    </row>
    <row r="16" spans="2:5" s="956" customFormat="1" ht="15.6" x14ac:dyDescent="0.25">
      <c r="B16" s="255" t="s">
        <v>1207</v>
      </c>
      <c r="C16" s="239">
        <v>12355</v>
      </c>
      <c r="D16" s="239">
        <v>1000</v>
      </c>
      <c r="E16" s="242">
        <v>1000</v>
      </c>
    </row>
    <row r="17" spans="2:5" s="956" customFormat="1" ht="15.6" x14ac:dyDescent="0.25">
      <c r="B17" s="255" t="s">
        <v>1208</v>
      </c>
      <c r="C17" s="239">
        <v>175000</v>
      </c>
      <c r="D17" s="239">
        <v>175000</v>
      </c>
      <c r="E17" s="242">
        <v>180000</v>
      </c>
    </row>
    <row r="18" spans="2:5" ht="15.6" x14ac:dyDescent="0.25">
      <c r="B18" s="273" t="s">
        <v>1238</v>
      </c>
      <c r="C18" s="239">
        <v>5800</v>
      </c>
      <c r="D18" s="239">
        <v>5800</v>
      </c>
      <c r="E18" s="89">
        <v>5800</v>
      </c>
    </row>
    <row r="19" spans="2:5" ht="15.6" hidden="1" x14ac:dyDescent="0.25">
      <c r="B19" s="280" t="s">
        <v>110</v>
      </c>
      <c r="C19" s="239"/>
      <c r="D19" s="239"/>
      <c r="E19" s="242"/>
    </row>
    <row r="20" spans="2:5" ht="15.6" x14ac:dyDescent="0.25">
      <c r="B20" s="142" t="s">
        <v>13</v>
      </c>
      <c r="C20" s="239">
        <f>9644-5800</f>
        <v>3844</v>
      </c>
      <c r="D20" s="239">
        <v>0</v>
      </c>
      <c r="E20" s="242">
        <v>0</v>
      </c>
    </row>
    <row r="21" spans="2:5" ht="15.6" x14ac:dyDescent="0.25">
      <c r="B21" s="234" t="s">
        <v>781</v>
      </c>
      <c r="C21" s="244" t="str">
        <f>IF(C22*0.1&lt;C20,"Exceed 10% Rule","")</f>
        <v/>
      </c>
      <c r="D21" s="244" t="str">
        <f>IF(D22*0.1&lt;D20,"Exceed 10% Rule","")</f>
        <v/>
      </c>
      <c r="E21" s="281" t="str">
        <f>IF(E22*0.1&lt;E20,"Exceed 10% Rule","")</f>
        <v/>
      </c>
    </row>
    <row r="22" spans="2:5" ht="15.6" x14ac:dyDescent="0.25">
      <c r="B22" s="246" t="s">
        <v>111</v>
      </c>
      <c r="C22" s="248">
        <f>SUM(C8:C20)</f>
        <v>249794</v>
      </c>
      <c r="D22" s="248">
        <f>SUM(D8:D20)</f>
        <v>219468</v>
      </c>
      <c r="E22" s="249">
        <f>SUM(E8:E20)</f>
        <v>232946</v>
      </c>
    </row>
    <row r="23" spans="2:5" ht="15.6" x14ac:dyDescent="0.25">
      <c r="B23" s="246" t="s">
        <v>112</v>
      </c>
      <c r="C23" s="248">
        <f>C6+C22</f>
        <v>340867</v>
      </c>
      <c r="D23" s="248">
        <f>D6+D22</f>
        <v>307689</v>
      </c>
      <c r="E23" s="249">
        <f>E6+E22</f>
        <v>295080.30782394751</v>
      </c>
    </row>
    <row r="24" spans="2:5" ht="15.6" x14ac:dyDescent="0.25">
      <c r="B24" s="133" t="s">
        <v>114</v>
      </c>
      <c r="C24" s="142"/>
      <c r="D24" s="142"/>
      <c r="E24" s="68"/>
    </row>
    <row r="25" spans="2:5" ht="15.6" x14ac:dyDescent="0.25">
      <c r="B25" s="966" t="s">
        <v>1209</v>
      </c>
      <c r="C25" s="239"/>
      <c r="D25" s="239"/>
      <c r="E25" s="242"/>
    </row>
    <row r="26" spans="2:5" ht="15.6" x14ac:dyDescent="0.25">
      <c r="B26" s="255" t="s">
        <v>1210</v>
      </c>
      <c r="C26" s="239">
        <v>58108</v>
      </c>
      <c r="D26" s="239">
        <v>67227.759999999995</v>
      </c>
      <c r="E26" s="242">
        <v>61792.700000000004</v>
      </c>
    </row>
    <row r="27" spans="2:5" ht="15.6" x14ac:dyDescent="0.25">
      <c r="B27" s="255" t="s">
        <v>1160</v>
      </c>
      <c r="C27" s="239">
        <v>24825</v>
      </c>
      <c r="D27" s="239">
        <v>25650</v>
      </c>
      <c r="E27" s="89">
        <v>26250</v>
      </c>
    </row>
    <row r="28" spans="2:5" ht="15.6" x14ac:dyDescent="0.25">
      <c r="B28" s="255" t="s">
        <v>116</v>
      </c>
      <c r="C28" s="239">
        <v>38813</v>
      </c>
      <c r="D28" s="239">
        <v>32200</v>
      </c>
      <c r="E28" s="89">
        <v>32200</v>
      </c>
    </row>
    <row r="29" spans="2:5" ht="15.6" x14ac:dyDescent="0.25">
      <c r="B29" s="255" t="s">
        <v>117</v>
      </c>
      <c r="C29" s="239">
        <v>26343</v>
      </c>
      <c r="D29" s="239">
        <v>16000</v>
      </c>
      <c r="E29" s="89">
        <v>26000</v>
      </c>
    </row>
    <row r="30" spans="2:5" ht="15.6" x14ac:dyDescent="0.25">
      <c r="B30" s="966" t="s">
        <v>1211</v>
      </c>
      <c r="C30" s="239"/>
      <c r="D30" s="239"/>
      <c r="E30" s="89"/>
    </row>
    <row r="31" spans="2:5" ht="15.6" x14ac:dyDescent="0.25">
      <c r="B31" s="255" t="s">
        <v>1210</v>
      </c>
      <c r="C31" s="239">
        <v>49719</v>
      </c>
      <c r="D31" s="239">
        <v>56395.549999999996</v>
      </c>
      <c r="E31" s="89">
        <v>58586.53</v>
      </c>
    </row>
    <row r="32" spans="2:5" ht="15.6" x14ac:dyDescent="0.25">
      <c r="B32" s="255" t="s">
        <v>1160</v>
      </c>
      <c r="C32" s="239">
        <v>23716</v>
      </c>
      <c r="D32" s="239">
        <v>22800</v>
      </c>
      <c r="E32" s="89">
        <v>22800</v>
      </c>
    </row>
    <row r="33" spans="2:5" ht="15.6" x14ac:dyDescent="0.25">
      <c r="B33" s="255" t="s">
        <v>116</v>
      </c>
      <c r="C33" s="239">
        <v>29250</v>
      </c>
      <c r="D33" s="239">
        <v>24600</v>
      </c>
      <c r="E33" s="89">
        <v>33200</v>
      </c>
    </row>
    <row r="34" spans="2:5" ht="15.6" x14ac:dyDescent="0.25">
      <c r="B34" s="255" t="s">
        <v>117</v>
      </c>
      <c r="C34" s="239">
        <v>0</v>
      </c>
      <c r="D34" s="239">
        <v>0</v>
      </c>
      <c r="E34" s="89">
        <v>0</v>
      </c>
    </row>
    <row r="35" spans="2:5" ht="15.6" x14ac:dyDescent="0.25">
      <c r="B35" s="255" t="s">
        <v>1212</v>
      </c>
      <c r="C35" s="239">
        <v>1872</v>
      </c>
      <c r="D35" s="239">
        <v>681.38217605248781</v>
      </c>
      <c r="E35" s="89">
        <v>1369.60087479497</v>
      </c>
    </row>
    <row r="36" spans="2:5" ht="15.6" x14ac:dyDescent="0.25">
      <c r="B36" s="256" t="s">
        <v>13</v>
      </c>
      <c r="C36" s="239"/>
      <c r="D36" s="239"/>
      <c r="E36" s="242"/>
    </row>
    <row r="37" spans="2:5" ht="15.6" x14ac:dyDescent="0.25">
      <c r="B37" s="256" t="s">
        <v>782</v>
      </c>
      <c r="C37" s="244" t="str">
        <f>IF(C38*0.1&lt;C36,"Exceed 10% Rule","")</f>
        <v/>
      </c>
      <c r="D37" s="244" t="str">
        <f>IF(D38*0.1&lt;D36,"Exceed 10% Rule","")</f>
        <v/>
      </c>
      <c r="E37" s="281" t="str">
        <f>IF(E38*0.1&lt;E36,"Exceed 10% Rule","")</f>
        <v/>
      </c>
    </row>
    <row r="38" spans="2:5" ht="15.6" x14ac:dyDescent="0.25">
      <c r="B38" s="246" t="s">
        <v>118</v>
      </c>
      <c r="C38" s="248">
        <f>SUM(C25:C36)</f>
        <v>252646</v>
      </c>
      <c r="D38" s="248">
        <f>SUM(D25:D36)</f>
        <v>245554.69217605249</v>
      </c>
      <c r="E38" s="249">
        <f>SUM(E25:E36)</f>
        <v>262198.83087479498</v>
      </c>
    </row>
    <row r="39" spans="2:5" ht="15.6" x14ac:dyDescent="0.25">
      <c r="B39" s="133" t="s">
        <v>213</v>
      </c>
      <c r="C39" s="252">
        <f>C23-C38</f>
        <v>88221</v>
      </c>
      <c r="D39" s="252">
        <f>D23-D38</f>
        <v>62134.307823947514</v>
      </c>
      <c r="E39" s="63">
        <f>E23-E38</f>
        <v>32881.476949152537</v>
      </c>
    </row>
    <row r="40" spans="2:5" ht="15.6" x14ac:dyDescent="0.25">
      <c r="B40" s="153" t="str">
        <f>CONCATENATE("",E1-2,"/",E1-1,"/",E1," Budget Authority Amount:")</f>
        <v>2013/2014/2015 Budget Authority Amount:</v>
      </c>
      <c r="C40" s="824">
        <f>inputOth!B96</f>
        <v>275000</v>
      </c>
      <c r="D40" s="824">
        <f>inputPrYr!D56</f>
        <v>255766.21432476764</v>
      </c>
      <c r="E40" s="898">
        <f>E38</f>
        <v>262198.83087479498</v>
      </c>
    </row>
    <row r="41" spans="2:5" ht="15.6" x14ac:dyDescent="0.25">
      <c r="B41" s="119"/>
      <c r="C41" s="259" t="str">
        <f>IF(C38&gt;C40,"See Tab A","")</f>
        <v/>
      </c>
      <c r="D41" s="259" t="str">
        <f>IF(D38&gt;D40,"See Tab C","")</f>
        <v/>
      </c>
      <c r="E41" s="899" t="str">
        <f>IF(E39&lt;0,"See Tab E","")</f>
        <v/>
      </c>
    </row>
    <row r="42" spans="2:5" ht="15.6" hidden="1" x14ac:dyDescent="0.25">
      <c r="B42" s="119"/>
      <c r="C42" s="259" t="str">
        <f>IF(C39&lt;0,"See Tab B","")</f>
        <v/>
      </c>
      <c r="D42" s="259" t="str">
        <f>IF(D39&lt;0,"See Tab D","")</f>
        <v/>
      </c>
      <c r="E42" s="49"/>
    </row>
    <row r="43" spans="2:5" hidden="1" x14ac:dyDescent="0.25">
      <c r="B43" s="49"/>
      <c r="C43" s="49"/>
      <c r="D43" s="49"/>
      <c r="E43" s="49"/>
    </row>
    <row r="44" spans="2:5" ht="15.6" x14ac:dyDescent="0.25">
      <c r="B44" s="151" t="s">
        <v>121</v>
      </c>
      <c r="C44" s="263">
        <v>24</v>
      </c>
      <c r="D44" s="49"/>
      <c r="E44" s="49"/>
    </row>
  </sheetData>
  <phoneticPr fontId="9" type="noConversion"/>
  <conditionalFormatting sqref="E20">
    <cfRule type="cellIs" dxfId="9" priority="4" stopIfTrue="1" operator="greaterThan">
      <formula>$E$22*0.1</formula>
    </cfRule>
  </conditionalFormatting>
  <conditionalFormatting sqref="E36">
    <cfRule type="cellIs" dxfId="8" priority="5" stopIfTrue="1" operator="greaterThan">
      <formula>$E$38*0.1</formula>
    </cfRule>
  </conditionalFormatting>
  <conditionalFormatting sqref="E39 C39">
    <cfRule type="cellIs" dxfId="7" priority="6" stopIfTrue="1" operator="lessThan">
      <formula>0</formula>
    </cfRule>
  </conditionalFormatting>
  <conditionalFormatting sqref="D36">
    <cfRule type="cellIs" dxfId="6" priority="7" stopIfTrue="1" operator="greaterThan">
      <formula>$D$38*0.1</formula>
    </cfRule>
  </conditionalFormatting>
  <conditionalFormatting sqref="C36">
    <cfRule type="cellIs" dxfId="5" priority="8" stopIfTrue="1" operator="greaterThan">
      <formula>$C$38*0.1</formula>
    </cfRule>
  </conditionalFormatting>
  <conditionalFormatting sqref="D38">
    <cfRule type="cellIs" dxfId="4" priority="9" stopIfTrue="1" operator="greaterThan">
      <formula>$D$40</formula>
    </cfRule>
  </conditionalFormatting>
  <conditionalFormatting sqref="C38">
    <cfRule type="cellIs" dxfId="3" priority="10" stopIfTrue="1" operator="greaterThan">
      <formula>$C$40</formula>
    </cfRule>
  </conditionalFormatting>
  <conditionalFormatting sqref="D39">
    <cfRule type="cellIs" dxfId="2" priority="3" stopIfTrue="1" operator="lessThan">
      <formula>0</formula>
    </cfRule>
  </conditionalFormatting>
  <conditionalFormatting sqref="D20">
    <cfRule type="cellIs" dxfId="1" priority="2" stopIfTrue="1" operator="greaterThan">
      <formula>$D$189*0.1</formula>
    </cfRule>
  </conditionalFormatting>
  <conditionalFormatting sqref="C20">
    <cfRule type="cellIs" dxfId="0" priority="1" stopIfTrue="1" operator="greaterThan">
      <formula>$C$22*0.1</formula>
    </cfRule>
  </conditionalFormatting>
  <pageMargins left="0.75" right="0.75" top="1" bottom="1" header="0.5" footer="0.5"/>
  <pageSetup fitToHeight="2" orientation="portrait" blackAndWhite="1" r:id="rId1"/>
  <headerFooter alignWithMargins="0">
    <oddHeader>&amp;RState of Kansas
City</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1"/>
  <sheetViews>
    <sheetView view="pageBreakPreview" zoomScaleNormal="115" zoomScaleSheetLayoutView="100" workbookViewId="0">
      <selection activeCell="K32" sqref="K32"/>
    </sheetView>
  </sheetViews>
  <sheetFormatPr defaultColWidth="8.9140625" defaultRowHeight="15.6" x14ac:dyDescent="0.25"/>
  <cols>
    <col min="1" max="1" width="12.25" style="18" customWidth="1"/>
    <col min="2" max="2" width="7.4140625" style="18" customWidth="1"/>
    <col min="3" max="3" width="10.6640625" style="18" customWidth="1"/>
    <col min="4" max="4" width="7.4140625" style="18" customWidth="1"/>
    <col min="5" max="5" width="11.58203125" style="18" customWidth="1"/>
    <col min="6" max="6" width="7.4140625" style="18" customWidth="1"/>
    <col min="7" max="7" width="11.58203125" style="18" customWidth="1"/>
    <col min="8" max="8" width="7.4140625" style="18" customWidth="1"/>
    <col min="9" max="9" width="10.9140625" style="18" customWidth="1"/>
    <col min="10" max="10" width="7.08203125" style="18" customWidth="1"/>
    <col min="11" max="16384" width="8.9140625" style="18"/>
  </cols>
  <sheetData>
    <row r="1" spans="1:11" x14ac:dyDescent="0.25">
      <c r="A1" s="156" t="str">
        <f>inputPrYr!$D$2</f>
        <v>City of Osawatomie</v>
      </c>
      <c r="B1" s="282"/>
      <c r="C1" s="155"/>
      <c r="D1" s="155"/>
      <c r="E1" s="155"/>
      <c r="F1" s="157" t="s">
        <v>228</v>
      </c>
      <c r="G1" s="155"/>
      <c r="H1" s="155"/>
      <c r="I1" s="155"/>
      <c r="J1" s="155"/>
      <c r="K1" s="155">
        <f>inputPrYr!$C$5</f>
        <v>2015</v>
      </c>
    </row>
    <row r="2" spans="1:11" x14ac:dyDescent="0.25">
      <c r="A2" s="155"/>
      <c r="B2" s="155"/>
      <c r="C2" s="155"/>
      <c r="D2" s="155"/>
      <c r="E2" s="155"/>
      <c r="F2" s="283" t="str">
        <f>CONCATENATE("(Only the actual budget year for ",K1-2," is to be shown)")</f>
        <v>(Only the actual budget year for 2013 is to be shown)</v>
      </c>
      <c r="G2" s="155"/>
      <c r="H2" s="155"/>
      <c r="I2" s="155"/>
      <c r="J2" s="155"/>
      <c r="K2" s="155"/>
    </row>
    <row r="3" spans="1:11" x14ac:dyDescent="0.25">
      <c r="A3" s="155" t="s">
        <v>1244</v>
      </c>
      <c r="B3" s="155"/>
      <c r="C3" s="155"/>
      <c r="D3" s="155"/>
      <c r="E3" s="155"/>
      <c r="F3" s="284"/>
      <c r="G3" s="155"/>
      <c r="H3" s="155"/>
      <c r="I3" s="155"/>
      <c r="J3" s="155"/>
      <c r="K3" s="155"/>
    </row>
    <row r="4" spans="1:11" x14ac:dyDescent="0.25">
      <c r="A4" s="155" t="s">
        <v>229</v>
      </c>
      <c r="B4" s="155"/>
      <c r="C4" s="155" t="s">
        <v>230</v>
      </c>
      <c r="D4" s="155"/>
      <c r="E4" s="155" t="s">
        <v>231</v>
      </c>
      <c r="F4" s="282"/>
      <c r="G4" s="155" t="s">
        <v>232</v>
      </c>
      <c r="H4" s="155"/>
      <c r="I4" s="155" t="s">
        <v>233</v>
      </c>
      <c r="J4" s="155"/>
      <c r="K4" s="155"/>
    </row>
    <row r="5" spans="1:11" x14ac:dyDescent="0.25">
      <c r="A5" s="1052" t="str">
        <f>IF(inputPrYr!B59&gt;" ",(inputPrYr!B59)," ")</f>
        <v>Capital Projects - General</v>
      </c>
      <c r="B5" s="1053"/>
      <c r="C5" s="1052" t="str">
        <f>IF(inputPrYr!B60&gt;" ",(inputPrYr!B60)," ")</f>
        <v>Capital Improve. - Street</v>
      </c>
      <c r="D5" s="1053"/>
      <c r="E5" s="1052" t="str">
        <f>IF(inputPrYr!B61&gt;" ",(inputPrYr!B61)," ")</f>
        <v>Capital Improve. - Sewer</v>
      </c>
      <c r="F5" s="1053"/>
      <c r="G5" s="1052" t="str">
        <f>IF(inputPrYr!B62&gt;" ",(inputPrYr!B62)," ")</f>
        <v>Capital Improve. - Grants</v>
      </c>
      <c r="H5" s="1053"/>
      <c r="I5" s="1050" t="str">
        <f>IF(inputPrYr!B63&gt;" ",(inputPrYr!B63)," ")</f>
        <v xml:space="preserve"> </v>
      </c>
      <c r="J5" s="1051"/>
      <c r="K5" s="107"/>
    </row>
    <row r="6" spans="1:11" x14ac:dyDescent="0.25">
      <c r="A6" s="286" t="s">
        <v>234</v>
      </c>
      <c r="B6" s="287"/>
      <c r="C6" s="288" t="s">
        <v>234</v>
      </c>
      <c r="D6" s="289"/>
      <c r="E6" s="288" t="s">
        <v>234</v>
      </c>
      <c r="F6" s="285"/>
      <c r="G6" s="288" t="s">
        <v>234</v>
      </c>
      <c r="H6" s="290"/>
      <c r="I6" s="288" t="s">
        <v>234</v>
      </c>
      <c r="J6" s="155"/>
      <c r="K6" s="291" t="s">
        <v>76</v>
      </c>
    </row>
    <row r="7" spans="1:11" x14ac:dyDescent="0.25">
      <c r="A7" s="292" t="s">
        <v>20</v>
      </c>
      <c r="B7" s="293">
        <v>357727</v>
      </c>
      <c r="C7" s="294" t="s">
        <v>20</v>
      </c>
      <c r="D7" s="293">
        <v>183960</v>
      </c>
      <c r="E7" s="294" t="s">
        <v>20</v>
      </c>
      <c r="F7" s="293">
        <v>0</v>
      </c>
      <c r="G7" s="294" t="s">
        <v>20</v>
      </c>
      <c r="H7" s="293">
        <v>0</v>
      </c>
      <c r="I7" s="294" t="s">
        <v>20</v>
      </c>
      <c r="J7" s="293"/>
      <c r="K7" s="295">
        <f>SUM(B7+D7+F7+H7+J7)</f>
        <v>541687</v>
      </c>
    </row>
    <row r="8" spans="1:11" x14ac:dyDescent="0.25">
      <c r="A8" s="296" t="s">
        <v>214</v>
      </c>
      <c r="B8" s="297"/>
      <c r="C8" s="296" t="s">
        <v>214</v>
      </c>
      <c r="D8" s="298"/>
      <c r="E8" s="296" t="s">
        <v>214</v>
      </c>
      <c r="F8" s="282"/>
      <c r="G8" s="296" t="s">
        <v>214</v>
      </c>
      <c r="H8" s="155"/>
      <c r="I8" s="296" t="s">
        <v>214</v>
      </c>
      <c r="J8" s="155"/>
      <c r="K8" s="282"/>
    </row>
    <row r="9" spans="1:11" x14ac:dyDescent="0.25">
      <c r="A9" s="299" t="s">
        <v>1051</v>
      </c>
      <c r="B9" s="293">
        <v>95000</v>
      </c>
      <c r="C9" s="299" t="s">
        <v>1059</v>
      </c>
      <c r="D9" s="293">
        <v>590000</v>
      </c>
      <c r="E9" s="299" t="s">
        <v>1058</v>
      </c>
      <c r="F9" s="293">
        <v>0</v>
      </c>
      <c r="G9" s="299"/>
      <c r="H9" s="293"/>
      <c r="I9" s="299"/>
      <c r="J9" s="293"/>
      <c r="K9" s="282"/>
    </row>
    <row r="10" spans="1:11" x14ac:dyDescent="0.25">
      <c r="A10" s="299" t="s">
        <v>1052</v>
      </c>
      <c r="B10" s="293">
        <v>35000</v>
      </c>
      <c r="C10" s="299"/>
      <c r="D10" s="293"/>
      <c r="E10" s="299"/>
      <c r="F10" s="293"/>
      <c r="G10" s="299"/>
      <c r="H10" s="293"/>
      <c r="I10" s="299"/>
      <c r="J10" s="293"/>
      <c r="K10" s="282"/>
    </row>
    <row r="11" spans="1:11" x14ac:dyDescent="0.25">
      <c r="A11" s="299" t="s">
        <v>1053</v>
      </c>
      <c r="B11" s="293">
        <v>326</v>
      </c>
      <c r="C11" s="300"/>
      <c r="D11" s="293"/>
      <c r="E11" s="300"/>
      <c r="F11" s="293"/>
      <c r="G11" s="300"/>
      <c r="H11" s="293"/>
      <c r="I11" s="301"/>
      <c r="J11" s="293"/>
      <c r="K11" s="282"/>
    </row>
    <row r="12" spans="1:11" x14ac:dyDescent="0.25">
      <c r="A12" s="299" t="s">
        <v>1054</v>
      </c>
      <c r="B12" s="293">
        <v>118000</v>
      </c>
      <c r="C12" s="299"/>
      <c r="D12" s="293"/>
      <c r="E12" s="302"/>
      <c r="F12" s="293"/>
      <c r="G12" s="302"/>
      <c r="H12" s="293"/>
      <c r="I12" s="302"/>
      <c r="J12" s="293"/>
      <c r="K12" s="282"/>
    </row>
    <row r="13" spans="1:11" x14ac:dyDescent="0.25">
      <c r="A13" s="303"/>
      <c r="B13" s="293"/>
      <c r="C13" s="304"/>
      <c r="D13" s="293"/>
      <c r="E13" s="304"/>
      <c r="F13" s="293"/>
      <c r="G13" s="304"/>
      <c r="H13" s="293"/>
      <c r="I13" s="301"/>
      <c r="J13" s="293"/>
      <c r="K13" s="282"/>
    </row>
    <row r="14" spans="1:11" x14ac:dyDescent="0.25">
      <c r="A14" s="299"/>
      <c r="B14" s="293"/>
      <c r="C14" s="302"/>
      <c r="D14" s="293"/>
      <c r="E14" s="302"/>
      <c r="F14" s="293"/>
      <c r="G14" s="302"/>
      <c r="H14" s="293"/>
      <c r="I14" s="302"/>
      <c r="J14" s="293"/>
      <c r="K14" s="282"/>
    </row>
    <row r="15" spans="1:11" x14ac:dyDescent="0.25">
      <c r="A15" s="299"/>
      <c r="B15" s="293"/>
      <c r="C15" s="302"/>
      <c r="D15" s="293"/>
      <c r="E15" s="302"/>
      <c r="F15" s="293"/>
      <c r="G15" s="302"/>
      <c r="H15" s="293"/>
      <c r="I15" s="302"/>
      <c r="J15" s="293"/>
      <c r="K15" s="282"/>
    </row>
    <row r="16" spans="1:11" x14ac:dyDescent="0.25">
      <c r="A16" s="299"/>
      <c r="B16" s="293"/>
      <c r="C16" s="299"/>
      <c r="D16" s="293"/>
      <c r="E16" s="299"/>
      <c r="F16" s="293"/>
      <c r="G16" s="302"/>
      <c r="H16" s="293"/>
      <c r="I16" s="299"/>
      <c r="J16" s="293"/>
      <c r="K16" s="282"/>
    </row>
    <row r="17" spans="1:12" x14ac:dyDescent="0.25">
      <c r="A17" s="296" t="s">
        <v>111</v>
      </c>
      <c r="B17" s="295">
        <f>SUM(B9:B16)</f>
        <v>248326</v>
      </c>
      <c r="C17" s="296" t="s">
        <v>111</v>
      </c>
      <c r="D17" s="295">
        <f>SUM(D9:D16)</f>
        <v>590000</v>
      </c>
      <c r="E17" s="296" t="s">
        <v>111</v>
      </c>
      <c r="F17" s="360">
        <f>SUM(F9:F16)</f>
        <v>0</v>
      </c>
      <c r="G17" s="296" t="s">
        <v>111</v>
      </c>
      <c r="H17" s="295">
        <f>SUM(H9:H16)</f>
        <v>0</v>
      </c>
      <c r="I17" s="296" t="s">
        <v>111</v>
      </c>
      <c r="J17" s="295">
        <f>SUM(J9:J16)</f>
        <v>0</v>
      </c>
      <c r="K17" s="295">
        <f>SUM(B17+D17+F17+H17+J17)</f>
        <v>838326</v>
      </c>
    </row>
    <row r="18" spans="1:12" x14ac:dyDescent="0.25">
      <c r="A18" s="296" t="s">
        <v>112</v>
      </c>
      <c r="B18" s="295">
        <f>SUM(B7+B17)</f>
        <v>606053</v>
      </c>
      <c r="C18" s="296" t="s">
        <v>112</v>
      </c>
      <c r="D18" s="295">
        <f>SUM(D7+D17)</f>
        <v>773960</v>
      </c>
      <c r="E18" s="296" t="s">
        <v>112</v>
      </c>
      <c r="F18" s="295">
        <f>SUM(F7+F17)</f>
        <v>0</v>
      </c>
      <c r="G18" s="296" t="s">
        <v>112</v>
      </c>
      <c r="H18" s="295">
        <f>SUM(H7+H17)</f>
        <v>0</v>
      </c>
      <c r="I18" s="296" t="s">
        <v>112</v>
      </c>
      <c r="J18" s="295">
        <f>SUM(J7+J17)</f>
        <v>0</v>
      </c>
      <c r="K18" s="295">
        <f>SUM(B18+D18+F18+H18+J18)</f>
        <v>1380013</v>
      </c>
    </row>
    <row r="19" spans="1:12" x14ac:dyDescent="0.25">
      <c r="A19" s="296" t="s">
        <v>114</v>
      </c>
      <c r="B19" s="297"/>
      <c r="C19" s="296" t="s">
        <v>114</v>
      </c>
      <c r="D19" s="298"/>
      <c r="E19" s="296" t="s">
        <v>114</v>
      </c>
      <c r="F19" s="282"/>
      <c r="G19" s="296" t="s">
        <v>114</v>
      </c>
      <c r="H19" s="155"/>
      <c r="I19" s="296" t="s">
        <v>114</v>
      </c>
      <c r="J19" s="155"/>
      <c r="K19" s="282"/>
    </row>
    <row r="20" spans="1:12" x14ac:dyDescent="0.25">
      <c r="A20" s="299" t="s">
        <v>1055</v>
      </c>
      <c r="B20" s="293">
        <v>13142</v>
      </c>
      <c r="C20" s="299" t="s">
        <v>1057</v>
      </c>
      <c r="D20" s="293">
        <v>329996</v>
      </c>
      <c r="E20" s="302" t="s">
        <v>1055</v>
      </c>
      <c r="F20" s="293">
        <v>92658</v>
      </c>
      <c r="G20" s="299"/>
      <c r="H20" s="293"/>
      <c r="I20" s="302"/>
      <c r="J20" s="293"/>
      <c r="K20" s="282"/>
    </row>
    <row r="21" spans="1:12" x14ac:dyDescent="0.25">
      <c r="A21" s="299" t="s">
        <v>1056</v>
      </c>
      <c r="B21" s="293"/>
      <c r="C21" s="302" t="s">
        <v>1060</v>
      </c>
      <c r="D21" s="293">
        <v>3831</v>
      </c>
      <c r="E21" s="299" t="s">
        <v>1056</v>
      </c>
      <c r="F21" s="293"/>
      <c r="G21" s="302"/>
      <c r="H21" s="293"/>
      <c r="I21" s="302"/>
      <c r="J21" s="293"/>
      <c r="K21" s="282"/>
    </row>
    <row r="22" spans="1:12" x14ac:dyDescent="0.25">
      <c r="A22" s="299" t="s">
        <v>1057</v>
      </c>
      <c r="B22" s="293">
        <v>382432</v>
      </c>
      <c r="C22" s="304" t="s">
        <v>1061</v>
      </c>
      <c r="D22" s="293">
        <v>160970</v>
      </c>
      <c r="E22" s="299" t="s">
        <v>1057</v>
      </c>
      <c r="F22" s="293">
        <v>208551</v>
      </c>
      <c r="G22" s="304"/>
      <c r="H22" s="293"/>
      <c r="I22" s="301"/>
      <c r="J22" s="293"/>
      <c r="K22" s="282"/>
    </row>
    <row r="23" spans="1:12" x14ac:dyDescent="0.25">
      <c r="A23" s="299"/>
      <c r="B23" s="293"/>
      <c r="C23" s="302"/>
      <c r="D23" s="293"/>
      <c r="E23" s="302"/>
      <c r="F23" s="293"/>
      <c r="G23" s="302"/>
      <c r="H23" s="293"/>
      <c r="I23" s="302"/>
      <c r="J23" s="293"/>
      <c r="K23" s="282"/>
    </row>
    <row r="24" spans="1:12" x14ac:dyDescent="0.25">
      <c r="A24" s="299"/>
      <c r="B24" s="293"/>
      <c r="C24" s="304"/>
      <c r="D24" s="293"/>
      <c r="E24" s="304"/>
      <c r="F24" s="293"/>
      <c r="G24" s="304"/>
      <c r="H24" s="293"/>
      <c r="I24" s="301"/>
      <c r="J24" s="293"/>
      <c r="K24" s="282"/>
    </row>
    <row r="25" spans="1:12" x14ac:dyDescent="0.25">
      <c r="A25" s="299"/>
      <c r="B25" s="293"/>
      <c r="C25" s="302"/>
      <c r="D25" s="293"/>
      <c r="E25" s="302"/>
      <c r="F25" s="293"/>
      <c r="G25" s="302"/>
      <c r="H25" s="293"/>
      <c r="I25" s="302"/>
      <c r="J25" s="293"/>
      <c r="K25" s="282"/>
    </row>
    <row r="26" spans="1:12" x14ac:dyDescent="0.25">
      <c r="A26" s="299"/>
      <c r="B26" s="293"/>
      <c r="C26" s="302"/>
      <c r="D26" s="293"/>
      <c r="E26" s="302"/>
      <c r="F26" s="293"/>
      <c r="G26" s="302"/>
      <c r="H26" s="293"/>
      <c r="I26" s="302"/>
      <c r="J26" s="293"/>
      <c r="K26" s="282"/>
    </row>
    <row r="27" spans="1:12" x14ac:dyDescent="0.25">
      <c r="A27" s="299"/>
      <c r="B27" s="293"/>
      <c r="C27" s="299"/>
      <c r="D27" s="293"/>
      <c r="E27" s="299"/>
      <c r="F27" s="293"/>
      <c r="G27" s="302"/>
      <c r="H27" s="293"/>
      <c r="I27" s="302"/>
      <c r="J27" s="293"/>
      <c r="K27" s="282"/>
    </row>
    <row r="28" spans="1:12" x14ac:dyDescent="0.25">
      <c r="A28" s="296" t="s">
        <v>118</v>
      </c>
      <c r="B28" s="295">
        <f>SUM(B20:B27)</f>
        <v>395574</v>
      </c>
      <c r="C28" s="296" t="s">
        <v>118</v>
      </c>
      <c r="D28" s="295">
        <f>SUM(D20:D27)</f>
        <v>494797</v>
      </c>
      <c r="E28" s="296" t="s">
        <v>118</v>
      </c>
      <c r="F28" s="360">
        <f>SUM(F20:F27)</f>
        <v>301209</v>
      </c>
      <c r="G28" s="296" t="s">
        <v>118</v>
      </c>
      <c r="H28" s="360">
        <f>SUM(H20:H27)</f>
        <v>0</v>
      </c>
      <c r="I28" s="296" t="s">
        <v>118</v>
      </c>
      <c r="J28" s="295">
        <f>SUM(J20:J27)</f>
        <v>0</v>
      </c>
      <c r="K28" s="295">
        <f>SUM(B28+D28+F28+H28+J28)</f>
        <v>1191580</v>
      </c>
    </row>
    <row r="29" spans="1:12" x14ac:dyDescent="0.25">
      <c r="A29" s="296" t="s">
        <v>235</v>
      </c>
      <c r="B29" s="295">
        <f>SUM(B18-B28)</f>
        <v>210479</v>
      </c>
      <c r="C29" s="296" t="s">
        <v>235</v>
      </c>
      <c r="D29" s="295">
        <f>SUM(D18-D28)</f>
        <v>279163</v>
      </c>
      <c r="E29" s="296" t="s">
        <v>235</v>
      </c>
      <c r="F29" s="295">
        <f>SUM(F18-F28)</f>
        <v>-301209</v>
      </c>
      <c r="G29" s="296" t="s">
        <v>235</v>
      </c>
      <c r="H29" s="295">
        <f>SUM(H18-H28)</f>
        <v>0</v>
      </c>
      <c r="I29" s="296" t="s">
        <v>235</v>
      </c>
      <c r="J29" s="295">
        <f>SUM(J18-J28)</f>
        <v>0</v>
      </c>
      <c r="K29" s="305">
        <f>SUM(B29+D29+F29+H29+J29)</f>
        <v>188433</v>
      </c>
      <c r="L29" s="18" t="s">
        <v>302</v>
      </c>
    </row>
    <row r="30" spans="1:12" hidden="1" x14ac:dyDescent="0.25">
      <c r="A30" s="296"/>
      <c r="B30" s="329" t="str">
        <f>IF(B29&lt;0,"See Tab B","")</f>
        <v/>
      </c>
      <c r="C30" s="296"/>
      <c r="D30" s="329" t="str">
        <f>IF(D29&lt;0,"See Tab B","")</f>
        <v/>
      </c>
      <c r="E30" s="296"/>
      <c r="F30" s="329" t="str">
        <f>IF(F29&lt;0,"See Tab B","")</f>
        <v>See Tab B</v>
      </c>
      <c r="G30" s="155"/>
      <c r="H30" s="329" t="str">
        <f>IF(H29&lt;0,"See Tab B","")</f>
        <v/>
      </c>
      <c r="I30" s="155"/>
      <c r="J30" s="329" t="str">
        <f>IF(J29&lt;0,"See Tab B","")</f>
        <v/>
      </c>
      <c r="K30" s="305">
        <f>SUM(K7+K17-K28)</f>
        <v>188433</v>
      </c>
      <c r="L30" s="18" t="s">
        <v>302</v>
      </c>
    </row>
    <row r="31" spans="1:12" hidden="1" x14ac:dyDescent="0.25">
      <c r="A31" s="155"/>
      <c r="B31" s="160"/>
      <c r="C31" s="155"/>
      <c r="D31" s="282"/>
      <c r="E31" s="155"/>
      <c r="F31" s="155"/>
      <c r="G31" s="28" t="s">
        <v>304</v>
      </c>
      <c r="H31" s="28"/>
      <c r="I31" s="28"/>
      <c r="J31" s="28"/>
      <c r="K31" s="155"/>
    </row>
    <row r="32" spans="1:12" x14ac:dyDescent="0.25">
      <c r="A32" s="155"/>
      <c r="B32" s="160"/>
      <c r="C32" s="155"/>
      <c r="D32" s="155"/>
      <c r="E32" s="155"/>
      <c r="F32" s="155"/>
      <c r="G32" s="155"/>
      <c r="H32" s="155"/>
      <c r="I32" s="155"/>
      <c r="J32" s="155"/>
      <c r="K32" s="155"/>
    </row>
    <row r="33" spans="1:11" x14ac:dyDescent="0.25">
      <c r="A33" s="155"/>
      <c r="B33" s="160"/>
      <c r="C33" s="155"/>
      <c r="D33" s="155"/>
      <c r="E33" s="168" t="s">
        <v>121</v>
      </c>
      <c r="F33" s="263">
        <v>20</v>
      </c>
      <c r="G33" s="155"/>
      <c r="H33" s="155"/>
      <c r="I33" s="155"/>
      <c r="J33" s="155"/>
      <c r="K33" s="155"/>
    </row>
    <row r="34" spans="1:11" x14ac:dyDescent="0.25">
      <c r="B34" s="306"/>
    </row>
    <row r="35" spans="1:11" x14ac:dyDescent="0.25">
      <c r="B35" s="306"/>
    </row>
    <row r="36" spans="1:11" x14ac:dyDescent="0.25">
      <c r="B36" s="306"/>
    </row>
    <row r="37" spans="1:11" x14ac:dyDescent="0.25">
      <c r="B37" s="306"/>
    </row>
    <row r="38" spans="1:11" x14ac:dyDescent="0.25">
      <c r="B38" s="306"/>
    </row>
    <row r="39" spans="1:11" x14ac:dyDescent="0.25">
      <c r="B39" s="306"/>
    </row>
    <row r="40" spans="1:11" x14ac:dyDescent="0.25">
      <c r="B40" s="306"/>
    </row>
    <row r="41" spans="1:11" x14ac:dyDescent="0.25">
      <c r="B41" s="306"/>
    </row>
  </sheetData>
  <mergeCells count="5">
    <mergeCell ref="I5:J5"/>
    <mergeCell ref="A5:B5"/>
    <mergeCell ref="C5:D5"/>
    <mergeCell ref="E5:F5"/>
    <mergeCell ref="G5:H5"/>
  </mergeCells>
  <phoneticPr fontId="9" type="noConversion"/>
  <pageMargins left="0.75" right="0.75" top="1" bottom="1" header="0.5" footer="0.5"/>
  <pageSetup scale="98" orientation="landscape" blackAndWhite="1" r:id="rId1"/>
  <headerFooter alignWithMargins="0">
    <oddHeader>&amp;RState of Kansas
City</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1"/>
  <sheetViews>
    <sheetView view="pageBreakPreview" topLeftCell="A13" zoomScale="85" zoomScaleNormal="130" zoomScaleSheetLayoutView="85" workbookViewId="0">
      <selection activeCell="K30" sqref="K30:K31"/>
    </sheetView>
  </sheetViews>
  <sheetFormatPr defaultColWidth="8.9140625" defaultRowHeight="15.6" x14ac:dyDescent="0.25"/>
  <cols>
    <col min="1" max="1" width="11.58203125" style="18" customWidth="1"/>
    <col min="2" max="2" width="7.4140625" style="18" customWidth="1"/>
    <col min="3" max="3" width="11.58203125" style="18" customWidth="1"/>
    <col min="4" max="4" width="7.4140625" style="18" customWidth="1"/>
    <col min="5" max="5" width="11.58203125" style="18" customWidth="1"/>
    <col min="6" max="6" width="7.4140625" style="18" customWidth="1"/>
    <col min="7" max="7" width="11.58203125" style="18" customWidth="1"/>
    <col min="8" max="8" width="7.4140625" style="18" customWidth="1"/>
    <col min="9" max="9" width="11.58203125" style="18" customWidth="1"/>
    <col min="10" max="16384" width="8.9140625" style="18"/>
  </cols>
  <sheetData>
    <row r="1" spans="1:11" x14ac:dyDescent="0.25">
      <c r="A1" s="156" t="str">
        <f>inputPrYr!$D$2</f>
        <v>City of Osawatomie</v>
      </c>
      <c r="B1" s="282"/>
      <c r="C1" s="155"/>
      <c r="D1" s="155"/>
      <c r="E1" s="155"/>
      <c r="F1" s="157" t="s">
        <v>236</v>
      </c>
      <c r="G1" s="155"/>
      <c r="H1" s="155"/>
      <c r="I1" s="155"/>
      <c r="J1" s="155"/>
      <c r="K1" s="155">
        <f>inputPrYr!$C$5</f>
        <v>2015</v>
      </c>
    </row>
    <row r="2" spans="1:11" x14ac:dyDescent="0.25">
      <c r="A2" s="155"/>
      <c r="B2" s="155"/>
      <c r="C2" s="155"/>
      <c r="D2" s="155"/>
      <c r="E2" s="155"/>
      <c r="F2" s="283" t="str">
        <f>CONCATENATE("(Only the actual budget year for ",K1-2," is to be shown)")</f>
        <v>(Only the actual budget year for 2013 is to be shown)</v>
      </c>
      <c r="G2" s="155"/>
      <c r="H2" s="155"/>
      <c r="I2" s="155"/>
      <c r="J2" s="155"/>
      <c r="K2" s="155"/>
    </row>
    <row r="3" spans="1:11" x14ac:dyDescent="0.25">
      <c r="A3" s="155" t="s">
        <v>1254</v>
      </c>
      <c r="B3" s="155"/>
      <c r="C3" s="155"/>
      <c r="D3" s="155"/>
      <c r="E3" s="155"/>
      <c r="F3" s="282"/>
      <c r="G3" s="155"/>
      <c r="H3" s="155"/>
      <c r="I3" s="155"/>
      <c r="J3" s="155"/>
      <c r="K3" s="155"/>
    </row>
    <row r="4" spans="1:11" x14ac:dyDescent="0.25">
      <c r="A4" s="155" t="s">
        <v>229</v>
      </c>
      <c r="B4" s="155"/>
      <c r="C4" s="155" t="s">
        <v>230</v>
      </c>
      <c r="D4" s="155"/>
      <c r="E4" s="155" t="s">
        <v>231</v>
      </c>
      <c r="F4" s="282"/>
      <c r="G4" s="155" t="s">
        <v>232</v>
      </c>
      <c r="H4" s="155"/>
      <c r="I4" s="155" t="s">
        <v>233</v>
      </c>
      <c r="J4" s="155"/>
      <c r="K4" s="155"/>
    </row>
    <row r="5" spans="1:11" x14ac:dyDescent="0.25">
      <c r="A5" s="1052" t="str">
        <f>IF(inputPrYr!B65&gt;" ",(inputPrYr!B65)," ")</f>
        <v>Court ADSAP</v>
      </c>
      <c r="B5" s="1053"/>
      <c r="C5" s="1052" t="str">
        <f>IF(inputPrYr!B66&gt;" ",(inputPrYr!B66)," ")</f>
        <v>Court Bonds</v>
      </c>
      <c r="D5" s="1053"/>
      <c r="E5" s="1052" t="str">
        <f>IF(inputPrYr!B67&gt;" ",(inputPrYr!B67)," ")</f>
        <v>Evidence Liability Fund</v>
      </c>
      <c r="F5" s="1053"/>
      <c r="G5" s="1052" t="str">
        <f>IF(inputPrYr!B68&gt;" ",(inputPrYr!B68)," ")</f>
        <v>Forfeitures</v>
      </c>
      <c r="H5" s="1053"/>
      <c r="I5" s="1052" t="str">
        <f>IF(inputPrYr!B69&gt;" ",(inputPrYr!B69)," ")</f>
        <v xml:space="preserve"> </v>
      </c>
      <c r="J5" s="1053"/>
      <c r="K5" s="107"/>
    </row>
    <row r="6" spans="1:11" x14ac:dyDescent="0.25">
      <c r="A6" s="286" t="s">
        <v>234</v>
      </c>
      <c r="B6" s="287"/>
      <c r="C6" s="288" t="s">
        <v>234</v>
      </c>
      <c r="D6" s="289"/>
      <c r="E6" s="288" t="s">
        <v>234</v>
      </c>
      <c r="F6" s="285"/>
      <c r="G6" s="288" t="s">
        <v>234</v>
      </c>
      <c r="H6" s="290"/>
      <c r="I6" s="288" t="s">
        <v>234</v>
      </c>
      <c r="J6" s="155"/>
      <c r="K6" s="291" t="s">
        <v>76</v>
      </c>
    </row>
    <row r="7" spans="1:11" x14ac:dyDescent="0.25">
      <c r="A7" s="292" t="s">
        <v>20</v>
      </c>
      <c r="B7" s="293">
        <v>6911</v>
      </c>
      <c r="C7" s="294" t="s">
        <v>20</v>
      </c>
      <c r="D7" s="293">
        <v>6521</v>
      </c>
      <c r="E7" s="292" t="s">
        <v>20</v>
      </c>
      <c r="F7" s="293">
        <v>14361</v>
      </c>
      <c r="G7" s="294" t="s">
        <v>20</v>
      </c>
      <c r="H7" s="293">
        <v>57</v>
      </c>
      <c r="I7" s="294" t="s">
        <v>20</v>
      </c>
      <c r="J7" s="293"/>
      <c r="K7" s="295">
        <f>SUM(B7+D7+F7+H7+J7)</f>
        <v>27850</v>
      </c>
    </row>
    <row r="8" spans="1:11" x14ac:dyDescent="0.25">
      <c r="A8" s="296" t="s">
        <v>214</v>
      </c>
      <c r="B8" s="297"/>
      <c r="C8" s="296" t="s">
        <v>214</v>
      </c>
      <c r="D8" s="298"/>
      <c r="E8" s="296" t="s">
        <v>214</v>
      </c>
      <c r="F8" s="297"/>
      <c r="G8" s="296" t="s">
        <v>214</v>
      </c>
      <c r="H8" s="298"/>
      <c r="I8" s="296" t="s">
        <v>214</v>
      </c>
      <c r="J8" s="155"/>
      <c r="K8" s="282"/>
    </row>
    <row r="9" spans="1:11" x14ac:dyDescent="0.25">
      <c r="A9" s="299" t="s">
        <v>1074</v>
      </c>
      <c r="B9" s="293">
        <v>750</v>
      </c>
      <c r="C9" s="299" t="s">
        <v>1075</v>
      </c>
      <c r="D9" s="293">
        <v>7804</v>
      </c>
      <c r="E9" s="299"/>
      <c r="F9" s="293"/>
      <c r="G9" s="299" t="s">
        <v>1250</v>
      </c>
      <c r="H9" s="293">
        <v>400</v>
      </c>
      <c r="I9" s="299"/>
      <c r="J9" s="293"/>
      <c r="K9" s="282"/>
    </row>
    <row r="10" spans="1:11" x14ac:dyDescent="0.25">
      <c r="A10" s="299"/>
      <c r="B10" s="293"/>
      <c r="C10" s="299"/>
      <c r="D10" s="293"/>
      <c r="E10" s="299"/>
      <c r="F10" s="293"/>
      <c r="G10" s="299"/>
      <c r="H10" s="293"/>
      <c r="I10" s="299"/>
      <c r="J10" s="293"/>
      <c r="K10" s="282"/>
    </row>
    <row r="11" spans="1:11" x14ac:dyDescent="0.25">
      <c r="A11" s="299"/>
      <c r="B11" s="293"/>
      <c r="C11" s="300"/>
      <c r="D11" s="293"/>
      <c r="E11" s="299"/>
      <c r="F11" s="293"/>
      <c r="G11" s="300"/>
      <c r="H11" s="293"/>
      <c r="I11" s="301"/>
      <c r="J11" s="293"/>
      <c r="K11" s="282"/>
    </row>
    <row r="12" spans="1:11" x14ac:dyDescent="0.25">
      <c r="A12" s="299"/>
      <c r="B12" s="293"/>
      <c r="C12" s="299"/>
      <c r="D12" s="293"/>
      <c r="E12" s="299"/>
      <c r="F12" s="293"/>
      <c r="G12" s="299"/>
      <c r="H12" s="293"/>
      <c r="I12" s="302"/>
      <c r="J12" s="293"/>
      <c r="K12" s="282"/>
    </row>
    <row r="13" spans="1:11" x14ac:dyDescent="0.25">
      <c r="A13" s="303"/>
      <c r="B13" s="293"/>
      <c r="C13" s="304"/>
      <c r="D13" s="293"/>
      <c r="E13" s="303"/>
      <c r="F13" s="293"/>
      <c r="G13" s="304"/>
      <c r="H13" s="293"/>
      <c r="I13" s="301"/>
      <c r="J13" s="293"/>
      <c r="K13" s="282"/>
    </row>
    <row r="14" spans="1:11" x14ac:dyDescent="0.25">
      <c r="A14" s="299"/>
      <c r="B14" s="293"/>
      <c r="C14" s="302"/>
      <c r="D14" s="293"/>
      <c r="E14" s="299"/>
      <c r="F14" s="293"/>
      <c r="G14" s="302"/>
      <c r="H14" s="293"/>
      <c r="I14" s="302"/>
      <c r="J14" s="293"/>
      <c r="K14" s="282"/>
    </row>
    <row r="15" spans="1:11" x14ac:dyDescent="0.25">
      <c r="A15" s="299"/>
      <c r="B15" s="293"/>
      <c r="C15" s="302"/>
      <c r="D15" s="293"/>
      <c r="E15" s="299"/>
      <c r="F15" s="293"/>
      <c r="G15" s="302"/>
      <c r="H15" s="293"/>
      <c r="I15" s="302"/>
      <c r="J15" s="293"/>
      <c r="K15" s="282"/>
    </row>
    <row r="16" spans="1:11" x14ac:dyDescent="0.25">
      <c r="A16" s="299"/>
      <c r="B16" s="293"/>
      <c r="C16" s="299"/>
      <c r="D16" s="293"/>
      <c r="E16" s="299"/>
      <c r="F16" s="293"/>
      <c r="G16" s="299"/>
      <c r="H16" s="293"/>
      <c r="I16" s="299"/>
      <c r="J16" s="293"/>
      <c r="K16" s="282"/>
    </row>
    <row r="17" spans="1:12" x14ac:dyDescent="0.25">
      <c r="A17" s="296" t="s">
        <v>111</v>
      </c>
      <c r="B17" s="295">
        <f>SUM(B9:B16)</f>
        <v>750</v>
      </c>
      <c r="C17" s="296" t="s">
        <v>111</v>
      </c>
      <c r="D17" s="295">
        <f>SUM(D9:D16)</f>
        <v>7804</v>
      </c>
      <c r="E17" s="296" t="s">
        <v>111</v>
      </c>
      <c r="F17" s="295">
        <f>SUM(F9:F16)</f>
        <v>0</v>
      </c>
      <c r="G17" s="296" t="s">
        <v>111</v>
      </c>
      <c r="H17" s="295">
        <f>SUM(H9:H16)</f>
        <v>400</v>
      </c>
      <c r="I17" s="296" t="s">
        <v>111</v>
      </c>
      <c r="J17" s="295">
        <f>SUM(J9:J16)</f>
        <v>0</v>
      </c>
      <c r="K17" s="295">
        <f>SUM(B17+D17+F17+H17+J17)</f>
        <v>8954</v>
      </c>
    </row>
    <row r="18" spans="1:12" x14ac:dyDescent="0.25">
      <c r="A18" s="296" t="s">
        <v>112</v>
      </c>
      <c r="B18" s="295">
        <f>SUM(B7+B17)</f>
        <v>7661</v>
      </c>
      <c r="C18" s="296" t="s">
        <v>112</v>
      </c>
      <c r="D18" s="295">
        <f>SUM(D7+D17)</f>
        <v>14325</v>
      </c>
      <c r="E18" s="296" t="s">
        <v>112</v>
      </c>
      <c r="F18" s="295">
        <f>SUM(F7+F17)</f>
        <v>14361</v>
      </c>
      <c r="G18" s="296" t="s">
        <v>112</v>
      </c>
      <c r="H18" s="295">
        <f>SUM(H7+H17)</f>
        <v>457</v>
      </c>
      <c r="I18" s="296" t="s">
        <v>112</v>
      </c>
      <c r="J18" s="295">
        <f>SUM(J7+J17)</f>
        <v>0</v>
      </c>
      <c r="K18" s="295">
        <f>SUM(B18+D18+F18+H18+J18)</f>
        <v>36804</v>
      </c>
    </row>
    <row r="19" spans="1:12" x14ac:dyDescent="0.25">
      <c r="A19" s="296" t="s">
        <v>114</v>
      </c>
      <c r="B19" s="297"/>
      <c r="C19" s="296" t="s">
        <v>114</v>
      </c>
      <c r="D19" s="298"/>
      <c r="E19" s="296" t="s">
        <v>114</v>
      </c>
      <c r="F19" s="297"/>
      <c r="G19" s="296" t="s">
        <v>114</v>
      </c>
      <c r="H19" s="298"/>
      <c r="I19" s="296" t="s">
        <v>114</v>
      </c>
      <c r="J19" s="155"/>
      <c r="K19" s="282"/>
    </row>
    <row r="20" spans="1:12" x14ac:dyDescent="0.25">
      <c r="A20" s="299"/>
      <c r="B20" s="293"/>
      <c r="C20" s="302" t="s">
        <v>1076</v>
      </c>
      <c r="D20" s="293">
        <v>8441</v>
      </c>
      <c r="E20" s="299" t="s">
        <v>1073</v>
      </c>
      <c r="F20" s="293"/>
      <c r="G20" s="302" t="s">
        <v>1251</v>
      </c>
      <c r="H20" s="293">
        <v>200</v>
      </c>
      <c r="I20" s="302"/>
      <c r="J20" s="293"/>
      <c r="K20" s="282"/>
    </row>
    <row r="21" spans="1:12" x14ac:dyDescent="0.25">
      <c r="A21" s="299"/>
      <c r="B21" s="293"/>
      <c r="C21" s="302"/>
      <c r="D21" s="293"/>
      <c r="E21" s="299"/>
      <c r="F21" s="293"/>
      <c r="G21" s="302"/>
      <c r="H21" s="293"/>
      <c r="I21" s="302"/>
      <c r="J21" s="293"/>
      <c r="K21" s="282"/>
    </row>
    <row r="22" spans="1:12" x14ac:dyDescent="0.25">
      <c r="A22" s="299"/>
      <c r="B22" s="293"/>
      <c r="C22" s="304"/>
      <c r="D22" s="293"/>
      <c r="E22" s="299"/>
      <c r="F22" s="293"/>
      <c r="G22" s="304"/>
      <c r="H22" s="293"/>
      <c r="I22" s="301"/>
      <c r="J22" s="293"/>
      <c r="K22" s="282"/>
    </row>
    <row r="23" spans="1:12" x14ac:dyDescent="0.25">
      <c r="A23" s="299"/>
      <c r="B23" s="293"/>
      <c r="C23" s="302"/>
      <c r="D23" s="293"/>
      <c r="E23" s="299"/>
      <c r="F23" s="293"/>
      <c r="G23" s="302"/>
      <c r="H23" s="293"/>
      <c r="I23" s="302"/>
      <c r="J23" s="293"/>
      <c r="K23" s="282"/>
    </row>
    <row r="24" spans="1:12" x14ac:dyDescent="0.25">
      <c r="A24" s="299"/>
      <c r="B24" s="293"/>
      <c r="C24" s="304"/>
      <c r="D24" s="293"/>
      <c r="E24" s="299"/>
      <c r="F24" s="293"/>
      <c r="G24" s="304"/>
      <c r="H24" s="293"/>
      <c r="I24" s="301"/>
      <c r="J24" s="293"/>
      <c r="K24" s="282"/>
    </row>
    <row r="25" spans="1:12" x14ac:dyDescent="0.25">
      <c r="A25" s="299"/>
      <c r="B25" s="293"/>
      <c r="C25" s="302"/>
      <c r="D25" s="293"/>
      <c r="E25" s="299"/>
      <c r="F25" s="293"/>
      <c r="G25" s="302"/>
      <c r="H25" s="293"/>
      <c r="I25" s="302"/>
      <c r="J25" s="293"/>
      <c r="K25" s="282"/>
    </row>
    <row r="26" spans="1:12" x14ac:dyDescent="0.25">
      <c r="A26" s="299"/>
      <c r="B26" s="293"/>
      <c r="C26" s="302"/>
      <c r="D26" s="293"/>
      <c r="E26" s="299"/>
      <c r="F26" s="293"/>
      <c r="G26" s="302"/>
      <c r="H26" s="293"/>
      <c r="I26" s="302"/>
      <c r="J26" s="293"/>
      <c r="K26" s="282"/>
    </row>
    <row r="27" spans="1:12" x14ac:dyDescent="0.25">
      <c r="A27" s="299"/>
      <c r="B27" s="293"/>
      <c r="C27" s="299"/>
      <c r="D27" s="293"/>
      <c r="E27" s="299"/>
      <c r="F27" s="293"/>
      <c r="G27" s="299"/>
      <c r="H27" s="293"/>
      <c r="I27" s="302"/>
      <c r="J27" s="293"/>
      <c r="K27" s="282"/>
    </row>
    <row r="28" spans="1:12" x14ac:dyDescent="0.25">
      <c r="A28" s="296" t="s">
        <v>118</v>
      </c>
      <c r="B28" s="295">
        <f>SUM(B20:B27)</f>
        <v>0</v>
      </c>
      <c r="C28" s="296" t="s">
        <v>118</v>
      </c>
      <c r="D28" s="295">
        <f>SUM(D20:D27)</f>
        <v>8441</v>
      </c>
      <c r="E28" s="296" t="s">
        <v>118</v>
      </c>
      <c r="F28" s="295">
        <f>SUM(F20:F27)</f>
        <v>0</v>
      </c>
      <c r="G28" s="296" t="s">
        <v>118</v>
      </c>
      <c r="H28" s="295">
        <f>SUM(H20:H27)</f>
        <v>200</v>
      </c>
      <c r="I28" s="296" t="s">
        <v>118</v>
      </c>
      <c r="J28" s="295">
        <f>SUM(J20:J27)</f>
        <v>0</v>
      </c>
      <c r="K28" s="295">
        <f>SUM(B28+D28+F28+H28+J28)</f>
        <v>8641</v>
      </c>
    </row>
    <row r="29" spans="1:12" x14ac:dyDescent="0.25">
      <c r="A29" s="296" t="s">
        <v>235</v>
      </c>
      <c r="B29" s="295">
        <f>SUM(B18-B28)</f>
        <v>7661</v>
      </c>
      <c r="C29" s="296" t="s">
        <v>235</v>
      </c>
      <c r="D29" s="295">
        <f>SUM(D18-D28)</f>
        <v>5884</v>
      </c>
      <c r="E29" s="296" t="s">
        <v>235</v>
      </c>
      <c r="F29" s="295">
        <f>SUM(F18-F28)</f>
        <v>14361</v>
      </c>
      <c r="G29" s="296" t="s">
        <v>235</v>
      </c>
      <c r="H29" s="295">
        <f>SUM(H18-H28)</f>
        <v>257</v>
      </c>
      <c r="I29" s="296" t="s">
        <v>235</v>
      </c>
      <c r="J29" s="295">
        <f>SUM(J18-J28)</f>
        <v>0</v>
      </c>
      <c r="K29" s="305">
        <f>SUM(B29+D29+F29+H29+J29)</f>
        <v>28163</v>
      </c>
      <c r="L29" s="18" t="s">
        <v>302</v>
      </c>
    </row>
    <row r="30" spans="1:12" hidden="1" x14ac:dyDescent="0.25">
      <c r="A30" s="296"/>
      <c r="B30" s="329" t="str">
        <f>IF(B29&lt;0,"See Tab B","")</f>
        <v/>
      </c>
      <c r="C30" s="296"/>
      <c r="D30" s="329" t="str">
        <f>IF(D29&lt;0,"See Tab B","")</f>
        <v/>
      </c>
      <c r="E30" s="296"/>
      <c r="F30" s="329" t="str">
        <f>IF(F29&lt;0,"See Tab B","")</f>
        <v/>
      </c>
      <c r="G30" s="155"/>
      <c r="H30" s="329" t="str">
        <f>IF(H29&lt;0,"See Tab B","")</f>
        <v/>
      </c>
      <c r="I30" s="155"/>
      <c r="J30" s="329" t="str">
        <f>IF(J29&lt;0,"See Tab B","")</f>
        <v/>
      </c>
      <c r="K30" s="305">
        <f>SUM(K7+K17-K28)</f>
        <v>28163</v>
      </c>
      <c r="L30" s="18" t="s">
        <v>302</v>
      </c>
    </row>
    <row r="31" spans="1:12" hidden="1" x14ac:dyDescent="0.25">
      <c r="A31" s="155"/>
      <c r="B31" s="160"/>
      <c r="C31" s="155"/>
      <c r="D31" s="282"/>
      <c r="E31" s="155"/>
      <c r="F31" s="155"/>
      <c r="G31" s="28" t="s">
        <v>304</v>
      </c>
      <c r="H31" s="28"/>
      <c r="I31" s="28"/>
      <c r="J31" s="28"/>
      <c r="K31" s="155"/>
    </row>
    <row r="32" spans="1:12" x14ac:dyDescent="0.25">
      <c r="A32" s="155"/>
      <c r="B32" s="160"/>
      <c r="C32" s="155"/>
      <c r="D32" s="155"/>
      <c r="E32" s="155"/>
      <c r="F32" s="155"/>
      <c r="G32" s="155"/>
      <c r="H32" s="155"/>
      <c r="I32" s="155"/>
      <c r="J32" s="155"/>
      <c r="K32" s="155"/>
    </row>
    <row r="33" spans="1:11" x14ac:dyDescent="0.25">
      <c r="A33" s="155"/>
      <c r="B33" s="160"/>
      <c r="C33" s="155"/>
      <c r="D33" s="155"/>
      <c r="E33" s="168" t="s">
        <v>121</v>
      </c>
      <c r="F33" s="263">
        <v>21</v>
      </c>
      <c r="G33" s="155"/>
      <c r="H33" s="155"/>
      <c r="I33" s="155"/>
      <c r="J33" s="155"/>
      <c r="K33" s="155"/>
    </row>
    <row r="34" spans="1:11" x14ac:dyDescent="0.25">
      <c r="B34" s="306"/>
    </row>
    <row r="35" spans="1:11" x14ac:dyDescent="0.25">
      <c r="B35" s="306"/>
    </row>
    <row r="36" spans="1:11" x14ac:dyDescent="0.25">
      <c r="B36" s="306"/>
    </row>
    <row r="37" spans="1:11" x14ac:dyDescent="0.25">
      <c r="B37" s="306"/>
    </row>
    <row r="38" spans="1:11" x14ac:dyDescent="0.25">
      <c r="B38" s="306"/>
    </row>
    <row r="39" spans="1:11" x14ac:dyDescent="0.25">
      <c r="B39" s="306"/>
    </row>
    <row r="40" spans="1:11" x14ac:dyDescent="0.25">
      <c r="B40" s="306"/>
    </row>
    <row r="41" spans="1:11" x14ac:dyDescent="0.25">
      <c r="B41" s="306"/>
    </row>
  </sheetData>
  <mergeCells count="5">
    <mergeCell ref="I5:J5"/>
    <mergeCell ref="A5:B5"/>
    <mergeCell ref="C5:D5"/>
    <mergeCell ref="E5:F5"/>
    <mergeCell ref="G5:H5"/>
  </mergeCells>
  <phoneticPr fontId="9" type="noConversion"/>
  <pageMargins left="0.75" right="0.75" top="1" bottom="1" header="0.5" footer="0.5"/>
  <pageSetup scale="96" orientation="landscape" blackAndWhite="1" r:id="rId1"/>
  <headerFooter alignWithMargins="0">
    <oddHeader>&amp;RState of Kansas
City</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1"/>
  <sheetViews>
    <sheetView view="pageBreakPreview" topLeftCell="A16" zoomScale="85" zoomScaleNormal="115" zoomScaleSheetLayoutView="85" workbookViewId="0">
      <selection activeCell="J30" sqref="J30:J31"/>
    </sheetView>
  </sheetViews>
  <sheetFormatPr defaultColWidth="8.9140625" defaultRowHeight="15.6" x14ac:dyDescent="0.25"/>
  <cols>
    <col min="1" max="1" width="11.58203125" style="18" customWidth="1"/>
    <col min="2" max="2" width="7.4140625" style="18" customWidth="1"/>
    <col min="3" max="3" width="11.58203125" style="18" customWidth="1"/>
    <col min="4" max="4" width="7.4140625" style="18" customWidth="1"/>
    <col min="5" max="5" width="11.58203125" style="18" customWidth="1"/>
    <col min="6" max="6" width="7.4140625" style="18" customWidth="1"/>
    <col min="7" max="7" width="11.58203125" style="18" customWidth="1"/>
    <col min="8" max="8" width="7.4140625" style="18" customWidth="1"/>
    <col min="9" max="9" width="11.58203125" style="18" customWidth="1"/>
    <col min="10" max="16384" width="8.9140625" style="18"/>
  </cols>
  <sheetData>
    <row r="1" spans="1:11" x14ac:dyDescent="0.25">
      <c r="A1" s="156" t="str">
        <f>inputPrYr!$D$2</f>
        <v>City of Osawatomie</v>
      </c>
      <c r="B1" s="282"/>
      <c r="C1" s="155"/>
      <c r="D1" s="155"/>
      <c r="E1" s="155"/>
      <c r="F1" s="157" t="s">
        <v>237</v>
      </c>
      <c r="G1" s="155"/>
      <c r="H1" s="155"/>
      <c r="I1" s="155"/>
      <c r="J1" s="155"/>
      <c r="K1" s="155">
        <f>inputPrYr!$C$5</f>
        <v>2015</v>
      </c>
    </row>
    <row r="2" spans="1:11" x14ac:dyDescent="0.25">
      <c r="A2" s="155"/>
      <c r="B2" s="155"/>
      <c r="C2" s="155"/>
      <c r="D2" s="155"/>
      <c r="E2" s="155"/>
      <c r="F2" s="283" t="str">
        <f>CONCATENATE("(Only the actual budget year for ",K1-2," is to be shown)")</f>
        <v>(Only the actual budget year for 2013 is to be shown)</v>
      </c>
      <c r="G2" s="155"/>
      <c r="H2" s="155"/>
      <c r="I2" s="155"/>
      <c r="J2" s="155"/>
      <c r="K2" s="155"/>
    </row>
    <row r="3" spans="1:11" x14ac:dyDescent="0.25">
      <c r="A3" s="155" t="s">
        <v>1245</v>
      </c>
      <c r="B3" s="155"/>
      <c r="C3" s="155"/>
      <c r="D3" s="155"/>
      <c r="E3" s="155"/>
      <c r="F3" s="282"/>
      <c r="G3" s="155"/>
      <c r="H3" s="155"/>
      <c r="I3" s="155"/>
      <c r="J3" s="155"/>
      <c r="K3" s="155"/>
    </row>
    <row r="4" spans="1:11" x14ac:dyDescent="0.25">
      <c r="A4" s="155" t="s">
        <v>229</v>
      </c>
      <c r="B4" s="155"/>
      <c r="C4" s="155" t="s">
        <v>230</v>
      </c>
      <c r="D4" s="155"/>
      <c r="E4" s="155" t="s">
        <v>231</v>
      </c>
      <c r="F4" s="282"/>
      <c r="G4" s="155" t="s">
        <v>232</v>
      </c>
      <c r="H4" s="155"/>
      <c r="I4" s="155" t="s">
        <v>233</v>
      </c>
      <c r="J4" s="155"/>
      <c r="K4" s="155"/>
    </row>
    <row r="5" spans="1:11" x14ac:dyDescent="0.25">
      <c r="A5" s="1052" t="str">
        <f>IF(inputPrYr!B71&gt;" ",(inputPrYr!B71)," ")</f>
        <v>Fire Insurance Proceeds</v>
      </c>
      <c r="B5" s="1053"/>
      <c r="C5" s="1052" t="str">
        <f>IF(inputPrYr!B72&gt;" ",(inputPrYr!B72)," ")</f>
        <v>Rural Fire</v>
      </c>
      <c r="D5" s="1053"/>
      <c r="E5" s="1052" t="str">
        <f>IF(inputPrYr!B73&gt;" ",(inputPrYr!B73)," ")</f>
        <v>Cafeteria 125-HRA</v>
      </c>
      <c r="F5" s="1053"/>
      <c r="G5" s="1052" t="str">
        <f>IF(inputPrYr!B74&gt;" ",(inputPrYr!B74)," ")</f>
        <v>Revolving Fund</v>
      </c>
      <c r="H5" s="1053"/>
      <c r="I5" s="1050" t="str">
        <f>IF(inputPrYr!B75&gt;" ",(inputPrYr!B75)," ")</f>
        <v>Pay Pal</v>
      </c>
      <c r="J5" s="1051"/>
      <c r="K5" s="107"/>
    </row>
    <row r="6" spans="1:11" x14ac:dyDescent="0.25">
      <c r="A6" s="286" t="s">
        <v>234</v>
      </c>
      <c r="B6" s="287"/>
      <c r="C6" s="288" t="s">
        <v>234</v>
      </c>
      <c r="D6" s="289"/>
      <c r="E6" s="288" t="s">
        <v>234</v>
      </c>
      <c r="F6" s="285"/>
      <c r="G6" s="288" t="s">
        <v>234</v>
      </c>
      <c r="H6" s="290"/>
      <c r="I6" s="288" t="s">
        <v>234</v>
      </c>
      <c r="J6" s="285"/>
      <c r="K6" s="291" t="s">
        <v>76</v>
      </c>
    </row>
    <row r="7" spans="1:11" x14ac:dyDescent="0.25">
      <c r="A7" s="294" t="s">
        <v>20</v>
      </c>
      <c r="B7" s="293">
        <v>1</v>
      </c>
      <c r="C7" s="294" t="s">
        <v>20</v>
      </c>
      <c r="D7" s="293">
        <v>763</v>
      </c>
      <c r="E7" s="294" t="s">
        <v>20</v>
      </c>
      <c r="F7" s="293">
        <v>4926</v>
      </c>
      <c r="G7" s="294" t="s">
        <v>20</v>
      </c>
      <c r="H7" s="293">
        <v>72758</v>
      </c>
      <c r="I7" s="294" t="s">
        <v>20</v>
      </c>
      <c r="J7" s="293">
        <v>96</v>
      </c>
      <c r="K7" s="295">
        <f>SUM(B7+D7+F7+H7+J7)</f>
        <v>78544</v>
      </c>
    </row>
    <row r="8" spans="1:11" x14ac:dyDescent="0.25">
      <c r="A8" s="296" t="s">
        <v>214</v>
      </c>
      <c r="B8" s="155"/>
      <c r="C8" s="296" t="s">
        <v>214</v>
      </c>
      <c r="D8" s="155"/>
      <c r="E8" s="296" t="s">
        <v>214</v>
      </c>
      <c r="F8" s="282"/>
      <c r="G8" s="296" t="s">
        <v>214</v>
      </c>
      <c r="H8" s="155"/>
      <c r="I8" s="296" t="s">
        <v>214</v>
      </c>
      <c r="J8" s="282"/>
      <c r="K8" s="282"/>
    </row>
    <row r="9" spans="1:11" x14ac:dyDescent="0.25">
      <c r="A9" s="299" t="s">
        <v>1062</v>
      </c>
      <c r="B9" s="293"/>
      <c r="C9" s="299" t="s">
        <v>1064</v>
      </c>
      <c r="D9" s="293">
        <f>27603-8000</f>
        <v>19603</v>
      </c>
      <c r="E9" s="299" t="s">
        <v>1069</v>
      </c>
      <c r="F9" s="293">
        <v>22537</v>
      </c>
      <c r="G9" s="299" t="s">
        <v>1066</v>
      </c>
      <c r="H9" s="293"/>
      <c r="I9" s="299" t="s">
        <v>157</v>
      </c>
      <c r="J9" s="293"/>
      <c r="K9" s="282"/>
    </row>
    <row r="10" spans="1:11" x14ac:dyDescent="0.25">
      <c r="A10" s="299"/>
      <c r="B10" s="293"/>
      <c r="C10" s="299" t="s">
        <v>1252</v>
      </c>
      <c r="D10" s="293">
        <v>4000</v>
      </c>
      <c r="E10" s="299" t="s">
        <v>1068</v>
      </c>
      <c r="F10" s="293">
        <v>24000</v>
      </c>
      <c r="G10" s="299"/>
      <c r="H10" s="293"/>
      <c r="I10" s="299"/>
      <c r="J10" s="293"/>
      <c r="K10" s="282"/>
    </row>
    <row r="11" spans="1:11" x14ac:dyDescent="0.25">
      <c r="A11" s="301"/>
      <c r="B11" s="293"/>
      <c r="C11" s="300" t="s">
        <v>1253</v>
      </c>
      <c r="D11" s="293">
        <v>4000</v>
      </c>
      <c r="E11" s="300"/>
      <c r="F11" s="293"/>
      <c r="G11" s="300"/>
      <c r="H11" s="293"/>
      <c r="I11" s="300"/>
      <c r="J11" s="293"/>
      <c r="K11" s="282"/>
    </row>
    <row r="12" spans="1:11" x14ac:dyDescent="0.25">
      <c r="A12" s="302"/>
      <c r="B12" s="293"/>
      <c r="C12" s="302"/>
      <c r="D12" s="293"/>
      <c r="E12" s="302"/>
      <c r="F12" s="293"/>
      <c r="G12" s="302"/>
      <c r="H12" s="293"/>
      <c r="I12" s="302"/>
      <c r="J12" s="293"/>
      <c r="K12" s="282"/>
    </row>
    <row r="13" spans="1:11" x14ac:dyDescent="0.25">
      <c r="A13" s="301"/>
      <c r="B13" s="293"/>
      <c r="C13" s="304"/>
      <c r="D13" s="293"/>
      <c r="E13" s="304"/>
      <c r="F13" s="293"/>
      <c r="G13" s="304"/>
      <c r="H13" s="293"/>
      <c r="I13" s="304"/>
      <c r="J13" s="293"/>
      <c r="K13" s="282"/>
    </row>
    <row r="14" spans="1:11" x14ac:dyDescent="0.25">
      <c r="A14" s="302"/>
      <c r="B14" s="293"/>
      <c r="C14" s="302"/>
      <c r="D14" s="293"/>
      <c r="E14" s="302"/>
      <c r="F14" s="293"/>
      <c r="G14" s="302"/>
      <c r="H14" s="293"/>
      <c r="I14" s="302"/>
      <c r="J14" s="293"/>
      <c r="K14" s="282"/>
    </row>
    <row r="15" spans="1:11" x14ac:dyDescent="0.25">
      <c r="A15" s="302"/>
      <c r="B15" s="293"/>
      <c r="C15" s="302"/>
      <c r="D15" s="293"/>
      <c r="E15" s="302"/>
      <c r="F15" s="293"/>
      <c r="G15" s="302"/>
      <c r="H15" s="293"/>
      <c r="I15" s="302"/>
      <c r="J15" s="293"/>
      <c r="K15" s="282"/>
    </row>
    <row r="16" spans="1:11" x14ac:dyDescent="0.25">
      <c r="A16" s="299"/>
      <c r="B16" s="293"/>
      <c r="C16" s="302"/>
      <c r="D16" s="293"/>
      <c r="E16" s="299"/>
      <c r="F16" s="293"/>
      <c r="G16" s="302"/>
      <c r="H16" s="293"/>
      <c r="I16" s="299"/>
      <c r="J16" s="293"/>
      <c r="K16" s="282"/>
    </row>
    <row r="17" spans="1:12" x14ac:dyDescent="0.25">
      <c r="A17" s="296" t="s">
        <v>111</v>
      </c>
      <c r="B17" s="295">
        <f>SUM(B9:B16)</f>
        <v>0</v>
      </c>
      <c r="C17" s="296" t="s">
        <v>111</v>
      </c>
      <c r="D17" s="295">
        <f>SUM(D9:D16)</f>
        <v>27603</v>
      </c>
      <c r="E17" s="296" t="s">
        <v>111</v>
      </c>
      <c r="F17" s="360">
        <f>SUM(F9:F16)</f>
        <v>46537</v>
      </c>
      <c r="G17" s="296" t="s">
        <v>111</v>
      </c>
      <c r="H17" s="295">
        <f>SUM(H9:H16)</f>
        <v>0</v>
      </c>
      <c r="I17" s="296" t="s">
        <v>111</v>
      </c>
      <c r="J17" s="360">
        <f>SUM(J9:J16)</f>
        <v>0</v>
      </c>
      <c r="K17" s="295">
        <f>SUM(B17+D17+F17+H17+J17)</f>
        <v>74140</v>
      </c>
    </row>
    <row r="18" spans="1:12" x14ac:dyDescent="0.25">
      <c r="A18" s="296" t="s">
        <v>112</v>
      </c>
      <c r="B18" s="295">
        <f>SUM(B7+B17)</f>
        <v>1</v>
      </c>
      <c r="C18" s="296" t="s">
        <v>112</v>
      </c>
      <c r="D18" s="295">
        <f>SUM(D7+D17)</f>
        <v>28366</v>
      </c>
      <c r="E18" s="296" t="s">
        <v>112</v>
      </c>
      <c r="F18" s="295">
        <f>SUM(F7+F17)</f>
        <v>51463</v>
      </c>
      <c r="G18" s="296" t="s">
        <v>112</v>
      </c>
      <c r="H18" s="295">
        <f>SUM(H7+H17)</f>
        <v>72758</v>
      </c>
      <c r="I18" s="296" t="s">
        <v>112</v>
      </c>
      <c r="J18" s="295">
        <f>SUM(J7+J17)</f>
        <v>96</v>
      </c>
      <c r="K18" s="295">
        <f>SUM(B18+D18+F18+H18+J18)</f>
        <v>152684</v>
      </c>
    </row>
    <row r="19" spans="1:12" x14ac:dyDescent="0.25">
      <c r="A19" s="296" t="s">
        <v>114</v>
      </c>
      <c r="B19" s="155"/>
      <c r="C19" s="296" t="s">
        <v>114</v>
      </c>
      <c r="D19" s="155"/>
      <c r="E19" s="296" t="s">
        <v>114</v>
      </c>
      <c r="F19" s="282"/>
      <c r="G19" s="296" t="s">
        <v>114</v>
      </c>
      <c r="H19" s="155"/>
      <c r="I19" s="296" t="s">
        <v>114</v>
      </c>
      <c r="J19" s="282"/>
      <c r="K19" s="282"/>
    </row>
    <row r="20" spans="1:12" x14ac:dyDescent="0.25">
      <c r="A20" s="299" t="s">
        <v>1063</v>
      </c>
      <c r="B20" s="293"/>
      <c r="C20" s="302" t="s">
        <v>1065</v>
      </c>
      <c r="D20" s="293">
        <v>24192</v>
      </c>
      <c r="E20" s="302" t="s">
        <v>1070</v>
      </c>
      <c r="F20" s="293">
        <v>25336</v>
      </c>
      <c r="G20" s="302" t="s">
        <v>1067</v>
      </c>
      <c r="H20" s="293"/>
      <c r="I20" s="302" t="s">
        <v>1077</v>
      </c>
      <c r="J20" s="293"/>
      <c r="K20" s="282"/>
    </row>
    <row r="21" spans="1:12" x14ac:dyDescent="0.25">
      <c r="A21" s="302"/>
      <c r="B21" s="293"/>
      <c r="C21" s="302"/>
      <c r="D21" s="293"/>
      <c r="E21" s="302" t="s">
        <v>1071</v>
      </c>
      <c r="F21" s="293">
        <v>7472</v>
      </c>
      <c r="G21" s="302"/>
      <c r="H21" s="293"/>
      <c r="I21" s="302"/>
      <c r="J21" s="293"/>
      <c r="K21" s="282"/>
    </row>
    <row r="22" spans="1:12" x14ac:dyDescent="0.25">
      <c r="A22" s="301"/>
      <c r="B22" s="293"/>
      <c r="C22" s="304"/>
      <c r="D22" s="293"/>
      <c r="E22" s="304" t="s">
        <v>1072</v>
      </c>
      <c r="F22" s="293">
        <v>4556</v>
      </c>
      <c r="G22" s="304"/>
      <c r="H22" s="293"/>
      <c r="I22" s="304"/>
      <c r="J22" s="293"/>
      <c r="K22" s="282"/>
    </row>
    <row r="23" spans="1:12" x14ac:dyDescent="0.25">
      <c r="A23" s="302"/>
      <c r="B23" s="293"/>
      <c r="C23" s="302"/>
      <c r="D23" s="293"/>
      <c r="E23" s="302"/>
      <c r="F23" s="293"/>
      <c r="G23" s="302"/>
      <c r="H23" s="293"/>
      <c r="I23" s="302"/>
      <c r="J23" s="293"/>
      <c r="K23" s="282"/>
    </row>
    <row r="24" spans="1:12" x14ac:dyDescent="0.25">
      <c r="A24" s="301"/>
      <c r="B24" s="293"/>
      <c r="C24" s="304"/>
      <c r="D24" s="293"/>
      <c r="E24" s="304"/>
      <c r="F24" s="293"/>
      <c r="G24" s="304"/>
      <c r="H24" s="293"/>
      <c r="I24" s="304"/>
      <c r="J24" s="293"/>
      <c r="K24" s="282"/>
    </row>
    <row r="25" spans="1:12" x14ac:dyDescent="0.25">
      <c r="A25" s="302"/>
      <c r="B25" s="293"/>
      <c r="C25" s="302"/>
      <c r="D25" s="293"/>
      <c r="E25" s="302"/>
      <c r="F25" s="293"/>
      <c r="G25" s="302"/>
      <c r="H25" s="293"/>
      <c r="I25" s="302"/>
      <c r="J25" s="293"/>
      <c r="K25" s="282"/>
    </row>
    <row r="26" spans="1:12" x14ac:dyDescent="0.25">
      <c r="A26" s="302"/>
      <c r="B26" s="293"/>
      <c r="C26" s="302"/>
      <c r="D26" s="293"/>
      <c r="E26" s="302"/>
      <c r="F26" s="293"/>
      <c r="G26" s="302"/>
      <c r="H26" s="293"/>
      <c r="I26" s="302"/>
      <c r="J26" s="293"/>
      <c r="K26" s="282"/>
    </row>
    <row r="27" spans="1:12" x14ac:dyDescent="0.25">
      <c r="A27" s="302"/>
      <c r="B27" s="293"/>
      <c r="C27" s="302"/>
      <c r="D27" s="293"/>
      <c r="E27" s="299"/>
      <c r="F27" s="293"/>
      <c r="G27" s="302"/>
      <c r="H27" s="293"/>
      <c r="I27" s="299"/>
      <c r="J27" s="293"/>
      <c r="K27" s="282"/>
    </row>
    <row r="28" spans="1:12" x14ac:dyDescent="0.25">
      <c r="A28" s="296" t="s">
        <v>118</v>
      </c>
      <c r="B28" s="295">
        <f>SUM(B20:B27)</f>
        <v>0</v>
      </c>
      <c r="C28" s="296" t="s">
        <v>118</v>
      </c>
      <c r="D28" s="360">
        <f>SUM(D20:D27)</f>
        <v>24192</v>
      </c>
      <c r="E28" s="296" t="s">
        <v>118</v>
      </c>
      <c r="F28" s="360">
        <f>SUM(F20:F27)</f>
        <v>37364</v>
      </c>
      <c r="G28" s="296" t="s">
        <v>118</v>
      </c>
      <c r="H28" s="360">
        <f>SUM(H20:H27)</f>
        <v>0</v>
      </c>
      <c r="I28" s="296" t="s">
        <v>118</v>
      </c>
      <c r="J28" s="360">
        <f>SUM(J20:J27)</f>
        <v>0</v>
      </c>
      <c r="K28" s="295">
        <f>SUM(B28+D28+F28+H28+J28)</f>
        <v>61556</v>
      </c>
    </row>
    <row r="29" spans="1:12" x14ac:dyDescent="0.25">
      <c r="A29" s="296" t="s">
        <v>235</v>
      </c>
      <c r="B29" s="295">
        <f>SUM(B18-B28)</f>
        <v>1</v>
      </c>
      <c r="C29" s="296" t="s">
        <v>235</v>
      </c>
      <c r="D29" s="295">
        <f>SUM(D18-D28)</f>
        <v>4174</v>
      </c>
      <c r="E29" s="296" t="s">
        <v>235</v>
      </c>
      <c r="F29" s="295">
        <f>SUM(F18-F28)</f>
        <v>14099</v>
      </c>
      <c r="G29" s="296" t="s">
        <v>235</v>
      </c>
      <c r="H29" s="295">
        <f>SUM(H18-H28)</f>
        <v>72758</v>
      </c>
      <c r="I29" s="296" t="s">
        <v>235</v>
      </c>
      <c r="J29" s="295">
        <f>SUM(J18-J28)</f>
        <v>96</v>
      </c>
      <c r="K29" s="305">
        <f>SUM(B29+D29+F29+H29+J29)</f>
        <v>91128</v>
      </c>
      <c r="L29" s="18" t="s">
        <v>302</v>
      </c>
    </row>
    <row r="30" spans="1:12" hidden="1" x14ac:dyDescent="0.25">
      <c r="A30" s="296"/>
      <c r="B30" s="329" t="str">
        <f>IF(B29&lt;0,"See Tab B","")</f>
        <v/>
      </c>
      <c r="C30" s="296"/>
      <c r="D30" s="329" t="str">
        <f>IF(D29&lt;0,"See Tab B","")</f>
        <v/>
      </c>
      <c r="E30" s="296"/>
      <c r="F30" s="329" t="str">
        <f>IF(F29&lt;0,"See Tab B","")</f>
        <v/>
      </c>
      <c r="G30" s="155"/>
      <c r="H30" s="329" t="str">
        <f>IF(H29&lt;0,"See Tab B","")</f>
        <v/>
      </c>
      <c r="I30" s="155"/>
      <c r="J30" s="329" t="str">
        <f>IF(J29&lt;0,"See Tab B","")</f>
        <v/>
      </c>
      <c r="K30" s="305">
        <f>SUM(K7+K17-K28)</f>
        <v>91128</v>
      </c>
      <c r="L30" s="18" t="s">
        <v>302</v>
      </c>
    </row>
    <row r="31" spans="1:12" hidden="1" x14ac:dyDescent="0.25">
      <c r="A31" s="155"/>
      <c r="B31" s="160"/>
      <c r="C31" s="155"/>
      <c r="D31" s="282"/>
      <c r="E31" s="155"/>
      <c r="F31" s="155"/>
      <c r="G31" s="28" t="s">
        <v>304</v>
      </c>
      <c r="H31" s="28"/>
      <c r="I31" s="28"/>
      <c r="J31" s="28"/>
      <c r="K31" s="155"/>
    </row>
    <row r="32" spans="1:12" x14ac:dyDescent="0.25">
      <c r="A32" s="155"/>
      <c r="B32" s="160"/>
      <c r="C32" s="155"/>
      <c r="D32" s="155"/>
      <c r="E32" s="155"/>
      <c r="F32" s="155"/>
      <c r="G32" s="307"/>
      <c r="H32" s="155"/>
      <c r="I32" s="155"/>
      <c r="J32" s="155"/>
      <c r="K32" s="155"/>
    </row>
    <row r="33" spans="1:11" x14ac:dyDescent="0.25">
      <c r="A33" s="155"/>
      <c r="B33" s="160"/>
      <c r="C33" s="155"/>
      <c r="D33" s="155"/>
      <c r="E33" s="168" t="s">
        <v>121</v>
      </c>
      <c r="F33" s="263">
        <v>22</v>
      </c>
      <c r="G33" s="155"/>
      <c r="H33" s="155"/>
      <c r="I33" s="155"/>
      <c r="J33" s="155"/>
      <c r="K33" s="155"/>
    </row>
    <row r="34" spans="1:11" x14ac:dyDescent="0.25">
      <c r="B34" s="306"/>
    </row>
    <row r="35" spans="1:11" x14ac:dyDescent="0.25">
      <c r="B35" s="306"/>
    </row>
    <row r="36" spans="1:11" x14ac:dyDescent="0.25">
      <c r="B36" s="306"/>
    </row>
    <row r="37" spans="1:11" x14ac:dyDescent="0.25">
      <c r="B37" s="306"/>
    </row>
    <row r="38" spans="1:11" x14ac:dyDescent="0.25">
      <c r="B38" s="306"/>
    </row>
    <row r="39" spans="1:11" x14ac:dyDescent="0.25">
      <c r="B39" s="306"/>
    </row>
    <row r="40" spans="1:11" x14ac:dyDescent="0.25">
      <c r="B40" s="306"/>
    </row>
    <row r="41" spans="1:11" x14ac:dyDescent="0.25">
      <c r="B41" s="306"/>
    </row>
  </sheetData>
  <mergeCells count="5">
    <mergeCell ref="I5:J5"/>
    <mergeCell ref="A5:B5"/>
    <mergeCell ref="C5:D5"/>
    <mergeCell ref="E5:F5"/>
    <mergeCell ref="G5:H5"/>
  </mergeCells>
  <phoneticPr fontId="9" type="noConversion"/>
  <pageMargins left="0.75" right="0.75" top="1" bottom="1" header="0.5" footer="0.5"/>
  <pageSetup scale="96" orientation="landscape" blackAndWhite="1" r:id="rId1"/>
  <headerFooter alignWithMargins="0">
    <oddHeader>&amp;RState of Kansas
City</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1"/>
  <sheetViews>
    <sheetView topLeftCell="A13" zoomScale="115" zoomScaleNormal="115" workbookViewId="0">
      <selection activeCell="E20" sqref="E20"/>
    </sheetView>
  </sheetViews>
  <sheetFormatPr defaultColWidth="8.9140625" defaultRowHeight="15.6" x14ac:dyDescent="0.25"/>
  <cols>
    <col min="1" max="1" width="11.58203125" style="18" customWidth="1"/>
    <col min="2" max="2" width="7.4140625" style="18" customWidth="1"/>
    <col min="3" max="3" width="11.58203125" style="18" customWidth="1"/>
    <col min="4" max="4" width="7.4140625" style="18" customWidth="1"/>
    <col min="5" max="5" width="11.58203125" style="18" customWidth="1"/>
    <col min="6" max="6" width="7.4140625" style="18" customWidth="1"/>
    <col min="7" max="7" width="11.58203125" style="18" customWidth="1"/>
    <col min="8" max="8" width="7.4140625" style="18" customWidth="1"/>
    <col min="9" max="9" width="11.58203125" style="18" customWidth="1"/>
    <col min="10" max="16384" width="8.9140625" style="18"/>
  </cols>
  <sheetData>
    <row r="1" spans="1:11" x14ac:dyDescent="0.25">
      <c r="A1" s="156" t="str">
        <f>inputPrYr!$D$2</f>
        <v>City of Osawatomie</v>
      </c>
      <c r="B1" s="282"/>
      <c r="C1" s="155"/>
      <c r="D1" s="155"/>
      <c r="E1" s="155"/>
      <c r="F1" s="157" t="s">
        <v>238</v>
      </c>
      <c r="G1" s="155"/>
      <c r="H1" s="155"/>
      <c r="I1" s="155"/>
      <c r="J1" s="155"/>
      <c r="K1" s="155">
        <f>inputPrYr!$C$5</f>
        <v>2015</v>
      </c>
    </row>
    <row r="2" spans="1:11" x14ac:dyDescent="0.25">
      <c r="A2" s="155"/>
      <c r="B2" s="155"/>
      <c r="C2" s="155"/>
      <c r="D2" s="155"/>
      <c r="E2" s="155"/>
      <c r="F2" s="283" t="str">
        <f>CONCATENATE("(Only the actual budget year for ",K1-2," is to be shown)")</f>
        <v>(Only the actual budget year for 2013 is to be shown)</v>
      </c>
      <c r="G2" s="155"/>
      <c r="H2" s="155"/>
      <c r="I2" s="155"/>
      <c r="J2" s="155"/>
      <c r="K2" s="155"/>
    </row>
    <row r="3" spans="1:11" x14ac:dyDescent="0.25">
      <c r="A3" s="155" t="s">
        <v>270</v>
      </c>
      <c r="B3" s="155"/>
      <c r="C3" s="155"/>
      <c r="D3" s="155"/>
      <c r="E3" s="155"/>
      <c r="F3" s="282"/>
      <c r="G3" s="155"/>
      <c r="H3" s="155"/>
      <c r="I3" s="155"/>
      <c r="J3" s="155"/>
      <c r="K3" s="155"/>
    </row>
    <row r="4" spans="1:11" x14ac:dyDescent="0.25">
      <c r="A4" s="155" t="s">
        <v>229</v>
      </c>
      <c r="B4" s="155"/>
      <c r="C4" s="155" t="s">
        <v>230</v>
      </c>
      <c r="D4" s="155"/>
      <c r="E4" s="155" t="s">
        <v>231</v>
      </c>
      <c r="F4" s="282"/>
      <c r="G4" s="155" t="s">
        <v>232</v>
      </c>
      <c r="H4" s="155"/>
      <c r="I4" s="155" t="s">
        <v>233</v>
      </c>
      <c r="J4" s="155"/>
      <c r="K4" s="155"/>
    </row>
    <row r="5" spans="1:11" x14ac:dyDescent="0.25">
      <c r="A5" s="1050" t="str">
        <f>IF(inputPrYr!B77&gt;" ",(inputPrYr!B77)," ")</f>
        <v xml:space="preserve"> </v>
      </c>
      <c r="B5" s="1051"/>
      <c r="C5" s="1050" t="str">
        <f>IF(inputPrYr!B78&gt;" ",(inputPrYr!B78)," ")</f>
        <v xml:space="preserve"> </v>
      </c>
      <c r="D5" s="1051"/>
      <c r="E5" s="1050" t="str">
        <f>IF(inputPrYr!B79&gt;" ",(inputPrYr!B79)," ")</f>
        <v xml:space="preserve"> </v>
      </c>
      <c r="F5" s="1051"/>
      <c r="G5" s="1050" t="str">
        <f>IF(inputPrYr!B80&gt;" ",(inputPrYr!B80)," ")</f>
        <v xml:space="preserve"> </v>
      </c>
      <c r="H5" s="1051"/>
      <c r="I5" s="1050" t="str">
        <f>IF(inputPrYr!B81&gt;" ",(inputPrYr!B81)," ")</f>
        <v xml:space="preserve"> </v>
      </c>
      <c r="J5" s="1051"/>
      <c r="K5" s="107"/>
    </row>
    <row r="6" spans="1:11" x14ac:dyDescent="0.25">
      <c r="A6" s="286" t="s">
        <v>234</v>
      </c>
      <c r="B6" s="287"/>
      <c r="C6" s="288" t="s">
        <v>234</v>
      </c>
      <c r="D6" s="289"/>
      <c r="E6" s="288" t="s">
        <v>234</v>
      </c>
      <c r="F6" s="285"/>
      <c r="G6" s="288" t="s">
        <v>234</v>
      </c>
      <c r="H6" s="290"/>
      <c r="I6" s="288" t="s">
        <v>234</v>
      </c>
      <c r="J6" s="155"/>
      <c r="K6" s="291" t="s">
        <v>76</v>
      </c>
    </row>
    <row r="7" spans="1:11" x14ac:dyDescent="0.25">
      <c r="A7" s="294" t="s">
        <v>20</v>
      </c>
      <c r="B7" s="293"/>
      <c r="C7" s="294" t="s">
        <v>20</v>
      </c>
      <c r="D7" s="293"/>
      <c r="E7" s="294" t="s">
        <v>20</v>
      </c>
      <c r="F7" s="293"/>
      <c r="G7" s="294" t="s">
        <v>20</v>
      </c>
      <c r="H7" s="293"/>
      <c r="I7" s="294" t="s">
        <v>20</v>
      </c>
      <c r="J7" s="293"/>
      <c r="K7" s="295">
        <f>SUM(B7+D7+F7+H7+J7)</f>
        <v>0</v>
      </c>
    </row>
    <row r="8" spans="1:11" x14ac:dyDescent="0.25">
      <c r="A8" s="296" t="s">
        <v>214</v>
      </c>
      <c r="B8" s="155"/>
      <c r="C8" s="296" t="s">
        <v>214</v>
      </c>
      <c r="D8" s="155"/>
      <c r="E8" s="296" t="s">
        <v>214</v>
      </c>
      <c r="F8" s="282"/>
      <c r="G8" s="296" t="s">
        <v>214</v>
      </c>
      <c r="H8" s="155"/>
      <c r="I8" s="296" t="s">
        <v>214</v>
      </c>
      <c r="J8" s="155"/>
      <c r="K8" s="282"/>
    </row>
    <row r="9" spans="1:11" x14ac:dyDescent="0.25">
      <c r="A9" s="299"/>
      <c r="B9" s="293"/>
      <c r="C9" s="299"/>
      <c r="D9" s="293"/>
      <c r="E9" s="299"/>
      <c r="F9" s="293"/>
      <c r="G9" s="299"/>
      <c r="H9" s="293"/>
      <c r="I9" s="299"/>
      <c r="J9" s="293"/>
      <c r="K9" s="282"/>
    </row>
    <row r="10" spans="1:11" x14ac:dyDescent="0.25">
      <c r="A10" s="299"/>
      <c r="B10" s="293"/>
      <c r="C10" s="299"/>
      <c r="D10" s="293"/>
      <c r="E10" s="299"/>
      <c r="F10" s="293"/>
      <c r="G10" s="299"/>
      <c r="H10" s="293"/>
      <c r="I10" s="299"/>
      <c r="J10" s="293"/>
      <c r="K10" s="282"/>
    </row>
    <row r="11" spans="1:11" x14ac:dyDescent="0.25">
      <c r="A11" s="301"/>
      <c r="B11" s="293"/>
      <c r="C11" s="300"/>
      <c r="D11" s="293"/>
      <c r="E11" s="300"/>
      <c r="F11" s="293"/>
      <c r="G11" s="300"/>
      <c r="H11" s="293"/>
      <c r="I11" s="301"/>
      <c r="J11" s="293"/>
      <c r="K11" s="282"/>
    </row>
    <row r="12" spans="1:11" x14ac:dyDescent="0.25">
      <c r="A12" s="302"/>
      <c r="B12" s="293"/>
      <c r="C12" s="302"/>
      <c r="D12" s="293"/>
      <c r="E12" s="302"/>
      <c r="F12" s="293"/>
      <c r="G12" s="302"/>
      <c r="H12" s="293"/>
      <c r="I12" s="302"/>
      <c r="J12" s="293"/>
      <c r="K12" s="282"/>
    </row>
    <row r="13" spans="1:11" x14ac:dyDescent="0.25">
      <c r="A13" s="301"/>
      <c r="B13" s="293"/>
      <c r="C13" s="304"/>
      <c r="D13" s="293"/>
      <c r="E13" s="304"/>
      <c r="F13" s="293"/>
      <c r="G13" s="304"/>
      <c r="H13" s="293"/>
      <c r="I13" s="301"/>
      <c r="J13" s="293"/>
      <c r="K13" s="282"/>
    </row>
    <row r="14" spans="1:11" x14ac:dyDescent="0.25">
      <c r="A14" s="302"/>
      <c r="B14" s="293"/>
      <c r="C14" s="302"/>
      <c r="D14" s="293"/>
      <c r="E14" s="302"/>
      <c r="F14" s="293"/>
      <c r="G14" s="302"/>
      <c r="H14" s="293"/>
      <c r="I14" s="302"/>
      <c r="J14" s="293"/>
      <c r="K14" s="282"/>
    </row>
    <row r="15" spans="1:11" x14ac:dyDescent="0.25">
      <c r="A15" s="302"/>
      <c r="B15" s="293"/>
      <c r="C15" s="302"/>
      <c r="D15" s="293"/>
      <c r="E15" s="302"/>
      <c r="F15" s="293"/>
      <c r="G15" s="302"/>
      <c r="H15" s="293"/>
      <c r="I15" s="302"/>
      <c r="J15" s="293"/>
      <c r="K15" s="282"/>
    </row>
    <row r="16" spans="1:11" x14ac:dyDescent="0.25">
      <c r="A16" s="299"/>
      <c r="B16" s="293"/>
      <c r="C16" s="302"/>
      <c r="D16" s="293"/>
      <c r="E16" s="299"/>
      <c r="F16" s="293"/>
      <c r="G16" s="302"/>
      <c r="H16" s="293"/>
      <c r="I16" s="299"/>
      <c r="J16" s="293"/>
      <c r="K16" s="282"/>
    </row>
    <row r="17" spans="1:12" x14ac:dyDescent="0.25">
      <c r="A17" s="296" t="s">
        <v>111</v>
      </c>
      <c r="B17" s="295">
        <f>SUM(B9:B16)</f>
        <v>0</v>
      </c>
      <c r="C17" s="296" t="s">
        <v>111</v>
      </c>
      <c r="D17" s="295">
        <f>SUM(D9:D16)</f>
        <v>0</v>
      </c>
      <c r="E17" s="296" t="s">
        <v>111</v>
      </c>
      <c r="F17" s="360">
        <f>SUM(F9:F16)</f>
        <v>0</v>
      </c>
      <c r="G17" s="296" t="s">
        <v>111</v>
      </c>
      <c r="H17" s="295">
        <f>SUM(H9:H16)</f>
        <v>0</v>
      </c>
      <c r="I17" s="296" t="s">
        <v>111</v>
      </c>
      <c r="J17" s="295">
        <f>SUM(J9:J16)</f>
        <v>0</v>
      </c>
      <c r="K17" s="295">
        <f>SUM(B17+D17+F17+H17+J17)</f>
        <v>0</v>
      </c>
    </row>
    <row r="18" spans="1:12" x14ac:dyDescent="0.25">
      <c r="A18" s="296" t="s">
        <v>112</v>
      </c>
      <c r="B18" s="295">
        <f>SUM(B7+B17)</f>
        <v>0</v>
      </c>
      <c r="C18" s="296" t="s">
        <v>112</v>
      </c>
      <c r="D18" s="295">
        <f>SUM(D7+D17)</f>
        <v>0</v>
      </c>
      <c r="E18" s="296" t="s">
        <v>112</v>
      </c>
      <c r="F18" s="295">
        <f>SUM(F7+F17)</f>
        <v>0</v>
      </c>
      <c r="G18" s="296" t="s">
        <v>112</v>
      </c>
      <c r="H18" s="295">
        <f>SUM(H7+H17)</f>
        <v>0</v>
      </c>
      <c r="I18" s="296" t="s">
        <v>112</v>
      </c>
      <c r="J18" s="295">
        <f>SUM(J7+J17)</f>
        <v>0</v>
      </c>
      <c r="K18" s="295">
        <f>SUM(B18+D18+F18+H18+J18)</f>
        <v>0</v>
      </c>
    </row>
    <row r="19" spans="1:12" x14ac:dyDescent="0.25">
      <c r="A19" s="296" t="s">
        <v>114</v>
      </c>
      <c r="B19" s="155"/>
      <c r="C19" s="296" t="s">
        <v>114</v>
      </c>
      <c r="D19" s="155"/>
      <c r="E19" s="296" t="s">
        <v>114</v>
      </c>
      <c r="F19" s="282"/>
      <c r="G19" s="296" t="s">
        <v>114</v>
      </c>
      <c r="H19" s="155"/>
      <c r="I19" s="296" t="s">
        <v>114</v>
      </c>
      <c r="J19" s="155"/>
      <c r="K19" s="282"/>
    </row>
    <row r="20" spans="1:12" x14ac:dyDescent="0.25">
      <c r="A20" s="302"/>
      <c r="B20" s="293"/>
      <c r="C20" s="302"/>
      <c r="D20" s="293"/>
      <c r="E20" s="302"/>
      <c r="F20" s="293"/>
      <c r="G20" s="302"/>
      <c r="H20" s="293"/>
      <c r="I20" s="302"/>
      <c r="J20" s="293"/>
      <c r="K20" s="282"/>
    </row>
    <row r="21" spans="1:12" x14ac:dyDescent="0.25">
      <c r="A21" s="302"/>
      <c r="B21" s="293"/>
      <c r="C21" s="302"/>
      <c r="D21" s="293"/>
      <c r="E21" s="302"/>
      <c r="F21" s="293"/>
      <c r="G21" s="302"/>
      <c r="H21" s="293"/>
      <c r="I21" s="302"/>
      <c r="J21" s="293"/>
      <c r="K21" s="282"/>
    </row>
    <row r="22" spans="1:12" x14ac:dyDescent="0.25">
      <c r="A22" s="301"/>
      <c r="B22" s="293"/>
      <c r="C22" s="304"/>
      <c r="D22" s="293"/>
      <c r="E22" s="304"/>
      <c r="F22" s="293"/>
      <c r="G22" s="304"/>
      <c r="H22" s="293"/>
      <c r="I22" s="301"/>
      <c r="J22" s="293"/>
      <c r="K22" s="282"/>
    </row>
    <row r="23" spans="1:12" x14ac:dyDescent="0.25">
      <c r="A23" s="302"/>
      <c r="B23" s="293"/>
      <c r="C23" s="302"/>
      <c r="D23" s="293"/>
      <c r="E23" s="302"/>
      <c r="F23" s="293"/>
      <c r="G23" s="302"/>
      <c r="H23" s="293"/>
      <c r="I23" s="302"/>
      <c r="J23" s="293"/>
      <c r="K23" s="282"/>
    </row>
    <row r="24" spans="1:12" x14ac:dyDescent="0.25">
      <c r="A24" s="301"/>
      <c r="B24" s="293"/>
      <c r="C24" s="304"/>
      <c r="D24" s="293"/>
      <c r="E24" s="304"/>
      <c r="F24" s="293"/>
      <c r="G24" s="304"/>
      <c r="H24" s="293"/>
      <c r="I24" s="301"/>
      <c r="J24" s="293"/>
      <c r="K24" s="282"/>
    </row>
    <row r="25" spans="1:12" x14ac:dyDescent="0.25">
      <c r="A25" s="302"/>
      <c r="B25" s="293"/>
      <c r="C25" s="302"/>
      <c r="D25" s="293"/>
      <c r="E25" s="302"/>
      <c r="F25" s="293"/>
      <c r="G25" s="302"/>
      <c r="H25" s="293"/>
      <c r="I25" s="302"/>
      <c r="J25" s="293"/>
      <c r="K25" s="282"/>
    </row>
    <row r="26" spans="1:12" x14ac:dyDescent="0.25">
      <c r="A26" s="302"/>
      <c r="B26" s="293"/>
      <c r="C26" s="302"/>
      <c r="D26" s="293"/>
      <c r="E26" s="302"/>
      <c r="F26" s="293"/>
      <c r="G26" s="302"/>
      <c r="H26" s="293"/>
      <c r="I26" s="302"/>
      <c r="J26" s="293"/>
      <c r="K26" s="282"/>
    </row>
    <row r="27" spans="1:12" x14ac:dyDescent="0.25">
      <c r="A27" s="302"/>
      <c r="B27" s="293"/>
      <c r="C27" s="302"/>
      <c r="D27" s="293"/>
      <c r="E27" s="299"/>
      <c r="F27" s="293"/>
      <c r="G27" s="302"/>
      <c r="H27" s="293"/>
      <c r="I27" s="302"/>
      <c r="J27" s="293"/>
      <c r="K27" s="282"/>
    </row>
    <row r="28" spans="1:12" x14ac:dyDescent="0.25">
      <c r="A28" s="296" t="s">
        <v>118</v>
      </c>
      <c r="B28" s="295">
        <f>SUM(B20:B27)</f>
        <v>0</v>
      </c>
      <c r="C28" s="296" t="s">
        <v>118</v>
      </c>
      <c r="D28" s="360">
        <f>SUM(D20:D27)</f>
        <v>0</v>
      </c>
      <c r="E28" s="296" t="s">
        <v>118</v>
      </c>
      <c r="F28" s="360">
        <f>SUM(F20:F27)</f>
        <v>0</v>
      </c>
      <c r="G28" s="296" t="s">
        <v>118</v>
      </c>
      <c r="H28" s="360">
        <f>SUM(H20:H27)</f>
        <v>0</v>
      </c>
      <c r="I28" s="296" t="s">
        <v>118</v>
      </c>
      <c r="J28" s="295">
        <f>SUM(J20:J27)</f>
        <v>0</v>
      </c>
      <c r="K28" s="295">
        <f>SUM(B28+D28+F28+H28+J28)</f>
        <v>0</v>
      </c>
    </row>
    <row r="29" spans="1:12" x14ac:dyDescent="0.25">
      <c r="A29" s="296" t="s">
        <v>235</v>
      </c>
      <c r="B29" s="295">
        <f>SUM(B18-B28)</f>
        <v>0</v>
      </c>
      <c r="C29" s="296" t="s">
        <v>235</v>
      </c>
      <c r="D29" s="295">
        <f>SUM(D18-D28)</f>
        <v>0</v>
      </c>
      <c r="E29" s="296" t="s">
        <v>235</v>
      </c>
      <c r="F29" s="295">
        <f>SUM(F18-F28)</f>
        <v>0</v>
      </c>
      <c r="G29" s="296" t="s">
        <v>235</v>
      </c>
      <c r="H29" s="295">
        <f>SUM(H18-H28)</f>
        <v>0</v>
      </c>
      <c r="I29" s="296" t="s">
        <v>235</v>
      </c>
      <c r="J29" s="295">
        <f>SUM(J18-J28)</f>
        <v>0</v>
      </c>
      <c r="K29" s="305">
        <f>SUM(B29+D29+F29+H29+J29)</f>
        <v>0</v>
      </c>
      <c r="L29" s="18" t="s">
        <v>302</v>
      </c>
    </row>
    <row r="30" spans="1:12" x14ac:dyDescent="0.25">
      <c r="A30" s="296"/>
      <c r="B30" s="329" t="str">
        <f>IF(B29&lt;0,"See Tab B","")</f>
        <v/>
      </c>
      <c r="C30" s="296"/>
      <c r="D30" s="329" t="str">
        <f>IF(D29&lt;0,"See Tab B","")</f>
        <v/>
      </c>
      <c r="E30" s="296"/>
      <c r="F30" s="329" t="str">
        <f>IF(F29&lt;0,"See Tab B","")</f>
        <v/>
      </c>
      <c r="G30" s="155"/>
      <c r="H30" s="329" t="str">
        <f>IF(H29&lt;0,"See Tab B","")</f>
        <v/>
      </c>
      <c r="I30" s="155"/>
      <c r="J30" s="329" t="str">
        <f>IF(J29&lt;0,"See Tab B","")</f>
        <v/>
      </c>
      <c r="K30" s="305">
        <f>SUM(K7+K17-K28)</f>
        <v>0</v>
      </c>
      <c r="L30" s="18" t="s">
        <v>302</v>
      </c>
    </row>
    <row r="31" spans="1:12" x14ac:dyDescent="0.25">
      <c r="A31" s="155"/>
      <c r="B31" s="160"/>
      <c r="C31" s="155"/>
      <c r="D31" s="282"/>
      <c r="E31" s="155"/>
      <c r="F31" s="155"/>
      <c r="G31" s="28" t="s">
        <v>303</v>
      </c>
      <c r="H31" s="28"/>
      <c r="I31" s="28"/>
      <c r="J31" s="28"/>
      <c r="K31" s="155"/>
    </row>
    <row r="32" spans="1:12" x14ac:dyDescent="0.25">
      <c r="A32" s="155"/>
      <c r="B32" s="160"/>
      <c r="C32" s="155"/>
      <c r="D32" s="155"/>
      <c r="E32" s="155"/>
      <c r="F32" s="155"/>
      <c r="G32" s="155"/>
      <c r="H32" s="155"/>
      <c r="I32" s="155"/>
      <c r="J32" s="155"/>
      <c r="K32" s="155"/>
    </row>
    <row r="33" spans="1:11" x14ac:dyDescent="0.25">
      <c r="A33" s="155"/>
      <c r="B33" s="160"/>
      <c r="C33" s="155"/>
      <c r="D33" s="155"/>
      <c r="E33" s="168" t="s">
        <v>121</v>
      </c>
      <c r="F33" s="263"/>
      <c r="G33" s="155"/>
      <c r="H33" s="155"/>
      <c r="I33" s="155"/>
      <c r="J33" s="155"/>
      <c r="K33" s="155"/>
    </row>
    <row r="34" spans="1:11" x14ac:dyDescent="0.25">
      <c r="B34" s="306"/>
    </row>
    <row r="35" spans="1:11" x14ac:dyDescent="0.25">
      <c r="B35" s="306"/>
    </row>
    <row r="36" spans="1:11" x14ac:dyDescent="0.25">
      <c r="B36" s="306"/>
    </row>
    <row r="37" spans="1:11" x14ac:dyDescent="0.25">
      <c r="B37" s="306"/>
    </row>
    <row r="38" spans="1:11" x14ac:dyDescent="0.25">
      <c r="B38" s="306"/>
    </row>
    <row r="39" spans="1:11" x14ac:dyDescent="0.25">
      <c r="B39" s="306"/>
    </row>
    <row r="40" spans="1:11" x14ac:dyDescent="0.25">
      <c r="B40" s="306"/>
    </row>
    <row r="41" spans="1:11" x14ac:dyDescent="0.25">
      <c r="B41" s="306"/>
    </row>
  </sheetData>
  <mergeCells count="5">
    <mergeCell ref="I5:J5"/>
    <mergeCell ref="A5:B5"/>
    <mergeCell ref="C5:D5"/>
    <mergeCell ref="E5:F5"/>
    <mergeCell ref="G5:H5"/>
  </mergeCells>
  <phoneticPr fontId="9" type="noConversion"/>
  <pageMargins left="0.75" right="0.75" top="1" bottom="1" header="0.5" footer="0.5"/>
  <pageSetup scale="88" orientation="landscape" blackAndWhite="1" r:id="rId1"/>
  <headerFooter alignWithMargins="0">
    <oddHeader>&amp;RState of Kansas
City</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6"/>
  <sheetViews>
    <sheetView view="pageBreakPreview" topLeftCell="A2" zoomScale="60" zoomScaleNormal="115" workbookViewId="0">
      <selection activeCell="J108" sqref="J108"/>
    </sheetView>
  </sheetViews>
  <sheetFormatPr defaultColWidth="8.9140625" defaultRowHeight="15" x14ac:dyDescent="0.25"/>
  <cols>
    <col min="1" max="1" width="70.58203125" style="87" customWidth="1"/>
    <col min="2" max="16384" width="8.9140625" style="87"/>
  </cols>
  <sheetData>
    <row r="1" spans="1:1" ht="17.399999999999999" x14ac:dyDescent="0.3">
      <c r="A1" s="492" t="s">
        <v>324</v>
      </c>
    </row>
    <row r="2" spans="1:1" ht="15.6" x14ac:dyDescent="0.3">
      <c r="A2" s="1"/>
    </row>
    <row r="3" spans="1:1" ht="57" customHeight="1" x14ac:dyDescent="0.3">
      <c r="A3" s="493" t="s">
        <v>325</v>
      </c>
    </row>
    <row r="4" spans="1:1" ht="15.6" x14ac:dyDescent="0.3">
      <c r="A4" s="491"/>
    </row>
    <row r="5" spans="1:1" ht="15.6" x14ac:dyDescent="0.3">
      <c r="A5" s="1"/>
    </row>
    <row r="6" spans="1:1" ht="44.25" customHeight="1" x14ac:dyDescent="0.3">
      <c r="A6" s="493" t="s">
        <v>326</v>
      </c>
    </row>
    <row r="7" spans="1:1" ht="15.6" x14ac:dyDescent="0.3">
      <c r="A7" s="1"/>
    </row>
    <row r="8" spans="1:1" ht="15.6" x14ac:dyDescent="0.3">
      <c r="A8" s="491"/>
    </row>
    <row r="9" spans="1:1" ht="46.5" customHeight="1" x14ac:dyDescent="0.3">
      <c r="A9" s="493" t="s">
        <v>327</v>
      </c>
    </row>
    <row r="10" spans="1:1" ht="15.6" x14ac:dyDescent="0.3">
      <c r="A10" s="1"/>
    </row>
    <row r="11" spans="1:1" ht="15.6" x14ac:dyDescent="0.3">
      <c r="A11" s="491"/>
    </row>
    <row r="12" spans="1:1" ht="60" customHeight="1" x14ac:dyDescent="0.3">
      <c r="A12" s="493" t="s">
        <v>328</v>
      </c>
    </row>
    <row r="13" spans="1:1" ht="15.6" x14ac:dyDescent="0.3">
      <c r="A13" s="1"/>
    </row>
    <row r="14" spans="1:1" ht="15.6" x14ac:dyDescent="0.3">
      <c r="A14" s="1"/>
    </row>
    <row r="15" spans="1:1" ht="61.5" customHeight="1" x14ac:dyDescent="0.3">
      <c r="A15" s="493" t="s">
        <v>329</v>
      </c>
    </row>
    <row r="16" spans="1:1" ht="15.6" x14ac:dyDescent="0.3">
      <c r="A16" s="1"/>
    </row>
    <row r="17" spans="1:1" ht="15.6" x14ac:dyDescent="0.3">
      <c r="A17" s="1"/>
    </row>
    <row r="18" spans="1:1" ht="59.25" customHeight="1" x14ac:dyDescent="0.3">
      <c r="A18" s="493" t="s">
        <v>330</v>
      </c>
    </row>
    <row r="19" spans="1:1" ht="15.6" x14ac:dyDescent="0.3">
      <c r="A19" s="1"/>
    </row>
    <row r="20" spans="1:1" ht="15.6" x14ac:dyDescent="0.3">
      <c r="A20" s="1"/>
    </row>
    <row r="21" spans="1:1" ht="61.5" customHeight="1" x14ac:dyDescent="0.3">
      <c r="A21" s="493" t="s">
        <v>331</v>
      </c>
    </row>
    <row r="22" spans="1:1" ht="15.6" x14ac:dyDescent="0.3">
      <c r="A22" s="491"/>
    </row>
    <row r="23" spans="1:1" ht="15.6" x14ac:dyDescent="0.3">
      <c r="A23" s="491"/>
    </row>
    <row r="24" spans="1:1" ht="63" customHeight="1" x14ac:dyDescent="0.3">
      <c r="A24" s="493" t="s">
        <v>332</v>
      </c>
    </row>
    <row r="25" spans="1:1" ht="15.6" x14ac:dyDescent="0.3">
      <c r="A25" s="1"/>
    </row>
    <row r="26" spans="1:1" ht="15.6" x14ac:dyDescent="0.3">
      <c r="A26" s="1"/>
    </row>
    <row r="27" spans="1:1" ht="52.5" customHeight="1" x14ac:dyDescent="0.3">
      <c r="A27" s="504" t="s">
        <v>752</v>
      </c>
    </row>
    <row r="28" spans="1:1" ht="15.6" x14ac:dyDescent="0.3">
      <c r="A28" s="1"/>
    </row>
    <row r="29" spans="1:1" ht="15.6" x14ac:dyDescent="0.3">
      <c r="A29" s="1"/>
    </row>
    <row r="30" spans="1:1" ht="44.25" customHeight="1" x14ac:dyDescent="0.3">
      <c r="A30" s="493" t="s">
        <v>333</v>
      </c>
    </row>
    <row r="31" spans="1:1" ht="15.6" x14ac:dyDescent="0.3">
      <c r="A31" s="1"/>
    </row>
    <row r="32" spans="1:1" ht="15.6" x14ac:dyDescent="0.3">
      <c r="A32" s="1"/>
    </row>
    <row r="33" spans="1:1" ht="42.75" customHeight="1" x14ac:dyDescent="0.3">
      <c r="A33" s="493" t="s">
        <v>334</v>
      </c>
    </row>
    <row r="34" spans="1:1" ht="15.6" x14ac:dyDescent="0.3">
      <c r="A34" s="491"/>
    </row>
    <row r="35" spans="1:1" ht="15.6" x14ac:dyDescent="0.3">
      <c r="A35" s="491"/>
    </row>
    <row r="36" spans="1:1" ht="38.25" customHeight="1" x14ac:dyDescent="0.3">
      <c r="A36" s="493" t="s">
        <v>335</v>
      </c>
    </row>
    <row r="37" spans="1:1" ht="15.6" x14ac:dyDescent="0.3">
      <c r="A37" s="491"/>
    </row>
    <row r="38" spans="1:1" ht="15.6" x14ac:dyDescent="0.3">
      <c r="A38" s="1"/>
    </row>
    <row r="39" spans="1:1" ht="75.75" customHeight="1" x14ac:dyDescent="0.3">
      <c r="A39" s="493" t="s">
        <v>336</v>
      </c>
    </row>
    <row r="40" spans="1:1" ht="15.6" x14ac:dyDescent="0.3">
      <c r="A40" s="1"/>
    </row>
    <row r="41" spans="1:1" ht="15.6" x14ac:dyDescent="0.3">
      <c r="A41" s="1"/>
    </row>
    <row r="42" spans="1:1" ht="57.75" customHeight="1" x14ac:dyDescent="0.3">
      <c r="A42" s="493" t="s">
        <v>337</v>
      </c>
    </row>
    <row r="43" spans="1:1" ht="15.6" x14ac:dyDescent="0.3">
      <c r="A43" s="491"/>
    </row>
    <row r="44" spans="1:1" ht="15.6" x14ac:dyDescent="0.3">
      <c r="A44" s="1"/>
    </row>
    <row r="45" spans="1:1" ht="57.75" customHeight="1" x14ac:dyDescent="0.3">
      <c r="A45" s="493" t="s">
        <v>338</v>
      </c>
    </row>
    <row r="46" spans="1:1" ht="15.6" x14ac:dyDescent="0.3">
      <c r="A46" s="1"/>
    </row>
    <row r="47" spans="1:1" ht="15.6" x14ac:dyDescent="0.3">
      <c r="A47" s="1"/>
    </row>
    <row r="48" spans="1:1" ht="41.25" customHeight="1" x14ac:dyDescent="0.3">
      <c r="A48" s="493" t="s">
        <v>339</v>
      </c>
    </row>
    <row r="49" spans="1:1" ht="15.6" x14ac:dyDescent="0.3">
      <c r="A49" s="1"/>
    </row>
    <row r="50" spans="1:1" ht="15.6" x14ac:dyDescent="0.3">
      <c r="A50" s="1"/>
    </row>
    <row r="51" spans="1:1" ht="75" customHeight="1" x14ac:dyDescent="0.3">
      <c r="A51" s="493" t="s">
        <v>340</v>
      </c>
    </row>
    <row r="52" spans="1:1" ht="15.6" x14ac:dyDescent="0.3">
      <c r="A52" s="491"/>
    </row>
    <row r="53" spans="1:1" ht="15.6" x14ac:dyDescent="0.3">
      <c r="A53" s="491"/>
    </row>
    <row r="54" spans="1:1" ht="57.75" customHeight="1" x14ac:dyDescent="0.3">
      <c r="A54" s="493" t="s">
        <v>341</v>
      </c>
    </row>
    <row r="55" spans="1:1" ht="15.6" x14ac:dyDescent="0.3">
      <c r="A55" s="1"/>
    </row>
    <row r="56" spans="1:1" ht="15.6" x14ac:dyDescent="0.3">
      <c r="A56" s="1"/>
    </row>
    <row r="57" spans="1:1" ht="44.25" customHeight="1" x14ac:dyDescent="0.3">
      <c r="A57" s="493" t="s">
        <v>342</v>
      </c>
    </row>
    <row r="58" spans="1:1" ht="15.6" x14ac:dyDescent="0.3">
      <c r="A58" s="1"/>
    </row>
    <row r="59" spans="1:1" ht="15.6" x14ac:dyDescent="0.3">
      <c r="A59" s="1"/>
    </row>
    <row r="60" spans="1:1" ht="60" customHeight="1" x14ac:dyDescent="0.3">
      <c r="A60" s="493" t="s">
        <v>343</v>
      </c>
    </row>
    <row r="61" spans="1:1" ht="15.6" x14ac:dyDescent="0.3">
      <c r="A61" s="491"/>
    </row>
    <row r="62" spans="1:1" ht="15.6" x14ac:dyDescent="0.3">
      <c r="A62" s="491"/>
    </row>
    <row r="63" spans="1:1" ht="57.75" customHeight="1" x14ac:dyDescent="0.3">
      <c r="A63" s="493" t="s">
        <v>344</v>
      </c>
    </row>
    <row r="64" spans="1:1" ht="15.6" x14ac:dyDescent="0.3">
      <c r="A64" s="1"/>
    </row>
    <row r="65" spans="1:1" ht="15.6" x14ac:dyDescent="0.3">
      <c r="A65" s="1"/>
    </row>
    <row r="66" spans="1:1" ht="60" customHeight="1" x14ac:dyDescent="0.3">
      <c r="A66" s="493" t="s">
        <v>345</v>
      </c>
    </row>
  </sheetData>
  <sheetProtection sheet="1" objects="1" scenarios="1"/>
  <pageMargins left="0.7" right="0.7" top="0.75" bottom="0.75" header="0.3" footer="0.3"/>
  <pageSetup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3"/>
  <sheetViews>
    <sheetView tabSelected="1" view="pageBreakPreview" zoomScaleNormal="100" zoomScaleSheetLayoutView="100" workbookViewId="0">
      <selection activeCell="J6" sqref="J6"/>
    </sheetView>
  </sheetViews>
  <sheetFormatPr defaultColWidth="8.9140625" defaultRowHeight="15.6" x14ac:dyDescent="0.25"/>
  <cols>
    <col min="1" max="1" width="24.4140625" style="18" customWidth="1"/>
    <col min="2" max="2" width="14.75" style="18" customWidth="1"/>
    <col min="3" max="3" width="10.75" style="18" customWidth="1"/>
    <col min="4" max="4" width="14.75" style="18" customWidth="1"/>
    <col min="5" max="5" width="10.75" style="18" customWidth="1"/>
    <col min="6" max="6" width="14.75" style="18" customWidth="1"/>
    <col min="7" max="7" width="12.75" style="18" customWidth="1"/>
    <col min="8" max="8" width="10.75" style="18" customWidth="1"/>
    <col min="9" max="9" width="8.9140625" style="18"/>
    <col min="10" max="10" width="12.4140625" style="18" customWidth="1"/>
    <col min="11" max="11" width="12.33203125" style="18" customWidth="1"/>
    <col min="12" max="12" width="10.58203125" style="18" customWidth="1"/>
    <col min="13" max="13" width="12.08203125" style="18" customWidth="1"/>
    <col min="14" max="16384" width="8.9140625" style="18"/>
  </cols>
  <sheetData>
    <row r="1" spans="1:9" x14ac:dyDescent="0.25">
      <c r="A1" s="1004" t="s">
        <v>167</v>
      </c>
      <c r="B1" s="1004"/>
      <c r="C1" s="1004"/>
      <c r="D1" s="1004"/>
      <c r="E1" s="1004"/>
      <c r="F1" s="1004"/>
      <c r="G1" s="1004"/>
      <c r="H1" s="1004"/>
      <c r="I1" s="308"/>
    </row>
    <row r="2" spans="1:9" ht="18" customHeight="1" x14ac:dyDescent="0.25">
      <c r="A2" s="32"/>
      <c r="B2" s="32"/>
      <c r="C2" s="32"/>
      <c r="D2" s="32"/>
      <c r="E2" s="32"/>
      <c r="F2" s="32"/>
      <c r="G2" s="32"/>
      <c r="H2" s="32">
        <f>inputPrYr!$C$5</f>
        <v>2015</v>
      </c>
    </row>
    <row r="3" spans="1:9" ht="18" customHeight="1" x14ac:dyDescent="0.25">
      <c r="A3" s="995" t="s">
        <v>123</v>
      </c>
      <c r="B3" s="995"/>
      <c r="C3" s="995"/>
      <c r="D3" s="995"/>
      <c r="E3" s="995"/>
      <c r="F3" s="995"/>
      <c r="G3" s="995"/>
      <c r="H3" s="995"/>
    </row>
    <row r="4" spans="1:9" x14ac:dyDescent="0.25">
      <c r="A4" s="993" t="str">
        <f>inputPrYr!D2</f>
        <v>City of Osawatomie</v>
      </c>
      <c r="B4" s="993"/>
      <c r="C4" s="993"/>
      <c r="D4" s="993"/>
      <c r="E4" s="993"/>
      <c r="F4" s="993"/>
      <c r="G4" s="993"/>
      <c r="H4" s="993"/>
    </row>
    <row r="5" spans="1:9" ht="18" customHeight="1" x14ac:dyDescent="0.3">
      <c r="A5" s="1056" t="str">
        <f>CONCATENATE("will meet on ",inputBudSum!B7," at ",inputBudSum!B9," at ",inputBudSum!B11," for the purpose of hearing and")</f>
        <v>will meet on August 28, 2014 at 6:30 pm at Memorial Hall for the purpose of hearing and</v>
      </c>
      <c r="B5" s="1056"/>
      <c r="C5" s="1056"/>
      <c r="D5" s="1056"/>
      <c r="E5" s="1056"/>
      <c r="F5" s="1056"/>
      <c r="G5" s="1056"/>
      <c r="H5" s="1056"/>
    </row>
    <row r="6" spans="1:9" ht="16.5" customHeight="1" x14ac:dyDescent="0.25">
      <c r="A6" s="995" t="s">
        <v>611</v>
      </c>
      <c r="B6" s="995"/>
      <c r="C6" s="995"/>
      <c r="D6" s="995"/>
      <c r="E6" s="995"/>
      <c r="F6" s="995"/>
      <c r="G6" s="995"/>
      <c r="H6" s="995"/>
    </row>
    <row r="7" spans="1:9" ht="16.5" customHeight="1" x14ac:dyDescent="0.25">
      <c r="A7" s="1054" t="str">
        <f>CONCATENATE("Detailed budget information is available at ",inputBudSum!B14," and will be available at this hearing.")</f>
        <v>Detailed budget information is available at City Hall or on the City website at www.osawatomieks.org and will be available at this hearing.</v>
      </c>
      <c r="B7" s="1054"/>
      <c r="C7" s="1054"/>
      <c r="D7" s="1054"/>
      <c r="E7" s="1054"/>
      <c r="F7" s="1054"/>
      <c r="G7" s="1054"/>
      <c r="H7" s="1054"/>
    </row>
    <row r="8" spans="1:9" x14ac:dyDescent="0.25">
      <c r="A8" s="36" t="s">
        <v>168</v>
      </c>
      <c r="B8" s="37"/>
      <c r="C8" s="37"/>
      <c r="D8" s="37"/>
      <c r="E8" s="37"/>
      <c r="F8" s="37"/>
      <c r="G8" s="37"/>
      <c r="H8" s="37"/>
    </row>
    <row r="9" spans="1:9" x14ac:dyDescent="0.25">
      <c r="A9" s="121" t="str">
        <f>CONCATENATE("Proposed Budget ",H2," Expenditures and Amount of ",H2-1," Ad Valorem Tax establish the maximum limits of the ",H2," budget.")</f>
        <v>Proposed Budget 2015 Expenditures and Amount of 2014 Ad Valorem Tax establish the maximum limits of the 2015 budget.</v>
      </c>
      <c r="B9" s="37"/>
      <c r="C9" s="37"/>
      <c r="D9" s="37"/>
      <c r="E9" s="37"/>
      <c r="F9" s="37"/>
      <c r="G9" s="37"/>
      <c r="H9" s="37"/>
    </row>
    <row r="10" spans="1:9" x14ac:dyDescent="0.25">
      <c r="A10" s="121" t="s">
        <v>219</v>
      </c>
      <c r="B10" s="37"/>
      <c r="C10" s="37"/>
      <c r="D10" s="37"/>
      <c r="E10" s="37"/>
      <c r="F10" s="37"/>
      <c r="G10" s="37"/>
      <c r="H10" s="37"/>
    </row>
    <row r="11" spans="1:9" x14ac:dyDescent="0.25">
      <c r="A11" s="32"/>
      <c r="B11" s="270"/>
      <c r="C11" s="270"/>
      <c r="D11" s="270"/>
      <c r="E11" s="270"/>
      <c r="F11" s="270"/>
      <c r="G11" s="270"/>
      <c r="H11" s="270"/>
    </row>
    <row r="12" spans="1:9" x14ac:dyDescent="0.25">
      <c r="A12" s="32"/>
      <c r="B12" s="309" t="str">
        <f>CONCATENATE("Prior Year Actual for ",H2-2,"")</f>
        <v>Prior Year Actual for 2013</v>
      </c>
      <c r="C12" s="124"/>
      <c r="D12" s="309" t="str">
        <f>CONCATENATE("Current Year Estimate for ",H2-1,"")</f>
        <v>Current Year Estimate for 2014</v>
      </c>
      <c r="E12" s="124"/>
      <c r="F12" s="122" t="str">
        <f>CONCATENATE("Proposed Budget for ",H2,"")</f>
        <v>Proposed Budget for 2015</v>
      </c>
      <c r="G12" s="123"/>
      <c r="H12" s="124"/>
    </row>
    <row r="13" spans="1:9" ht="21" customHeight="1" x14ac:dyDescent="0.3">
      <c r="A13" s="32"/>
      <c r="B13" s="261"/>
      <c r="C13" s="127" t="s">
        <v>125</v>
      </c>
      <c r="D13" s="127"/>
      <c r="E13" s="127" t="s">
        <v>125</v>
      </c>
      <c r="F13" s="533" t="s">
        <v>9</v>
      </c>
      <c r="G13" s="127" t="str">
        <f>CONCATENATE("Amount of ",H2-1,"")</f>
        <v>Amount of 2014</v>
      </c>
      <c r="H13" s="127" t="s">
        <v>271</v>
      </c>
    </row>
    <row r="14" spans="1:9" x14ac:dyDescent="0.3">
      <c r="A14" s="45" t="s">
        <v>126</v>
      </c>
      <c r="B14" s="131" t="s">
        <v>127</v>
      </c>
      <c r="C14" s="131" t="s">
        <v>128</v>
      </c>
      <c r="D14" s="131" t="s">
        <v>127</v>
      </c>
      <c r="E14" s="131" t="s">
        <v>128</v>
      </c>
      <c r="F14" s="534" t="s">
        <v>640</v>
      </c>
      <c r="G14" s="132" t="s">
        <v>105</v>
      </c>
      <c r="H14" s="131" t="s">
        <v>128</v>
      </c>
    </row>
    <row r="15" spans="1:9" x14ac:dyDescent="0.25">
      <c r="A15" s="68" t="str">
        <f>inputPrYr!B17</f>
        <v>General</v>
      </c>
      <c r="B15" s="68">
        <f>IF(general!$C$74&lt;&gt;0,general!$C$74,"  ")</f>
        <v>2146166.3699999996</v>
      </c>
      <c r="C15" s="310">
        <f>IF(inputPrYr!D86&gt;0,inputPrYr!D86,"  ")</f>
        <v>25.375</v>
      </c>
      <c r="D15" s="68">
        <f>IF(general!$D$74&lt;&gt;0,general!$D$74,"  ")</f>
        <v>2309939.3200000003</v>
      </c>
      <c r="E15" s="310">
        <f>IF(inputOth!D23&gt;0,inputOth!D23,"  ")</f>
        <v>24.094000000000001</v>
      </c>
      <c r="F15" s="68">
        <f>IF(general!$E$74&lt;&gt;0,general!$E$74,"  ")</f>
        <v>2421391.1740000001</v>
      </c>
      <c r="G15" s="68">
        <f>IF(general!$E$81&lt;&gt;0,general!$E$81,"  ")</f>
        <v>596007.86764967558</v>
      </c>
      <c r="H15" s="310">
        <f>IF(general!E81&gt;0,ROUND(G15/$F$59*1000,3),"  ")</f>
        <v>26.765000000000001</v>
      </c>
    </row>
    <row r="16" spans="1:9" x14ac:dyDescent="0.25">
      <c r="A16" s="68" t="str">
        <f>inputPrYr!B18</f>
        <v>Debt Service</v>
      </c>
      <c r="B16" s="68">
        <f>IF('GO B&amp;I Debt'!C56&lt;&gt;0,'GO B&amp;I Debt'!C56,"  ")</f>
        <v>752787</v>
      </c>
      <c r="C16" s="310">
        <f>IF(inputPrYr!D87&gt;0,inputPrYr!D87,"  ")</f>
        <v>10.449</v>
      </c>
      <c r="D16" s="68">
        <f>IF('GO B&amp;I Debt'!D56&lt;&gt;0,'GO B&amp;I Debt'!D56,"  ")</f>
        <v>778495</v>
      </c>
      <c r="E16" s="310">
        <f>IF(inputOth!D24&gt;0,inputOth!D24,"  ")</f>
        <v>10.994</v>
      </c>
      <c r="F16" s="68">
        <f>IF('GO B&amp;I Debt'!E56&lt;&gt;0,'GO B&amp;I Debt'!E56,"  ")</f>
        <v>831705</v>
      </c>
      <c r="G16" s="68">
        <f>IF('GO B&amp;I Debt'!E63&lt;&gt;0,'GO B&amp;I Debt'!E63,"  ")</f>
        <v>281704</v>
      </c>
      <c r="H16" s="310">
        <f>IF('GO B&amp;I Debt'!E63&gt;0,ROUND(G16/$F$59*1000,3),"  ")</f>
        <v>12.651</v>
      </c>
    </row>
    <row r="17" spans="1:13" x14ac:dyDescent="0.3">
      <c r="A17" s="68" t="str">
        <f>inputPrYr!B19</f>
        <v>Library</v>
      </c>
      <c r="B17" s="827">
        <f>IF(('Library-Rec'!C33)&lt;&gt;0,('Library-Rec'!C33),"  ")</f>
        <v>33443</v>
      </c>
      <c r="C17" s="310" t="str">
        <f>IF(inputPrYr!D88&gt;0,inputPrYr!D88,"  ")</f>
        <v xml:space="preserve">  </v>
      </c>
      <c r="D17" s="827">
        <f>IF(('Library-Rec'!D33)&lt;&gt;0,('Library-Rec'!D33),"  ")</f>
        <v>10900</v>
      </c>
      <c r="E17" s="310" t="str">
        <f>IF(inputOth!D25&gt;0,inputOth!D25,"  ")</f>
        <v xml:space="preserve">  </v>
      </c>
      <c r="F17" s="827">
        <f>IF(('Library-Rec'!E33)&lt;&gt;0,('Library-Rec'!E33),"  ")</f>
        <v>106394</v>
      </c>
      <c r="G17" s="828" t="str">
        <f>IF('Library-Rec'!E40&lt;&gt;0,'Library-Rec'!E40,"  ")</f>
        <v xml:space="preserve">  </v>
      </c>
      <c r="H17" s="829" t="str">
        <f>IF('Library-Rec'!E40&gt;0,ROUND(G17/$F$59*1000,3),"")</f>
        <v/>
      </c>
    </row>
    <row r="18" spans="1:13" x14ac:dyDescent="0.25">
      <c r="A18" s="68" t="str">
        <f>IF(inputPrYr!$B21&gt;"  ",(inputPrYr!$B21),"  ")</f>
        <v>Industrial</v>
      </c>
      <c r="B18" s="68">
        <f>IF('Ind-EBF'!$C$33&gt;0,'Ind-EBF'!$C$33,"  ")</f>
        <v>62434</v>
      </c>
      <c r="C18" s="310" t="str">
        <f>IF(inputPrYr!D89&gt;0,inputPrYr!D89,"  ")</f>
        <v xml:space="preserve">  </v>
      </c>
      <c r="D18" s="68">
        <f>IF('Ind-EBF'!$D$33&gt;0,'Ind-EBF'!$D$33,"  ")</f>
        <v>25285</v>
      </c>
      <c r="E18" s="310" t="str">
        <f>IF(inputOth!D26&gt;0,inputOth!D26,"  ")</f>
        <v xml:space="preserve">  </v>
      </c>
      <c r="F18" s="68">
        <f>IF('Ind-EBF'!$E$33&gt;0,'Ind-EBF'!$E$33,"  ")</f>
        <v>70463</v>
      </c>
      <c r="G18" s="68" t="str">
        <f>IF('Ind-EBF'!$E$40&lt;&gt;0,'Ind-EBF'!$E$40,"  ")</f>
        <v xml:space="preserve">  </v>
      </c>
      <c r="H18" s="310" t="str">
        <f>IF('Ind-EBF'!E40&lt;&gt;0,ROUND(G18/$F$59*1000,3),"  ")</f>
        <v xml:space="preserve">  </v>
      </c>
    </row>
    <row r="19" spans="1:13" x14ac:dyDescent="0.25">
      <c r="A19" s="68" t="str">
        <f>IF(inputPrYr!$B22&gt;"  ",(inputPrYr!$B22),"  ")</f>
        <v>Employee Benefits</v>
      </c>
      <c r="B19" s="68">
        <f>IF('Ind-EBF'!$C$77&gt;0,'Ind-EBF'!$C$77,"  ")</f>
        <v>660469.41999999993</v>
      </c>
      <c r="C19" s="310">
        <f>IF(inputPrYr!D90&gt;0,inputPrYr!D90,"  ")</f>
        <v>22.433</v>
      </c>
      <c r="D19" s="68">
        <f>IF('Ind-EBF'!$D$77&gt;0,'Ind-EBF'!$D$77,"  ")</f>
        <v>657476.63211799995</v>
      </c>
      <c r="E19" s="310">
        <f>IF(inputOth!D27&gt;0,inputOth!D27,"  ")</f>
        <v>24.843</v>
      </c>
      <c r="F19" s="68">
        <f>IF('Ind-EBF'!$E$77&gt;0,'Ind-EBF'!$E$77,"  ")</f>
        <v>731932.13693090016</v>
      </c>
      <c r="G19" s="68">
        <f>IF('Ind-EBF'!$E$84&lt;&gt;0,'Ind-EBF'!$E$84,"  ")</f>
        <v>553956.30154890008</v>
      </c>
      <c r="H19" s="310">
        <f>IF('Ind-EBF'!E84&lt;&gt;0,ROUND(G19/$F$59*1000,3),"  ")</f>
        <v>24.876999999999999</v>
      </c>
    </row>
    <row r="20" spans="1:13" x14ac:dyDescent="0.25">
      <c r="A20" s="68" t="str">
        <f>IF(inputPrYr!$B23&gt;"  ",(inputPrYr!$B23),"  ")</f>
        <v>Public Safety Equipment</v>
      </c>
      <c r="B20" s="68">
        <f>IF('Pub Saf-REBF'!$C$33&gt;0,'Pub Saf-REBF'!$C$33,"  ")</f>
        <v>790</v>
      </c>
      <c r="C20" s="310" t="str">
        <f>IF(inputPrYr!D91&gt;0,inputPrYr!D91,"  ")</f>
        <v xml:space="preserve">  </v>
      </c>
      <c r="D20" s="68" t="str">
        <f>IF('Pub Saf-REBF'!$D$33&gt;0,'Pub Saf-REBF'!$D$33,"  ")</f>
        <v xml:space="preserve">  </v>
      </c>
      <c r="E20" s="310" t="str">
        <f>IF(inputOth!D28&gt;0,inputOth!D28,"  ")</f>
        <v xml:space="preserve">  </v>
      </c>
      <c r="F20" s="68">
        <f>IF('Pub Saf-REBF'!$E$33&gt;0,'Pub Saf-REBF'!$E$33,"  ")</f>
        <v>9068</v>
      </c>
      <c r="G20" s="68" t="str">
        <f>IF('Pub Saf-REBF'!$E$40&lt;&gt;0,'Pub Saf-REBF'!$E$40,"  ")</f>
        <v xml:space="preserve">  </v>
      </c>
      <c r="H20" s="310" t="str">
        <f>IF('Pub Saf-REBF'!E40&lt;&gt;0,ROUND(G20/$F$59*1000,3),"  ")</f>
        <v xml:space="preserve">  </v>
      </c>
    </row>
    <row r="21" spans="1:13" x14ac:dyDescent="0.25">
      <c r="A21" s="68" t="str">
        <f>IF(inputPrYr!$B24&gt;"  ",(inputPrYr!$B24),"  ")</f>
        <v>Recreation Employee Benefits</v>
      </c>
      <c r="B21" s="68">
        <f>IF('Pub Saf-REBF'!$C$77&gt;0,'Pub Saf-REBF'!$C$77,"  ")</f>
        <v>1457</v>
      </c>
      <c r="C21" s="310" t="str">
        <f>IF(inputPrYr!D92&gt;0,inputPrYr!D92,"  ")</f>
        <v xml:space="preserve">  </v>
      </c>
      <c r="D21" s="68">
        <f>IF('Pub Saf-REBF'!$D$77&gt;0,'Pub Saf-REBF'!$D$77,"  ")</f>
        <v>250</v>
      </c>
      <c r="E21" s="310" t="str">
        <f>IF(inputOth!D29&gt;0,inputOth!D29,"  ")</f>
        <v xml:space="preserve">  </v>
      </c>
      <c r="F21" s="68">
        <f>IF('Pub Saf-REBF'!$E$77&gt;0,'Pub Saf-REBF'!$E$77,"  ")</f>
        <v>250</v>
      </c>
      <c r="G21" s="68" t="str">
        <f>IF('Pub Saf-REBF'!$E$84&lt;&gt;0,'Pub Saf-REBF'!$E$84,"  ")</f>
        <v xml:space="preserve">  </v>
      </c>
      <c r="H21" s="310" t="str">
        <f>IF('Pub Saf-REBF'!E84&lt;&gt;0,ROUND(G21/$F$59*1000,3),"  ")</f>
        <v xml:space="preserve">  </v>
      </c>
    </row>
    <row r="22" spans="1:13" hidden="1" x14ac:dyDescent="0.25">
      <c r="A22" s="68" t="str">
        <f>IF(inputPrYr!$B25&gt;"  ",(inputPrYr!$B25),"  ")</f>
        <v xml:space="preserve">  </v>
      </c>
      <c r="B22" s="68" t="str">
        <f>IF('levy page11'!$C$33&gt;0,'levy page11'!$C$33,"  ")</f>
        <v xml:space="preserve">  </v>
      </c>
      <c r="C22" s="310" t="str">
        <f>IF(inputPrYr!D93&gt;0,inputPrYr!D93,"  ")</f>
        <v xml:space="preserve">  </v>
      </c>
      <c r="D22" s="68" t="str">
        <f>IF('levy page11'!$D$33&gt;0,'levy page11'!$D$33,"  ")</f>
        <v xml:space="preserve">  </v>
      </c>
      <c r="E22" s="310" t="str">
        <f>IF(inputOth!D30&gt;0,inputOth!D30,"  ")</f>
        <v xml:space="preserve">  </v>
      </c>
      <c r="F22" s="68" t="str">
        <f>IF('levy page11'!$E$33&gt;0,'levy page11'!$E$33,"  ")</f>
        <v xml:space="preserve">  </v>
      </c>
      <c r="G22" s="68" t="str">
        <f>IF('levy page11'!$E$40&lt;&gt;0,'levy page11'!$E$40,"  ")</f>
        <v xml:space="preserve">  </v>
      </c>
      <c r="H22" s="310" t="str">
        <f>IF('levy page11'!E40&lt;&gt;0,ROUND(G22/$F$59*1000,3),"  ")</f>
        <v xml:space="preserve">  </v>
      </c>
    </row>
    <row r="23" spans="1:13" hidden="1" x14ac:dyDescent="0.25">
      <c r="A23" s="68" t="str">
        <f>IF(inputPrYr!$B26&gt;"  ",(inputPrYr!$B26),"  ")</f>
        <v xml:space="preserve">  </v>
      </c>
      <c r="B23" s="68" t="str">
        <f>IF('levy page11'!$C$73&gt;0,'levy page11'!$C$73,"  ")</f>
        <v xml:space="preserve">  </v>
      </c>
      <c r="C23" s="310" t="str">
        <f>IF(inputPrYr!D94&gt;0,inputPrYr!D94,"  ")</f>
        <v xml:space="preserve">  </v>
      </c>
      <c r="D23" s="68" t="str">
        <f>IF('levy page11'!$D$73&gt;0,'levy page11'!$D$73,"  ")</f>
        <v xml:space="preserve">  </v>
      </c>
      <c r="E23" s="310" t="str">
        <f>IF(inputOth!D31&gt;0,inputOth!D31,"  ")</f>
        <v xml:space="preserve">  </v>
      </c>
      <c r="F23" s="68" t="str">
        <f>IF('levy page11'!$E$73&gt;0,'levy page11'!$E$73,"  ")</f>
        <v xml:space="preserve">  </v>
      </c>
      <c r="G23" s="68" t="str">
        <f>IF('levy page11'!$E$80&lt;&gt;0,'levy page11'!$E$80,"  ")</f>
        <v xml:space="preserve">  </v>
      </c>
      <c r="H23" s="310" t="str">
        <f>IF('levy page11'!E80&lt;&gt;0,ROUND(G23/$F$59*1000,3),"  ")</f>
        <v xml:space="preserve">  </v>
      </c>
    </row>
    <row r="24" spans="1:13" hidden="1" x14ac:dyDescent="0.25">
      <c r="A24" s="68" t="str">
        <f>IF(inputPrYr!$B27&gt;"  ",(inputPrYr!$B27),"  ")</f>
        <v xml:space="preserve">  </v>
      </c>
      <c r="B24" s="68" t="str">
        <f>IF('levy page12'!$C$33&gt;0,'levy page12'!$C$33,"  ")</f>
        <v xml:space="preserve">  </v>
      </c>
      <c r="C24" s="310" t="str">
        <f>IF(inputPrYr!D95&gt;0,inputPrYr!D95,"  ")</f>
        <v xml:space="preserve">  </v>
      </c>
      <c r="D24" s="68" t="str">
        <f>IF('levy page12'!$D$33&gt;0,'levy page12'!$D$33,"  ")</f>
        <v xml:space="preserve">  </v>
      </c>
      <c r="E24" s="310" t="str">
        <f>IF(inputOth!D32&gt;0,inputOth!D32,"  ")</f>
        <v xml:space="preserve">  </v>
      </c>
      <c r="F24" s="68" t="str">
        <f>IF('levy page12'!$E$33&gt;0,'levy page12'!$E$33,"  ")</f>
        <v xml:space="preserve">  </v>
      </c>
      <c r="G24" s="68" t="str">
        <f>IF('levy page12'!$E$40&lt;&gt;0,'levy page12'!$E$40,"  ")</f>
        <v xml:space="preserve">  </v>
      </c>
      <c r="H24" s="310" t="str">
        <f>IF('levy page12'!E40&lt;&gt;0,ROUND(G24/$F$59*1000,3),"  ")</f>
        <v xml:space="preserve">  </v>
      </c>
    </row>
    <row r="25" spans="1:13" hidden="1" x14ac:dyDescent="0.25">
      <c r="A25" s="68" t="str">
        <f>IF(inputPrYr!$B28&gt;"  ",(inputPrYr!$B28),"  ")</f>
        <v xml:space="preserve">  </v>
      </c>
      <c r="B25" s="68" t="str">
        <f>IF('levy page12'!$C$73&gt;0,'levy page12'!$C$73,"  ")</f>
        <v xml:space="preserve">  </v>
      </c>
      <c r="C25" s="310" t="str">
        <f>IF(inputPrYr!D96&gt;0,inputPrYr!D96,"  ")</f>
        <v xml:space="preserve">  </v>
      </c>
      <c r="D25" s="68" t="str">
        <f>IF('levy page12'!$D$73&gt;0,'levy page12'!$D$73,"  ")</f>
        <v xml:space="preserve">  </v>
      </c>
      <c r="E25" s="310" t="str">
        <f>IF(inputOth!D33&gt;0,inputOth!D33,"  ")</f>
        <v xml:space="preserve">  </v>
      </c>
      <c r="F25" s="68" t="str">
        <f>IF('levy page12'!$E$73&gt;0,'levy page12'!$E$73,"  ")</f>
        <v xml:space="preserve">  </v>
      </c>
      <c r="G25" s="68" t="str">
        <f>IF('levy page12'!$E$80&lt;&gt;0,'levy page12'!$E$80,"  ")</f>
        <v xml:space="preserve">  </v>
      </c>
      <c r="H25" s="310" t="str">
        <f>IF('levy page12'!E80&lt;&gt;0,ROUND(G25/$F$59*1000,3),"  ")</f>
        <v xml:space="preserve">  </v>
      </c>
    </row>
    <row r="26" spans="1:13" hidden="1" x14ac:dyDescent="0.25">
      <c r="A26" s="68" t="str">
        <f>IF(inputPrYr!$B29&gt;"  ",(inputPrYr!$B29),"  ")</f>
        <v xml:space="preserve">  </v>
      </c>
      <c r="B26" s="68" t="str">
        <f>IF('levy page13'!$C$33&gt;0,'levy page13'!$C$33,"  ")</f>
        <v xml:space="preserve">  </v>
      </c>
      <c r="C26" s="310" t="str">
        <f>IF(inputPrYr!D97&gt;0,inputPrYr!D97,"  ")</f>
        <v xml:space="preserve">  </v>
      </c>
      <c r="D26" s="68" t="str">
        <f>IF('levy page13'!$D$33&gt;0,'levy page13'!$D$33,"  ")</f>
        <v xml:space="preserve">  </v>
      </c>
      <c r="E26" s="310" t="str">
        <f>IF(inputOth!D34&gt;0,inputOth!D34,"  ")</f>
        <v xml:space="preserve">  </v>
      </c>
      <c r="F26" s="68" t="str">
        <f>IF('levy page13'!$E$33&gt;0,'levy page13'!$E$33,"  ")</f>
        <v xml:space="preserve">  </v>
      </c>
      <c r="G26" s="68" t="str">
        <f>IF('levy page13'!$E$40&lt;&gt;0,'levy page13'!$E$40,"  ")</f>
        <v xml:space="preserve">  </v>
      </c>
      <c r="H26" s="310" t="str">
        <f>IF('levy page13'!E40&lt;&gt;0,ROUND(G26/$F$59*1000,3),"  ")</f>
        <v xml:space="preserve">  </v>
      </c>
    </row>
    <row r="27" spans="1:13" hidden="1" x14ac:dyDescent="0.25">
      <c r="A27" s="68" t="str">
        <f>IF(inputPrYr!$B30&gt;"  ",(inputPrYr!$B30),"  ")</f>
        <v xml:space="preserve">  </v>
      </c>
      <c r="B27" s="68" t="str">
        <f>IF('levy page13'!$C$73&gt;0,'levy page13'!$C$73,"  ")</f>
        <v xml:space="preserve">  </v>
      </c>
      <c r="C27" s="310" t="str">
        <f>IF(inputPrYr!D98&gt;0,inputPrYr!D98,"  ")</f>
        <v xml:space="preserve">  </v>
      </c>
      <c r="D27" s="68" t="str">
        <f>IF('levy page13'!$D$73&gt;0,'levy page13'!$D$73,"  ")</f>
        <v xml:space="preserve">  </v>
      </c>
      <c r="E27" s="310" t="str">
        <f>IF(inputOth!D35&gt;0,inputOth!D35,"  ")</f>
        <v xml:space="preserve">  </v>
      </c>
      <c r="F27" s="68" t="str">
        <f>IF('levy page13'!$E$73&gt;0,'levy page13'!$E$73,"  ")</f>
        <v xml:space="preserve">  </v>
      </c>
      <c r="G27" s="68" t="str">
        <f>IF('levy page13'!$E$80&lt;&gt;0,'levy page13'!$E$80,"  ")</f>
        <v xml:space="preserve">  </v>
      </c>
      <c r="H27" s="310" t="str">
        <f>IF('levy page13'!E80&lt;&gt;0,ROUND(G27/$F$59*1000,3),"  ")</f>
        <v xml:space="preserve">  </v>
      </c>
    </row>
    <row r="28" spans="1:13" x14ac:dyDescent="0.25">
      <c r="A28" s="68" t="str">
        <f>IF(inputPrYr!$B36&gt;"  ",(inputPrYr!$B36),"  ")</f>
        <v>Street Improvements</v>
      </c>
      <c r="B28" s="68">
        <f>IF('Street-Refuse'!$C$30&gt;0,'Street-Refuse'!$C$30,"  ")</f>
        <v>97290</v>
      </c>
      <c r="C28" s="46"/>
      <c r="D28" s="68">
        <f>IF('Street-Refuse'!$D$30&gt;0,'Street-Refuse'!$D$30,"  ")</f>
        <v>184880</v>
      </c>
      <c r="E28" s="46"/>
      <c r="F28" s="68">
        <f>IF('Street-Refuse'!$E$30&gt;0,'Street-Refuse'!$E$30,"  ")</f>
        <v>157980</v>
      </c>
      <c r="G28" s="68"/>
      <c r="H28" s="310"/>
    </row>
    <row r="29" spans="1:13" x14ac:dyDescent="0.25">
      <c r="A29" s="68" t="str">
        <f>IF(inputPrYr!$B37&gt;"  ",(inputPrYr!$B37),"  ")</f>
        <v>Refuse</v>
      </c>
      <c r="B29" s="68">
        <f>IF('Street-Refuse'!$C$64&gt;0,'Street-Refuse'!$C$64,"  ")</f>
        <v>388219</v>
      </c>
      <c r="C29" s="46"/>
      <c r="D29" s="68">
        <f>IF('Street-Refuse'!$D$64&gt;0,'Street-Refuse'!$D$64,"  ")</f>
        <v>388582</v>
      </c>
      <c r="E29" s="46"/>
      <c r="F29" s="68">
        <f>IF('Street-Refuse'!$E$64&gt;0,'Street-Refuse'!$E$64,"  ")</f>
        <v>396700</v>
      </c>
      <c r="G29" s="68"/>
      <c r="H29" s="310"/>
    </row>
    <row r="30" spans="1:13" x14ac:dyDescent="0.3">
      <c r="A30" s="68" t="str">
        <f>IF(inputPrYr!$B38&gt;"  ",(inputPrYr!$B38),"  ")</f>
        <v>Golf Course</v>
      </c>
      <c r="B30" s="68">
        <f>IF('Golf-911'!$C$35&gt;0,'Golf-911'!$C$35,"  ")</f>
        <v>262130</v>
      </c>
      <c r="C30" s="46"/>
      <c r="D30" s="68">
        <f>IF('Golf-911'!$D$35&gt;0,'Golf-911'!$D$35,"  ")</f>
        <v>251649.22</v>
      </c>
      <c r="E30" s="46"/>
      <c r="F30" s="68">
        <f>IF('Golf-911'!$E$35&gt;0,'Golf-911'!$E$35,"  ")</f>
        <v>258454</v>
      </c>
      <c r="G30" s="68"/>
      <c r="H30" s="310"/>
      <c r="J30" s="1058" t="str">
        <f>CONCATENATE("Estimated Value Of One Mill For ",H2,"")</f>
        <v>Estimated Value Of One Mill For 2015</v>
      </c>
      <c r="K30" s="1063"/>
      <c r="L30" s="1063"/>
      <c r="M30" s="1064"/>
    </row>
    <row r="31" spans="1:13" x14ac:dyDescent="0.3">
      <c r="A31" s="68" t="str">
        <f>IF(inputPrYr!$B39&gt;"  ",(inputPrYr!$B39),"  ")</f>
        <v>Special Revenue (911)</v>
      </c>
      <c r="B31" s="68" t="str">
        <f>IF('Golf-911'!$C$69&gt;0,'Golf-911'!$C$69,"  ")</f>
        <v xml:space="preserve">  </v>
      </c>
      <c r="C31" s="46"/>
      <c r="D31" s="68" t="str">
        <f>IF('Golf-911'!$D$69&gt;0,'Golf-911'!$D$69,"  ")</f>
        <v xml:space="preserve">  </v>
      </c>
      <c r="E31" s="46"/>
      <c r="F31" s="68">
        <f>IF('Golf-911'!$E$69&gt;0,'Golf-911'!$E$69,"  ")</f>
        <v>9897</v>
      </c>
      <c r="G31" s="68"/>
      <c r="H31" s="310"/>
      <c r="J31" s="507"/>
      <c r="K31" s="508"/>
      <c r="L31" s="508"/>
      <c r="M31" s="509"/>
    </row>
    <row r="32" spans="1:13" x14ac:dyDescent="0.3">
      <c r="A32" s="68" t="str">
        <f>IF(inputPrYr!$B40&gt;"  ",(inputPrYr!$B40),"  ")</f>
        <v>Tourism</v>
      </c>
      <c r="B32" s="68">
        <f>IF(Tourism!$C$38&gt;0,Tourism!$C$38,"  ")</f>
        <v>61506.14</v>
      </c>
      <c r="C32" s="46"/>
      <c r="D32" s="68">
        <f>IF(Tourism!$D$38&gt;0,Tourism!$D$38,"  ")</f>
        <v>44078.52</v>
      </c>
      <c r="E32" s="46"/>
      <c r="F32" s="68">
        <f>IF(Tourism!$E$38&gt;0,Tourism!$E$38,"  ")</f>
        <v>76550</v>
      </c>
      <c r="G32" s="46"/>
      <c r="H32" s="46"/>
      <c r="J32" s="510" t="s">
        <v>760</v>
      </c>
      <c r="K32" s="511"/>
      <c r="L32" s="511"/>
      <c r="M32" s="512">
        <f>ROUND(F59/1000,0)</f>
        <v>22268</v>
      </c>
    </row>
    <row r="33" spans="1:13" hidden="1" x14ac:dyDescent="0.25">
      <c r="A33" s="68" t="str">
        <f>IF(inputPrYr!$B41&gt;"  ",(inputPrYr!$B41),"  ")</f>
        <v xml:space="preserve">  </v>
      </c>
      <c r="B33" s="68" t="str">
        <f>IF(Tourism!$C$69&gt;0,Tourism!$C$69,"  ")</f>
        <v xml:space="preserve">  </v>
      </c>
      <c r="C33" s="46"/>
      <c r="D33" s="68" t="str">
        <f>IF(Tourism!$D$69&gt;0,Tourism!$D$69,"  ")</f>
        <v xml:space="preserve">  </v>
      </c>
      <c r="E33" s="46"/>
      <c r="F33" s="68" t="str">
        <f>IF(Tourism!$E$69&gt;0,Tourism!$E$69,"  ")</f>
        <v xml:space="preserve">  </v>
      </c>
      <c r="G33" s="46"/>
      <c r="H33" s="46"/>
    </row>
    <row r="34" spans="1:13" hidden="1" x14ac:dyDescent="0.25">
      <c r="A34" s="68" t="str">
        <f>IF(inputPrYr!$B42&gt;"  ",(inputPrYr!$B42),"  ")</f>
        <v xml:space="preserve">  </v>
      </c>
      <c r="B34" s="68" t="str">
        <f>IF('no levy page17'!$C$30&gt;0,'no levy page17'!$C$30,"  ")</f>
        <v xml:space="preserve">  </v>
      </c>
      <c r="C34" s="46"/>
      <c r="D34" s="68" t="str">
        <f>IF('no levy page17'!$D$30&gt;0,'no levy page17'!$D$30,"  ")</f>
        <v xml:space="preserve">  </v>
      </c>
      <c r="E34" s="46"/>
      <c r="F34" s="68" t="str">
        <f>IF('no levy page17'!$E$30&gt;0,'no levy page17'!$E$30,"  ")</f>
        <v xml:space="preserve">  </v>
      </c>
      <c r="G34" s="46"/>
      <c r="H34" s="46"/>
    </row>
    <row r="35" spans="1:13" hidden="1" x14ac:dyDescent="0.25">
      <c r="A35" s="68" t="str">
        <f>IF(inputPrYr!$B43&gt;"  ",(inputPrYr!$B43),"  ")</f>
        <v xml:space="preserve">  </v>
      </c>
      <c r="B35" s="68" t="str">
        <f>IF('no levy page17'!$C$61&gt;0,'no levy page17'!$C$61,"  ")</f>
        <v xml:space="preserve">  </v>
      </c>
      <c r="C35" s="46"/>
      <c r="D35" s="68" t="str">
        <f>IF('no levy page17'!$D$61&gt;0,'no levy page17'!$D$61,"  ")</f>
        <v xml:space="preserve">  </v>
      </c>
      <c r="E35" s="46"/>
      <c r="F35" s="68" t="str">
        <f>IF('no levy page17'!$E$61&gt;0,'no levy page17'!$E$61,"  ")</f>
        <v xml:space="preserve">  </v>
      </c>
      <c r="G35" s="46"/>
      <c r="H35" s="46"/>
    </row>
    <row r="36" spans="1:13" hidden="1" x14ac:dyDescent="0.25">
      <c r="A36" s="68" t="str">
        <f>IF(inputPrYr!$B44&gt;"  ",(inputPrYr!$B44),"  ")</f>
        <v xml:space="preserve">  </v>
      </c>
      <c r="B36" s="68" t="str">
        <f>IF('no levy page18'!$C$30&gt;0,'no levy page18'!$C$30,"  ")</f>
        <v xml:space="preserve">  </v>
      </c>
      <c r="C36" s="46"/>
      <c r="D36" s="68" t="str">
        <f>IF('no levy page18'!$D$30&gt;0,'no levy page18'!$D$30,"  ")</f>
        <v xml:space="preserve">  </v>
      </c>
      <c r="E36" s="46"/>
      <c r="F36" s="68" t="str">
        <f>IF('no levy page18'!$E$30&gt;0,'no levy page18'!$E$30,"  ")</f>
        <v xml:space="preserve">  </v>
      </c>
      <c r="G36" s="46"/>
      <c r="H36" s="46"/>
    </row>
    <row r="37" spans="1:13" hidden="1" x14ac:dyDescent="0.25">
      <c r="A37" s="68" t="str">
        <f>IF(inputPrYr!$B45&gt;"  ",(inputPrYr!$B45),"  ")</f>
        <v xml:space="preserve">  </v>
      </c>
      <c r="B37" s="68" t="str">
        <f>IF('no levy page18'!$C$61&gt;0,'no levy page18'!$C$61,"  ")</f>
        <v xml:space="preserve">  </v>
      </c>
      <c r="C37" s="46"/>
      <c r="D37" s="68" t="str">
        <f>IF('no levy page18'!$D$61&gt;0,'no levy page18'!$D$61,"  ")</f>
        <v xml:space="preserve">  </v>
      </c>
      <c r="E37" s="46"/>
      <c r="F37" s="68" t="str">
        <f>IF('no levy page18'!$E$61&gt;0,'no levy page18'!$E$61,"  ")</f>
        <v xml:space="preserve">  </v>
      </c>
      <c r="G37" s="46"/>
      <c r="H37" s="46"/>
    </row>
    <row r="38" spans="1:13" hidden="1" x14ac:dyDescent="0.25">
      <c r="A38" s="68" t="str">
        <f>IF(inputPrYr!$B46&gt;"  ",(inputPrYr!$B46),"  ")</f>
        <v xml:space="preserve">  </v>
      </c>
      <c r="B38" s="68" t="str">
        <f>IF('no levy page19'!$C$30&gt;0,'no levy page19'!$C$30,"  ")</f>
        <v xml:space="preserve">  </v>
      </c>
      <c r="C38" s="46"/>
      <c r="D38" s="68" t="str">
        <f>IF('no levy page19'!$D$30&gt;0,'no levy page19'!$D$30,"  ")</f>
        <v xml:space="preserve">  </v>
      </c>
      <c r="E38" s="46"/>
      <c r="F38" s="68" t="str">
        <f>IF('no levy page19'!$E$30&gt;0,'no levy page19'!$E$30,"  ")</f>
        <v xml:space="preserve">  </v>
      </c>
      <c r="G38" s="46"/>
      <c r="H38" s="46"/>
    </row>
    <row r="39" spans="1:13" hidden="1" x14ac:dyDescent="0.25">
      <c r="A39" s="68" t="str">
        <f>IF(inputPrYr!$B47&gt;"  ",(inputPrYr!$B47),"  ")</f>
        <v xml:space="preserve">  </v>
      </c>
      <c r="B39" s="68" t="str">
        <f>IF('no levy page19'!$C$61&gt;0,'no levy page19'!$C$61,"  ")</f>
        <v xml:space="preserve">  </v>
      </c>
      <c r="C39" s="46"/>
      <c r="D39" s="68" t="str">
        <f>IF('no levy page19'!$D$61&gt;0,'no levy page19'!$D$61,"  ")</f>
        <v xml:space="preserve">  </v>
      </c>
      <c r="E39" s="46"/>
      <c r="F39" s="68" t="str">
        <f>IF('no levy page19'!$E$61&gt;0,'no levy page19'!$E$61,"  ")</f>
        <v xml:space="preserve">  </v>
      </c>
      <c r="G39" s="46"/>
      <c r="H39" s="46"/>
    </row>
    <row r="40" spans="1:13" hidden="1" x14ac:dyDescent="0.25">
      <c r="A40" s="68" t="str">
        <f>IF(inputPrYr!$B48&gt;"  ",(inputPrYr!$B48),"  ")</f>
        <v xml:space="preserve">  </v>
      </c>
      <c r="B40" s="68" t="str">
        <f>IF('no levy page20'!$C$30&gt;0,'no levy page20'!$C$30,"  ")</f>
        <v xml:space="preserve">  </v>
      </c>
      <c r="C40" s="46"/>
      <c r="D40" s="68" t="str">
        <f>IF('no levy page20'!$D$30&gt;0,'no levy page20'!$D$30,"  ")</f>
        <v xml:space="preserve">  </v>
      </c>
      <c r="E40" s="46"/>
      <c r="F40" s="68" t="str">
        <f>IF('no levy page20'!$E$30&gt;0,'no levy page20'!$E$30,"  ")</f>
        <v xml:space="preserve">  </v>
      </c>
      <c r="G40" s="46"/>
      <c r="H40" s="46"/>
    </row>
    <row r="41" spans="1:13" hidden="1" x14ac:dyDescent="0.25">
      <c r="A41" s="68" t="str">
        <f>IF(inputPrYr!$B49&gt;"  ",(inputPrYr!$B49),"  ")</f>
        <v xml:space="preserve">  </v>
      </c>
      <c r="B41" s="68" t="str">
        <f>IF('no levy page20'!$C$61&gt;0,'no levy page20'!$C$61,"  ")</f>
        <v xml:space="preserve">  </v>
      </c>
      <c r="C41" s="46"/>
      <c r="D41" s="68" t="str">
        <f>IF('no levy page20'!$D$61&gt;0,'no levy page20'!$D$61,"  ")</f>
        <v xml:space="preserve">  </v>
      </c>
      <c r="E41" s="46"/>
      <c r="F41" s="68" t="str">
        <f>IF('no levy page20'!$E$61&gt;0,'no levy page20'!$E$61,"  ")</f>
        <v xml:space="preserve">  </v>
      </c>
      <c r="G41" s="46"/>
      <c r="H41" s="46"/>
    </row>
    <row r="42" spans="1:13" hidden="1" x14ac:dyDescent="0.25">
      <c r="A42" s="68" t="str">
        <f>IF(inputPrYr!$B50&gt;"  ",(inputPrYr!$B50),"  ")</f>
        <v xml:space="preserve">  </v>
      </c>
      <c r="B42" s="68" t="str">
        <f>IF('no levy page21'!$C$30&gt;0,'no levy page21'!$C$30,"  ")</f>
        <v xml:space="preserve">  </v>
      </c>
      <c r="C42" s="46"/>
      <c r="D42" s="68" t="str">
        <f>IF('no levy page21'!$D$30&gt;0,'no levy page21'!$D$30,"  ")</f>
        <v xml:space="preserve">  </v>
      </c>
      <c r="E42" s="46"/>
      <c r="F42" s="68" t="str">
        <f>IF('no levy page21'!$E$30&gt;0,'no levy page21'!$E$30,"  ")</f>
        <v xml:space="preserve">  </v>
      </c>
      <c r="G42" s="46"/>
      <c r="H42" s="46"/>
    </row>
    <row r="43" spans="1:13" hidden="1" x14ac:dyDescent="0.25">
      <c r="A43" s="68" t="str">
        <f>IF(inputPrYr!$B51&gt;"  ",(inputPrYr!$B51),"  ")</f>
        <v xml:space="preserve">  </v>
      </c>
      <c r="B43" s="68" t="str">
        <f>IF('no levy page21'!$C$61&gt;0,'no levy page21'!$C$61,"  ")</f>
        <v xml:space="preserve">  </v>
      </c>
      <c r="C43" s="46"/>
      <c r="D43" s="68" t="str">
        <f>IF('no levy page21'!$D$61&gt;0,'no levy page21'!$D$61,"  ")</f>
        <v xml:space="preserve">  </v>
      </c>
      <c r="E43" s="46"/>
      <c r="F43" s="68" t="str">
        <f>IF('no levy page21'!$E$61&gt;0,'no levy page21'!$E$61,"  ")</f>
        <v xml:space="preserve">  </v>
      </c>
      <c r="G43" s="46"/>
      <c r="H43" s="46"/>
    </row>
    <row r="44" spans="1:13" x14ac:dyDescent="0.25">
      <c r="A44" s="68" t="str">
        <f>IF(inputPrYr!$B53&gt;"  ",(inputPrYr!$B53),"  ")</f>
        <v>Water</v>
      </c>
      <c r="B44" s="68">
        <f>IF(Water!$C$37&gt;0,Water!$C$37,"  ")</f>
        <v>776888</v>
      </c>
      <c r="C44" s="46"/>
      <c r="D44" s="68">
        <f>IF(Water!$D$37&gt;0,Water!$D$37,"  ")</f>
        <v>916092</v>
      </c>
      <c r="E44" s="46"/>
      <c r="F44" s="68">
        <f>IF(Water!$E$37&gt;0,Water!$E$37,"  ")</f>
        <v>969144</v>
      </c>
      <c r="G44" s="46"/>
      <c r="H44" s="46"/>
    </row>
    <row r="45" spans="1:13" x14ac:dyDescent="0.3">
      <c r="A45" s="68" t="str">
        <f>IF(inputPrYr!$B54&gt;"  ",(inputPrYr!$B54),"  ")</f>
        <v>Electric</v>
      </c>
      <c r="B45" s="68">
        <f>IF(Electric!$C$41&gt;0,Electric!$C$41,"  ")</f>
        <v>3738882.9</v>
      </c>
      <c r="C45" s="46"/>
      <c r="D45" s="68">
        <f>IF(Electric!$D$41&gt;0,Electric!$D$41,"  ")</f>
        <v>3926866</v>
      </c>
      <c r="E45" s="46"/>
      <c r="F45" s="68">
        <f>IF(Electric!$E$41&gt;0,Electric!$E$41,"  ")</f>
        <v>4256969</v>
      </c>
      <c r="G45" s="46"/>
      <c r="H45" s="46"/>
      <c r="J45" s="1058" t="str">
        <f>CONCATENATE("Want The Mill Rate The Same As For ",H2-1,"?")</f>
        <v>Want The Mill Rate The Same As For 2014?</v>
      </c>
      <c r="K45" s="1063"/>
      <c r="L45" s="1063"/>
      <c r="M45" s="1064"/>
    </row>
    <row r="46" spans="1:13" x14ac:dyDescent="0.3">
      <c r="A46" s="68" t="str">
        <f>IF(inputPrYr!$B55&gt;"  ",(inputPrYr!$B55),"  ")</f>
        <v>Sewer</v>
      </c>
      <c r="B46" s="68">
        <f>IF(Sewer!$C$32&gt;0,Sewer!$C$32,"  ")</f>
        <v>783036.4</v>
      </c>
      <c r="C46" s="46"/>
      <c r="D46" s="68">
        <f>IF(Sewer!$D$32&gt;0,Sewer!$D$32,"  ")</f>
        <v>934760.28524699993</v>
      </c>
      <c r="E46" s="46"/>
      <c r="F46" s="68">
        <f>IF(Sewer!$E$32&gt;0,Sewer!$E$32,"  ")</f>
        <v>962755.43753539398</v>
      </c>
      <c r="G46" s="46"/>
      <c r="H46" s="46"/>
      <c r="J46" s="514"/>
      <c r="K46" s="508"/>
      <c r="L46" s="508"/>
      <c r="M46" s="515"/>
    </row>
    <row r="47" spans="1:13" x14ac:dyDescent="0.3">
      <c r="A47" s="68" t="str">
        <f>IF(inputPrYr!$B56&gt;"  ",(inputPrYr!$B56),"  ")</f>
        <v>Special Parks &amp; Recreation</v>
      </c>
      <c r="B47" s="68">
        <f>IF('Special Parks &amp; Recreation'!$C$38&gt;0,'Special Parks &amp; Recreation'!$C$38,"  ")</f>
        <v>252646</v>
      </c>
      <c r="C47" s="46"/>
      <c r="D47" s="68">
        <f>IF('Special Parks &amp; Recreation'!$D$38&gt;0,'Special Parks &amp; Recreation'!$D$38,"  ")</f>
        <v>245554.69217605249</v>
      </c>
      <c r="E47" s="46"/>
      <c r="F47" s="68">
        <f>IF('Special Parks &amp; Recreation'!$E$38&gt;0,'Special Parks &amp; Recreation'!$E$38,"  ")</f>
        <v>262198.83087479498</v>
      </c>
      <c r="G47" s="46"/>
      <c r="H47" s="46"/>
      <c r="J47" s="514" t="str">
        <f>CONCATENATE("",H2-1," Mill Rate Was:")</f>
        <v>2014 Mill Rate Was:</v>
      </c>
      <c r="K47" s="508"/>
      <c r="L47" s="508"/>
      <c r="M47" s="516">
        <f>E52</f>
        <v>59.930999999999997</v>
      </c>
    </row>
    <row r="48" spans="1:13" x14ac:dyDescent="0.3">
      <c r="A48" s="969" t="str">
        <f>IF(inputPrYr!$B59&gt;"  ",(NonBudA!$A3),"  ")</f>
        <v>Non-Budgeted Funds A - CIP</v>
      </c>
      <c r="B48" s="68">
        <f>IF(NonBudA!$K$28&gt;0,NonBudA!$K$28,"  ")</f>
        <v>1191580</v>
      </c>
      <c r="C48" s="46"/>
      <c r="D48" s="68"/>
      <c r="E48" s="46"/>
      <c r="F48" s="68"/>
      <c r="G48" s="46"/>
      <c r="H48" s="46"/>
      <c r="J48" s="517" t="str">
        <f>CONCATENATE("",H2," Tax Levy Fund Expenditures Must Be")</f>
        <v>2015 Tax Levy Fund Expenditures Must Be</v>
      </c>
      <c r="K48" s="518"/>
      <c r="L48" s="518"/>
      <c r="M48" s="515"/>
    </row>
    <row r="49" spans="1:13" x14ac:dyDescent="0.3">
      <c r="A49" s="969" t="str">
        <f>IF(inputPrYr!$B65&gt;"  ",(NonBudB!$A3),"  ")</f>
        <v>Non-Budgeted Funds B - Court</v>
      </c>
      <c r="B49" s="68">
        <f>IF(NonBudB!$K$28&gt;0,NonBudB!$K$28,"  ")</f>
        <v>8641</v>
      </c>
      <c r="C49" s="46"/>
      <c r="D49" s="68"/>
      <c r="E49" s="46"/>
      <c r="F49" s="68"/>
      <c r="G49" s="46"/>
      <c r="H49" s="46"/>
      <c r="J49" s="517" t="str">
        <f>IF(M49&gt;0,"Increased By:","")</f>
        <v/>
      </c>
      <c r="K49" s="518"/>
      <c r="L49" s="518"/>
      <c r="M49" s="557">
        <f>IF(M56&lt;0,M56*-1,0)</f>
        <v>0</v>
      </c>
    </row>
    <row r="50" spans="1:13" x14ac:dyDescent="0.25">
      <c r="A50" s="969" t="str">
        <f>IF(inputPrYr!$B71&gt;"  ",(NonBudC!$A3),"  ")</f>
        <v>Non-Budgeted Funds C - Misc</v>
      </c>
      <c r="B50" s="68">
        <f>IF(NonBudC!$K$28&gt;0,NonBudC!$K$28,"  ")</f>
        <v>61556</v>
      </c>
      <c r="C50" s="46"/>
      <c r="D50" s="68"/>
      <c r="E50" s="46"/>
      <c r="F50" s="68"/>
      <c r="G50" s="46"/>
      <c r="H50" s="46"/>
      <c r="J50" s="558" t="str">
        <f>IF(M50&lt;0,"Reduced By:","")</f>
        <v>Reduced By:</v>
      </c>
      <c r="K50" s="559"/>
      <c r="L50" s="559"/>
      <c r="M50" s="560">
        <f>IF(M56&gt;0,M56*-1,0)</f>
        <v>-97120.169198575662</v>
      </c>
    </row>
    <row r="51" spans="1:13" ht="16.2" thickBot="1" x14ac:dyDescent="0.35">
      <c r="A51" s="68" t="str">
        <f>IF(inputPrYr!$B77&gt;"  ",(NonBudD!$A3),"  ")</f>
        <v xml:space="preserve">  </v>
      </c>
      <c r="B51" s="527" t="str">
        <f>IF(NonBudD!$K$28&gt;0,NonBudD!$K$28,"  ")</f>
        <v xml:space="preserve">  </v>
      </c>
      <c r="C51" s="528"/>
      <c r="D51" s="527"/>
      <c r="E51" s="528"/>
      <c r="F51" s="527"/>
      <c r="G51" s="528"/>
      <c r="H51" s="528"/>
      <c r="J51" s="521"/>
      <c r="K51" s="521"/>
      <c r="L51" s="521"/>
      <c r="M51" s="521"/>
    </row>
    <row r="52" spans="1:13" x14ac:dyDescent="0.3">
      <c r="A52" s="45" t="s">
        <v>634</v>
      </c>
      <c r="B52" s="830">
        <f>SUM(B15:B51)</f>
        <v>11279922.229999999</v>
      </c>
      <c r="C52" s="831">
        <f>SUM(C15:C27)</f>
        <v>58.256999999999998</v>
      </c>
      <c r="D52" s="830">
        <f>SUM(D15:D51)</f>
        <v>10674808.669541053</v>
      </c>
      <c r="E52" s="831">
        <f>SUM(E15:E27)</f>
        <v>59.930999999999997</v>
      </c>
      <c r="F52" s="830">
        <f>SUM(F15:F51)</f>
        <v>11521851.579341089</v>
      </c>
      <c r="G52" s="830">
        <f>SUM(G15:G51)</f>
        <v>1431668.1691985757</v>
      </c>
      <c r="H52" s="831">
        <f>SUM(H15:H27)</f>
        <v>64.292999999999992</v>
      </c>
      <c r="J52" s="1058" t="str">
        <f>CONCATENATE("Impact On Keeping The Same Mill Rate As For ",H2-1,"")</f>
        <v>Impact On Keeping The Same Mill Rate As For 2014</v>
      </c>
      <c r="K52" s="1061"/>
      <c r="L52" s="1061"/>
      <c r="M52" s="1062"/>
    </row>
    <row r="53" spans="1:13" x14ac:dyDescent="0.3">
      <c r="A53" s="490" t="str">
        <f>IF((inputPrYr!B33&gt;""),(inputPrYr!B33),"")</f>
        <v>Recreation</v>
      </c>
      <c r="B53" s="823">
        <f>IF(('Library-Rec'!C77)&lt;&gt;0,('Library-Rec'!C77),"  ")</f>
        <v>12355</v>
      </c>
      <c r="C53" s="826" t="str">
        <f>IF(inputPrYr!D99&gt;0,inputPrYr!D99,"  ")</f>
        <v xml:space="preserve">  </v>
      </c>
      <c r="D53" s="823">
        <f>IF(('Library-Rec'!D77)&lt;&gt;0,('Library-Rec'!D77),"  ")</f>
        <v>1000</v>
      </c>
      <c r="E53" s="825" t="str">
        <f>IF(inputOth!D36&gt;0,inputOth!D36,"  ")</f>
        <v xml:space="preserve">  </v>
      </c>
      <c r="F53" s="823">
        <f>IF(('Library-Rec'!E77)&lt;&gt;0,('Library-Rec'!E77),"  ")</f>
        <v>1000</v>
      </c>
      <c r="G53" s="824" t="str">
        <f>IF('Library-Rec'!E84&lt;&gt;0,'Library-Rec'!E84,"  ")</f>
        <v xml:space="preserve">  </v>
      </c>
      <c r="H53" s="825">
        <f>IF('Library-Rec'!E84&gt;0,ROUND(G53/$F$59*1000,3),0)</f>
        <v>0</v>
      </c>
      <c r="I53" s="524" t="str">
        <f>IF(H53&gt;inputOth!E6,"Exceed Limit","")</f>
        <v/>
      </c>
      <c r="J53" s="514"/>
      <c r="K53" s="508"/>
      <c r="L53" s="508"/>
      <c r="M53" s="515"/>
    </row>
    <row r="54" spans="1:13" x14ac:dyDescent="0.3">
      <c r="A54" s="489" t="s">
        <v>746</v>
      </c>
      <c r="B54" s="832">
        <f t="shared" ref="B54:H54" si="0">SUM(B52:B53)</f>
        <v>11292277.229999999</v>
      </c>
      <c r="C54" s="833">
        <f t="shared" si="0"/>
        <v>58.256999999999998</v>
      </c>
      <c r="D54" s="832">
        <f t="shared" si="0"/>
        <v>10675808.669541053</v>
      </c>
      <c r="E54" s="833">
        <f t="shared" si="0"/>
        <v>59.930999999999997</v>
      </c>
      <c r="F54" s="832">
        <f t="shared" si="0"/>
        <v>11522851.579341089</v>
      </c>
      <c r="G54" s="832">
        <f t="shared" si="0"/>
        <v>1431668.1691985757</v>
      </c>
      <c r="H54" s="833">
        <f t="shared" si="0"/>
        <v>64.292999999999992</v>
      </c>
      <c r="J54" s="514" t="str">
        <f>CONCATENATE("",H2," Ad Valorem Tax Revenue:")</f>
        <v>2015 Ad Valorem Tax Revenue:</v>
      </c>
      <c r="K54" s="508"/>
      <c r="L54" s="508"/>
      <c r="M54" s="509">
        <f>G52</f>
        <v>1431668.1691985757</v>
      </c>
    </row>
    <row r="55" spans="1:13" x14ac:dyDescent="0.3">
      <c r="A55" s="33" t="s">
        <v>129</v>
      </c>
      <c r="B55" s="830">
        <f>transfers!C30</f>
        <v>1716728</v>
      </c>
      <c r="C55" s="176"/>
      <c r="D55" s="830">
        <f>transfers!D30</f>
        <v>1235015</v>
      </c>
      <c r="E55" s="176"/>
      <c r="F55" s="830">
        <f>transfers!E30</f>
        <v>1142993</v>
      </c>
      <c r="G55" s="32"/>
      <c r="H55" s="32"/>
      <c r="J55" s="514" t="str">
        <f>CONCATENATE("",H2-1," Ad Valorem Tax Revenue:")</f>
        <v>2014 Ad Valorem Tax Revenue:</v>
      </c>
      <c r="K55" s="508"/>
      <c r="L55" s="508"/>
      <c r="M55" s="522">
        <f>ROUND(F59*M47/1000,0)</f>
        <v>1334548</v>
      </c>
    </row>
    <row r="56" spans="1:13" ht="16.2" thickBot="1" x14ac:dyDescent="0.35">
      <c r="A56" s="33" t="s">
        <v>130</v>
      </c>
      <c r="B56" s="834">
        <f>B54-B55</f>
        <v>9575549.2299999986</v>
      </c>
      <c r="C56" s="32"/>
      <c r="D56" s="834">
        <f>D54-D55</f>
        <v>9440793.6695410535</v>
      </c>
      <c r="E56" s="182"/>
      <c r="F56" s="834">
        <f>F54-F55</f>
        <v>10379858.579341089</v>
      </c>
      <c r="G56" s="32"/>
      <c r="H56" s="32"/>
      <c r="J56" s="519" t="s">
        <v>761</v>
      </c>
      <c r="K56" s="520"/>
      <c r="L56" s="520"/>
      <c r="M56" s="512">
        <f>SUM(M54-M55)</f>
        <v>97120.169198575662</v>
      </c>
    </row>
    <row r="57" spans="1:13" ht="16.2" thickTop="1" x14ac:dyDescent="0.3">
      <c r="A57" s="33" t="s">
        <v>131</v>
      </c>
      <c r="B57" s="830">
        <f>inputPrYr!E102</f>
        <v>1323632.6024720224</v>
      </c>
      <c r="C57" s="57"/>
      <c r="D57" s="830">
        <f>inputPrYr!E31</f>
        <v>1349898.0607740001</v>
      </c>
      <c r="E57" s="57"/>
      <c r="F57" s="311" t="s">
        <v>93</v>
      </c>
      <c r="G57" s="32"/>
      <c r="H57" s="32"/>
      <c r="J57" s="513"/>
      <c r="K57" s="513"/>
      <c r="L57" s="513"/>
      <c r="M57" s="521"/>
    </row>
    <row r="58" spans="1:13" x14ac:dyDescent="0.3">
      <c r="A58" s="33" t="s">
        <v>132</v>
      </c>
      <c r="B58" s="835"/>
      <c r="C58" s="32"/>
      <c r="D58" s="836"/>
      <c r="E58" s="32"/>
      <c r="F58" s="835"/>
      <c r="G58" s="32"/>
      <c r="H58" s="32"/>
      <c r="J58" s="1058" t="s">
        <v>762</v>
      </c>
      <c r="K58" s="1059"/>
      <c r="L58" s="1059"/>
      <c r="M58" s="1060"/>
    </row>
    <row r="59" spans="1:13" x14ac:dyDescent="0.3">
      <c r="A59" s="33" t="s">
        <v>133</v>
      </c>
      <c r="B59" s="830">
        <f>inputPrYr!E103</f>
        <v>22720472</v>
      </c>
      <c r="C59" s="32"/>
      <c r="D59" s="830">
        <f>inputOth!E39</f>
        <v>22523898</v>
      </c>
      <c r="E59" s="32"/>
      <c r="F59" s="830">
        <f>inputOth!E9</f>
        <v>22268068</v>
      </c>
      <c r="G59" s="32"/>
      <c r="H59" s="32"/>
      <c r="J59" s="514"/>
      <c r="K59" s="508"/>
      <c r="L59" s="508"/>
      <c r="M59" s="515"/>
    </row>
    <row r="60" spans="1:13" ht="13.5" customHeight="1" x14ac:dyDescent="0.3">
      <c r="A60" s="32"/>
      <c r="B60" s="32"/>
      <c r="C60" s="32"/>
      <c r="D60" s="32"/>
      <c r="E60" s="32"/>
      <c r="F60" s="32"/>
      <c r="G60" s="32"/>
      <c r="H60" s="32"/>
      <c r="J60" s="514" t="str">
        <f>CONCATENATE("Current ",H2," Estimated Mill Rate:")</f>
        <v>Current 2015 Estimated Mill Rate:</v>
      </c>
      <c r="K60" s="508"/>
      <c r="L60" s="508"/>
      <c r="M60" s="516">
        <f>H52</f>
        <v>64.292999999999992</v>
      </c>
    </row>
    <row r="61" spans="1:13" x14ac:dyDescent="0.3">
      <c r="A61" s="33" t="s">
        <v>134</v>
      </c>
      <c r="B61" s="32"/>
      <c r="C61" s="32"/>
      <c r="D61" s="32"/>
      <c r="E61" s="32"/>
      <c r="F61" s="32"/>
      <c r="G61" s="32"/>
      <c r="H61" s="32"/>
      <c r="J61" s="514" t="str">
        <f>CONCATENATE("Desired ",H2," Mill Rate:")</f>
        <v>Desired 2015 Mill Rate:</v>
      </c>
      <c r="K61" s="508"/>
      <c r="L61" s="508"/>
      <c r="M61" s="506"/>
    </row>
    <row r="62" spans="1:13" ht="18.75" customHeight="1" x14ac:dyDescent="0.3">
      <c r="A62" s="33" t="s">
        <v>135</v>
      </c>
      <c r="B62" s="312">
        <f>H2-3</f>
        <v>2012</v>
      </c>
      <c r="C62" s="32"/>
      <c r="D62" s="312">
        <f>H2-2</f>
        <v>2013</v>
      </c>
      <c r="E62" s="32"/>
      <c r="F62" s="312">
        <f>H2-1</f>
        <v>2014</v>
      </c>
      <c r="G62" s="32"/>
      <c r="H62" s="32"/>
      <c r="J62" s="514" t="str">
        <f>CONCATENATE("",H2," Ad Valorem Tax:")</f>
        <v>2015 Ad Valorem Tax:</v>
      </c>
      <c r="K62" s="508"/>
      <c r="L62" s="508"/>
      <c r="M62" s="522">
        <f>ROUND(F59*M61/1000,0)</f>
        <v>0</v>
      </c>
    </row>
    <row r="63" spans="1:13" ht="18.75" customHeight="1" x14ac:dyDescent="0.3">
      <c r="A63" s="33" t="s">
        <v>136</v>
      </c>
      <c r="B63" s="221">
        <f>inputPrYr!D107</f>
        <v>6055000</v>
      </c>
      <c r="C63" s="154"/>
      <c r="D63" s="221">
        <f>inputPrYr!E107</f>
        <v>8248000</v>
      </c>
      <c r="E63" s="154"/>
      <c r="F63" s="221">
        <f>debt!G20</f>
        <v>8394000</v>
      </c>
      <c r="G63" s="32"/>
      <c r="H63" s="32"/>
      <c r="J63" s="519" t="str">
        <f>CONCATENATE("",H2," Tax Levy Fund Exp. Changed By:")</f>
        <v>2015 Tax Levy Fund Exp. Changed By:</v>
      </c>
      <c r="K63" s="520"/>
      <c r="L63" s="520"/>
      <c r="M63" s="512">
        <f>M62-G52</f>
        <v>-1431668.1691985757</v>
      </c>
    </row>
    <row r="64" spans="1:13" ht="18.75" customHeight="1" x14ac:dyDescent="0.25">
      <c r="A64" s="33" t="s">
        <v>137</v>
      </c>
      <c r="B64" s="482">
        <f>inputPrYr!D108</f>
        <v>0</v>
      </c>
      <c r="C64" s="154"/>
      <c r="D64" s="482">
        <f>inputPrYr!E108</f>
        <v>0</v>
      </c>
      <c r="E64" s="154"/>
      <c r="F64" s="221">
        <f>debt!G32</f>
        <v>0</v>
      </c>
      <c r="G64" s="32"/>
      <c r="H64" s="32"/>
    </row>
    <row r="65" spans="1:11" ht="18.75" customHeight="1" x14ac:dyDescent="0.25">
      <c r="A65" s="32" t="s">
        <v>155</v>
      </c>
      <c r="B65" s="482">
        <f>inputPrYr!D109</f>
        <v>2101171.04</v>
      </c>
      <c r="C65" s="154"/>
      <c r="D65" s="482">
        <f>inputPrYr!E109</f>
        <v>0</v>
      </c>
      <c r="E65" s="154"/>
      <c r="F65" s="221">
        <f>debt!G42</f>
        <v>1273000</v>
      </c>
      <c r="G65" s="32"/>
      <c r="H65" s="32"/>
      <c r="J65" s="970">
        <f>+E54-C54</f>
        <v>1.6739999999999995</v>
      </c>
      <c r="K65" s="970">
        <f>+H54-E54</f>
        <v>4.3619999999999948</v>
      </c>
    </row>
    <row r="66" spans="1:11" ht="18" customHeight="1" x14ac:dyDescent="0.25">
      <c r="A66" s="33" t="s">
        <v>220</v>
      </c>
      <c r="B66" s="482">
        <f>inputPrYr!D110</f>
        <v>156849</v>
      </c>
      <c r="C66" s="154"/>
      <c r="D66" s="482">
        <f>inputPrYr!E110</f>
        <v>132781</v>
      </c>
      <c r="E66" s="154"/>
      <c r="F66" s="221">
        <f>lpform!G28</f>
        <v>212192</v>
      </c>
      <c r="G66" s="32"/>
      <c r="H66" s="32"/>
    </row>
    <row r="67" spans="1:11" ht="19.5" customHeight="1" thickBot="1" x14ac:dyDescent="0.3">
      <c r="A67" s="33" t="s">
        <v>138</v>
      </c>
      <c r="B67" s="320">
        <f>SUM(B63:B66)</f>
        <v>8313020.04</v>
      </c>
      <c r="C67" s="154"/>
      <c r="D67" s="320">
        <f>SUM(D63:D66)</f>
        <v>8380781</v>
      </c>
      <c r="E67" s="154"/>
      <c r="F67" s="320">
        <f>SUM(F63:F66)</f>
        <v>9879192</v>
      </c>
      <c r="G67" s="32"/>
      <c r="H67" s="32"/>
    </row>
    <row r="68" spans="1:11" ht="18.75" customHeight="1" thickTop="1" x14ac:dyDescent="0.25">
      <c r="A68" s="33" t="s">
        <v>139</v>
      </c>
      <c r="B68" s="32"/>
      <c r="C68" s="32"/>
      <c r="D68" s="32"/>
      <c r="E68" s="32"/>
      <c r="F68" s="32"/>
      <c r="G68" s="32"/>
      <c r="H68" s="32"/>
    </row>
    <row r="69" spans="1:11" x14ac:dyDescent="0.25">
      <c r="A69" s="32"/>
      <c r="B69" s="32"/>
      <c r="C69" s="32"/>
      <c r="D69" s="32"/>
      <c r="E69" s="32"/>
      <c r="F69" s="32"/>
      <c r="G69" s="32"/>
      <c r="H69" s="32"/>
    </row>
    <row r="70" spans="1:11" x14ac:dyDescent="0.25">
      <c r="A70" s="1057" t="str">
        <f>inputBudSum!B3</f>
        <v>Ann Elmquist</v>
      </c>
      <c r="B70" s="1057"/>
      <c r="C70" s="57"/>
      <c r="D70" s="32"/>
      <c r="E70" s="32"/>
      <c r="F70" s="32"/>
      <c r="G70" s="32"/>
      <c r="H70" s="32"/>
    </row>
    <row r="71" spans="1:11" x14ac:dyDescent="0.25">
      <c r="A71" s="1055" t="str">
        <f>CONCATENATE("City Official Title: ",inputBudSum!B5,"")</f>
        <v>City Official Title: City Clerk</v>
      </c>
      <c r="B71" s="1048"/>
      <c r="C71" s="32"/>
      <c r="D71" s="32"/>
      <c r="E71" s="32"/>
      <c r="F71" s="32"/>
      <c r="G71" s="32"/>
      <c r="H71" s="32"/>
    </row>
    <row r="72" spans="1:11" x14ac:dyDescent="0.25">
      <c r="A72" s="32"/>
      <c r="B72" s="32"/>
      <c r="C72" s="32"/>
      <c r="D72" s="32"/>
      <c r="E72" s="32"/>
      <c r="F72" s="32"/>
      <c r="G72" s="32"/>
      <c r="H72" s="32"/>
    </row>
    <row r="73" spans="1:11" x14ac:dyDescent="0.25">
      <c r="A73" s="32"/>
      <c r="B73" s="32"/>
      <c r="C73" s="119" t="s">
        <v>113</v>
      </c>
      <c r="D73" s="263">
        <v>23</v>
      </c>
      <c r="E73" s="32"/>
      <c r="F73" s="32"/>
      <c r="G73" s="32"/>
      <c r="H73" s="32"/>
    </row>
  </sheetData>
  <sheetProtection sheet="1" objects="1" scenarios="1"/>
  <mergeCells count="12">
    <mergeCell ref="A71:B71"/>
    <mergeCell ref="A5:H5"/>
    <mergeCell ref="A70:B70"/>
    <mergeCell ref="J58:M58"/>
    <mergeCell ref="J52:M52"/>
    <mergeCell ref="J30:M30"/>
    <mergeCell ref="J45:M45"/>
    <mergeCell ref="A1:H1"/>
    <mergeCell ref="A4:H4"/>
    <mergeCell ref="A6:H6"/>
    <mergeCell ref="A7:H7"/>
    <mergeCell ref="A3:H3"/>
  </mergeCells>
  <phoneticPr fontId="0" type="noConversion"/>
  <pageMargins left="0.5" right="0.5" top="1" bottom="0.5" header="0.5" footer="0.5"/>
  <pageSetup scale="70" orientation="portrait" blackAndWhite="1" horizontalDpi="120" verticalDpi="144" r:id="rId1"/>
  <headerFooter alignWithMargins="0">
    <oddHeader>&amp;RState of Kansas
City</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B7" sqref="B7"/>
    </sheetView>
  </sheetViews>
  <sheetFormatPr defaultRowHeight="15" x14ac:dyDescent="0.25"/>
  <cols>
    <col min="1" max="1" width="13.75" customWidth="1"/>
    <col min="2" max="2" width="16.08203125" customWidth="1"/>
  </cols>
  <sheetData>
    <row r="1" spans="1:10" x14ac:dyDescent="0.25">
      <c r="J1" s="575" t="s">
        <v>789</v>
      </c>
    </row>
    <row r="2" spans="1:10" ht="54" customHeight="1" x14ac:dyDescent="0.25">
      <c r="A2" s="990" t="s">
        <v>384</v>
      </c>
      <c r="B2" s="991"/>
      <c r="C2" s="991"/>
      <c r="D2" s="991"/>
      <c r="E2" s="991"/>
      <c r="F2" s="991"/>
      <c r="J2" s="575" t="s">
        <v>790</v>
      </c>
    </row>
    <row r="3" spans="1:10" ht="15.6" x14ac:dyDescent="0.3">
      <c r="A3" s="1" t="s">
        <v>791</v>
      </c>
      <c r="B3" s="903" t="s">
        <v>1045</v>
      </c>
      <c r="C3" s="904"/>
      <c r="J3" s="575" t="s">
        <v>792</v>
      </c>
    </row>
    <row r="4" spans="1:10" ht="15.6" x14ac:dyDescent="0.3">
      <c r="A4" s="1"/>
      <c r="B4" s="574"/>
      <c r="J4" s="575" t="s">
        <v>793</v>
      </c>
    </row>
    <row r="5" spans="1:10" ht="15.6" x14ac:dyDescent="0.3">
      <c r="A5" s="1" t="s">
        <v>763</v>
      </c>
      <c r="B5" s="905" t="s">
        <v>1046</v>
      </c>
      <c r="J5" s="575" t="s">
        <v>794</v>
      </c>
    </row>
    <row r="6" spans="1:10" ht="15.6" x14ac:dyDescent="0.3">
      <c r="A6" s="336"/>
      <c r="B6" s="336"/>
      <c r="C6" s="336"/>
      <c r="D6" s="337" t="s">
        <v>795</v>
      </c>
      <c r="E6" s="336"/>
      <c r="F6" s="336"/>
      <c r="J6" s="575" t="s">
        <v>796</v>
      </c>
    </row>
    <row r="7" spans="1:10" ht="15.6" x14ac:dyDescent="0.3">
      <c r="A7" s="337" t="s">
        <v>385</v>
      </c>
      <c r="B7" s="905" t="s">
        <v>1247</v>
      </c>
      <c r="C7" s="338"/>
      <c r="D7" s="337" t="str">
        <f ca="1">IF(B7="","",CONCATENATE("Latest date for notice to be published in your newspaper: ",G18," ",G22,", ",G23))</f>
        <v>Latest date for notice to be published in your newspaper: August 18, 2014</v>
      </c>
      <c r="E7" s="336"/>
      <c r="F7" s="336"/>
      <c r="J7" s="575" t="s">
        <v>797</v>
      </c>
    </row>
    <row r="8" spans="1:10" ht="15.6" x14ac:dyDescent="0.3">
      <c r="A8" s="337"/>
      <c r="B8" s="339"/>
      <c r="C8" s="340"/>
      <c r="D8" s="337"/>
      <c r="E8" s="336"/>
      <c r="F8" s="336"/>
      <c r="J8" s="575" t="s">
        <v>798</v>
      </c>
    </row>
    <row r="9" spans="1:10" ht="15.6" x14ac:dyDescent="0.3">
      <c r="A9" s="337" t="s">
        <v>386</v>
      </c>
      <c r="B9" s="905" t="s">
        <v>1050</v>
      </c>
      <c r="C9" s="341" t="s">
        <v>1049</v>
      </c>
      <c r="D9" s="337" t="s">
        <v>1048</v>
      </c>
      <c r="E9" s="336"/>
      <c r="F9" s="336"/>
      <c r="J9" s="575" t="s">
        <v>799</v>
      </c>
    </row>
    <row r="10" spans="1:10" ht="15.6" x14ac:dyDescent="0.3">
      <c r="A10" s="337"/>
      <c r="B10" s="337"/>
      <c r="C10" s="337"/>
      <c r="D10" s="337"/>
      <c r="E10" s="336"/>
      <c r="F10" s="336"/>
      <c r="J10" s="575" t="s">
        <v>800</v>
      </c>
    </row>
    <row r="11" spans="1:10" ht="15.6" x14ac:dyDescent="0.3">
      <c r="A11" s="337" t="s">
        <v>387</v>
      </c>
      <c r="B11" s="906" t="s">
        <v>1047</v>
      </c>
      <c r="C11" s="907"/>
      <c r="D11" s="907"/>
      <c r="E11" s="908"/>
      <c r="F11" s="336"/>
      <c r="J11" s="575" t="s">
        <v>801</v>
      </c>
    </row>
    <row r="12" spans="1:10" ht="15.6" x14ac:dyDescent="0.3">
      <c r="A12" s="337"/>
      <c r="B12" s="337"/>
      <c r="C12" s="337"/>
      <c r="D12" s="337"/>
      <c r="E12" s="336"/>
      <c r="F12" s="336"/>
      <c r="J12" s="575" t="s">
        <v>802</v>
      </c>
    </row>
    <row r="13" spans="1:10" ht="15.6" x14ac:dyDescent="0.3">
      <c r="A13" s="337"/>
      <c r="B13" s="337"/>
      <c r="C13" s="337"/>
      <c r="D13" s="337"/>
      <c r="E13" s="336"/>
      <c r="F13" s="336"/>
    </row>
    <row r="14" spans="1:10" ht="15.6" x14ac:dyDescent="0.3">
      <c r="A14" s="337" t="s">
        <v>388</v>
      </c>
      <c r="B14" s="906" t="s">
        <v>1239</v>
      </c>
      <c r="C14" s="907"/>
      <c r="D14" s="907"/>
      <c r="E14" s="908"/>
      <c r="F14" s="336"/>
    </row>
    <row r="17" spans="1:7" ht="15.6" x14ac:dyDescent="0.3">
      <c r="A17" s="992" t="s">
        <v>389</v>
      </c>
      <c r="B17" s="992"/>
      <c r="C17" s="337"/>
      <c r="D17" s="337"/>
      <c r="E17" s="337"/>
      <c r="F17" s="336"/>
    </row>
    <row r="18" spans="1:7" ht="15.6" x14ac:dyDescent="0.3">
      <c r="A18" s="337"/>
      <c r="B18" s="337"/>
      <c r="C18" s="337"/>
      <c r="D18" s="337"/>
      <c r="E18" s="337"/>
      <c r="F18" s="336"/>
      <c r="G18" s="575" t="str">
        <f ca="1">IF(B7="","",INDIRECT(G19))</f>
        <v>August</v>
      </c>
    </row>
    <row r="19" spans="1:7" ht="15.6" x14ac:dyDescent="0.3">
      <c r="A19" s="337" t="s">
        <v>763</v>
      </c>
      <c r="B19" s="337" t="s">
        <v>764</v>
      </c>
      <c r="C19" s="337"/>
      <c r="D19" s="337"/>
      <c r="E19" s="337"/>
      <c r="F19" s="336"/>
      <c r="G19" s="576" t="str">
        <f>IF(B7="","",CONCATENATE("J",G21))</f>
        <v>J8</v>
      </c>
    </row>
    <row r="20" spans="1:7" ht="15.6" x14ac:dyDescent="0.3">
      <c r="A20" s="337"/>
      <c r="B20" s="337"/>
      <c r="C20" s="337"/>
      <c r="D20" s="337"/>
      <c r="E20" s="337"/>
      <c r="F20" s="336"/>
      <c r="G20" s="577">
        <f>B7-10</f>
        <v>41869</v>
      </c>
    </row>
    <row r="21" spans="1:7" ht="15.6" x14ac:dyDescent="0.25">
      <c r="A21" s="337" t="s">
        <v>385</v>
      </c>
      <c r="B21" s="339" t="s">
        <v>390</v>
      </c>
      <c r="C21" s="337"/>
      <c r="D21" s="337"/>
      <c r="E21" s="337"/>
      <c r="G21" s="578">
        <f>IF(B7="","",MONTH(G20))</f>
        <v>8</v>
      </c>
    </row>
    <row r="22" spans="1:7" ht="15.6" x14ac:dyDescent="0.25">
      <c r="A22" s="337"/>
      <c r="B22" s="337"/>
      <c r="C22" s="337"/>
      <c r="D22" s="337"/>
      <c r="E22" s="337"/>
      <c r="G22" s="579">
        <f>IF(B7="","",DAY(G20))</f>
        <v>18</v>
      </c>
    </row>
    <row r="23" spans="1:7" ht="15.6" x14ac:dyDescent="0.25">
      <c r="A23" s="337" t="s">
        <v>386</v>
      </c>
      <c r="B23" s="337" t="s">
        <v>391</v>
      </c>
      <c r="C23" s="337"/>
      <c r="D23" s="337"/>
      <c r="E23" s="337"/>
      <c r="G23" s="580">
        <f>IF(B7="","",YEAR(G20))</f>
        <v>2014</v>
      </c>
    </row>
    <row r="24" spans="1:7" ht="15.6" x14ac:dyDescent="0.25">
      <c r="A24" s="337"/>
      <c r="B24" s="337"/>
      <c r="C24" s="337"/>
      <c r="D24" s="337"/>
      <c r="E24" s="337"/>
    </row>
    <row r="25" spans="1:7" ht="15.6" x14ac:dyDescent="0.25">
      <c r="A25" s="337" t="s">
        <v>387</v>
      </c>
      <c r="B25" s="337" t="s">
        <v>392</v>
      </c>
      <c r="C25" s="337"/>
      <c r="D25" s="337"/>
      <c r="E25" s="337"/>
    </row>
    <row r="26" spans="1:7" ht="15.6" x14ac:dyDescent="0.25">
      <c r="A26" s="337"/>
      <c r="B26" s="337"/>
      <c r="C26" s="337"/>
      <c r="D26" s="337"/>
      <c r="E26" s="337"/>
    </row>
    <row r="27" spans="1:7" ht="15.6" x14ac:dyDescent="0.25">
      <c r="A27" s="337" t="s">
        <v>388</v>
      </c>
      <c r="B27" s="337" t="s">
        <v>392</v>
      </c>
      <c r="C27" s="337"/>
      <c r="D27" s="337"/>
      <c r="E27" s="337"/>
    </row>
  </sheetData>
  <mergeCells count="2">
    <mergeCell ref="A2:F2"/>
    <mergeCell ref="A17:B17"/>
  </mergeCells>
  <pageMargins left="0.7" right="0.7" top="0.75" bottom="0.75" header="0.3" footer="0.3"/>
  <pageSetup orientation="portrait" blackAndWhite="1"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1"/>
  <sheetViews>
    <sheetView zoomScaleNormal="100" workbookViewId="0">
      <selection activeCell="C7" sqref="C7"/>
    </sheetView>
  </sheetViews>
  <sheetFormatPr defaultColWidth="8.9140625" defaultRowHeight="15" x14ac:dyDescent="0.25"/>
  <cols>
    <col min="1" max="1" width="10.08203125" style="87" customWidth="1"/>
    <col min="2" max="2" width="16.33203125" style="87" customWidth="1"/>
    <col min="3" max="3" width="11.75" style="87" customWidth="1"/>
    <col min="4" max="4" width="12.75" style="87" customWidth="1"/>
    <col min="5" max="5" width="11.75" style="87" customWidth="1"/>
    <col min="6" max="16384" width="8.9140625" style="87"/>
  </cols>
  <sheetData>
    <row r="1" spans="1:6" ht="15.6" x14ac:dyDescent="0.25">
      <c r="A1" s="176" t="str">
        <f>inputPrYr!D2</f>
        <v>City of Osawatomie</v>
      </c>
      <c r="B1" s="32"/>
      <c r="C1" s="32"/>
      <c r="D1" s="32"/>
      <c r="E1" s="32"/>
      <c r="F1" s="32">
        <f>inputPrYr!C5</f>
        <v>2015</v>
      </c>
    </row>
    <row r="2" spans="1:6" ht="15.6" x14ac:dyDescent="0.25">
      <c r="A2" s="32"/>
      <c r="B2" s="32"/>
      <c r="C2" s="32"/>
      <c r="D2" s="32"/>
      <c r="E2" s="32"/>
      <c r="F2" s="32"/>
    </row>
    <row r="3" spans="1:6" ht="15.6" x14ac:dyDescent="0.25">
      <c r="A3" s="32"/>
      <c r="B3" s="1008" t="str">
        <f>CONCATENATE("",F1," Neighborhood Revitalization Rebate")</f>
        <v>2015 Neighborhood Revitalization Rebate</v>
      </c>
      <c r="C3" s="1066"/>
      <c r="D3" s="1066"/>
      <c r="E3" s="1066"/>
      <c r="F3" s="32"/>
    </row>
    <row r="4" spans="1:6" ht="15.6" x14ac:dyDescent="0.25">
      <c r="A4" s="32"/>
      <c r="B4" s="32"/>
      <c r="C4" s="32"/>
      <c r="D4" s="32"/>
      <c r="E4" s="32"/>
      <c r="F4" s="32"/>
    </row>
    <row r="5" spans="1:6" ht="51.75" customHeight="1" x14ac:dyDescent="0.25">
      <c r="A5" s="32"/>
      <c r="B5" s="314" t="str">
        <f>CONCATENATE("Budgeted Funds         for ",F1,"")</f>
        <v>Budgeted Funds         for 2015</v>
      </c>
      <c r="C5" s="314" t="str">
        <f>CONCATENATE("",F1-1," Ad Valorem before Rebate**")</f>
        <v>2014 Ad Valorem before Rebate**</v>
      </c>
      <c r="D5" s="315" t="str">
        <f>CONCATENATE("",F1-1," Mil Rate before Rebate")</f>
        <v>2014 Mil Rate before Rebate</v>
      </c>
      <c r="E5" s="316" t="str">
        <f>CONCATENATE("Estimate ",F1," NR Rebate")</f>
        <v>Estimate 2015 NR Rebate</v>
      </c>
      <c r="F5" s="79"/>
    </row>
    <row r="6" spans="1:6" ht="15.6" x14ac:dyDescent="0.25">
      <c r="A6" s="32"/>
      <c r="B6" s="45" t="str">
        <f>inputPrYr!B17</f>
        <v>General</v>
      </c>
      <c r="C6" s="317"/>
      <c r="D6" s="318" t="str">
        <f>IF(C6&gt;0,C6/$D$25,"")</f>
        <v/>
      </c>
      <c r="E6" s="221" t="str">
        <f t="shared" ref="E6:E18" si="0">IF(C6&gt;0,ROUND(D6*$D$29,0),"")</f>
        <v/>
      </c>
      <c r="F6" s="79"/>
    </row>
    <row r="7" spans="1:6" ht="15.6" x14ac:dyDescent="0.25">
      <c r="A7" s="32"/>
      <c r="B7" s="45" t="str">
        <f>inputPrYr!B18</f>
        <v>Debt Service</v>
      </c>
      <c r="C7" s="317"/>
      <c r="D7" s="318" t="str">
        <f t="shared" ref="D7:D18" si="1">IF(C7&gt;0,C7/$D$25,"")</f>
        <v/>
      </c>
      <c r="E7" s="221" t="str">
        <f t="shared" si="0"/>
        <v/>
      </c>
      <c r="F7" s="79"/>
    </row>
    <row r="8" spans="1:6" ht="15.6" x14ac:dyDescent="0.25">
      <c r="A8" s="32"/>
      <c r="B8" s="45" t="str">
        <f>inputPrYr!B19</f>
        <v>Library</v>
      </c>
      <c r="C8" s="317"/>
      <c r="D8" s="318" t="str">
        <f>IF(C8&gt;0,C8/$D$25,"")</f>
        <v/>
      </c>
      <c r="E8" s="221" t="str">
        <f>IF(C8&gt;0,ROUND(D8*$D$29,0),"")</f>
        <v/>
      </c>
      <c r="F8" s="79"/>
    </row>
    <row r="9" spans="1:6" ht="15.6" x14ac:dyDescent="0.25">
      <c r="A9" s="32"/>
      <c r="B9" s="68" t="str">
        <f>inputPrYr!B21</f>
        <v>Industrial</v>
      </c>
      <c r="C9" s="317"/>
      <c r="D9" s="318" t="str">
        <f t="shared" si="1"/>
        <v/>
      </c>
      <c r="E9" s="221" t="str">
        <f t="shared" si="0"/>
        <v/>
      </c>
      <c r="F9" s="79"/>
    </row>
    <row r="10" spans="1:6" ht="15.6" x14ac:dyDescent="0.25">
      <c r="A10" s="32"/>
      <c r="B10" s="68" t="str">
        <f>inputPrYr!B22</f>
        <v>Employee Benefits</v>
      </c>
      <c r="C10" s="317"/>
      <c r="D10" s="318" t="str">
        <f t="shared" si="1"/>
        <v/>
      </c>
      <c r="E10" s="221" t="str">
        <f t="shared" si="0"/>
        <v/>
      </c>
      <c r="F10" s="79"/>
    </row>
    <row r="11" spans="1:6" ht="15.6" x14ac:dyDescent="0.25">
      <c r="A11" s="32"/>
      <c r="B11" s="68" t="str">
        <f>inputPrYr!B23</f>
        <v>Public Safety Equipment</v>
      </c>
      <c r="C11" s="317"/>
      <c r="D11" s="318" t="str">
        <f t="shared" si="1"/>
        <v/>
      </c>
      <c r="E11" s="221" t="str">
        <f t="shared" si="0"/>
        <v/>
      </c>
      <c r="F11" s="79"/>
    </row>
    <row r="12" spans="1:6" ht="15.6" x14ac:dyDescent="0.25">
      <c r="A12" s="32"/>
      <c r="B12" s="68" t="str">
        <f>inputPrYr!B24</f>
        <v>Recreation Employee Benefits</v>
      </c>
      <c r="C12" s="317"/>
      <c r="D12" s="318" t="str">
        <f t="shared" si="1"/>
        <v/>
      </c>
      <c r="E12" s="221" t="str">
        <f t="shared" si="0"/>
        <v/>
      </c>
      <c r="F12" s="79"/>
    </row>
    <row r="13" spans="1:6" ht="15.6" x14ac:dyDescent="0.25">
      <c r="A13" s="32"/>
      <c r="B13" s="68">
        <f>inputPrYr!B25</f>
        <v>0</v>
      </c>
      <c r="C13" s="319"/>
      <c r="D13" s="318" t="str">
        <f t="shared" si="1"/>
        <v/>
      </c>
      <c r="E13" s="221" t="str">
        <f t="shared" si="0"/>
        <v/>
      </c>
      <c r="F13" s="79"/>
    </row>
    <row r="14" spans="1:6" ht="15.6" x14ac:dyDescent="0.25">
      <c r="A14" s="32"/>
      <c r="B14" s="68">
        <f>inputPrYr!B26</f>
        <v>0</v>
      </c>
      <c r="C14" s="319"/>
      <c r="D14" s="318" t="str">
        <f t="shared" si="1"/>
        <v/>
      </c>
      <c r="E14" s="221" t="str">
        <f t="shared" si="0"/>
        <v/>
      </c>
      <c r="F14" s="79"/>
    </row>
    <row r="15" spans="1:6" ht="15.6" x14ac:dyDescent="0.25">
      <c r="A15" s="32"/>
      <c r="B15" s="68">
        <f>inputPrYr!B27</f>
        <v>0</v>
      </c>
      <c r="C15" s="319"/>
      <c r="D15" s="318" t="str">
        <f t="shared" si="1"/>
        <v/>
      </c>
      <c r="E15" s="221" t="str">
        <f t="shared" si="0"/>
        <v/>
      </c>
      <c r="F15" s="79"/>
    </row>
    <row r="16" spans="1:6" ht="15.6" x14ac:dyDescent="0.25">
      <c r="A16" s="32"/>
      <c r="B16" s="68">
        <f>inputPrYr!B28</f>
        <v>0</v>
      </c>
      <c r="C16" s="319"/>
      <c r="D16" s="318" t="str">
        <f t="shared" si="1"/>
        <v/>
      </c>
      <c r="E16" s="221" t="str">
        <f t="shared" si="0"/>
        <v/>
      </c>
      <c r="F16" s="79"/>
    </row>
    <row r="17" spans="1:6" ht="15.6" x14ac:dyDescent="0.25">
      <c r="A17" s="32"/>
      <c r="B17" s="68">
        <f>inputPrYr!B29</f>
        <v>0</v>
      </c>
      <c r="C17" s="319"/>
      <c r="D17" s="318" t="str">
        <f t="shared" si="1"/>
        <v/>
      </c>
      <c r="E17" s="221" t="str">
        <f t="shared" si="0"/>
        <v/>
      </c>
      <c r="F17" s="79"/>
    </row>
    <row r="18" spans="1:6" ht="15.6" x14ac:dyDescent="0.25">
      <c r="A18" s="32"/>
      <c r="B18" s="68">
        <f>inputPrYr!B30</f>
        <v>0</v>
      </c>
      <c r="C18" s="319"/>
      <c r="D18" s="318" t="str">
        <f t="shared" si="1"/>
        <v/>
      </c>
      <c r="E18" s="221" t="str">
        <f t="shared" si="0"/>
        <v/>
      </c>
      <c r="F18" s="79"/>
    </row>
    <row r="19" spans="1:6" ht="15.6" x14ac:dyDescent="0.25">
      <c r="A19" s="32"/>
      <c r="B19" s="68" t="str">
        <f>inputPrYr!B33</f>
        <v>Recreation</v>
      </c>
      <c r="C19" s="319"/>
      <c r="D19" s="318" t="str">
        <f>IF(C19&gt;0,C19/$D$25,"")</f>
        <v/>
      </c>
      <c r="E19" s="221" t="str">
        <f>IF(C19&gt;0,ROUND(D19*$D$29,0),"")</f>
        <v/>
      </c>
      <c r="F19" s="79"/>
    </row>
    <row r="20" spans="1:6" ht="16.2" thickBot="1" x14ac:dyDescent="0.3">
      <c r="A20" s="32"/>
      <c r="B20" s="46" t="s">
        <v>99</v>
      </c>
      <c r="C20" s="320">
        <f>SUM(C6:C19)</f>
        <v>0</v>
      </c>
      <c r="D20" s="321">
        <f>SUM(D6:D18)</f>
        <v>0</v>
      </c>
      <c r="E20" s="320">
        <f>SUM(E6:E18)</f>
        <v>0</v>
      </c>
      <c r="F20" s="79"/>
    </row>
    <row r="21" spans="1:6" ht="16.2" thickTop="1" x14ac:dyDescent="0.25">
      <c r="A21" s="32"/>
      <c r="B21" s="32"/>
      <c r="C21" s="32"/>
      <c r="D21" s="32"/>
      <c r="E21" s="32"/>
      <c r="F21" s="79"/>
    </row>
    <row r="22" spans="1:6" ht="15.6" x14ac:dyDescent="0.25">
      <c r="A22" s="32"/>
      <c r="B22" s="32"/>
      <c r="C22" s="32"/>
      <c r="D22" s="32"/>
      <c r="E22" s="32"/>
      <c r="F22" s="79"/>
    </row>
    <row r="23" spans="1:6" ht="15.6" x14ac:dyDescent="0.25">
      <c r="A23" s="1067" t="str">
        <f>CONCATENATE("",F1-1," July 1 Valuation:")</f>
        <v>2014 July 1 Valuation:</v>
      </c>
      <c r="B23" s="1026"/>
      <c r="C23" s="1067"/>
      <c r="D23" s="313">
        <f>inputOth!E9</f>
        <v>22268068</v>
      </c>
      <c r="E23" s="32"/>
      <c r="F23" s="79"/>
    </row>
    <row r="24" spans="1:6" ht="15.6" x14ac:dyDescent="0.25">
      <c r="A24" s="32"/>
      <c r="B24" s="32"/>
      <c r="C24" s="32"/>
      <c r="D24" s="32"/>
      <c r="E24" s="32"/>
      <c r="F24" s="79"/>
    </row>
    <row r="25" spans="1:6" ht="15.6" x14ac:dyDescent="0.25">
      <c r="A25" s="32"/>
      <c r="B25" s="1067" t="s">
        <v>321</v>
      </c>
      <c r="C25" s="1067"/>
      <c r="D25" s="322">
        <f>IF(D23&gt;0,(D23*0.001),"")</f>
        <v>22268.067999999999</v>
      </c>
      <c r="E25" s="32"/>
      <c r="F25" s="79"/>
    </row>
    <row r="26" spans="1:6" ht="15.6" x14ac:dyDescent="0.25">
      <c r="A26" s="32"/>
      <c r="B26" s="119"/>
      <c r="C26" s="119"/>
      <c r="D26" s="323"/>
      <c r="E26" s="32"/>
      <c r="F26" s="79"/>
    </row>
    <row r="27" spans="1:6" ht="15.6" x14ac:dyDescent="0.25">
      <c r="A27" s="1065" t="s">
        <v>322</v>
      </c>
      <c r="B27" s="997"/>
      <c r="C27" s="997"/>
      <c r="D27" s="324">
        <f>inputOth!E19</f>
        <v>0</v>
      </c>
      <c r="E27" s="49"/>
      <c r="F27" s="49"/>
    </row>
    <row r="28" spans="1:6" x14ac:dyDescent="0.25">
      <c r="A28" s="49"/>
      <c r="B28" s="49"/>
      <c r="C28" s="49"/>
      <c r="D28" s="325"/>
      <c r="E28" s="49"/>
      <c r="F28" s="49"/>
    </row>
    <row r="29" spans="1:6" ht="15.6" x14ac:dyDescent="0.25">
      <c r="A29" s="49"/>
      <c r="B29" s="1065" t="s">
        <v>323</v>
      </c>
      <c r="C29" s="1026"/>
      <c r="D29" s="326" t="str">
        <f>IF(D27&gt;0,(D27*0.001),"")</f>
        <v/>
      </c>
      <c r="E29" s="49"/>
      <c r="F29" s="49"/>
    </row>
    <row r="30" spans="1:6" x14ac:dyDescent="0.25">
      <c r="A30" s="49"/>
      <c r="B30" s="49"/>
      <c r="C30" s="49"/>
      <c r="D30" s="49"/>
      <c r="E30" s="49"/>
      <c r="F30" s="49"/>
    </row>
    <row r="31" spans="1:6" x14ac:dyDescent="0.25">
      <c r="A31" s="49"/>
      <c r="B31" s="49"/>
      <c r="C31" s="49"/>
      <c r="D31" s="49"/>
      <c r="E31" s="49"/>
      <c r="F31" s="49"/>
    </row>
    <row r="32" spans="1:6" x14ac:dyDescent="0.25">
      <c r="A32" s="49"/>
      <c r="B32" s="49"/>
      <c r="C32" s="49"/>
      <c r="D32" s="49"/>
      <c r="E32" s="49"/>
      <c r="F32" s="49"/>
    </row>
    <row r="33" spans="1:6" ht="15.6" x14ac:dyDescent="0.3">
      <c r="A33" s="356" t="str">
        <f>CONCATENATE("**This information comes from the ",F1," Budget Summary page.  See instructions tab #13 for completing")</f>
        <v>**This information comes from the 2015 Budget Summary page.  See instructions tab #13 for completing</v>
      </c>
      <c r="B33" s="49"/>
      <c r="C33" s="49"/>
      <c r="D33" s="49"/>
      <c r="E33" s="49"/>
      <c r="F33" s="49"/>
    </row>
    <row r="34" spans="1:6" ht="15.6" x14ac:dyDescent="0.3">
      <c r="A34" s="356" t="s">
        <v>613</v>
      </c>
      <c r="B34" s="49"/>
      <c r="C34" s="49"/>
      <c r="D34" s="49"/>
      <c r="E34" s="49"/>
      <c r="F34" s="49"/>
    </row>
    <row r="35" spans="1:6" ht="15.6" x14ac:dyDescent="0.3">
      <c r="A35" s="356"/>
      <c r="B35" s="49"/>
      <c r="C35" s="49"/>
      <c r="D35" s="49"/>
      <c r="E35" s="49"/>
      <c r="F35" s="49"/>
    </row>
    <row r="36" spans="1:6" ht="15.6" x14ac:dyDescent="0.3">
      <c r="A36" s="356"/>
      <c r="B36" s="49"/>
      <c r="C36" s="49"/>
      <c r="D36" s="49"/>
      <c r="E36" s="49"/>
      <c r="F36" s="49"/>
    </row>
    <row r="37" spans="1:6" ht="15.6" x14ac:dyDescent="0.3">
      <c r="A37" s="356"/>
      <c r="B37" s="49"/>
      <c r="C37" s="49"/>
      <c r="D37" s="49"/>
      <c r="E37" s="49"/>
      <c r="F37" s="49"/>
    </row>
    <row r="38" spans="1:6" ht="15.6" x14ac:dyDescent="0.3">
      <c r="A38" s="356"/>
      <c r="B38" s="49"/>
      <c r="C38" s="49"/>
      <c r="D38" s="49"/>
      <c r="E38" s="49"/>
      <c r="F38" s="49"/>
    </row>
    <row r="39" spans="1:6" x14ac:dyDescent="0.25">
      <c r="A39" s="49"/>
      <c r="B39" s="49"/>
      <c r="C39" s="49"/>
      <c r="D39" s="49"/>
      <c r="E39" s="49"/>
      <c r="F39" s="49"/>
    </row>
    <row r="40" spans="1:6" ht="15.6" x14ac:dyDescent="0.25">
      <c r="A40" s="49"/>
      <c r="B40" s="168" t="s">
        <v>121</v>
      </c>
      <c r="C40" s="263"/>
      <c r="D40" s="49"/>
      <c r="E40" s="49"/>
      <c r="F40" s="49"/>
    </row>
    <row r="41" spans="1:6" ht="15.6" x14ac:dyDescent="0.25">
      <c r="A41" s="79"/>
      <c r="B41" s="32"/>
      <c r="C41" s="32"/>
      <c r="D41" s="327"/>
      <c r="E41" s="79"/>
      <c r="F41" s="79"/>
    </row>
  </sheetData>
  <sheetProtection sheet="1"/>
  <mergeCells count="5">
    <mergeCell ref="B29:C29"/>
    <mergeCell ref="B3:E3"/>
    <mergeCell ref="A23:C23"/>
    <mergeCell ref="B25:C25"/>
    <mergeCell ref="A27:C27"/>
  </mergeCells>
  <phoneticPr fontId="9" type="noConversion"/>
  <pageMargins left="0.75" right="0.75" top="1" bottom="1" header="0.5" footer="0.5"/>
  <pageSetup scale="92" orientation="portrait" blackAndWhite="1" r:id="rId1"/>
  <headerFooter alignWithMargins="0">
    <oddHeader>&amp;RState of  Kansas
City</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I7"/>
  <sheetViews>
    <sheetView view="pageBreakPreview" zoomScale="60" zoomScaleNormal="100" workbookViewId="0">
      <selection activeCell="J108" sqref="J108"/>
    </sheetView>
  </sheetViews>
  <sheetFormatPr defaultRowHeight="15" x14ac:dyDescent="0.25"/>
  <sheetData>
    <row r="2" spans="3:9" ht="15.6" x14ac:dyDescent="0.3">
      <c r="I2" s="937">
        <f>inputPrYr!C5</f>
        <v>2015</v>
      </c>
    </row>
    <row r="3" spans="3:9" ht="15.6" thickBot="1" x14ac:dyDescent="0.3"/>
    <row r="4" spans="3:9" ht="18.600000000000001" thickBot="1" x14ac:dyDescent="0.4">
      <c r="C4" s="1071" t="s">
        <v>987</v>
      </c>
      <c r="D4" s="1072"/>
      <c r="E4" s="1072"/>
      <c r="F4" s="1072"/>
      <c r="G4" s="1072"/>
      <c r="H4" s="1072"/>
      <c r="I4" s="1073"/>
    </row>
    <row r="5" spans="3:9" ht="16.2" thickBot="1" x14ac:dyDescent="0.35">
      <c r="C5" s="934"/>
      <c r="D5" s="934"/>
      <c r="E5" s="935"/>
      <c r="F5" s="936"/>
      <c r="G5" s="934"/>
      <c r="H5" s="934"/>
      <c r="I5" s="934"/>
    </row>
    <row r="6" spans="3:9" ht="15.6" x14ac:dyDescent="0.3">
      <c r="C6" s="1074" t="str">
        <f>CONCATENATE("Notice of Vote - ",inputPrYr!D2)</f>
        <v>Notice of Vote - City of Osawatomie</v>
      </c>
      <c r="D6" s="1075"/>
      <c r="E6" s="1075"/>
      <c r="F6" s="1075"/>
      <c r="G6" s="1075"/>
      <c r="H6" s="1075"/>
      <c r="I6" s="1076"/>
    </row>
    <row r="7" spans="3:9" ht="60.75" customHeight="1" thickBot="1" x14ac:dyDescent="0.3">
      <c r="C7" s="1068" t="str">
        <f>CONCATENATE("In adopting the ",I2," budget the governing body voted to increase property taxes in an amount greater than the amount levied for the ",I2-1," budget, adjusted by the ",I2 -2," CPI for all urban consumers.  _____ members voted in favor of the budget and _____ members voted against the budget.")</f>
        <v>In adopting the 2015 budget the governing body voted to increase property taxes in an amount greater than the amount levied for the 2014 budget, adjusted by the 2013 CPI for all urban consumers.  _____ members voted in favor of the budget and _____ members voted against the budget.</v>
      </c>
      <c r="D7" s="1069"/>
      <c r="E7" s="1069"/>
      <c r="F7" s="1069"/>
      <c r="G7" s="1069"/>
      <c r="H7" s="1069"/>
      <c r="I7" s="1070"/>
    </row>
  </sheetData>
  <sheetProtection sheet="1" objects="1" scenarios="1"/>
  <mergeCells count="3">
    <mergeCell ref="C7:I7"/>
    <mergeCell ref="C4:I4"/>
    <mergeCell ref="C6:I6"/>
  </mergeCells>
  <pageMargins left="0.7" right="0.7" top="0.75" bottom="0.75" header="0.3" footer="0.3"/>
  <pageSetup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H12"/>
  <sheetViews>
    <sheetView view="pageBreakPreview" topLeftCell="A94" zoomScale="60" zoomScaleNormal="100" workbookViewId="0">
      <selection activeCell="J108" sqref="J108"/>
    </sheetView>
  </sheetViews>
  <sheetFormatPr defaultRowHeight="15" x14ac:dyDescent="0.25"/>
  <cols>
    <col min="5" max="5" width="12.25" customWidth="1"/>
    <col min="7" max="7" width="3.33203125" customWidth="1"/>
  </cols>
  <sheetData>
    <row r="2" spans="3:8" ht="15.6" x14ac:dyDescent="0.3">
      <c r="H2" s="937">
        <f>inputPrYr!C5</f>
        <v>2015</v>
      </c>
    </row>
    <row r="3" spans="3:8" ht="15.6" thickBot="1" x14ac:dyDescent="0.3"/>
    <row r="4" spans="3:8" ht="18.600000000000001" thickBot="1" x14ac:dyDescent="0.4">
      <c r="C4" s="1077" t="s">
        <v>988</v>
      </c>
      <c r="D4" s="1078"/>
      <c r="E4" s="1078"/>
      <c r="F4" s="1078"/>
      <c r="G4" s="1078"/>
      <c r="H4" s="1079"/>
    </row>
    <row r="5" spans="3:8" ht="16.2" thickBot="1" x14ac:dyDescent="0.35">
      <c r="C5" s="938"/>
      <c r="D5" s="938"/>
      <c r="E5" s="938"/>
      <c r="F5" s="938"/>
      <c r="G5" s="938"/>
      <c r="H5" s="938"/>
    </row>
    <row r="6" spans="3:8" ht="15.6" x14ac:dyDescent="0.3">
      <c r="C6" s="1074" t="str">
        <f>CONCATENATE("Notice of Vote - ",inputPrYr!D2)</f>
        <v>Notice of Vote - City of Osawatomie</v>
      </c>
      <c r="D6" s="1075"/>
      <c r="E6" s="1075"/>
      <c r="F6" s="1075"/>
      <c r="G6" s="1075"/>
      <c r="H6" s="1076"/>
    </row>
    <row r="7" spans="3:8" ht="15.6" x14ac:dyDescent="0.3">
      <c r="C7" s="1080" t="s">
        <v>989</v>
      </c>
      <c r="D7" s="1081"/>
      <c r="E7" s="1081"/>
      <c r="F7" s="1081"/>
      <c r="G7" s="1081"/>
      <c r="H7" s="1082"/>
    </row>
    <row r="8" spans="3:8" ht="15.6" x14ac:dyDescent="0.3">
      <c r="C8" s="1080" t="s">
        <v>990</v>
      </c>
      <c r="D8" s="1081"/>
      <c r="E8" s="1081"/>
      <c r="F8" s="1081"/>
      <c r="G8" s="1081"/>
      <c r="H8" s="1082"/>
    </row>
    <row r="9" spans="3:8" ht="15.6" x14ac:dyDescent="0.3">
      <c r="C9" s="941" t="str">
        <f>CONCATENATE(H2-1," Budget")</f>
        <v>2014 Budget</v>
      </c>
      <c r="D9" s="945" t="s">
        <v>181</v>
      </c>
      <c r="E9" s="947">
        <f>inputPrYr!E31</f>
        <v>1349898.0607740001</v>
      </c>
      <c r="F9" s="939"/>
      <c r="G9" s="939"/>
      <c r="H9" s="940"/>
    </row>
    <row r="10" spans="3:8" ht="15.6" x14ac:dyDescent="0.3">
      <c r="C10" s="941" t="str">
        <f>CONCATENATE(H2," Budget")</f>
        <v>2015 Budget</v>
      </c>
      <c r="D10" s="945" t="s">
        <v>181</v>
      </c>
      <c r="E10" s="948">
        <f>cert!F57</f>
        <v>1431668.1691985757</v>
      </c>
      <c r="F10" s="939"/>
      <c r="G10" s="939"/>
      <c r="H10" s="940"/>
    </row>
    <row r="11" spans="3:8" ht="15.6" x14ac:dyDescent="0.3">
      <c r="C11" s="941"/>
      <c r="D11" s="939"/>
      <c r="E11" s="939" t="s">
        <v>991</v>
      </c>
      <c r="F11" s="949"/>
      <c r="G11" s="944" t="s">
        <v>992</v>
      </c>
      <c r="H11" s="950"/>
    </row>
    <row r="12" spans="3:8" ht="16.2" thickBot="1" x14ac:dyDescent="0.35">
      <c r="C12" s="942"/>
      <c r="D12" s="943"/>
      <c r="E12" s="943"/>
      <c r="F12" s="943"/>
      <c r="G12" s="943"/>
      <c r="H12" s="946"/>
    </row>
  </sheetData>
  <sheetProtection sheet="1" objects="1" scenarios="1"/>
  <mergeCells count="4">
    <mergeCell ref="C4:H4"/>
    <mergeCell ref="C6:H6"/>
    <mergeCell ref="C7:H7"/>
    <mergeCell ref="C8:H8"/>
  </mergeCells>
  <pageMargins left="0.7" right="0.7" top="0.75" bottom="0.75" header="0.3" footer="0.3"/>
  <pageSetup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L85"/>
  <sheetViews>
    <sheetView workbookViewId="0">
      <selection activeCell="A3" sqref="A3"/>
    </sheetView>
  </sheetViews>
  <sheetFormatPr defaultRowHeight="15" x14ac:dyDescent="0.25"/>
  <cols>
    <col min="1" max="1" width="71.33203125" customWidth="1"/>
  </cols>
  <sheetData>
    <row r="3" spans="1:12" x14ac:dyDescent="0.25">
      <c r="A3" s="344" t="s">
        <v>396</v>
      </c>
      <c r="B3" s="344"/>
      <c r="C3" s="344"/>
      <c r="D3" s="344"/>
      <c r="E3" s="344"/>
      <c r="F3" s="344"/>
      <c r="G3" s="344"/>
      <c r="H3" s="344"/>
      <c r="I3" s="344"/>
      <c r="J3" s="344"/>
      <c r="K3" s="344"/>
      <c r="L3" s="344"/>
    </row>
    <row r="5" spans="1:12" x14ac:dyDescent="0.25">
      <c r="A5" s="345" t="s">
        <v>397</v>
      </c>
    </row>
    <row r="6" spans="1:12" x14ac:dyDescent="0.25">
      <c r="A6" s="345" t="str">
        <f>CONCATENATE(inputPrYr!C5-2," 'total expenditures' exceed your ",inputPrYr!C5-2," 'budget authority.'")</f>
        <v>2013 'total expenditures' exceed your 2013 'budget authority.'</v>
      </c>
    </row>
    <row r="7" spans="1:12" x14ac:dyDescent="0.25">
      <c r="A7" s="345"/>
    </row>
    <row r="8" spans="1:12" x14ac:dyDescent="0.25">
      <c r="A8" s="345" t="s">
        <v>398</v>
      </c>
    </row>
    <row r="9" spans="1:12" x14ac:dyDescent="0.25">
      <c r="A9" s="345" t="s">
        <v>399</v>
      </c>
    </row>
    <row r="10" spans="1:12" x14ac:dyDescent="0.25">
      <c r="A10" s="345" t="s">
        <v>400</v>
      </c>
    </row>
    <row r="11" spans="1:12" x14ac:dyDescent="0.25">
      <c r="A11" s="345"/>
    </row>
    <row r="12" spans="1:12" x14ac:dyDescent="0.25">
      <c r="A12" s="345"/>
    </row>
    <row r="13" spans="1:12" x14ac:dyDescent="0.25">
      <c r="A13" s="346" t="s">
        <v>401</v>
      </c>
    </row>
    <row r="15" spans="1:12" x14ac:dyDescent="0.25">
      <c r="A15" s="345" t="s">
        <v>402</v>
      </c>
    </row>
    <row r="16" spans="1:12" x14ac:dyDescent="0.25">
      <c r="A16" s="345" t="str">
        <f>CONCATENATE("(i.e. an audit has not been completed, or the ",inputPrYr!C5," adopted")</f>
        <v>(i.e. an audit has not been completed, or the 2015 adopted</v>
      </c>
    </row>
    <row r="17" spans="1:1" x14ac:dyDescent="0.25">
      <c r="A17" s="345" t="s">
        <v>403</v>
      </c>
    </row>
    <row r="18" spans="1:1" x14ac:dyDescent="0.25">
      <c r="A18" s="345" t="s">
        <v>404</v>
      </c>
    </row>
    <row r="19" spans="1:1" x14ac:dyDescent="0.25">
      <c r="A19" s="345" t="s">
        <v>405</v>
      </c>
    </row>
    <row r="21" spans="1:1" x14ac:dyDescent="0.25">
      <c r="A21" s="346" t="s">
        <v>406</v>
      </c>
    </row>
    <row r="22" spans="1:1" x14ac:dyDescent="0.25">
      <c r="A22" s="346"/>
    </row>
    <row r="23" spans="1:1" x14ac:dyDescent="0.25">
      <c r="A23" s="345" t="s">
        <v>407</v>
      </c>
    </row>
    <row r="24" spans="1:1" x14ac:dyDescent="0.25">
      <c r="A24" s="345" t="s">
        <v>408</v>
      </c>
    </row>
    <row r="25" spans="1:1" x14ac:dyDescent="0.25">
      <c r="A25" s="345" t="str">
        <f>CONCATENATE("particular fund.  If your ",inputPrYr!C5-2," budget was amended, did you")</f>
        <v>particular fund.  If your 2013 budget was amended, did you</v>
      </c>
    </row>
    <row r="26" spans="1:1" x14ac:dyDescent="0.25">
      <c r="A26" s="345" t="s">
        <v>409</v>
      </c>
    </row>
    <row r="27" spans="1:1" x14ac:dyDescent="0.25">
      <c r="A27" s="345"/>
    </row>
    <row r="28" spans="1:1" x14ac:dyDescent="0.25">
      <c r="A28" s="345" t="str">
        <f>CONCATENATE("Next, look to see if any of your ",inputPrYr!C5-2," expenditures can be")</f>
        <v>Next, look to see if any of your 2013 expenditures can be</v>
      </c>
    </row>
    <row r="29" spans="1:1" x14ac:dyDescent="0.25">
      <c r="A29" s="345" t="s">
        <v>410</v>
      </c>
    </row>
    <row r="30" spans="1:1" x14ac:dyDescent="0.25">
      <c r="A30" s="345" t="s">
        <v>411</v>
      </c>
    </row>
    <row r="31" spans="1:1" x14ac:dyDescent="0.25">
      <c r="A31" s="345" t="s">
        <v>412</v>
      </c>
    </row>
    <row r="32" spans="1:1" x14ac:dyDescent="0.25">
      <c r="A32" s="345"/>
    </row>
    <row r="33" spans="1:1" x14ac:dyDescent="0.25">
      <c r="A33" s="345" t="str">
        <f>CONCATENATE("Additionally, do your ",inputPrYr!C5-2," receipts contain a reimbursement")</f>
        <v>Additionally, do your 2013 receipts contain a reimbursement</v>
      </c>
    </row>
    <row r="34" spans="1:1" x14ac:dyDescent="0.25">
      <c r="A34" s="345" t="s">
        <v>413</v>
      </c>
    </row>
    <row r="35" spans="1:1" x14ac:dyDescent="0.25">
      <c r="A35" s="345" t="s">
        <v>414</v>
      </c>
    </row>
    <row r="36" spans="1:1" x14ac:dyDescent="0.25">
      <c r="A36" s="345"/>
    </row>
    <row r="37" spans="1:1" x14ac:dyDescent="0.25">
      <c r="A37" s="345" t="s">
        <v>415</v>
      </c>
    </row>
    <row r="38" spans="1:1" x14ac:dyDescent="0.25">
      <c r="A38" s="345" t="s">
        <v>416</v>
      </c>
    </row>
    <row r="39" spans="1:1" x14ac:dyDescent="0.25">
      <c r="A39" s="345" t="s">
        <v>417</v>
      </c>
    </row>
    <row r="40" spans="1:1" x14ac:dyDescent="0.25">
      <c r="A40" s="345" t="s">
        <v>418</v>
      </c>
    </row>
    <row r="41" spans="1:1" x14ac:dyDescent="0.25">
      <c r="A41" s="345" t="s">
        <v>419</v>
      </c>
    </row>
    <row r="42" spans="1:1" x14ac:dyDescent="0.25">
      <c r="A42" s="345" t="s">
        <v>420</v>
      </c>
    </row>
    <row r="43" spans="1:1" x14ac:dyDescent="0.25">
      <c r="A43" s="345" t="s">
        <v>421</v>
      </c>
    </row>
    <row r="44" spans="1:1" x14ac:dyDescent="0.25">
      <c r="A44" s="345" t="s">
        <v>422</v>
      </c>
    </row>
    <row r="45" spans="1:1" x14ac:dyDescent="0.25">
      <c r="A45" s="345"/>
    </row>
    <row r="46" spans="1:1" x14ac:dyDescent="0.25">
      <c r="A46" s="345" t="s">
        <v>423</v>
      </c>
    </row>
    <row r="47" spans="1:1" x14ac:dyDescent="0.25">
      <c r="A47" s="345" t="s">
        <v>424</v>
      </c>
    </row>
    <row r="48" spans="1:1" x14ac:dyDescent="0.25">
      <c r="A48" s="345" t="s">
        <v>425</v>
      </c>
    </row>
    <row r="49" spans="1:1" x14ac:dyDescent="0.25">
      <c r="A49" s="345"/>
    </row>
    <row r="50" spans="1:1" x14ac:dyDescent="0.25">
      <c r="A50" s="345" t="s">
        <v>426</v>
      </c>
    </row>
    <row r="51" spans="1:1" x14ac:dyDescent="0.25">
      <c r="A51" s="345" t="s">
        <v>427</v>
      </c>
    </row>
    <row r="52" spans="1:1" x14ac:dyDescent="0.25">
      <c r="A52" s="345" t="s">
        <v>428</v>
      </c>
    </row>
    <row r="53" spans="1:1" x14ac:dyDescent="0.25">
      <c r="A53" s="345"/>
    </row>
    <row r="54" spans="1:1" x14ac:dyDescent="0.25">
      <c r="A54" s="346" t="s">
        <v>429</v>
      </c>
    </row>
    <row r="55" spans="1:1" x14ac:dyDescent="0.25">
      <c r="A55" s="345"/>
    </row>
    <row r="56" spans="1:1" x14ac:dyDescent="0.25">
      <c r="A56" s="345" t="s">
        <v>430</v>
      </c>
    </row>
    <row r="57" spans="1:1" x14ac:dyDescent="0.25">
      <c r="A57" s="345" t="s">
        <v>431</v>
      </c>
    </row>
    <row r="58" spans="1:1" x14ac:dyDescent="0.25">
      <c r="A58" s="345" t="s">
        <v>432</v>
      </c>
    </row>
    <row r="59" spans="1:1" x14ac:dyDescent="0.25">
      <c r="A59" s="345" t="s">
        <v>433</v>
      </c>
    </row>
    <row r="60" spans="1:1" x14ac:dyDescent="0.25">
      <c r="A60" s="345" t="s">
        <v>434</v>
      </c>
    </row>
    <row r="61" spans="1:1" x14ac:dyDescent="0.25">
      <c r="A61" s="345" t="s">
        <v>435</v>
      </c>
    </row>
    <row r="62" spans="1:1" x14ac:dyDescent="0.25">
      <c r="A62" s="345" t="s">
        <v>436</v>
      </c>
    </row>
    <row r="63" spans="1:1" x14ac:dyDescent="0.25">
      <c r="A63" s="345" t="s">
        <v>437</v>
      </c>
    </row>
    <row r="64" spans="1:1" x14ac:dyDescent="0.25">
      <c r="A64" s="345" t="s">
        <v>438</v>
      </c>
    </row>
    <row r="65" spans="1:1" x14ac:dyDescent="0.25">
      <c r="A65" s="345" t="s">
        <v>439</v>
      </c>
    </row>
    <row r="66" spans="1:1" x14ac:dyDescent="0.25">
      <c r="A66" s="345" t="s">
        <v>440</v>
      </c>
    </row>
    <row r="67" spans="1:1" x14ac:dyDescent="0.25">
      <c r="A67" s="345" t="s">
        <v>441</v>
      </c>
    </row>
    <row r="68" spans="1:1" x14ac:dyDescent="0.25">
      <c r="A68" s="345" t="s">
        <v>442</v>
      </c>
    </row>
    <row r="69" spans="1:1" x14ac:dyDescent="0.25">
      <c r="A69" s="345"/>
    </row>
    <row r="70" spans="1:1" x14ac:dyDescent="0.25">
      <c r="A70" s="345" t="s">
        <v>443</v>
      </c>
    </row>
    <row r="71" spans="1:1" x14ac:dyDescent="0.25">
      <c r="A71" s="345" t="s">
        <v>444</v>
      </c>
    </row>
    <row r="72" spans="1:1" x14ac:dyDescent="0.25">
      <c r="A72" s="345" t="s">
        <v>445</v>
      </c>
    </row>
    <row r="73" spans="1:1" x14ac:dyDescent="0.25">
      <c r="A73" s="345"/>
    </row>
    <row r="74" spans="1:1" x14ac:dyDescent="0.25">
      <c r="A74" s="346" t="str">
        <f>CONCATENATE("What if the ",inputPrYr!C5-2," financial records have been closed?")</f>
        <v>What if the 2013 financial records have been closed?</v>
      </c>
    </row>
    <row r="76" spans="1:1" x14ac:dyDescent="0.25">
      <c r="A76" s="345" t="s">
        <v>446</v>
      </c>
    </row>
    <row r="77" spans="1:1" x14ac:dyDescent="0.25">
      <c r="A77" s="345" t="str">
        <f>CONCATENATE("(i.e. an audit for ",inputPrYr!C5-2," has been completed, or the ",inputPrYr!C5)</f>
        <v>(i.e. an audit for 2013 has been completed, or the 2015</v>
      </c>
    </row>
    <row r="78" spans="1:1" x14ac:dyDescent="0.25">
      <c r="A78" s="345" t="s">
        <v>447</v>
      </c>
    </row>
    <row r="79" spans="1:1" x14ac:dyDescent="0.25">
      <c r="A79" s="345" t="s">
        <v>448</v>
      </c>
    </row>
    <row r="80" spans="1:1" x14ac:dyDescent="0.25">
      <c r="A80" s="345"/>
    </row>
    <row r="81" spans="1:1" x14ac:dyDescent="0.25">
      <c r="A81" s="345" t="s">
        <v>449</v>
      </c>
    </row>
    <row r="82" spans="1:1" x14ac:dyDescent="0.25">
      <c r="A82" s="345" t="s">
        <v>450</v>
      </c>
    </row>
    <row r="83" spans="1:1" x14ac:dyDescent="0.25">
      <c r="A83" s="345" t="s">
        <v>451</v>
      </c>
    </row>
    <row r="84" spans="1:1" x14ac:dyDescent="0.25">
      <c r="A84" s="345"/>
    </row>
    <row r="85" spans="1:1" x14ac:dyDescent="0.25">
      <c r="A85" s="345" t="s">
        <v>452</v>
      </c>
    </row>
  </sheetData>
  <sheetProtection sheet="1"/>
  <pageMargins left="0.7" right="0.7" top="0.75" bottom="0.75" header="0.3" footer="0.3"/>
  <pageSetup orientation="portrait" r:id="rId1"/>
  <headerFooter>
    <oddFooter>&amp;Lrevised 10/2/09</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J109"/>
  <sheetViews>
    <sheetView topLeftCell="A22" workbookViewId="0">
      <selection activeCell="A34" sqref="A34"/>
    </sheetView>
  </sheetViews>
  <sheetFormatPr defaultRowHeight="15" x14ac:dyDescent="0.25"/>
  <cols>
    <col min="1" max="1" width="71.33203125" customWidth="1"/>
  </cols>
  <sheetData>
    <row r="3" spans="1:10" x14ac:dyDescent="0.25">
      <c r="A3" s="344" t="s">
        <v>453</v>
      </c>
      <c r="B3" s="344"/>
      <c r="C3" s="344"/>
      <c r="D3" s="344"/>
      <c r="E3" s="344"/>
      <c r="F3" s="344"/>
      <c r="G3" s="344"/>
      <c r="H3" s="347"/>
      <c r="I3" s="347"/>
      <c r="J3" s="347"/>
    </row>
    <row r="5" spans="1:10" x14ac:dyDescent="0.25">
      <c r="A5" s="345" t="s">
        <v>454</v>
      </c>
    </row>
    <row r="6" spans="1:10" x14ac:dyDescent="0.25">
      <c r="A6" t="str">
        <f>CONCATENATE(inputPrYr!C5-2," expenditures show that you finished the year with a ")</f>
        <v xml:space="preserve">2013 expenditures show that you finished the year with a </v>
      </c>
    </row>
    <row r="7" spans="1:10" x14ac:dyDescent="0.25">
      <c r="A7" t="s">
        <v>455</v>
      </c>
    </row>
    <row r="9" spans="1:10" x14ac:dyDescent="0.25">
      <c r="A9" t="s">
        <v>456</v>
      </c>
    </row>
    <row r="10" spans="1:10" x14ac:dyDescent="0.25">
      <c r="A10" t="s">
        <v>457</v>
      </c>
    </row>
    <row r="11" spans="1:10" x14ac:dyDescent="0.25">
      <c r="A11" t="s">
        <v>458</v>
      </c>
    </row>
    <row r="13" spans="1:10" x14ac:dyDescent="0.25">
      <c r="A13" s="346" t="s">
        <v>459</v>
      </c>
    </row>
    <row r="14" spans="1:10" x14ac:dyDescent="0.25">
      <c r="A14" s="346"/>
    </row>
    <row r="15" spans="1:10" x14ac:dyDescent="0.25">
      <c r="A15" s="345" t="s">
        <v>460</v>
      </c>
    </row>
    <row r="16" spans="1:10" x14ac:dyDescent="0.25">
      <c r="A16" s="345" t="s">
        <v>461</v>
      </c>
    </row>
    <row r="17" spans="1:1" x14ac:dyDescent="0.25">
      <c r="A17" s="345" t="s">
        <v>462</v>
      </c>
    </row>
    <row r="18" spans="1:1" x14ac:dyDescent="0.25">
      <c r="A18" s="345"/>
    </row>
    <row r="19" spans="1:1" x14ac:dyDescent="0.25">
      <c r="A19" s="346" t="s">
        <v>463</v>
      </c>
    </row>
    <row r="20" spans="1:1" x14ac:dyDescent="0.25">
      <c r="A20" s="346"/>
    </row>
    <row r="21" spans="1:1" x14ac:dyDescent="0.25">
      <c r="A21" s="345" t="s">
        <v>464</v>
      </c>
    </row>
    <row r="22" spans="1:1" x14ac:dyDescent="0.25">
      <c r="A22" s="345" t="s">
        <v>465</v>
      </c>
    </row>
    <row r="23" spans="1:1" x14ac:dyDescent="0.25">
      <c r="A23" s="345" t="s">
        <v>466</v>
      </c>
    </row>
    <row r="24" spans="1:1" x14ac:dyDescent="0.25">
      <c r="A24" s="345"/>
    </row>
    <row r="25" spans="1:1" x14ac:dyDescent="0.25">
      <c r="A25" s="346" t="s">
        <v>467</v>
      </c>
    </row>
    <row r="26" spans="1:1" x14ac:dyDescent="0.25">
      <c r="A26" s="346"/>
    </row>
    <row r="27" spans="1:1" x14ac:dyDescent="0.25">
      <c r="A27" s="345" t="s">
        <v>468</v>
      </c>
    </row>
    <row r="28" spans="1:1" x14ac:dyDescent="0.25">
      <c r="A28" s="345" t="s">
        <v>469</v>
      </c>
    </row>
    <row r="29" spans="1:1" x14ac:dyDescent="0.25">
      <c r="A29" s="345" t="s">
        <v>470</v>
      </c>
    </row>
    <row r="30" spans="1:1" x14ac:dyDescent="0.25">
      <c r="A30" s="345"/>
    </row>
    <row r="31" spans="1:1" x14ac:dyDescent="0.25">
      <c r="A31" s="346" t="s">
        <v>471</v>
      </c>
    </row>
    <row r="32" spans="1:1" x14ac:dyDescent="0.25">
      <c r="A32" s="346"/>
    </row>
    <row r="33" spans="1:8" x14ac:dyDescent="0.25">
      <c r="A33" s="345" t="str">
        <f>CONCATENATE("If your financial records for ",inputPrYr!C5-2," are not closed")</f>
        <v>If your financial records for 2013 are not closed</v>
      </c>
      <c r="B33" s="345"/>
      <c r="C33" s="345"/>
      <c r="D33" s="345"/>
      <c r="E33" s="345"/>
      <c r="F33" s="345"/>
      <c r="G33" s="345"/>
      <c r="H33" s="345"/>
    </row>
    <row r="34" spans="1:8" x14ac:dyDescent="0.25">
      <c r="A34" s="345" t="str">
        <f>CONCATENATE("(i.e. an audit has not been completed, or the ",inputPrYr!C5," adopted ")</f>
        <v xml:space="preserve">(i.e. an audit has not been completed, or the 2015 adopted </v>
      </c>
      <c r="B34" s="345"/>
      <c r="C34" s="345"/>
      <c r="D34" s="345"/>
      <c r="E34" s="345"/>
      <c r="F34" s="345"/>
      <c r="G34" s="345"/>
      <c r="H34" s="345"/>
    </row>
    <row r="35" spans="1:8" x14ac:dyDescent="0.25">
      <c r="A35" s="345" t="s">
        <v>472</v>
      </c>
      <c r="B35" s="345"/>
      <c r="C35" s="345"/>
      <c r="D35" s="345"/>
      <c r="E35" s="345"/>
      <c r="F35" s="345"/>
      <c r="G35" s="345"/>
      <c r="H35" s="345"/>
    </row>
    <row r="36" spans="1:8" x14ac:dyDescent="0.25">
      <c r="A36" s="345" t="s">
        <v>473</v>
      </c>
      <c r="B36" s="345"/>
      <c r="C36" s="345"/>
      <c r="D36" s="345"/>
      <c r="E36" s="345"/>
      <c r="F36" s="345"/>
      <c r="G36" s="345"/>
      <c r="H36" s="345"/>
    </row>
    <row r="37" spans="1:8" x14ac:dyDescent="0.25">
      <c r="A37" s="345" t="s">
        <v>474</v>
      </c>
      <c r="B37" s="345"/>
      <c r="C37" s="345"/>
      <c r="D37" s="345"/>
      <c r="E37" s="345"/>
      <c r="F37" s="345"/>
      <c r="G37" s="345"/>
      <c r="H37" s="345"/>
    </row>
    <row r="38" spans="1:8" x14ac:dyDescent="0.25">
      <c r="A38" s="345" t="s">
        <v>475</v>
      </c>
      <c r="B38" s="345"/>
      <c r="C38" s="345"/>
      <c r="D38" s="345"/>
      <c r="E38" s="345"/>
      <c r="F38" s="345"/>
      <c r="G38" s="345"/>
      <c r="H38" s="345"/>
    </row>
    <row r="39" spans="1:8" x14ac:dyDescent="0.25">
      <c r="A39" s="345" t="s">
        <v>476</v>
      </c>
      <c r="B39" s="345"/>
      <c r="C39" s="345"/>
      <c r="D39" s="345"/>
      <c r="E39" s="345"/>
      <c r="F39" s="345"/>
      <c r="G39" s="345"/>
      <c r="H39" s="345"/>
    </row>
    <row r="40" spans="1:8" x14ac:dyDescent="0.25">
      <c r="A40" s="345"/>
      <c r="B40" s="345"/>
      <c r="C40" s="345"/>
      <c r="D40" s="345"/>
      <c r="E40" s="345"/>
      <c r="F40" s="345"/>
      <c r="G40" s="345"/>
      <c r="H40" s="345"/>
    </row>
    <row r="41" spans="1:8" x14ac:dyDescent="0.25">
      <c r="A41" s="345" t="s">
        <v>477</v>
      </c>
      <c r="B41" s="345"/>
      <c r="C41" s="345"/>
      <c r="D41" s="345"/>
      <c r="E41" s="345"/>
      <c r="F41" s="345"/>
      <c r="G41" s="345"/>
      <c r="H41" s="345"/>
    </row>
    <row r="42" spans="1:8" x14ac:dyDescent="0.25">
      <c r="A42" s="345" t="s">
        <v>478</v>
      </c>
      <c r="B42" s="345"/>
      <c r="C42" s="345"/>
      <c r="D42" s="345"/>
      <c r="E42" s="345"/>
      <c r="F42" s="345"/>
      <c r="G42" s="345"/>
      <c r="H42" s="345"/>
    </row>
    <row r="43" spans="1:8" x14ac:dyDescent="0.25">
      <c r="A43" s="345" t="s">
        <v>479</v>
      </c>
      <c r="B43" s="345"/>
      <c r="C43" s="345"/>
      <c r="D43" s="345"/>
      <c r="E43" s="345"/>
      <c r="F43" s="345"/>
      <c r="G43" s="345"/>
      <c r="H43" s="345"/>
    </row>
    <row r="44" spans="1:8" x14ac:dyDescent="0.25">
      <c r="A44" s="345" t="s">
        <v>480</v>
      </c>
      <c r="B44" s="345"/>
      <c r="C44" s="345"/>
      <c r="D44" s="345"/>
      <c r="E44" s="345"/>
      <c r="F44" s="345"/>
      <c r="G44" s="345"/>
      <c r="H44" s="345"/>
    </row>
    <row r="45" spans="1:8" x14ac:dyDescent="0.25">
      <c r="A45" s="345"/>
      <c r="B45" s="345"/>
      <c r="C45" s="345"/>
      <c r="D45" s="345"/>
      <c r="E45" s="345"/>
      <c r="F45" s="345"/>
      <c r="G45" s="345"/>
      <c r="H45" s="345"/>
    </row>
    <row r="46" spans="1:8" x14ac:dyDescent="0.25">
      <c r="A46" s="345" t="s">
        <v>481</v>
      </c>
      <c r="B46" s="345"/>
      <c r="C46" s="345"/>
      <c r="D46" s="345"/>
      <c r="E46" s="345"/>
      <c r="F46" s="345"/>
      <c r="G46" s="345"/>
      <c r="H46" s="345"/>
    </row>
    <row r="47" spans="1:8" x14ac:dyDescent="0.25">
      <c r="A47" s="345" t="s">
        <v>482</v>
      </c>
      <c r="B47" s="345"/>
      <c r="C47" s="345"/>
      <c r="D47" s="345"/>
      <c r="E47" s="345"/>
      <c r="F47" s="345"/>
      <c r="G47" s="345"/>
      <c r="H47" s="345"/>
    </row>
    <row r="48" spans="1:8" x14ac:dyDescent="0.25">
      <c r="A48" s="345" t="s">
        <v>483</v>
      </c>
      <c r="B48" s="345"/>
      <c r="C48" s="345"/>
      <c r="D48" s="345"/>
      <c r="E48" s="345"/>
      <c r="F48" s="345"/>
      <c r="G48" s="345"/>
      <c r="H48" s="345"/>
    </row>
    <row r="49" spans="1:8" x14ac:dyDescent="0.25">
      <c r="A49" s="345" t="s">
        <v>484</v>
      </c>
      <c r="B49" s="345"/>
      <c r="C49" s="345"/>
      <c r="D49" s="345"/>
      <c r="E49" s="345"/>
      <c r="F49" s="345"/>
      <c r="G49" s="345"/>
      <c r="H49" s="345"/>
    </row>
    <row r="50" spans="1:8" x14ac:dyDescent="0.25">
      <c r="A50" s="345" t="s">
        <v>485</v>
      </c>
      <c r="B50" s="345"/>
      <c r="C50" s="345"/>
      <c r="D50" s="345"/>
      <c r="E50" s="345"/>
      <c r="F50" s="345"/>
      <c r="G50" s="345"/>
      <c r="H50" s="345"/>
    </row>
    <row r="51" spans="1:8" x14ac:dyDescent="0.25">
      <c r="A51" s="345"/>
      <c r="B51" s="345"/>
      <c r="C51" s="345"/>
      <c r="D51" s="345"/>
      <c r="E51" s="345"/>
      <c r="F51" s="345"/>
      <c r="G51" s="345"/>
      <c r="H51" s="345"/>
    </row>
    <row r="52" spans="1:8" x14ac:dyDescent="0.25">
      <c r="A52" s="346" t="s">
        <v>486</v>
      </c>
      <c r="B52" s="346"/>
      <c r="C52" s="346"/>
      <c r="D52" s="346"/>
      <c r="E52" s="346"/>
      <c r="F52" s="346"/>
      <c r="G52" s="346"/>
      <c r="H52" s="345"/>
    </row>
    <row r="53" spans="1:8" x14ac:dyDescent="0.25">
      <c r="A53" s="346" t="s">
        <v>487</v>
      </c>
      <c r="B53" s="346"/>
      <c r="C53" s="346"/>
      <c r="D53" s="346"/>
      <c r="E53" s="346"/>
      <c r="F53" s="346"/>
      <c r="G53" s="346"/>
      <c r="H53" s="345"/>
    </row>
    <row r="54" spans="1:8" x14ac:dyDescent="0.25">
      <c r="A54" s="345"/>
      <c r="B54" s="345"/>
      <c r="C54" s="345"/>
      <c r="D54" s="345"/>
      <c r="E54" s="345"/>
      <c r="F54" s="345"/>
      <c r="G54" s="345"/>
      <c r="H54" s="345"/>
    </row>
    <row r="55" spans="1:8" x14ac:dyDescent="0.25">
      <c r="A55" s="345" t="s">
        <v>488</v>
      </c>
      <c r="B55" s="345"/>
      <c r="C55" s="345"/>
      <c r="D55" s="345"/>
      <c r="E55" s="345"/>
      <c r="F55" s="345"/>
      <c r="G55" s="345"/>
      <c r="H55" s="345"/>
    </row>
    <row r="56" spans="1:8" x14ac:dyDescent="0.25">
      <c r="A56" s="345" t="s">
        <v>489</v>
      </c>
      <c r="B56" s="345"/>
      <c r="C56" s="345"/>
      <c r="D56" s="345"/>
      <c r="E56" s="345"/>
      <c r="F56" s="345"/>
      <c r="G56" s="345"/>
      <c r="H56" s="345"/>
    </row>
    <row r="57" spans="1:8" x14ac:dyDescent="0.25">
      <c r="A57" s="345" t="s">
        <v>490</v>
      </c>
      <c r="B57" s="345"/>
      <c r="C57" s="345"/>
      <c r="D57" s="345"/>
      <c r="E57" s="345"/>
      <c r="F57" s="345"/>
      <c r="G57" s="345"/>
      <c r="H57" s="345"/>
    </row>
    <row r="58" spans="1:8" x14ac:dyDescent="0.25">
      <c r="A58" s="345" t="s">
        <v>491</v>
      </c>
      <c r="B58" s="345"/>
      <c r="C58" s="345"/>
      <c r="D58" s="345"/>
      <c r="E58" s="345"/>
      <c r="F58" s="345"/>
      <c r="G58" s="345"/>
      <c r="H58" s="345"/>
    </row>
    <row r="59" spans="1:8" x14ac:dyDescent="0.25">
      <c r="A59" s="345"/>
      <c r="B59" s="345"/>
      <c r="C59" s="345"/>
      <c r="D59" s="345"/>
      <c r="E59" s="345"/>
      <c r="F59" s="345"/>
      <c r="G59" s="345"/>
      <c r="H59" s="345"/>
    </row>
    <row r="60" spans="1:8" x14ac:dyDescent="0.25">
      <c r="A60" s="345" t="s">
        <v>492</v>
      </c>
      <c r="B60" s="345"/>
      <c r="C60" s="345"/>
      <c r="D60" s="345"/>
      <c r="E60" s="345"/>
      <c r="F60" s="345"/>
      <c r="G60" s="345"/>
      <c r="H60" s="345"/>
    </row>
    <row r="61" spans="1:8" x14ac:dyDescent="0.25">
      <c r="A61" s="345" t="s">
        <v>493</v>
      </c>
      <c r="B61" s="345"/>
      <c r="C61" s="345"/>
      <c r="D61" s="345"/>
      <c r="E61" s="345"/>
      <c r="F61" s="345"/>
      <c r="G61" s="345"/>
      <c r="H61" s="345"/>
    </row>
    <row r="62" spans="1:8" x14ac:dyDescent="0.25">
      <c r="A62" s="345" t="s">
        <v>494</v>
      </c>
      <c r="B62" s="345"/>
      <c r="C62" s="345"/>
      <c r="D62" s="345"/>
      <c r="E62" s="345"/>
      <c r="F62" s="345"/>
      <c r="G62" s="345"/>
      <c r="H62" s="345"/>
    </row>
    <row r="63" spans="1:8" x14ac:dyDescent="0.25">
      <c r="A63" s="345" t="s">
        <v>495</v>
      </c>
      <c r="B63" s="345"/>
      <c r="C63" s="345"/>
      <c r="D63" s="345"/>
      <c r="E63" s="345"/>
      <c r="F63" s="345"/>
      <c r="G63" s="345"/>
      <c r="H63" s="345"/>
    </row>
    <row r="64" spans="1:8" x14ac:dyDescent="0.25">
      <c r="A64" s="345" t="s">
        <v>496</v>
      </c>
      <c r="B64" s="345"/>
      <c r="C64" s="345"/>
      <c r="D64" s="345"/>
      <c r="E64" s="345"/>
      <c r="F64" s="345"/>
      <c r="G64" s="345"/>
      <c r="H64" s="345"/>
    </row>
    <row r="65" spans="1:8" x14ac:dyDescent="0.25">
      <c r="A65" s="345" t="s">
        <v>497</v>
      </c>
      <c r="B65" s="345"/>
      <c r="C65" s="345"/>
      <c r="D65" s="345"/>
      <c r="E65" s="345"/>
      <c r="F65" s="345"/>
      <c r="G65" s="345"/>
      <c r="H65" s="345"/>
    </row>
    <row r="66" spans="1:8" x14ac:dyDescent="0.25">
      <c r="A66" s="345"/>
      <c r="B66" s="345"/>
      <c r="C66" s="345"/>
      <c r="D66" s="345"/>
      <c r="E66" s="345"/>
      <c r="F66" s="345"/>
      <c r="G66" s="345"/>
      <c r="H66" s="345"/>
    </row>
    <row r="67" spans="1:8" x14ac:dyDescent="0.25">
      <c r="A67" s="345" t="s">
        <v>498</v>
      </c>
      <c r="B67" s="345"/>
      <c r="C67" s="345"/>
      <c r="D67" s="345"/>
      <c r="E67" s="345"/>
      <c r="F67" s="345"/>
      <c r="G67" s="345"/>
      <c r="H67" s="345"/>
    </row>
    <row r="68" spans="1:8" x14ac:dyDescent="0.25">
      <c r="A68" s="345" t="s">
        <v>499</v>
      </c>
      <c r="B68" s="345"/>
      <c r="C68" s="345"/>
      <c r="D68" s="345"/>
      <c r="E68" s="345"/>
      <c r="F68" s="345"/>
      <c r="G68" s="345"/>
      <c r="H68" s="345"/>
    </row>
    <row r="69" spans="1:8" x14ac:dyDescent="0.25">
      <c r="A69" s="345" t="s">
        <v>500</v>
      </c>
      <c r="B69" s="345"/>
      <c r="C69" s="345"/>
      <c r="D69" s="345"/>
      <c r="E69" s="345"/>
      <c r="F69" s="345"/>
      <c r="G69" s="345"/>
      <c r="H69" s="345"/>
    </row>
    <row r="70" spans="1:8" x14ac:dyDescent="0.25">
      <c r="A70" s="345" t="s">
        <v>501</v>
      </c>
      <c r="B70" s="345"/>
      <c r="C70" s="345"/>
      <c r="D70" s="345"/>
      <c r="E70" s="345"/>
      <c r="F70" s="345"/>
      <c r="G70" s="345"/>
      <c r="H70" s="345"/>
    </row>
    <row r="71" spans="1:8" x14ac:dyDescent="0.25">
      <c r="A71" s="345" t="s">
        <v>502</v>
      </c>
      <c r="B71" s="345"/>
      <c r="C71" s="345"/>
      <c r="D71" s="345"/>
      <c r="E71" s="345"/>
      <c r="F71" s="345"/>
      <c r="G71" s="345"/>
      <c r="H71" s="345"/>
    </row>
    <row r="72" spans="1:8" x14ac:dyDescent="0.25">
      <c r="A72" s="345" t="s">
        <v>503</v>
      </c>
      <c r="B72" s="345"/>
      <c r="C72" s="345"/>
      <c r="D72" s="345"/>
      <c r="E72" s="345"/>
      <c r="F72" s="345"/>
      <c r="G72" s="345"/>
      <c r="H72" s="345"/>
    </row>
    <row r="73" spans="1:8" x14ac:dyDescent="0.25">
      <c r="A73" s="345" t="s">
        <v>504</v>
      </c>
      <c r="B73" s="345"/>
      <c r="C73" s="345"/>
      <c r="D73" s="345"/>
      <c r="E73" s="345"/>
      <c r="F73" s="345"/>
      <c r="G73" s="345"/>
      <c r="H73" s="345"/>
    </row>
    <row r="74" spans="1:8" x14ac:dyDescent="0.25">
      <c r="A74" s="345"/>
      <c r="B74" s="345"/>
      <c r="C74" s="345"/>
      <c r="D74" s="345"/>
      <c r="E74" s="345"/>
      <c r="F74" s="345"/>
      <c r="G74" s="345"/>
      <c r="H74" s="345"/>
    </row>
    <row r="75" spans="1:8" x14ac:dyDescent="0.25">
      <c r="A75" s="345" t="s">
        <v>505</v>
      </c>
      <c r="B75" s="345"/>
      <c r="C75" s="345"/>
      <c r="D75" s="345"/>
      <c r="E75" s="345"/>
      <c r="F75" s="345"/>
      <c r="G75" s="345"/>
      <c r="H75" s="345"/>
    </row>
    <row r="76" spans="1:8" x14ac:dyDescent="0.25">
      <c r="A76" s="345" t="s">
        <v>506</v>
      </c>
      <c r="B76" s="345"/>
      <c r="C76" s="345"/>
      <c r="D76" s="345"/>
      <c r="E76" s="345"/>
      <c r="F76" s="345"/>
      <c r="G76" s="345"/>
      <c r="H76" s="345"/>
    </row>
    <row r="77" spans="1:8" x14ac:dyDescent="0.25">
      <c r="A77" s="345" t="s">
        <v>507</v>
      </c>
      <c r="B77" s="345"/>
      <c r="C77" s="345"/>
      <c r="D77" s="345"/>
      <c r="E77" s="345"/>
      <c r="F77" s="345"/>
      <c r="G77" s="345"/>
      <c r="H77" s="345"/>
    </row>
    <row r="78" spans="1:8" x14ac:dyDescent="0.25">
      <c r="A78" s="345"/>
      <c r="B78" s="345"/>
      <c r="C78" s="345"/>
      <c r="D78" s="345"/>
      <c r="E78" s="345"/>
      <c r="F78" s="345"/>
      <c r="G78" s="345"/>
      <c r="H78" s="345"/>
    </row>
    <row r="79" spans="1:8" x14ac:dyDescent="0.25">
      <c r="A79" s="345" t="s">
        <v>452</v>
      </c>
    </row>
    <row r="80" spans="1:8" x14ac:dyDescent="0.25">
      <c r="A80" s="346"/>
    </row>
    <row r="81" spans="1:1" x14ac:dyDescent="0.25">
      <c r="A81" s="345"/>
    </row>
    <row r="82" spans="1:1" x14ac:dyDescent="0.25">
      <c r="A82" s="345"/>
    </row>
    <row r="83" spans="1:1" x14ac:dyDescent="0.25">
      <c r="A83" s="345"/>
    </row>
    <row r="84" spans="1:1" x14ac:dyDescent="0.25">
      <c r="A84" s="345"/>
    </row>
    <row r="85" spans="1:1" x14ac:dyDescent="0.25">
      <c r="A85" s="345"/>
    </row>
    <row r="86" spans="1:1" x14ac:dyDescent="0.25">
      <c r="A86" s="345"/>
    </row>
    <row r="87" spans="1:1" x14ac:dyDescent="0.25">
      <c r="A87" s="345"/>
    </row>
    <row r="88" spans="1:1" x14ac:dyDescent="0.25">
      <c r="A88" s="345"/>
    </row>
    <row r="89" spans="1:1" x14ac:dyDescent="0.25">
      <c r="A89" s="345"/>
    </row>
    <row r="90" spans="1:1" x14ac:dyDescent="0.25">
      <c r="A90" s="345"/>
    </row>
    <row r="91" spans="1:1" x14ac:dyDescent="0.25">
      <c r="A91" s="345"/>
    </row>
    <row r="92" spans="1:1" x14ac:dyDescent="0.25">
      <c r="A92" s="345"/>
    </row>
    <row r="93" spans="1:1" x14ac:dyDescent="0.25">
      <c r="A93" s="345"/>
    </row>
    <row r="94" spans="1:1" x14ac:dyDescent="0.25">
      <c r="A94" s="345"/>
    </row>
    <row r="95" spans="1:1" x14ac:dyDescent="0.25">
      <c r="A95" s="345"/>
    </row>
    <row r="96" spans="1:1" x14ac:dyDescent="0.25">
      <c r="A96" s="345"/>
    </row>
    <row r="97" spans="1:1" x14ac:dyDescent="0.25">
      <c r="A97" s="345"/>
    </row>
    <row r="98" spans="1:1" x14ac:dyDescent="0.25">
      <c r="A98" s="345"/>
    </row>
    <row r="99" spans="1:1" x14ac:dyDescent="0.25">
      <c r="A99" s="345"/>
    </row>
    <row r="100" spans="1:1" x14ac:dyDescent="0.25">
      <c r="A100" s="345"/>
    </row>
    <row r="101" spans="1:1" x14ac:dyDescent="0.25">
      <c r="A101" s="345"/>
    </row>
    <row r="103" spans="1:1" x14ac:dyDescent="0.25">
      <c r="A103" s="345"/>
    </row>
    <row r="104" spans="1:1" x14ac:dyDescent="0.25">
      <c r="A104" s="345"/>
    </row>
    <row r="105" spans="1:1" x14ac:dyDescent="0.25">
      <c r="A105" s="345"/>
    </row>
    <row r="107" spans="1:1" x14ac:dyDescent="0.25">
      <c r="A107" s="346"/>
    </row>
    <row r="108" spans="1:1" x14ac:dyDescent="0.25">
      <c r="A108" s="346"/>
    </row>
    <row r="109" spans="1:1" x14ac:dyDescent="0.25">
      <c r="A109" s="346"/>
    </row>
  </sheetData>
  <sheetProtection sheet="1"/>
  <pageMargins left="0.7" right="0.7" top="0.75" bottom="0.75" header="0.3" footer="0.3"/>
  <pageSetup orientation="portrait" r:id="rId1"/>
  <headerFooter>
    <oddFooter>&amp;Lrevised 10/2/09</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L75"/>
  <sheetViews>
    <sheetView workbookViewId="0">
      <selection activeCell="A3" sqref="A3"/>
    </sheetView>
  </sheetViews>
  <sheetFormatPr defaultRowHeight="15" x14ac:dyDescent="0.25"/>
  <cols>
    <col min="1" max="1" width="71.33203125" customWidth="1"/>
  </cols>
  <sheetData>
    <row r="3" spans="1:12" x14ac:dyDescent="0.25">
      <c r="A3" s="344" t="s">
        <v>508</v>
      </c>
      <c r="B3" s="344"/>
      <c r="C3" s="344"/>
      <c r="D3" s="344"/>
      <c r="E3" s="344"/>
      <c r="F3" s="344"/>
      <c r="G3" s="344"/>
      <c r="H3" s="344"/>
      <c r="I3" s="344"/>
      <c r="J3" s="344"/>
      <c r="K3" s="344"/>
      <c r="L3" s="344"/>
    </row>
    <row r="4" spans="1:12" x14ac:dyDescent="0.25">
      <c r="A4" s="344"/>
      <c r="B4" s="344"/>
      <c r="C4" s="344"/>
      <c r="D4" s="344"/>
      <c r="E4" s="344"/>
      <c r="F4" s="344"/>
      <c r="G4" s="344"/>
      <c r="H4" s="344"/>
      <c r="I4" s="344"/>
      <c r="J4" s="344"/>
      <c r="K4" s="344"/>
      <c r="L4" s="344"/>
    </row>
    <row r="5" spans="1:12" x14ac:dyDescent="0.25">
      <c r="A5" s="345" t="s">
        <v>397</v>
      </c>
      <c r="I5" s="344"/>
      <c r="J5" s="344"/>
      <c r="K5" s="344"/>
      <c r="L5" s="344"/>
    </row>
    <row r="6" spans="1:12" x14ac:dyDescent="0.25">
      <c r="A6" s="345" t="str">
        <f>CONCATENATE("estimated ",inputPrYr!C5-1," 'total expenditures' exceed your ",inputPrYr!C5-1,"")</f>
        <v>estimated 2014 'total expenditures' exceed your 2014</v>
      </c>
      <c r="I6" s="344"/>
      <c r="J6" s="344"/>
      <c r="K6" s="344"/>
      <c r="L6" s="344"/>
    </row>
    <row r="7" spans="1:12" x14ac:dyDescent="0.25">
      <c r="A7" s="348" t="s">
        <v>509</v>
      </c>
      <c r="I7" s="344"/>
      <c r="J7" s="344"/>
      <c r="K7" s="344"/>
      <c r="L7" s="344"/>
    </row>
    <row r="8" spans="1:12" x14ac:dyDescent="0.25">
      <c r="A8" s="345"/>
      <c r="I8" s="344"/>
      <c r="J8" s="344"/>
      <c r="K8" s="344"/>
      <c r="L8" s="344"/>
    </row>
    <row r="9" spans="1:12" x14ac:dyDescent="0.25">
      <c r="A9" s="345" t="s">
        <v>510</v>
      </c>
      <c r="I9" s="344"/>
      <c r="J9" s="344"/>
      <c r="K9" s="344"/>
      <c r="L9" s="344"/>
    </row>
    <row r="10" spans="1:12" x14ac:dyDescent="0.25">
      <c r="A10" s="345" t="s">
        <v>511</v>
      </c>
      <c r="I10" s="344"/>
      <c r="J10" s="344"/>
      <c r="K10" s="344"/>
      <c r="L10" s="344"/>
    </row>
    <row r="11" spans="1:12" x14ac:dyDescent="0.25">
      <c r="A11" s="345" t="s">
        <v>512</v>
      </c>
      <c r="I11" s="344"/>
      <c r="J11" s="344"/>
      <c r="K11" s="344"/>
      <c r="L11" s="344"/>
    </row>
    <row r="12" spans="1:12" x14ac:dyDescent="0.25">
      <c r="A12" s="345" t="s">
        <v>513</v>
      </c>
      <c r="I12" s="344"/>
      <c r="J12" s="344"/>
      <c r="K12" s="344"/>
      <c r="L12" s="344"/>
    </row>
    <row r="13" spans="1:12" x14ac:dyDescent="0.25">
      <c r="A13" s="345" t="s">
        <v>514</v>
      </c>
      <c r="I13" s="344"/>
      <c r="J13" s="344"/>
      <c r="K13" s="344"/>
      <c r="L13" s="344"/>
    </row>
    <row r="14" spans="1:12" x14ac:dyDescent="0.25">
      <c r="A14" s="344"/>
      <c r="B14" s="344"/>
      <c r="C14" s="344"/>
      <c r="D14" s="344"/>
      <c r="E14" s="344"/>
      <c r="F14" s="344"/>
      <c r="G14" s="344"/>
      <c r="H14" s="344"/>
      <c r="I14" s="344"/>
      <c r="J14" s="344"/>
      <c r="K14" s="344"/>
      <c r="L14" s="344"/>
    </row>
    <row r="15" spans="1:12" x14ac:dyDescent="0.25">
      <c r="A15" s="346" t="s">
        <v>515</v>
      </c>
    </row>
    <row r="16" spans="1:12" x14ac:dyDescent="0.25">
      <c r="A16" s="346" t="s">
        <v>516</v>
      </c>
    </row>
    <row r="17" spans="1:7" x14ac:dyDescent="0.25">
      <c r="A17" s="346"/>
    </row>
    <row r="18" spans="1:7" x14ac:dyDescent="0.25">
      <c r="A18" s="345" t="s">
        <v>517</v>
      </c>
      <c r="B18" s="345"/>
      <c r="C18" s="345"/>
      <c r="D18" s="345"/>
      <c r="E18" s="345"/>
      <c r="F18" s="345"/>
      <c r="G18" s="345"/>
    </row>
    <row r="19" spans="1:7" x14ac:dyDescent="0.25">
      <c r="A19" s="345" t="str">
        <f>CONCATENATE("your ",inputPrYr!C5-1," numbers to see what steps might be necessary to")</f>
        <v>your 2014 numbers to see what steps might be necessary to</v>
      </c>
      <c r="B19" s="345"/>
      <c r="C19" s="345"/>
      <c r="D19" s="345"/>
      <c r="E19" s="345"/>
      <c r="F19" s="345"/>
      <c r="G19" s="345"/>
    </row>
    <row r="20" spans="1:7" x14ac:dyDescent="0.25">
      <c r="A20" s="345" t="s">
        <v>518</v>
      </c>
      <c r="B20" s="345"/>
      <c r="C20" s="345"/>
      <c r="D20" s="345"/>
      <c r="E20" s="345"/>
      <c r="F20" s="345"/>
      <c r="G20" s="345"/>
    </row>
    <row r="21" spans="1:7" x14ac:dyDescent="0.25">
      <c r="A21" s="345" t="s">
        <v>519</v>
      </c>
      <c r="B21" s="345"/>
      <c r="C21" s="345"/>
      <c r="D21" s="345"/>
      <c r="E21" s="345"/>
      <c r="F21" s="345"/>
      <c r="G21" s="345"/>
    </row>
    <row r="22" spans="1:7" x14ac:dyDescent="0.25">
      <c r="A22" s="345"/>
    </row>
    <row r="23" spans="1:7" x14ac:dyDescent="0.25">
      <c r="A23" s="346" t="s">
        <v>520</v>
      </c>
    </row>
    <row r="24" spans="1:7" x14ac:dyDescent="0.25">
      <c r="A24" s="346"/>
    </row>
    <row r="25" spans="1:7" x14ac:dyDescent="0.25">
      <c r="A25" s="345" t="s">
        <v>521</v>
      </c>
    </row>
    <row r="26" spans="1:7" x14ac:dyDescent="0.25">
      <c r="A26" s="345" t="s">
        <v>522</v>
      </c>
      <c r="B26" s="345"/>
      <c r="C26" s="345"/>
      <c r="D26" s="345"/>
      <c r="E26" s="345"/>
      <c r="F26" s="345"/>
    </row>
    <row r="27" spans="1:7" x14ac:dyDescent="0.25">
      <c r="A27" s="345" t="s">
        <v>523</v>
      </c>
      <c r="B27" s="345"/>
      <c r="C27" s="345"/>
      <c r="D27" s="345"/>
      <c r="E27" s="345"/>
      <c r="F27" s="345"/>
    </row>
    <row r="28" spans="1:7" x14ac:dyDescent="0.25">
      <c r="A28" s="345" t="s">
        <v>524</v>
      </c>
      <c r="B28" s="345"/>
      <c r="C28" s="345"/>
      <c r="D28" s="345"/>
      <c r="E28" s="345"/>
      <c r="F28" s="345"/>
    </row>
    <row r="29" spans="1:7" x14ac:dyDescent="0.25">
      <c r="A29" s="345"/>
      <c r="B29" s="345"/>
      <c r="C29" s="345"/>
      <c r="D29" s="345"/>
      <c r="E29" s="345"/>
      <c r="F29" s="345"/>
    </row>
    <row r="30" spans="1:7" x14ac:dyDescent="0.25">
      <c r="A30" s="346" t="s">
        <v>525</v>
      </c>
      <c r="B30" s="346"/>
      <c r="C30" s="346"/>
      <c r="D30" s="346"/>
      <c r="E30" s="346"/>
      <c r="F30" s="346"/>
      <c r="G30" s="346"/>
    </row>
    <row r="31" spans="1:7" x14ac:dyDescent="0.25">
      <c r="A31" s="346" t="s">
        <v>526</v>
      </c>
      <c r="B31" s="346"/>
      <c r="C31" s="346"/>
      <c r="D31" s="346"/>
      <c r="E31" s="346"/>
      <c r="F31" s="346"/>
      <c r="G31" s="346"/>
    </row>
    <row r="32" spans="1:7" x14ac:dyDescent="0.25">
      <c r="A32" s="345"/>
      <c r="B32" s="345"/>
      <c r="C32" s="345"/>
      <c r="D32" s="345"/>
      <c r="E32" s="345"/>
      <c r="F32" s="345"/>
    </row>
    <row r="33" spans="1:6" x14ac:dyDescent="0.25">
      <c r="A33" s="343" t="str">
        <f>CONCATENATE("Well, let's look to see if any of your ",inputPrYr!C5-1," expenditures can")</f>
        <v>Well, let's look to see if any of your 2014 expenditures can</v>
      </c>
      <c r="B33" s="345"/>
      <c r="C33" s="345"/>
      <c r="D33" s="345"/>
      <c r="E33" s="345"/>
      <c r="F33" s="345"/>
    </row>
    <row r="34" spans="1:6" x14ac:dyDescent="0.25">
      <c r="A34" s="343" t="s">
        <v>527</v>
      </c>
      <c r="B34" s="345"/>
      <c r="C34" s="345"/>
      <c r="D34" s="345"/>
      <c r="E34" s="345"/>
      <c r="F34" s="345"/>
    </row>
    <row r="35" spans="1:6" x14ac:dyDescent="0.25">
      <c r="A35" s="343" t="s">
        <v>411</v>
      </c>
      <c r="B35" s="345"/>
      <c r="C35" s="345"/>
      <c r="D35" s="345"/>
      <c r="E35" s="345"/>
      <c r="F35" s="345"/>
    </row>
    <row r="36" spans="1:6" x14ac:dyDescent="0.25">
      <c r="A36" s="343" t="s">
        <v>412</v>
      </c>
      <c r="B36" s="345"/>
      <c r="C36" s="345"/>
      <c r="D36" s="345"/>
      <c r="E36" s="345"/>
      <c r="F36" s="345"/>
    </row>
    <row r="37" spans="1:6" x14ac:dyDescent="0.25">
      <c r="A37" s="343"/>
      <c r="B37" s="345"/>
      <c r="C37" s="345"/>
      <c r="D37" s="345"/>
      <c r="E37" s="345"/>
      <c r="F37" s="345"/>
    </row>
    <row r="38" spans="1:6" x14ac:dyDescent="0.25">
      <c r="A38" s="343" t="str">
        <f>CONCATENATE("Additionally, do your ",inputPrYr!C5-1," receipts contain a reimbursement")</f>
        <v>Additionally, do your 2014 receipts contain a reimbursement</v>
      </c>
      <c r="B38" s="345"/>
      <c r="C38" s="345"/>
      <c r="D38" s="345"/>
      <c r="E38" s="345"/>
      <c r="F38" s="345"/>
    </row>
    <row r="39" spans="1:6" x14ac:dyDescent="0.25">
      <c r="A39" s="343" t="s">
        <v>413</v>
      </c>
      <c r="B39" s="345"/>
      <c r="C39" s="345"/>
      <c r="D39" s="345"/>
      <c r="E39" s="345"/>
      <c r="F39" s="345"/>
    </row>
    <row r="40" spans="1:6" x14ac:dyDescent="0.25">
      <c r="A40" s="343" t="s">
        <v>414</v>
      </c>
      <c r="B40" s="345"/>
      <c r="C40" s="345"/>
      <c r="D40" s="345"/>
      <c r="E40" s="345"/>
      <c r="F40" s="345"/>
    </row>
    <row r="41" spans="1:6" x14ac:dyDescent="0.25">
      <c r="A41" s="343"/>
      <c r="B41" s="345"/>
      <c r="C41" s="345"/>
      <c r="D41" s="345"/>
      <c r="E41" s="345"/>
      <c r="F41" s="345"/>
    </row>
    <row r="42" spans="1:6" x14ac:dyDescent="0.25">
      <c r="A42" s="343" t="s">
        <v>415</v>
      </c>
      <c r="B42" s="345"/>
      <c r="C42" s="345"/>
      <c r="D42" s="345"/>
      <c r="E42" s="345"/>
      <c r="F42" s="345"/>
    </row>
    <row r="43" spans="1:6" x14ac:dyDescent="0.25">
      <c r="A43" s="343" t="s">
        <v>416</v>
      </c>
      <c r="B43" s="345"/>
      <c r="C43" s="345"/>
      <c r="D43" s="345"/>
      <c r="E43" s="345"/>
      <c r="F43" s="345"/>
    </row>
    <row r="44" spans="1:6" x14ac:dyDescent="0.25">
      <c r="A44" s="343" t="s">
        <v>417</v>
      </c>
      <c r="B44" s="345"/>
      <c r="C44" s="345"/>
      <c r="D44" s="345"/>
      <c r="E44" s="345"/>
      <c r="F44" s="345"/>
    </row>
    <row r="45" spans="1:6" x14ac:dyDescent="0.25">
      <c r="A45" s="343" t="s">
        <v>528</v>
      </c>
      <c r="B45" s="345"/>
      <c r="C45" s="345"/>
      <c r="D45" s="345"/>
      <c r="E45" s="345"/>
      <c r="F45" s="345"/>
    </row>
    <row r="46" spans="1:6" x14ac:dyDescent="0.25">
      <c r="A46" s="343" t="s">
        <v>419</v>
      </c>
      <c r="B46" s="345"/>
      <c r="C46" s="345"/>
      <c r="D46" s="345"/>
      <c r="E46" s="345"/>
      <c r="F46" s="345"/>
    </row>
    <row r="47" spans="1:6" x14ac:dyDescent="0.25">
      <c r="A47" s="343" t="s">
        <v>529</v>
      </c>
      <c r="B47" s="345"/>
      <c r="C47" s="345"/>
      <c r="D47" s="345"/>
      <c r="E47" s="345"/>
      <c r="F47" s="345"/>
    </row>
    <row r="48" spans="1:6" x14ac:dyDescent="0.25">
      <c r="A48" s="343" t="s">
        <v>530</v>
      </c>
      <c r="B48" s="345"/>
      <c r="C48" s="345"/>
      <c r="D48" s="345"/>
      <c r="E48" s="345"/>
      <c r="F48" s="345"/>
    </row>
    <row r="49" spans="1:6" x14ac:dyDescent="0.25">
      <c r="A49" s="343" t="s">
        <v>422</v>
      </c>
      <c r="B49" s="345"/>
      <c r="C49" s="345"/>
      <c r="D49" s="345"/>
      <c r="E49" s="345"/>
      <c r="F49" s="345"/>
    </row>
    <row r="50" spans="1:6" x14ac:dyDescent="0.25">
      <c r="A50" s="343"/>
      <c r="B50" s="345"/>
      <c r="C50" s="345"/>
      <c r="D50" s="345"/>
      <c r="E50" s="345"/>
      <c r="F50" s="345"/>
    </row>
    <row r="51" spans="1:6" x14ac:dyDescent="0.25">
      <c r="A51" s="343" t="s">
        <v>423</v>
      </c>
      <c r="B51" s="345"/>
      <c r="C51" s="345"/>
      <c r="D51" s="345"/>
      <c r="E51" s="345"/>
      <c r="F51" s="345"/>
    </row>
    <row r="52" spans="1:6" x14ac:dyDescent="0.25">
      <c r="A52" s="343" t="s">
        <v>424</v>
      </c>
      <c r="B52" s="345"/>
      <c r="C52" s="345"/>
      <c r="D52" s="345"/>
      <c r="E52" s="345"/>
      <c r="F52" s="345"/>
    </row>
    <row r="53" spans="1:6" x14ac:dyDescent="0.25">
      <c r="A53" s="343" t="s">
        <v>425</v>
      </c>
      <c r="B53" s="345"/>
      <c r="C53" s="345"/>
      <c r="D53" s="345"/>
      <c r="E53" s="345"/>
      <c r="F53" s="345"/>
    </row>
    <row r="54" spans="1:6" x14ac:dyDescent="0.25">
      <c r="A54" s="343"/>
      <c r="B54" s="345"/>
      <c r="C54" s="345"/>
      <c r="D54" s="345"/>
      <c r="E54" s="345"/>
      <c r="F54" s="345"/>
    </row>
    <row r="55" spans="1:6" x14ac:dyDescent="0.25">
      <c r="A55" s="343" t="s">
        <v>531</v>
      </c>
      <c r="B55" s="345"/>
      <c r="C55" s="345"/>
      <c r="D55" s="345"/>
      <c r="E55" s="345"/>
      <c r="F55" s="345"/>
    </row>
    <row r="56" spans="1:6" x14ac:dyDescent="0.25">
      <c r="A56" s="343" t="s">
        <v>532</v>
      </c>
      <c r="B56" s="345"/>
      <c r="C56" s="345"/>
      <c r="D56" s="345"/>
      <c r="E56" s="345"/>
      <c r="F56" s="345"/>
    </row>
    <row r="57" spans="1:6" x14ac:dyDescent="0.25">
      <c r="A57" s="343" t="s">
        <v>533</v>
      </c>
      <c r="B57" s="345"/>
      <c r="C57" s="345"/>
      <c r="D57" s="345"/>
      <c r="E57" s="345"/>
      <c r="F57" s="345"/>
    </row>
    <row r="58" spans="1:6" x14ac:dyDescent="0.25">
      <c r="A58" s="343" t="s">
        <v>534</v>
      </c>
      <c r="B58" s="345"/>
      <c r="C58" s="345"/>
      <c r="D58" s="345"/>
      <c r="E58" s="345"/>
      <c r="F58" s="345"/>
    </row>
    <row r="59" spans="1:6" x14ac:dyDescent="0.25">
      <c r="A59" s="343" t="s">
        <v>535</v>
      </c>
      <c r="B59" s="345"/>
      <c r="C59" s="345"/>
      <c r="D59" s="345"/>
      <c r="E59" s="345"/>
      <c r="F59" s="345"/>
    </row>
    <row r="60" spans="1:6" x14ac:dyDescent="0.25">
      <c r="A60" s="343"/>
      <c r="B60" s="345"/>
      <c r="C60" s="345"/>
      <c r="D60" s="345"/>
      <c r="E60" s="345"/>
      <c r="F60" s="345"/>
    </row>
    <row r="61" spans="1:6" x14ac:dyDescent="0.25">
      <c r="A61" s="342" t="s">
        <v>536</v>
      </c>
      <c r="B61" s="345"/>
      <c r="C61" s="345"/>
      <c r="D61" s="345"/>
      <c r="E61" s="345"/>
      <c r="F61" s="345"/>
    </row>
    <row r="62" spans="1:6" x14ac:dyDescent="0.25">
      <c r="A62" s="342" t="s">
        <v>537</v>
      </c>
      <c r="B62" s="345"/>
      <c r="C62" s="345"/>
      <c r="D62" s="345"/>
      <c r="E62" s="345"/>
      <c r="F62" s="345"/>
    </row>
    <row r="63" spans="1:6" x14ac:dyDescent="0.25">
      <c r="A63" s="342" t="s">
        <v>538</v>
      </c>
      <c r="B63" s="345"/>
      <c r="C63" s="345"/>
      <c r="D63" s="345"/>
      <c r="E63" s="345"/>
      <c r="F63" s="345"/>
    </row>
    <row r="64" spans="1:6" x14ac:dyDescent="0.25">
      <c r="A64" s="342" t="s">
        <v>539</v>
      </c>
    </row>
    <row r="65" spans="1:1" x14ac:dyDescent="0.25">
      <c r="A65" s="342" t="s">
        <v>540</v>
      </c>
    </row>
    <row r="66" spans="1:1" x14ac:dyDescent="0.25">
      <c r="A66" s="342" t="s">
        <v>541</v>
      </c>
    </row>
    <row r="68" spans="1:1" x14ac:dyDescent="0.25">
      <c r="A68" s="345" t="s">
        <v>542</v>
      </c>
    </row>
    <row r="69" spans="1:1" x14ac:dyDescent="0.25">
      <c r="A69" s="345" t="s">
        <v>543</v>
      </c>
    </row>
    <row r="70" spans="1:1" x14ac:dyDescent="0.25">
      <c r="A70" s="345" t="s">
        <v>544</v>
      </c>
    </row>
    <row r="71" spans="1:1" x14ac:dyDescent="0.25">
      <c r="A71" s="345" t="s">
        <v>545</v>
      </c>
    </row>
    <row r="72" spans="1:1" x14ac:dyDescent="0.25">
      <c r="A72" s="345" t="s">
        <v>546</v>
      </c>
    </row>
    <row r="73" spans="1:1" x14ac:dyDescent="0.25">
      <c r="A73" s="345" t="s">
        <v>547</v>
      </c>
    </row>
    <row r="75" spans="1:1" x14ac:dyDescent="0.25">
      <c r="A75" s="345" t="s">
        <v>452</v>
      </c>
    </row>
  </sheetData>
  <sheetProtection sheet="1"/>
  <pageMargins left="0.7" right="0.7" top="0.75" bottom="0.75" header="0.3" footer="0.3"/>
  <pageSetup orientation="portrait" r:id="rId1"/>
  <headerFooter>
    <oddFooter>&amp;Lrevised 10/2/09</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G106"/>
  <sheetViews>
    <sheetView workbookViewId="0">
      <selection activeCell="A3" sqref="A3"/>
    </sheetView>
  </sheetViews>
  <sheetFormatPr defaultRowHeight="15" x14ac:dyDescent="0.25"/>
  <cols>
    <col min="1" max="1" width="71.33203125" customWidth="1"/>
  </cols>
  <sheetData>
    <row r="3" spans="1:7" x14ac:dyDescent="0.25">
      <c r="A3" s="344" t="s">
        <v>548</v>
      </c>
      <c r="B3" s="344"/>
      <c r="C3" s="344"/>
      <c r="D3" s="344"/>
      <c r="E3" s="344"/>
      <c r="F3" s="344"/>
      <c r="G3" s="344"/>
    </row>
    <row r="4" spans="1:7" x14ac:dyDescent="0.25">
      <c r="A4" s="344"/>
      <c r="B4" s="344"/>
      <c r="C4" s="344"/>
      <c r="D4" s="344"/>
      <c r="E4" s="344"/>
      <c r="F4" s="344"/>
      <c r="G4" s="344"/>
    </row>
    <row r="5" spans="1:7" x14ac:dyDescent="0.25">
      <c r="A5" s="345" t="s">
        <v>454</v>
      </c>
    </row>
    <row r="6" spans="1:7" x14ac:dyDescent="0.25">
      <c r="A6" s="345" t="str">
        <f>CONCATENATE(inputPrYr!C5," estimated expenditures show that at the end of this year")</f>
        <v>2015 estimated expenditures show that at the end of this year</v>
      </c>
    </row>
    <row r="7" spans="1:7" x14ac:dyDescent="0.25">
      <c r="A7" s="345" t="s">
        <v>549</v>
      </c>
    </row>
    <row r="8" spans="1:7" x14ac:dyDescent="0.25">
      <c r="A8" s="345" t="s">
        <v>550</v>
      </c>
    </row>
    <row r="10" spans="1:7" x14ac:dyDescent="0.25">
      <c r="A10" t="s">
        <v>456</v>
      </c>
    </row>
    <row r="11" spans="1:7" x14ac:dyDescent="0.25">
      <c r="A11" t="s">
        <v>457</v>
      </c>
    </row>
    <row r="12" spans="1:7" x14ac:dyDescent="0.25">
      <c r="A12" t="s">
        <v>458</v>
      </c>
    </row>
    <row r="13" spans="1:7" x14ac:dyDescent="0.25">
      <c r="A13" s="344"/>
      <c r="B13" s="344"/>
      <c r="C13" s="344"/>
      <c r="D13" s="344"/>
      <c r="E13" s="344"/>
      <c r="F13" s="344"/>
      <c r="G13" s="344"/>
    </row>
    <row r="14" spans="1:7" x14ac:dyDescent="0.25">
      <c r="A14" s="346" t="s">
        <v>551</v>
      </c>
    </row>
    <row r="15" spans="1:7" x14ac:dyDescent="0.25">
      <c r="A15" s="345"/>
    </row>
    <row r="16" spans="1:7" x14ac:dyDescent="0.25">
      <c r="A16" s="345" t="s">
        <v>552</v>
      </c>
    </row>
    <row r="17" spans="1:7" x14ac:dyDescent="0.25">
      <c r="A17" s="345" t="s">
        <v>553</v>
      </c>
    </row>
    <row r="18" spans="1:7" x14ac:dyDescent="0.25">
      <c r="A18" s="345" t="s">
        <v>554</v>
      </c>
    </row>
    <row r="19" spans="1:7" x14ac:dyDescent="0.25">
      <c r="A19" s="345"/>
    </row>
    <row r="20" spans="1:7" x14ac:dyDescent="0.25">
      <c r="A20" s="345" t="s">
        <v>555</v>
      </c>
    </row>
    <row r="21" spans="1:7" x14ac:dyDescent="0.25">
      <c r="A21" s="345" t="s">
        <v>556</v>
      </c>
    </row>
    <row r="22" spans="1:7" x14ac:dyDescent="0.25">
      <c r="A22" s="345" t="s">
        <v>557</v>
      </c>
    </row>
    <row r="23" spans="1:7" x14ac:dyDescent="0.25">
      <c r="A23" s="345" t="s">
        <v>558</v>
      </c>
    </row>
    <row r="24" spans="1:7" x14ac:dyDescent="0.25">
      <c r="A24" s="345"/>
    </row>
    <row r="25" spans="1:7" x14ac:dyDescent="0.25">
      <c r="A25" s="346" t="s">
        <v>520</v>
      </c>
    </row>
    <row r="26" spans="1:7" x14ac:dyDescent="0.25">
      <c r="A26" s="346"/>
    </row>
    <row r="27" spans="1:7" x14ac:dyDescent="0.25">
      <c r="A27" s="345" t="s">
        <v>521</v>
      </c>
    </row>
    <row r="28" spans="1:7" x14ac:dyDescent="0.25">
      <c r="A28" s="345" t="s">
        <v>522</v>
      </c>
      <c r="B28" s="345"/>
      <c r="C28" s="345"/>
      <c r="D28" s="345"/>
      <c r="E28" s="345"/>
      <c r="F28" s="345"/>
    </row>
    <row r="29" spans="1:7" x14ac:dyDescent="0.25">
      <c r="A29" s="345" t="s">
        <v>523</v>
      </c>
      <c r="B29" s="345"/>
      <c r="C29" s="345"/>
      <c r="D29" s="345"/>
      <c r="E29" s="345"/>
      <c r="F29" s="345"/>
    </row>
    <row r="30" spans="1:7" x14ac:dyDescent="0.25">
      <c r="A30" s="345" t="s">
        <v>524</v>
      </c>
      <c r="B30" s="345"/>
      <c r="C30" s="345"/>
      <c r="D30" s="345"/>
      <c r="E30" s="345"/>
      <c r="F30" s="345"/>
    </row>
    <row r="31" spans="1:7" x14ac:dyDescent="0.25">
      <c r="A31" s="345"/>
    </row>
    <row r="32" spans="1:7" x14ac:dyDescent="0.25">
      <c r="A32" s="346" t="s">
        <v>525</v>
      </c>
      <c r="B32" s="346"/>
      <c r="C32" s="346"/>
      <c r="D32" s="346"/>
      <c r="E32" s="346"/>
      <c r="F32" s="346"/>
      <c r="G32" s="346"/>
    </row>
    <row r="33" spans="1:7" x14ac:dyDescent="0.25">
      <c r="A33" s="346" t="s">
        <v>526</v>
      </c>
      <c r="B33" s="346"/>
      <c r="C33" s="346"/>
      <c r="D33" s="346"/>
      <c r="E33" s="346"/>
      <c r="F33" s="346"/>
      <c r="G33" s="346"/>
    </row>
    <row r="34" spans="1:7" x14ac:dyDescent="0.25">
      <c r="A34" s="346"/>
      <c r="B34" s="346"/>
      <c r="C34" s="346"/>
      <c r="D34" s="346"/>
      <c r="E34" s="346"/>
      <c r="F34" s="346"/>
      <c r="G34" s="346"/>
    </row>
    <row r="35" spans="1:7" x14ac:dyDescent="0.25">
      <c r="A35" s="345" t="s">
        <v>559</v>
      </c>
      <c r="B35" s="345"/>
      <c r="C35" s="345"/>
      <c r="D35" s="345"/>
      <c r="E35" s="345"/>
      <c r="F35" s="345"/>
      <c r="G35" s="345"/>
    </row>
    <row r="36" spans="1:7" x14ac:dyDescent="0.25">
      <c r="A36" s="345" t="s">
        <v>560</v>
      </c>
      <c r="B36" s="345"/>
      <c r="C36" s="345"/>
      <c r="D36" s="345"/>
      <c r="E36" s="345"/>
      <c r="F36" s="345"/>
      <c r="G36" s="345"/>
    </row>
    <row r="37" spans="1:7" x14ac:dyDescent="0.25">
      <c r="A37" s="345" t="s">
        <v>561</v>
      </c>
      <c r="B37" s="345"/>
      <c r="C37" s="345"/>
      <c r="D37" s="345"/>
      <c r="E37" s="345"/>
      <c r="F37" s="345"/>
      <c r="G37" s="345"/>
    </row>
    <row r="38" spans="1:7" x14ac:dyDescent="0.25">
      <c r="A38" s="345" t="s">
        <v>562</v>
      </c>
      <c r="B38" s="345"/>
      <c r="C38" s="345"/>
      <c r="D38" s="345"/>
      <c r="E38" s="345"/>
      <c r="F38" s="345"/>
      <c r="G38" s="345"/>
    </row>
    <row r="39" spans="1:7" x14ac:dyDescent="0.25">
      <c r="A39" s="345" t="s">
        <v>563</v>
      </c>
      <c r="B39" s="345"/>
      <c r="C39" s="345"/>
      <c r="D39" s="345"/>
      <c r="E39" s="345"/>
      <c r="F39" s="345"/>
      <c r="G39" s="345"/>
    </row>
    <row r="40" spans="1:7" x14ac:dyDescent="0.25">
      <c r="A40" s="346"/>
      <c r="B40" s="346"/>
      <c r="C40" s="346"/>
      <c r="D40" s="346"/>
      <c r="E40" s="346"/>
      <c r="F40" s="346"/>
      <c r="G40" s="346"/>
    </row>
    <row r="41" spans="1:7" x14ac:dyDescent="0.25">
      <c r="A41" s="343" t="str">
        <f>CONCATENATE("So, let's look to see if any of your ",inputPrYr!C5-1," expenditures can")</f>
        <v>So, let's look to see if any of your 2014 expenditures can</v>
      </c>
      <c r="B41" s="345"/>
      <c r="C41" s="345"/>
      <c r="D41" s="345"/>
      <c r="E41" s="345"/>
      <c r="F41" s="345"/>
    </row>
    <row r="42" spans="1:7" x14ac:dyDescent="0.25">
      <c r="A42" s="343" t="s">
        <v>527</v>
      </c>
      <c r="B42" s="345"/>
      <c r="C42" s="345"/>
      <c r="D42" s="345"/>
      <c r="E42" s="345"/>
      <c r="F42" s="345"/>
    </row>
    <row r="43" spans="1:7" x14ac:dyDescent="0.25">
      <c r="A43" s="343" t="s">
        <v>411</v>
      </c>
      <c r="B43" s="345"/>
      <c r="C43" s="345"/>
      <c r="D43" s="345"/>
      <c r="E43" s="345"/>
      <c r="F43" s="345"/>
    </row>
    <row r="44" spans="1:7" x14ac:dyDescent="0.25">
      <c r="A44" s="343" t="s">
        <v>412</v>
      </c>
      <c r="B44" s="345"/>
      <c r="C44" s="345"/>
      <c r="D44" s="345"/>
      <c r="E44" s="345"/>
      <c r="F44" s="345"/>
    </row>
    <row r="45" spans="1:7" x14ac:dyDescent="0.25">
      <c r="A45" s="345"/>
    </row>
    <row r="46" spans="1:7" x14ac:dyDescent="0.25">
      <c r="A46" s="343" t="str">
        <f>CONCATENATE("Additionally, do your ",inputPrYr!C5-1," receipts contain a reimbursement")</f>
        <v>Additionally, do your 2014 receipts contain a reimbursement</v>
      </c>
      <c r="B46" s="345"/>
      <c r="C46" s="345"/>
      <c r="D46" s="345"/>
      <c r="E46" s="345"/>
      <c r="F46" s="345"/>
    </row>
    <row r="47" spans="1:7" x14ac:dyDescent="0.25">
      <c r="A47" s="343" t="s">
        <v>413</v>
      </c>
      <c r="B47" s="345"/>
      <c r="C47" s="345"/>
      <c r="D47" s="345"/>
      <c r="E47" s="345"/>
      <c r="F47" s="345"/>
    </row>
    <row r="48" spans="1:7" x14ac:dyDescent="0.25">
      <c r="A48" s="343" t="s">
        <v>414</v>
      </c>
      <c r="B48" s="345"/>
      <c r="C48" s="345"/>
      <c r="D48" s="345"/>
      <c r="E48" s="345"/>
      <c r="F48" s="345"/>
    </row>
    <row r="49" spans="1:7" x14ac:dyDescent="0.25">
      <c r="A49" s="345"/>
      <c r="B49" s="345"/>
      <c r="C49" s="345"/>
      <c r="D49" s="345"/>
      <c r="E49" s="345"/>
      <c r="F49" s="345"/>
      <c r="G49" s="345"/>
    </row>
    <row r="50" spans="1:7" x14ac:dyDescent="0.25">
      <c r="A50" s="345" t="s">
        <v>481</v>
      </c>
      <c r="B50" s="345"/>
      <c r="C50" s="345"/>
      <c r="D50" s="345"/>
      <c r="E50" s="345"/>
      <c r="F50" s="345"/>
      <c r="G50" s="345"/>
    </row>
    <row r="51" spans="1:7" x14ac:dyDescent="0.25">
      <c r="A51" s="345" t="s">
        <v>482</v>
      </c>
      <c r="B51" s="345"/>
      <c r="C51" s="345"/>
      <c r="D51" s="345"/>
      <c r="E51" s="345"/>
      <c r="F51" s="345"/>
      <c r="G51" s="345"/>
    </row>
    <row r="52" spans="1:7" x14ac:dyDescent="0.25">
      <c r="A52" s="345" t="s">
        <v>483</v>
      </c>
      <c r="B52" s="345"/>
      <c r="C52" s="345"/>
      <c r="D52" s="345"/>
      <c r="E52" s="345"/>
      <c r="F52" s="345"/>
      <c r="G52" s="345"/>
    </row>
    <row r="53" spans="1:7" x14ac:dyDescent="0.25">
      <c r="A53" s="345" t="s">
        <v>484</v>
      </c>
      <c r="B53" s="345"/>
      <c r="C53" s="345"/>
      <c r="D53" s="345"/>
      <c r="E53" s="345"/>
      <c r="F53" s="345"/>
      <c r="G53" s="345"/>
    </row>
    <row r="54" spans="1:7" x14ac:dyDescent="0.25">
      <c r="A54" s="345" t="s">
        <v>485</v>
      </c>
      <c r="B54" s="345"/>
      <c r="C54" s="345"/>
      <c r="D54" s="345"/>
      <c r="E54" s="345"/>
      <c r="F54" s="345"/>
      <c r="G54" s="345"/>
    </row>
    <row r="55" spans="1:7" x14ac:dyDescent="0.25">
      <c r="A55" s="345"/>
      <c r="B55" s="345"/>
      <c r="C55" s="345"/>
      <c r="D55" s="345"/>
      <c r="E55" s="345"/>
      <c r="F55" s="345"/>
      <c r="G55" s="345"/>
    </row>
    <row r="56" spans="1:7" x14ac:dyDescent="0.25">
      <c r="A56" s="343" t="s">
        <v>423</v>
      </c>
      <c r="B56" s="345"/>
      <c r="C56" s="345"/>
      <c r="D56" s="345"/>
      <c r="E56" s="345"/>
      <c r="F56" s="345"/>
    </row>
    <row r="57" spans="1:7" x14ac:dyDescent="0.25">
      <c r="A57" s="343" t="s">
        <v>424</v>
      </c>
      <c r="B57" s="345"/>
      <c r="C57" s="345"/>
      <c r="D57" s="345"/>
      <c r="E57" s="345"/>
      <c r="F57" s="345"/>
    </row>
    <row r="58" spans="1:7" x14ac:dyDescent="0.25">
      <c r="A58" s="343" t="s">
        <v>425</v>
      </c>
      <c r="B58" s="345"/>
      <c r="C58" s="345"/>
      <c r="D58" s="345"/>
      <c r="E58" s="345"/>
      <c r="F58" s="345"/>
    </row>
    <row r="59" spans="1:7" x14ac:dyDescent="0.25">
      <c r="A59" s="343"/>
      <c r="B59" s="345"/>
      <c r="C59" s="345"/>
      <c r="D59" s="345"/>
      <c r="E59" s="345"/>
      <c r="F59" s="345"/>
    </row>
    <row r="60" spans="1:7" x14ac:dyDescent="0.25">
      <c r="A60" s="345" t="s">
        <v>564</v>
      </c>
      <c r="B60" s="345"/>
      <c r="C60" s="345"/>
      <c r="D60" s="345"/>
      <c r="E60" s="345"/>
      <c r="F60" s="345"/>
      <c r="G60" s="345"/>
    </row>
    <row r="61" spans="1:7" x14ac:dyDescent="0.25">
      <c r="A61" s="345" t="s">
        <v>565</v>
      </c>
      <c r="B61" s="345"/>
      <c r="C61" s="345"/>
      <c r="D61" s="345"/>
      <c r="E61" s="345"/>
      <c r="F61" s="345"/>
      <c r="G61" s="345"/>
    </row>
    <row r="62" spans="1:7" x14ac:dyDescent="0.25">
      <c r="A62" s="345" t="s">
        <v>566</v>
      </c>
      <c r="B62" s="345"/>
      <c r="C62" s="345"/>
      <c r="D62" s="345"/>
      <c r="E62" s="345"/>
      <c r="F62" s="345"/>
      <c r="G62" s="345"/>
    </row>
    <row r="63" spans="1:7" x14ac:dyDescent="0.25">
      <c r="A63" s="345" t="s">
        <v>567</v>
      </c>
      <c r="B63" s="345"/>
      <c r="C63" s="345"/>
      <c r="D63" s="345"/>
      <c r="E63" s="345"/>
      <c r="F63" s="345"/>
      <c r="G63" s="345"/>
    </row>
    <row r="64" spans="1:7" x14ac:dyDescent="0.25">
      <c r="A64" s="345" t="s">
        <v>568</v>
      </c>
      <c r="B64" s="345"/>
      <c r="C64" s="345"/>
      <c r="D64" s="345"/>
      <c r="E64" s="345"/>
      <c r="F64" s="345"/>
      <c r="G64" s="345"/>
    </row>
    <row r="66" spans="1:6" x14ac:dyDescent="0.25">
      <c r="A66" s="343" t="s">
        <v>531</v>
      </c>
      <c r="B66" s="345"/>
      <c r="C66" s="345"/>
      <c r="D66" s="345"/>
      <c r="E66" s="345"/>
      <c r="F66" s="345"/>
    </row>
    <row r="67" spans="1:6" x14ac:dyDescent="0.25">
      <c r="A67" s="343" t="s">
        <v>532</v>
      </c>
      <c r="B67" s="345"/>
      <c r="C67" s="345"/>
      <c r="D67" s="345"/>
      <c r="E67" s="345"/>
      <c r="F67" s="345"/>
    </row>
    <row r="68" spans="1:6" x14ac:dyDescent="0.25">
      <c r="A68" s="343" t="s">
        <v>533</v>
      </c>
      <c r="B68" s="345"/>
      <c r="C68" s="345"/>
      <c r="D68" s="345"/>
      <c r="E68" s="345"/>
      <c r="F68" s="345"/>
    </row>
    <row r="69" spans="1:6" x14ac:dyDescent="0.25">
      <c r="A69" s="343" t="s">
        <v>534</v>
      </c>
      <c r="B69" s="345"/>
      <c r="C69" s="345"/>
      <c r="D69" s="345"/>
      <c r="E69" s="345"/>
      <c r="F69" s="345"/>
    </row>
    <row r="70" spans="1:6" x14ac:dyDescent="0.25">
      <c r="A70" s="343" t="s">
        <v>535</v>
      </c>
      <c r="B70" s="345"/>
      <c r="C70" s="345"/>
      <c r="D70" s="345"/>
      <c r="E70" s="345"/>
      <c r="F70" s="345"/>
    </row>
    <row r="71" spans="1:6" x14ac:dyDescent="0.25">
      <c r="A71" s="345"/>
    </row>
    <row r="72" spans="1:6" x14ac:dyDescent="0.25">
      <c r="A72" s="345" t="s">
        <v>452</v>
      </c>
    </row>
    <row r="73" spans="1:6" x14ac:dyDescent="0.25">
      <c r="A73" s="345"/>
    </row>
    <row r="74" spans="1:6" x14ac:dyDescent="0.25">
      <c r="A74" s="345"/>
    </row>
    <row r="75" spans="1:6" x14ac:dyDescent="0.25">
      <c r="A75" s="345"/>
    </row>
    <row r="78" spans="1:6" x14ac:dyDescent="0.25">
      <c r="A78" s="346"/>
    </row>
    <row r="80" spans="1:6" x14ac:dyDescent="0.25">
      <c r="A80" s="345"/>
    </row>
    <row r="81" spans="1:1" x14ac:dyDescent="0.25">
      <c r="A81" s="345"/>
    </row>
    <row r="82" spans="1:1" x14ac:dyDescent="0.25">
      <c r="A82" s="345"/>
    </row>
    <row r="83" spans="1:1" x14ac:dyDescent="0.25">
      <c r="A83" s="345"/>
    </row>
    <row r="84" spans="1:1" x14ac:dyDescent="0.25">
      <c r="A84" s="345"/>
    </row>
    <row r="85" spans="1:1" x14ac:dyDescent="0.25">
      <c r="A85" s="345"/>
    </row>
    <row r="86" spans="1:1" x14ac:dyDescent="0.25">
      <c r="A86" s="345"/>
    </row>
    <row r="87" spans="1:1" x14ac:dyDescent="0.25">
      <c r="A87" s="345"/>
    </row>
    <row r="88" spans="1:1" x14ac:dyDescent="0.25">
      <c r="A88" s="345"/>
    </row>
    <row r="89" spans="1:1" x14ac:dyDescent="0.25">
      <c r="A89" s="345"/>
    </row>
    <row r="90" spans="1:1" x14ac:dyDescent="0.25">
      <c r="A90" s="345"/>
    </row>
    <row r="92" spans="1:1" x14ac:dyDescent="0.25">
      <c r="A92" s="345"/>
    </row>
    <row r="93" spans="1:1" x14ac:dyDescent="0.25">
      <c r="A93" s="345"/>
    </row>
    <row r="94" spans="1:1" x14ac:dyDescent="0.25">
      <c r="A94" s="345"/>
    </row>
    <row r="95" spans="1:1" x14ac:dyDescent="0.25">
      <c r="A95" s="345"/>
    </row>
    <row r="96" spans="1:1" x14ac:dyDescent="0.25">
      <c r="A96" s="345"/>
    </row>
    <row r="97" spans="1:1" x14ac:dyDescent="0.25">
      <c r="A97" s="345"/>
    </row>
    <row r="98" spans="1:1" x14ac:dyDescent="0.25">
      <c r="A98" s="345"/>
    </row>
    <row r="99" spans="1:1" x14ac:dyDescent="0.25">
      <c r="A99" s="345"/>
    </row>
    <row r="100" spans="1:1" x14ac:dyDescent="0.25">
      <c r="A100" s="345"/>
    </row>
    <row r="101" spans="1:1" x14ac:dyDescent="0.25">
      <c r="A101" s="345"/>
    </row>
    <row r="102" spans="1:1" x14ac:dyDescent="0.25">
      <c r="A102" s="345"/>
    </row>
    <row r="103" spans="1:1" x14ac:dyDescent="0.25">
      <c r="A103" s="345"/>
    </row>
    <row r="104" spans="1:1" x14ac:dyDescent="0.25">
      <c r="A104" s="345"/>
    </row>
    <row r="105" spans="1:1" x14ac:dyDescent="0.25">
      <c r="A105" s="345"/>
    </row>
    <row r="106" spans="1:1" x14ac:dyDescent="0.25">
      <c r="A106" s="345"/>
    </row>
  </sheetData>
  <sheetProtection sheet="1"/>
  <pageMargins left="0.7" right="0.7" top="0.75" bottom="0.75" header="0.3" footer="0.3"/>
  <pageSetup orientation="portrait" r:id="rId1"/>
  <headerFooter>
    <oddFooter>&amp;Lrevised 10/2/09</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H52"/>
  <sheetViews>
    <sheetView workbookViewId="0">
      <selection activeCell="A3" sqref="A3"/>
    </sheetView>
  </sheetViews>
  <sheetFormatPr defaultRowHeight="15" x14ac:dyDescent="0.25"/>
  <cols>
    <col min="1" max="1" width="71.33203125" customWidth="1"/>
  </cols>
  <sheetData>
    <row r="3" spans="1:7" x14ac:dyDescent="0.25">
      <c r="A3" s="344" t="s">
        <v>569</v>
      </c>
      <c r="B3" s="344"/>
      <c r="C3" s="344"/>
      <c r="D3" s="344"/>
      <c r="E3" s="344"/>
      <c r="F3" s="344"/>
      <c r="G3" s="344"/>
    </row>
    <row r="4" spans="1:7" x14ac:dyDescent="0.25">
      <c r="A4" s="344" t="s">
        <v>570</v>
      </c>
      <c r="B4" s="344"/>
      <c r="C4" s="344"/>
      <c r="D4" s="344"/>
      <c r="E4" s="344"/>
      <c r="F4" s="344"/>
      <c r="G4" s="344"/>
    </row>
    <row r="5" spans="1:7" x14ac:dyDescent="0.25">
      <c r="A5" s="344"/>
      <c r="B5" s="344"/>
      <c r="C5" s="344"/>
      <c r="D5" s="344"/>
      <c r="E5" s="344"/>
      <c r="F5" s="344"/>
      <c r="G5" s="344"/>
    </row>
    <row r="6" spans="1:7" x14ac:dyDescent="0.25">
      <c r="A6" s="344"/>
      <c r="B6" s="344"/>
      <c r="C6" s="344"/>
      <c r="D6" s="344"/>
      <c r="E6" s="344"/>
      <c r="F6" s="344"/>
      <c r="G6" s="344"/>
    </row>
    <row r="7" spans="1:7" x14ac:dyDescent="0.25">
      <c r="A7" s="345" t="s">
        <v>397</v>
      </c>
    </row>
    <row r="8" spans="1:7" x14ac:dyDescent="0.25">
      <c r="A8" s="345" t="str">
        <f>CONCATENATE("estimated ",inputPrYr!C5," 'total expenditures' exceed your ",inputPrYr!C5,"")</f>
        <v>estimated 2015 'total expenditures' exceed your 2015</v>
      </c>
    </row>
    <row r="9" spans="1:7" x14ac:dyDescent="0.25">
      <c r="A9" s="348" t="s">
        <v>571</v>
      </c>
    </row>
    <row r="10" spans="1:7" x14ac:dyDescent="0.25">
      <c r="A10" s="345"/>
    </row>
    <row r="11" spans="1:7" x14ac:dyDescent="0.25">
      <c r="A11" s="345" t="s">
        <v>572</v>
      </c>
    </row>
    <row r="12" spans="1:7" x14ac:dyDescent="0.25">
      <c r="A12" s="345" t="s">
        <v>573</v>
      </c>
    </row>
    <row r="13" spans="1:7" x14ac:dyDescent="0.25">
      <c r="A13" s="345" t="s">
        <v>574</v>
      </c>
    </row>
    <row r="14" spans="1:7" x14ac:dyDescent="0.25">
      <c r="A14" s="345"/>
    </row>
    <row r="15" spans="1:7" x14ac:dyDescent="0.25">
      <c r="A15" s="346" t="s">
        <v>575</v>
      </c>
    </row>
    <row r="16" spans="1:7" x14ac:dyDescent="0.25">
      <c r="A16" s="344"/>
      <c r="B16" s="344"/>
      <c r="C16" s="344"/>
      <c r="D16" s="344"/>
      <c r="E16" s="344"/>
      <c r="F16" s="344"/>
      <c r="G16" s="344"/>
    </row>
    <row r="17" spans="1:8" x14ac:dyDescent="0.25">
      <c r="A17" s="349" t="s">
        <v>576</v>
      </c>
      <c r="B17" s="350"/>
      <c r="C17" s="350"/>
      <c r="D17" s="350"/>
      <c r="E17" s="350"/>
      <c r="F17" s="350"/>
      <c r="G17" s="350"/>
      <c r="H17" s="350"/>
    </row>
    <row r="18" spans="1:8" x14ac:dyDescent="0.25">
      <c r="A18" s="345" t="s">
        <v>577</v>
      </c>
      <c r="B18" s="351"/>
      <c r="C18" s="351"/>
      <c r="D18" s="351"/>
      <c r="E18" s="351"/>
      <c r="F18" s="351"/>
      <c r="G18" s="351"/>
    </row>
    <row r="19" spans="1:8" x14ac:dyDescent="0.25">
      <c r="A19" s="345" t="s">
        <v>578</v>
      </c>
    </row>
    <row r="20" spans="1:8" x14ac:dyDescent="0.25">
      <c r="A20" s="345" t="s">
        <v>579</v>
      </c>
    </row>
    <row r="22" spans="1:8" x14ac:dyDescent="0.25">
      <c r="A22" s="346" t="s">
        <v>580</v>
      </c>
    </row>
    <row r="24" spans="1:8" x14ac:dyDescent="0.25">
      <c r="A24" s="345" t="s">
        <v>581</v>
      </c>
    </row>
    <row r="25" spans="1:8" x14ac:dyDescent="0.25">
      <c r="A25" s="345" t="s">
        <v>582</v>
      </c>
    </row>
    <row r="26" spans="1:8" x14ac:dyDescent="0.25">
      <c r="A26" s="345" t="s">
        <v>583</v>
      </c>
    </row>
    <row r="28" spans="1:8" x14ac:dyDescent="0.25">
      <c r="A28" s="346" t="s">
        <v>584</v>
      </c>
    </row>
    <row r="30" spans="1:8" x14ac:dyDescent="0.25">
      <c r="A30" t="s">
        <v>585</v>
      </c>
    </row>
    <row r="31" spans="1:8" x14ac:dyDescent="0.25">
      <c r="A31" t="s">
        <v>586</v>
      </c>
    </row>
    <row r="32" spans="1:8" x14ac:dyDescent="0.25">
      <c r="A32" t="s">
        <v>587</v>
      </c>
    </row>
    <row r="33" spans="1:1" x14ac:dyDescent="0.25">
      <c r="A33" s="345" t="s">
        <v>588</v>
      </c>
    </row>
    <row r="35" spans="1:1" x14ac:dyDescent="0.25">
      <c r="A35" t="s">
        <v>589</v>
      </c>
    </row>
    <row r="36" spans="1:1" x14ac:dyDescent="0.25">
      <c r="A36" t="s">
        <v>590</v>
      </c>
    </row>
    <row r="37" spans="1:1" x14ac:dyDescent="0.25">
      <c r="A37" t="s">
        <v>591</v>
      </c>
    </row>
    <row r="38" spans="1:1" x14ac:dyDescent="0.25">
      <c r="A38" t="s">
        <v>592</v>
      </c>
    </row>
    <row r="40" spans="1:1" x14ac:dyDescent="0.25">
      <c r="A40" t="s">
        <v>593</v>
      </c>
    </row>
    <row r="41" spans="1:1" x14ac:dyDescent="0.25">
      <c r="A41" t="s">
        <v>594</v>
      </c>
    </row>
    <row r="42" spans="1:1" x14ac:dyDescent="0.25">
      <c r="A42" t="s">
        <v>595</v>
      </c>
    </row>
    <row r="43" spans="1:1" x14ac:dyDescent="0.25">
      <c r="A43" t="s">
        <v>596</v>
      </c>
    </row>
    <row r="44" spans="1:1" x14ac:dyDescent="0.25">
      <c r="A44" t="s">
        <v>597</v>
      </c>
    </row>
    <row r="45" spans="1:1" x14ac:dyDescent="0.25">
      <c r="A45" t="s">
        <v>598</v>
      </c>
    </row>
    <row r="47" spans="1:1" x14ac:dyDescent="0.25">
      <c r="A47" t="s">
        <v>599</v>
      </c>
    </row>
    <row r="48" spans="1:1" x14ac:dyDescent="0.25">
      <c r="A48" t="s">
        <v>600</v>
      </c>
    </row>
    <row r="49" spans="1:1" x14ac:dyDescent="0.25">
      <c r="A49" s="345" t="s">
        <v>601</v>
      </c>
    </row>
    <row r="50" spans="1:1" x14ac:dyDescent="0.25">
      <c r="A50" s="345" t="s">
        <v>602</v>
      </c>
    </row>
    <row r="52" spans="1:1" x14ac:dyDescent="0.25">
      <c r="A52" t="s">
        <v>452</v>
      </c>
    </row>
  </sheetData>
  <sheetProtection sheet="1"/>
  <pageMargins left="0.7" right="0.7" top="0.75" bottom="0.75" header="0.3" footer="0.3"/>
  <pageSetup orientation="portrait" r:id="rId1"/>
  <headerFooter>
    <oddFooter>&amp;Lrevised 10/2/09</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54"/>
  <sheetViews>
    <sheetView topLeftCell="A61" zoomScaleNormal="100" zoomScaleSheetLayoutView="100" workbookViewId="0">
      <selection activeCell="C80" sqref="C80:D80"/>
    </sheetView>
  </sheetViews>
  <sheetFormatPr defaultColWidth="8.9140625" defaultRowHeight="13.8" x14ac:dyDescent="0.25"/>
  <cols>
    <col min="1" max="1" width="7.58203125" style="430" customWidth="1"/>
    <col min="2" max="2" width="11.25" style="432" customWidth="1"/>
    <col min="3" max="3" width="7.4140625" style="432" customWidth="1"/>
    <col min="4" max="4" width="8.9140625" style="432"/>
    <col min="5" max="5" width="1.58203125" style="432" customWidth="1"/>
    <col min="6" max="6" width="14.33203125" style="432" customWidth="1"/>
    <col min="7" max="7" width="2.58203125" style="432" customWidth="1"/>
    <col min="8" max="8" width="9.75" style="432" customWidth="1"/>
    <col min="9" max="9" width="2" style="432" customWidth="1"/>
    <col min="10" max="10" width="8.58203125" style="432" customWidth="1"/>
    <col min="11" max="11" width="11.6640625" style="432" customWidth="1"/>
    <col min="12" max="12" width="7.58203125" style="430" customWidth="1"/>
    <col min="13" max="14" width="8.9140625" style="430"/>
    <col min="15" max="15" width="9.9140625" style="430" bestFit="1" customWidth="1"/>
    <col min="16" max="16384" width="8.9140625" style="430"/>
  </cols>
  <sheetData>
    <row r="1" spans="1:12" x14ac:dyDescent="0.25">
      <c r="A1" s="431"/>
      <c r="B1" s="431"/>
      <c r="C1" s="431"/>
      <c r="D1" s="431"/>
      <c r="E1" s="431"/>
      <c r="F1" s="431"/>
      <c r="G1" s="431"/>
      <c r="H1" s="431"/>
      <c r="I1" s="431"/>
      <c r="J1" s="431"/>
      <c r="K1" s="431"/>
      <c r="L1" s="431"/>
    </row>
    <row r="2" spans="1:12" x14ac:dyDescent="0.25">
      <c r="A2" s="431"/>
      <c r="B2" s="431"/>
      <c r="C2" s="431"/>
      <c r="D2" s="431"/>
      <c r="E2" s="431"/>
      <c r="F2" s="431"/>
      <c r="G2" s="431"/>
      <c r="H2" s="431"/>
      <c r="I2" s="431"/>
      <c r="J2" s="431"/>
      <c r="K2" s="431"/>
      <c r="L2" s="431"/>
    </row>
    <row r="3" spans="1:12" x14ac:dyDescent="0.25">
      <c r="A3" s="431"/>
      <c r="B3" s="431"/>
      <c r="C3" s="431"/>
      <c r="D3" s="431"/>
      <c r="E3" s="431"/>
      <c r="F3" s="431"/>
      <c r="G3" s="431"/>
      <c r="H3" s="431"/>
      <c r="I3" s="431"/>
      <c r="J3" s="431"/>
      <c r="K3" s="431"/>
      <c r="L3" s="431"/>
    </row>
    <row r="4" spans="1:12" x14ac:dyDescent="0.25">
      <c r="A4" s="431"/>
      <c r="L4" s="431"/>
    </row>
    <row r="5" spans="1:12" ht="15" customHeight="1" x14ac:dyDescent="0.25">
      <c r="A5" s="431"/>
      <c r="L5" s="431"/>
    </row>
    <row r="6" spans="1:12" ht="33" customHeight="1" x14ac:dyDescent="0.25">
      <c r="A6" s="431"/>
      <c r="B6" s="1097" t="s">
        <v>641</v>
      </c>
      <c r="C6" s="1091"/>
      <c r="D6" s="1091"/>
      <c r="E6" s="1091"/>
      <c r="F6" s="1091"/>
      <c r="G6" s="1091"/>
      <c r="H6" s="1091"/>
      <c r="I6" s="1091"/>
      <c r="J6" s="1091"/>
      <c r="K6" s="1091"/>
      <c r="L6" s="433"/>
    </row>
    <row r="7" spans="1:12" ht="40.5" customHeight="1" x14ac:dyDescent="0.25">
      <c r="A7" s="431"/>
      <c r="B7" s="1104" t="s">
        <v>642</v>
      </c>
      <c r="C7" s="1105"/>
      <c r="D7" s="1105"/>
      <c r="E7" s="1105"/>
      <c r="F7" s="1105"/>
      <c r="G7" s="1105"/>
      <c r="H7" s="1105"/>
      <c r="I7" s="1105"/>
      <c r="J7" s="1105"/>
      <c r="K7" s="1105"/>
      <c r="L7" s="431"/>
    </row>
    <row r="8" spans="1:12" x14ac:dyDescent="0.25">
      <c r="A8" s="431"/>
      <c r="B8" s="1096" t="s">
        <v>643</v>
      </c>
      <c r="C8" s="1096"/>
      <c r="D8" s="1096"/>
      <c r="E8" s="1096"/>
      <c r="F8" s="1096"/>
      <c r="G8" s="1096"/>
      <c r="H8" s="1096"/>
      <c r="I8" s="1096"/>
      <c r="J8" s="1096"/>
      <c r="K8" s="1096"/>
      <c r="L8" s="431"/>
    </row>
    <row r="9" spans="1:12" x14ac:dyDescent="0.25">
      <c r="A9" s="431"/>
      <c r="L9" s="431"/>
    </row>
    <row r="10" spans="1:12" x14ac:dyDescent="0.25">
      <c r="A10" s="431"/>
      <c r="B10" s="1096" t="s">
        <v>644</v>
      </c>
      <c r="C10" s="1096"/>
      <c r="D10" s="1096"/>
      <c r="E10" s="1096"/>
      <c r="F10" s="1096"/>
      <c r="G10" s="1096"/>
      <c r="H10" s="1096"/>
      <c r="I10" s="1096"/>
      <c r="J10" s="1096"/>
      <c r="K10" s="1096"/>
      <c r="L10" s="431"/>
    </row>
    <row r="11" spans="1:12" x14ac:dyDescent="0.25">
      <c r="A11" s="431"/>
      <c r="B11" s="567"/>
      <c r="C11" s="567"/>
      <c r="D11" s="567"/>
      <c r="E11" s="567"/>
      <c r="F11" s="567"/>
      <c r="G11" s="567"/>
      <c r="H11" s="567"/>
      <c r="I11" s="567"/>
      <c r="J11" s="567"/>
      <c r="K11" s="567"/>
      <c r="L11" s="431"/>
    </row>
    <row r="12" spans="1:12" ht="32.25" customHeight="1" x14ac:dyDescent="0.25">
      <c r="A12" s="431"/>
      <c r="B12" s="1086" t="s">
        <v>645</v>
      </c>
      <c r="C12" s="1086"/>
      <c r="D12" s="1086"/>
      <c r="E12" s="1086"/>
      <c r="F12" s="1086"/>
      <c r="G12" s="1086"/>
      <c r="H12" s="1086"/>
      <c r="I12" s="1086"/>
      <c r="J12" s="1086"/>
      <c r="K12" s="1086"/>
      <c r="L12" s="431"/>
    </row>
    <row r="13" spans="1:12" x14ac:dyDescent="0.25">
      <c r="A13" s="431"/>
      <c r="L13" s="431"/>
    </row>
    <row r="14" spans="1:12" x14ac:dyDescent="0.25">
      <c r="A14" s="431"/>
      <c r="B14" s="434" t="s">
        <v>646</v>
      </c>
      <c r="L14" s="431"/>
    </row>
    <row r="15" spans="1:12" x14ac:dyDescent="0.25">
      <c r="A15" s="431"/>
      <c r="L15" s="431"/>
    </row>
    <row r="16" spans="1:12" x14ac:dyDescent="0.25">
      <c r="A16" s="431"/>
      <c r="B16" s="432" t="s">
        <v>647</v>
      </c>
      <c r="L16" s="431"/>
    </row>
    <row r="17" spans="1:12" x14ac:dyDescent="0.25">
      <c r="A17" s="431"/>
      <c r="B17" s="432" t="s">
        <v>648</v>
      </c>
      <c r="L17" s="431"/>
    </row>
    <row r="18" spans="1:12" x14ac:dyDescent="0.25">
      <c r="A18" s="431"/>
      <c r="L18" s="431"/>
    </row>
    <row r="19" spans="1:12" x14ac:dyDescent="0.25">
      <c r="A19" s="431"/>
      <c r="B19" s="434" t="s">
        <v>860</v>
      </c>
      <c r="L19" s="431"/>
    </row>
    <row r="20" spans="1:12" x14ac:dyDescent="0.25">
      <c r="A20" s="431"/>
      <c r="B20" s="434"/>
      <c r="L20" s="431"/>
    </row>
    <row r="21" spans="1:12" x14ac:dyDescent="0.25">
      <c r="A21" s="431"/>
      <c r="B21" s="432" t="s">
        <v>861</v>
      </c>
      <c r="L21" s="431"/>
    </row>
    <row r="22" spans="1:12" x14ac:dyDescent="0.25">
      <c r="A22" s="431"/>
      <c r="L22" s="431"/>
    </row>
    <row r="23" spans="1:12" x14ac:dyDescent="0.25">
      <c r="A23" s="431"/>
      <c r="B23" s="432" t="s">
        <v>649</v>
      </c>
      <c r="E23" s="432" t="s">
        <v>650</v>
      </c>
      <c r="F23" s="1083">
        <v>312000000</v>
      </c>
      <c r="G23" s="1083"/>
      <c r="L23" s="431"/>
    </row>
    <row r="24" spans="1:12" x14ac:dyDescent="0.25">
      <c r="A24" s="431"/>
      <c r="L24" s="431"/>
    </row>
    <row r="25" spans="1:12" x14ac:dyDescent="0.25">
      <c r="A25" s="431"/>
      <c r="C25" s="1095">
        <f>F23</f>
        <v>312000000</v>
      </c>
      <c r="D25" s="1095"/>
      <c r="E25" s="432" t="s">
        <v>651</v>
      </c>
      <c r="F25" s="435">
        <v>1000</v>
      </c>
      <c r="G25" s="435" t="s">
        <v>650</v>
      </c>
      <c r="H25" s="568">
        <f>F23/F25</f>
        <v>312000</v>
      </c>
      <c r="L25" s="431"/>
    </row>
    <row r="26" spans="1:12" ht="14.4" thickBot="1" x14ac:dyDescent="0.3">
      <c r="A26" s="431"/>
      <c r="L26" s="431"/>
    </row>
    <row r="27" spans="1:12" x14ac:dyDescent="0.25">
      <c r="A27" s="431"/>
      <c r="B27" s="436" t="s">
        <v>646</v>
      </c>
      <c r="C27" s="437"/>
      <c r="D27" s="437"/>
      <c r="E27" s="437"/>
      <c r="F27" s="437"/>
      <c r="G27" s="437"/>
      <c r="H27" s="437"/>
      <c r="I27" s="437"/>
      <c r="J27" s="437"/>
      <c r="K27" s="438"/>
      <c r="L27" s="431"/>
    </row>
    <row r="28" spans="1:12" x14ac:dyDescent="0.25">
      <c r="A28" s="431"/>
      <c r="B28" s="439">
        <f>F23</f>
        <v>312000000</v>
      </c>
      <c r="C28" s="440" t="s">
        <v>652</v>
      </c>
      <c r="D28" s="440"/>
      <c r="E28" s="440" t="s">
        <v>651</v>
      </c>
      <c r="F28" s="571">
        <v>1000</v>
      </c>
      <c r="G28" s="571" t="s">
        <v>650</v>
      </c>
      <c r="H28" s="441">
        <f>B28/F28</f>
        <v>312000</v>
      </c>
      <c r="I28" s="440" t="s">
        <v>653</v>
      </c>
      <c r="J28" s="440"/>
      <c r="K28" s="442"/>
      <c r="L28" s="431"/>
    </row>
    <row r="29" spans="1:12" ht="14.4" thickBot="1" x14ac:dyDescent="0.3">
      <c r="A29" s="431"/>
      <c r="B29" s="443"/>
      <c r="C29" s="444"/>
      <c r="D29" s="444"/>
      <c r="E29" s="444"/>
      <c r="F29" s="444"/>
      <c r="G29" s="444"/>
      <c r="H29" s="444"/>
      <c r="I29" s="444"/>
      <c r="J29" s="444"/>
      <c r="K29" s="445"/>
      <c r="L29" s="431"/>
    </row>
    <row r="30" spans="1:12" ht="40.5" customHeight="1" x14ac:dyDescent="0.25">
      <c r="A30" s="431"/>
      <c r="B30" s="1088" t="s">
        <v>642</v>
      </c>
      <c r="C30" s="1088"/>
      <c r="D30" s="1088"/>
      <c r="E30" s="1088"/>
      <c r="F30" s="1088"/>
      <c r="G30" s="1088"/>
      <c r="H30" s="1088"/>
      <c r="I30" s="1088"/>
      <c r="J30" s="1088"/>
      <c r="K30" s="1088"/>
      <c r="L30" s="431"/>
    </row>
    <row r="31" spans="1:12" x14ac:dyDescent="0.25">
      <c r="A31" s="431"/>
      <c r="B31" s="1096" t="s">
        <v>654</v>
      </c>
      <c r="C31" s="1096"/>
      <c r="D31" s="1096"/>
      <c r="E31" s="1096"/>
      <c r="F31" s="1096"/>
      <c r="G31" s="1096"/>
      <c r="H31" s="1096"/>
      <c r="I31" s="1096"/>
      <c r="J31" s="1096"/>
      <c r="K31" s="1096"/>
      <c r="L31" s="431"/>
    </row>
    <row r="32" spans="1:12" x14ac:dyDescent="0.25">
      <c r="A32" s="431"/>
      <c r="L32" s="431"/>
    </row>
    <row r="33" spans="1:12" x14ac:dyDescent="0.25">
      <c r="A33" s="431"/>
      <c r="B33" s="1096" t="s">
        <v>655</v>
      </c>
      <c r="C33" s="1096"/>
      <c r="D33" s="1096"/>
      <c r="E33" s="1096"/>
      <c r="F33" s="1096"/>
      <c r="G33" s="1096"/>
      <c r="H33" s="1096"/>
      <c r="I33" s="1096"/>
      <c r="J33" s="1096"/>
      <c r="K33" s="1096"/>
      <c r="L33" s="431"/>
    </row>
    <row r="34" spans="1:12" x14ac:dyDescent="0.25">
      <c r="A34" s="431"/>
      <c r="L34" s="431"/>
    </row>
    <row r="35" spans="1:12" ht="89.25" customHeight="1" x14ac:dyDescent="0.25">
      <c r="A35" s="431"/>
      <c r="B35" s="1086" t="s">
        <v>656</v>
      </c>
      <c r="C35" s="1094"/>
      <c r="D35" s="1094"/>
      <c r="E35" s="1094"/>
      <c r="F35" s="1094"/>
      <c r="G35" s="1094"/>
      <c r="H35" s="1094"/>
      <c r="I35" s="1094"/>
      <c r="J35" s="1094"/>
      <c r="K35" s="1094"/>
      <c r="L35" s="431"/>
    </row>
    <row r="36" spans="1:12" x14ac:dyDescent="0.25">
      <c r="A36" s="431"/>
      <c r="L36" s="431"/>
    </row>
    <row r="37" spans="1:12" x14ac:dyDescent="0.25">
      <c r="A37" s="431"/>
      <c r="B37" s="434" t="s">
        <v>657</v>
      </c>
      <c r="L37" s="431"/>
    </row>
    <row r="38" spans="1:12" x14ac:dyDescent="0.25">
      <c r="A38" s="431"/>
      <c r="L38" s="431"/>
    </row>
    <row r="39" spans="1:12" x14ac:dyDescent="0.25">
      <c r="A39" s="431"/>
      <c r="B39" s="432" t="s">
        <v>658</v>
      </c>
      <c r="L39" s="431"/>
    </row>
    <row r="40" spans="1:12" x14ac:dyDescent="0.25">
      <c r="A40" s="431"/>
      <c r="L40" s="431"/>
    </row>
    <row r="41" spans="1:12" x14ac:dyDescent="0.25">
      <c r="A41" s="431"/>
      <c r="C41" s="1098">
        <v>312000000</v>
      </c>
      <c r="D41" s="1098"/>
      <c r="E41" s="432" t="s">
        <v>651</v>
      </c>
      <c r="F41" s="435">
        <v>1000</v>
      </c>
      <c r="G41" s="435" t="s">
        <v>650</v>
      </c>
      <c r="H41" s="446">
        <f>C41/F41</f>
        <v>312000</v>
      </c>
      <c r="L41" s="431"/>
    </row>
    <row r="42" spans="1:12" x14ac:dyDescent="0.25">
      <c r="A42" s="431"/>
      <c r="L42" s="431"/>
    </row>
    <row r="43" spans="1:12" x14ac:dyDescent="0.25">
      <c r="A43" s="431"/>
      <c r="B43" s="432" t="s">
        <v>659</v>
      </c>
      <c r="L43" s="431"/>
    </row>
    <row r="44" spans="1:12" x14ac:dyDescent="0.25">
      <c r="A44" s="431"/>
      <c r="L44" s="431"/>
    </row>
    <row r="45" spans="1:12" x14ac:dyDescent="0.25">
      <c r="A45" s="431"/>
      <c r="B45" s="432" t="s">
        <v>660</v>
      </c>
      <c r="L45" s="431"/>
    </row>
    <row r="46" spans="1:12" ht="14.4" thickBot="1" x14ac:dyDescent="0.3">
      <c r="A46" s="431"/>
      <c r="L46" s="431"/>
    </row>
    <row r="47" spans="1:12" x14ac:dyDescent="0.25">
      <c r="A47" s="431"/>
      <c r="B47" s="447" t="s">
        <v>646</v>
      </c>
      <c r="C47" s="437"/>
      <c r="D47" s="437"/>
      <c r="E47" s="437"/>
      <c r="F47" s="437"/>
      <c r="G47" s="437"/>
      <c r="H47" s="437"/>
      <c r="I47" s="437"/>
      <c r="J47" s="437"/>
      <c r="K47" s="438"/>
      <c r="L47" s="431"/>
    </row>
    <row r="48" spans="1:12" x14ac:dyDescent="0.25">
      <c r="A48" s="431"/>
      <c r="B48" s="1099">
        <v>312000000</v>
      </c>
      <c r="C48" s="1083"/>
      <c r="D48" s="440" t="s">
        <v>661</v>
      </c>
      <c r="E48" s="440" t="s">
        <v>651</v>
      </c>
      <c r="F48" s="571">
        <v>1000</v>
      </c>
      <c r="G48" s="571" t="s">
        <v>650</v>
      </c>
      <c r="H48" s="441">
        <f>B48/F48</f>
        <v>312000</v>
      </c>
      <c r="I48" s="440" t="s">
        <v>662</v>
      </c>
      <c r="J48" s="440"/>
      <c r="K48" s="442"/>
      <c r="L48" s="431"/>
    </row>
    <row r="49" spans="1:24" x14ac:dyDescent="0.25">
      <c r="A49" s="431"/>
      <c r="B49" s="448"/>
      <c r="C49" s="440"/>
      <c r="D49" s="440"/>
      <c r="E49" s="440"/>
      <c r="F49" s="440"/>
      <c r="G49" s="440"/>
      <c r="H49" s="440"/>
      <c r="I49" s="440"/>
      <c r="J49" s="440"/>
      <c r="K49" s="442"/>
      <c r="L49" s="431"/>
    </row>
    <row r="50" spans="1:24" x14ac:dyDescent="0.25">
      <c r="A50" s="431"/>
      <c r="B50" s="449">
        <v>50000</v>
      </c>
      <c r="C50" s="440" t="s">
        <v>663</v>
      </c>
      <c r="D50" s="440"/>
      <c r="E50" s="440" t="s">
        <v>651</v>
      </c>
      <c r="F50" s="441">
        <f>H48</f>
        <v>312000</v>
      </c>
      <c r="G50" s="1100" t="s">
        <v>664</v>
      </c>
      <c r="H50" s="1101"/>
      <c r="I50" s="571" t="s">
        <v>650</v>
      </c>
      <c r="J50" s="450">
        <f>B50/F50</f>
        <v>0.16025641025641027</v>
      </c>
      <c r="K50" s="442"/>
      <c r="L50" s="431"/>
    </row>
    <row r="51" spans="1:24" ht="14.4" thickBot="1" x14ac:dyDescent="0.3">
      <c r="A51" s="431"/>
      <c r="B51" s="443"/>
      <c r="C51" s="444"/>
      <c r="D51" s="444"/>
      <c r="E51" s="444"/>
      <c r="F51" s="444"/>
      <c r="G51" s="444"/>
      <c r="H51" s="444"/>
      <c r="I51" s="1102" t="s">
        <v>665</v>
      </c>
      <c r="J51" s="1102"/>
      <c r="K51" s="1103"/>
      <c r="L51" s="431"/>
      <c r="O51" s="547"/>
    </row>
    <row r="52" spans="1:24" ht="40.5" customHeight="1" x14ac:dyDescent="0.25">
      <c r="A52" s="431"/>
      <c r="B52" s="1088" t="s">
        <v>642</v>
      </c>
      <c r="C52" s="1088"/>
      <c r="D52" s="1088"/>
      <c r="E52" s="1088"/>
      <c r="F52" s="1088"/>
      <c r="G52" s="1088"/>
      <c r="H52" s="1088"/>
      <c r="I52" s="1088"/>
      <c r="J52" s="1088"/>
      <c r="K52" s="1088"/>
      <c r="L52" s="431"/>
    </row>
    <row r="53" spans="1:24" x14ac:dyDescent="0.25">
      <c r="A53" s="431"/>
      <c r="B53" s="1096" t="s">
        <v>666</v>
      </c>
      <c r="C53" s="1096"/>
      <c r="D53" s="1096"/>
      <c r="E53" s="1096"/>
      <c r="F53" s="1096"/>
      <c r="G53" s="1096"/>
      <c r="H53" s="1096"/>
      <c r="I53" s="1096"/>
      <c r="J53" s="1096"/>
      <c r="K53" s="1096"/>
      <c r="L53" s="431"/>
    </row>
    <row r="54" spans="1:24" x14ac:dyDescent="0.25">
      <c r="A54" s="431"/>
      <c r="B54" s="567"/>
      <c r="C54" s="567"/>
      <c r="D54" s="567"/>
      <c r="E54" s="567"/>
      <c r="F54" s="567"/>
      <c r="G54" s="567"/>
      <c r="H54" s="567"/>
      <c r="I54" s="567"/>
      <c r="J54" s="567"/>
      <c r="K54" s="567"/>
      <c r="L54" s="431"/>
    </row>
    <row r="55" spans="1:24" x14ac:dyDescent="0.25">
      <c r="A55" s="431"/>
      <c r="B55" s="1097" t="s">
        <v>667</v>
      </c>
      <c r="C55" s="1097"/>
      <c r="D55" s="1097"/>
      <c r="E55" s="1097"/>
      <c r="F55" s="1097"/>
      <c r="G55" s="1097"/>
      <c r="H55" s="1097"/>
      <c r="I55" s="1097"/>
      <c r="J55" s="1097"/>
      <c r="K55" s="1097"/>
      <c r="L55" s="431"/>
    </row>
    <row r="56" spans="1:24" ht="15" customHeight="1" x14ac:dyDescent="0.25">
      <c r="A56" s="431"/>
      <c r="L56" s="431"/>
    </row>
    <row r="57" spans="1:24" ht="74.25" customHeight="1" x14ac:dyDescent="0.25">
      <c r="A57" s="431"/>
      <c r="B57" s="1086" t="s">
        <v>668</v>
      </c>
      <c r="C57" s="1094"/>
      <c r="D57" s="1094"/>
      <c r="E57" s="1094"/>
      <c r="F57" s="1094"/>
      <c r="G57" s="1094"/>
      <c r="H57" s="1094"/>
      <c r="I57" s="1094"/>
      <c r="J57" s="1094"/>
      <c r="K57" s="1094"/>
      <c r="L57" s="431"/>
      <c r="M57" s="451"/>
      <c r="N57" s="452"/>
      <c r="O57" s="452"/>
      <c r="P57" s="452"/>
      <c r="Q57" s="452"/>
      <c r="R57" s="452"/>
      <c r="S57" s="452"/>
      <c r="T57" s="452"/>
      <c r="U57" s="452"/>
      <c r="V57" s="452"/>
      <c r="W57" s="452"/>
      <c r="X57" s="452"/>
    </row>
    <row r="58" spans="1:24" ht="15" customHeight="1" x14ac:dyDescent="0.25">
      <c r="A58" s="431"/>
      <c r="B58" s="1086"/>
      <c r="C58" s="1094"/>
      <c r="D58" s="1094"/>
      <c r="E58" s="1094"/>
      <c r="F58" s="1094"/>
      <c r="G58" s="1094"/>
      <c r="H58" s="1094"/>
      <c r="I58" s="1094"/>
      <c r="J58" s="1094"/>
      <c r="K58" s="1094"/>
      <c r="L58" s="431"/>
      <c r="M58" s="451"/>
      <c r="N58" s="452"/>
      <c r="O58" s="452"/>
      <c r="P58" s="452"/>
      <c r="Q58" s="452"/>
      <c r="R58" s="452"/>
      <c r="S58" s="452"/>
      <c r="T58" s="452"/>
      <c r="U58" s="452"/>
      <c r="V58" s="452"/>
      <c r="W58" s="452"/>
      <c r="X58" s="452"/>
    </row>
    <row r="59" spans="1:24" x14ac:dyDescent="0.25">
      <c r="A59" s="431"/>
      <c r="B59" s="434" t="s">
        <v>657</v>
      </c>
      <c r="L59" s="431"/>
      <c r="M59" s="452"/>
      <c r="N59" s="452"/>
      <c r="O59" s="452"/>
      <c r="P59" s="452"/>
      <c r="Q59" s="452"/>
      <c r="R59" s="452"/>
      <c r="S59" s="452"/>
      <c r="T59" s="452"/>
      <c r="U59" s="452"/>
      <c r="V59" s="452"/>
      <c r="W59" s="452"/>
      <c r="X59" s="452"/>
    </row>
    <row r="60" spans="1:24" x14ac:dyDescent="0.25">
      <c r="A60" s="431"/>
      <c r="L60" s="431"/>
      <c r="M60" s="452"/>
      <c r="N60" s="452"/>
      <c r="O60" s="452"/>
      <c r="P60" s="452"/>
      <c r="Q60" s="452"/>
      <c r="R60" s="452"/>
      <c r="S60" s="452"/>
      <c r="T60" s="452"/>
      <c r="U60" s="452"/>
      <c r="V60" s="452"/>
      <c r="W60" s="452"/>
      <c r="X60" s="452"/>
    </row>
    <row r="61" spans="1:24" x14ac:dyDescent="0.25">
      <c r="A61" s="431"/>
      <c r="B61" s="432" t="s">
        <v>669</v>
      </c>
      <c r="L61" s="431"/>
      <c r="M61" s="452"/>
      <c r="N61" s="452"/>
      <c r="O61" s="452"/>
      <c r="P61" s="452"/>
      <c r="Q61" s="452"/>
      <c r="R61" s="452"/>
      <c r="S61" s="452"/>
      <c r="T61" s="452"/>
      <c r="U61" s="452"/>
      <c r="V61" s="452"/>
      <c r="W61" s="452"/>
      <c r="X61" s="452"/>
    </row>
    <row r="62" spans="1:24" x14ac:dyDescent="0.25">
      <c r="A62" s="431"/>
      <c r="B62" s="432" t="s">
        <v>862</v>
      </c>
      <c r="L62" s="431"/>
      <c r="M62" s="452"/>
      <c r="N62" s="452"/>
      <c r="O62" s="452"/>
      <c r="P62" s="452"/>
      <c r="Q62" s="452"/>
      <c r="R62" s="452"/>
      <c r="S62" s="452"/>
      <c r="T62" s="452"/>
      <c r="U62" s="452"/>
      <c r="V62" s="452"/>
      <c r="W62" s="452"/>
      <c r="X62" s="452"/>
    </row>
    <row r="63" spans="1:24" x14ac:dyDescent="0.25">
      <c r="A63" s="431"/>
      <c r="B63" s="432" t="s">
        <v>863</v>
      </c>
      <c r="L63" s="431"/>
      <c r="M63" s="452"/>
      <c r="N63" s="452"/>
      <c r="O63" s="452"/>
      <c r="P63" s="452"/>
      <c r="Q63" s="452"/>
      <c r="R63" s="452"/>
      <c r="S63" s="452"/>
      <c r="T63" s="452"/>
      <c r="U63" s="452"/>
      <c r="V63" s="452"/>
      <c r="W63" s="452"/>
      <c r="X63" s="452"/>
    </row>
    <row r="64" spans="1:24" x14ac:dyDescent="0.25">
      <c r="A64" s="431"/>
      <c r="L64" s="431"/>
      <c r="M64" s="452"/>
      <c r="N64" s="452"/>
      <c r="O64" s="452"/>
      <c r="P64" s="452"/>
      <c r="Q64" s="452"/>
      <c r="R64" s="452"/>
      <c r="S64" s="452"/>
      <c r="T64" s="452"/>
      <c r="U64" s="452"/>
      <c r="V64" s="452"/>
      <c r="W64" s="452"/>
      <c r="X64" s="452"/>
    </row>
    <row r="65" spans="1:24" x14ac:dyDescent="0.25">
      <c r="A65" s="431"/>
      <c r="B65" s="432" t="s">
        <v>670</v>
      </c>
      <c r="L65" s="431"/>
      <c r="M65" s="452"/>
      <c r="N65" s="452"/>
      <c r="O65" s="452"/>
      <c r="P65" s="452"/>
      <c r="Q65" s="452"/>
      <c r="R65" s="452"/>
      <c r="S65" s="452"/>
      <c r="T65" s="452"/>
      <c r="U65" s="452"/>
      <c r="V65" s="452"/>
      <c r="W65" s="452"/>
      <c r="X65" s="452"/>
    </row>
    <row r="66" spans="1:24" x14ac:dyDescent="0.25">
      <c r="A66" s="431"/>
      <c r="B66" s="432" t="s">
        <v>671</v>
      </c>
      <c r="L66" s="431"/>
      <c r="M66" s="452"/>
      <c r="N66" s="452"/>
      <c r="O66" s="452"/>
      <c r="P66" s="452"/>
      <c r="Q66" s="452"/>
      <c r="R66" s="452"/>
      <c r="S66" s="452"/>
      <c r="T66" s="452"/>
      <c r="U66" s="452"/>
      <c r="V66" s="452"/>
      <c r="W66" s="452"/>
      <c r="X66" s="452"/>
    </row>
    <row r="67" spans="1:24" x14ac:dyDescent="0.25">
      <c r="A67" s="431"/>
      <c r="L67" s="431"/>
      <c r="M67" s="452"/>
      <c r="N67" s="452"/>
      <c r="O67" s="452"/>
      <c r="P67" s="452"/>
      <c r="Q67" s="452"/>
      <c r="R67" s="452"/>
      <c r="S67" s="452"/>
      <c r="T67" s="452"/>
      <c r="U67" s="452"/>
      <c r="V67" s="452"/>
      <c r="W67" s="452"/>
      <c r="X67" s="452"/>
    </row>
    <row r="68" spans="1:24" x14ac:dyDescent="0.25">
      <c r="A68" s="431"/>
      <c r="B68" s="432" t="s">
        <v>672</v>
      </c>
      <c r="L68" s="431"/>
      <c r="M68" s="453"/>
      <c r="N68" s="454"/>
      <c r="O68" s="454"/>
      <c r="P68" s="454"/>
      <c r="Q68" s="454"/>
      <c r="R68" s="454"/>
      <c r="S68" s="454"/>
      <c r="T68" s="454"/>
      <c r="U68" s="454"/>
      <c r="V68" s="454"/>
      <c r="W68" s="454"/>
      <c r="X68" s="452"/>
    </row>
    <row r="69" spans="1:24" x14ac:dyDescent="0.25">
      <c r="A69" s="431"/>
      <c r="B69" s="432" t="s">
        <v>864</v>
      </c>
      <c r="L69" s="431"/>
      <c r="M69" s="452"/>
      <c r="N69" s="452"/>
      <c r="O69" s="452"/>
      <c r="P69" s="452"/>
      <c r="Q69" s="452"/>
      <c r="R69" s="452"/>
      <c r="S69" s="452"/>
      <c r="T69" s="452"/>
      <c r="U69" s="452"/>
      <c r="V69" s="452"/>
      <c r="W69" s="452"/>
      <c r="X69" s="452"/>
    </row>
    <row r="70" spans="1:24" x14ac:dyDescent="0.25">
      <c r="A70" s="431"/>
      <c r="B70" s="432" t="s">
        <v>865</v>
      </c>
      <c r="L70" s="431"/>
      <c r="M70" s="452"/>
      <c r="N70" s="452"/>
      <c r="O70" s="452"/>
      <c r="P70" s="452"/>
      <c r="Q70" s="452"/>
      <c r="R70" s="452"/>
      <c r="S70" s="452"/>
      <c r="T70" s="452"/>
      <c r="U70" s="452"/>
      <c r="V70" s="452"/>
      <c r="W70" s="452"/>
      <c r="X70" s="452"/>
    </row>
    <row r="71" spans="1:24" ht="14.4" thickBot="1" x14ac:dyDescent="0.3">
      <c r="A71" s="431"/>
      <c r="B71" s="440"/>
      <c r="C71" s="440"/>
      <c r="D71" s="440"/>
      <c r="E71" s="440"/>
      <c r="F71" s="440"/>
      <c r="G71" s="440"/>
      <c r="H71" s="440"/>
      <c r="I71" s="440"/>
      <c r="J71" s="440"/>
      <c r="K71" s="440"/>
      <c r="L71" s="431"/>
    </row>
    <row r="72" spans="1:24" x14ac:dyDescent="0.25">
      <c r="A72" s="431"/>
      <c r="B72" s="436" t="s">
        <v>646</v>
      </c>
      <c r="C72" s="437"/>
      <c r="D72" s="437"/>
      <c r="E72" s="437"/>
      <c r="F72" s="437"/>
      <c r="G72" s="437"/>
      <c r="H72" s="437"/>
      <c r="I72" s="437"/>
      <c r="J72" s="437"/>
      <c r="K72" s="438"/>
      <c r="L72" s="455"/>
    </row>
    <row r="73" spans="1:24" x14ac:dyDescent="0.25">
      <c r="A73" s="431"/>
      <c r="B73" s="448"/>
      <c r="C73" s="440" t="s">
        <v>652</v>
      </c>
      <c r="D73" s="440"/>
      <c r="E73" s="440"/>
      <c r="F73" s="440"/>
      <c r="G73" s="440"/>
      <c r="H73" s="440"/>
      <c r="I73" s="440"/>
      <c r="J73" s="440"/>
      <c r="K73" s="442"/>
      <c r="L73" s="455"/>
    </row>
    <row r="74" spans="1:24" x14ac:dyDescent="0.25">
      <c r="A74" s="431"/>
      <c r="B74" s="448" t="s">
        <v>673</v>
      </c>
      <c r="C74" s="1083">
        <v>312000000</v>
      </c>
      <c r="D74" s="1083"/>
      <c r="E74" s="571" t="s">
        <v>651</v>
      </c>
      <c r="F74" s="571">
        <v>1000</v>
      </c>
      <c r="G74" s="571" t="s">
        <v>650</v>
      </c>
      <c r="H74" s="564">
        <f>C74/F74</f>
        <v>312000</v>
      </c>
      <c r="I74" s="440" t="s">
        <v>674</v>
      </c>
      <c r="J74" s="440"/>
      <c r="K74" s="442"/>
      <c r="L74" s="455"/>
    </row>
    <row r="75" spans="1:24" x14ac:dyDescent="0.25">
      <c r="A75" s="431"/>
      <c r="B75" s="448"/>
      <c r="C75" s="440"/>
      <c r="D75" s="440"/>
      <c r="E75" s="571"/>
      <c r="F75" s="440"/>
      <c r="G75" s="440"/>
      <c r="H75" s="440"/>
      <c r="I75" s="440"/>
      <c r="J75" s="440"/>
      <c r="K75" s="442"/>
      <c r="L75" s="455"/>
    </row>
    <row r="76" spans="1:24" x14ac:dyDescent="0.25">
      <c r="A76" s="431"/>
      <c r="B76" s="448"/>
      <c r="C76" s="440" t="s">
        <v>675</v>
      </c>
      <c r="D76" s="440"/>
      <c r="E76" s="571"/>
      <c r="F76" s="440" t="s">
        <v>674</v>
      </c>
      <c r="G76" s="440"/>
      <c r="H76" s="440"/>
      <c r="I76" s="440"/>
      <c r="J76" s="440"/>
      <c r="K76" s="442"/>
      <c r="L76" s="455"/>
    </row>
    <row r="77" spans="1:24" x14ac:dyDescent="0.25">
      <c r="A77" s="431"/>
      <c r="B77" s="448" t="s">
        <v>678</v>
      </c>
      <c r="C77" s="1083">
        <v>50000</v>
      </c>
      <c r="D77" s="1083"/>
      <c r="E77" s="571" t="s">
        <v>651</v>
      </c>
      <c r="F77" s="564">
        <f>H74</f>
        <v>312000</v>
      </c>
      <c r="G77" s="571" t="s">
        <v>650</v>
      </c>
      <c r="H77" s="450">
        <f>C77/F77</f>
        <v>0.16025641025641027</v>
      </c>
      <c r="I77" s="440" t="s">
        <v>676</v>
      </c>
      <c r="J77" s="440"/>
      <c r="K77" s="442"/>
      <c r="L77" s="455"/>
    </row>
    <row r="78" spans="1:24" x14ac:dyDescent="0.25">
      <c r="A78" s="431"/>
      <c r="B78" s="448"/>
      <c r="C78" s="440"/>
      <c r="D78" s="440"/>
      <c r="E78" s="571"/>
      <c r="F78" s="440"/>
      <c r="G78" s="440"/>
      <c r="H78" s="440"/>
      <c r="I78" s="440"/>
      <c r="J78" s="440"/>
      <c r="K78" s="442"/>
      <c r="L78" s="455"/>
    </row>
    <row r="79" spans="1:24" x14ac:dyDescent="0.25">
      <c r="A79" s="431"/>
      <c r="B79" s="456"/>
      <c r="C79" s="457" t="s">
        <v>677</v>
      </c>
      <c r="D79" s="457"/>
      <c r="E79" s="565"/>
      <c r="F79" s="457"/>
      <c r="G79" s="457"/>
      <c r="H79" s="457"/>
      <c r="I79" s="457"/>
      <c r="J79" s="457"/>
      <c r="K79" s="458"/>
      <c r="L79" s="455"/>
    </row>
    <row r="80" spans="1:24" x14ac:dyDescent="0.25">
      <c r="A80" s="431"/>
      <c r="B80" s="448" t="s">
        <v>772</v>
      </c>
      <c r="C80" s="1083">
        <v>100000</v>
      </c>
      <c r="D80" s="1083"/>
      <c r="E80" s="571" t="s">
        <v>93</v>
      </c>
      <c r="F80" s="571">
        <v>0.115</v>
      </c>
      <c r="G80" s="571" t="s">
        <v>650</v>
      </c>
      <c r="H80" s="564">
        <f>C80*F80</f>
        <v>11500</v>
      </c>
      <c r="I80" s="440" t="s">
        <v>679</v>
      </c>
      <c r="J80" s="440"/>
      <c r="K80" s="442"/>
      <c r="L80" s="455"/>
    </row>
    <row r="81" spans="1:12" x14ac:dyDescent="0.25">
      <c r="A81" s="431"/>
      <c r="B81" s="448"/>
      <c r="C81" s="440"/>
      <c r="D81" s="440"/>
      <c r="E81" s="571"/>
      <c r="F81" s="440"/>
      <c r="G81" s="440"/>
      <c r="H81" s="440"/>
      <c r="I81" s="440"/>
      <c r="J81" s="440"/>
      <c r="K81" s="442"/>
      <c r="L81" s="455"/>
    </row>
    <row r="82" spans="1:12" x14ac:dyDescent="0.25">
      <c r="A82" s="431"/>
      <c r="B82" s="456"/>
      <c r="C82" s="457" t="s">
        <v>680</v>
      </c>
      <c r="D82" s="457"/>
      <c r="E82" s="565"/>
      <c r="F82" s="457" t="s">
        <v>676</v>
      </c>
      <c r="G82" s="457"/>
      <c r="H82" s="457"/>
      <c r="I82" s="457"/>
      <c r="J82" s="457" t="s">
        <v>681</v>
      </c>
      <c r="K82" s="458"/>
      <c r="L82" s="455"/>
    </row>
    <row r="83" spans="1:12" x14ac:dyDescent="0.25">
      <c r="A83" s="431"/>
      <c r="B83" s="448" t="s">
        <v>773</v>
      </c>
      <c r="C83" s="1087">
        <f>H80</f>
        <v>11500</v>
      </c>
      <c r="D83" s="1087"/>
      <c r="E83" s="571" t="s">
        <v>93</v>
      </c>
      <c r="F83" s="450">
        <f>H77</f>
        <v>0.16025641025641027</v>
      </c>
      <c r="G83" s="571" t="s">
        <v>651</v>
      </c>
      <c r="H83" s="571">
        <v>1000</v>
      </c>
      <c r="I83" s="571" t="s">
        <v>650</v>
      </c>
      <c r="J83" s="572">
        <f>C83*F83/H83</f>
        <v>1.8429487179487181</v>
      </c>
      <c r="K83" s="442"/>
      <c r="L83" s="455"/>
    </row>
    <row r="84" spans="1:12" ht="14.4" thickBot="1" x14ac:dyDescent="0.3">
      <c r="A84" s="431"/>
      <c r="B84" s="443"/>
      <c r="C84" s="459"/>
      <c r="D84" s="459"/>
      <c r="E84" s="460"/>
      <c r="F84" s="461"/>
      <c r="G84" s="460"/>
      <c r="H84" s="460"/>
      <c r="I84" s="460"/>
      <c r="J84" s="462"/>
      <c r="K84" s="445"/>
      <c r="L84" s="455"/>
    </row>
    <row r="85" spans="1:12" ht="40.5" customHeight="1" x14ac:dyDescent="0.25">
      <c r="A85" s="431"/>
      <c r="B85" s="1088" t="s">
        <v>642</v>
      </c>
      <c r="C85" s="1088"/>
      <c r="D85" s="1088"/>
      <c r="E85" s="1088"/>
      <c r="F85" s="1088"/>
      <c r="G85" s="1088"/>
      <c r="H85" s="1088"/>
      <c r="I85" s="1088"/>
      <c r="J85" s="1088"/>
      <c r="K85" s="1088"/>
      <c r="L85" s="431"/>
    </row>
    <row r="86" spans="1:12" x14ac:dyDescent="0.25">
      <c r="A86" s="431"/>
      <c r="B86" s="1097" t="s">
        <v>682</v>
      </c>
      <c r="C86" s="1097"/>
      <c r="D86" s="1097"/>
      <c r="E86" s="1097"/>
      <c r="F86" s="1097"/>
      <c r="G86" s="1097"/>
      <c r="H86" s="1097"/>
      <c r="I86" s="1097"/>
      <c r="J86" s="1097"/>
      <c r="K86" s="1097"/>
      <c r="L86" s="431"/>
    </row>
    <row r="87" spans="1:12" x14ac:dyDescent="0.25">
      <c r="A87" s="431"/>
      <c r="B87" s="463"/>
      <c r="C87" s="463"/>
      <c r="D87" s="463"/>
      <c r="E87" s="463"/>
      <c r="F87" s="463"/>
      <c r="G87" s="463"/>
      <c r="H87" s="463"/>
      <c r="I87" s="463"/>
      <c r="J87" s="463"/>
      <c r="K87" s="463"/>
      <c r="L87" s="431"/>
    </row>
    <row r="88" spans="1:12" x14ac:dyDescent="0.25">
      <c r="A88" s="431"/>
      <c r="B88" s="1097" t="s">
        <v>683</v>
      </c>
      <c r="C88" s="1097"/>
      <c r="D88" s="1097"/>
      <c r="E88" s="1097"/>
      <c r="F88" s="1097"/>
      <c r="G88" s="1097"/>
      <c r="H88" s="1097"/>
      <c r="I88" s="1097"/>
      <c r="J88" s="1097"/>
      <c r="K88" s="1097"/>
      <c r="L88" s="431"/>
    </row>
    <row r="89" spans="1:12" x14ac:dyDescent="0.25">
      <c r="A89" s="431"/>
      <c r="B89" s="566"/>
      <c r="C89" s="566"/>
      <c r="D89" s="566"/>
      <c r="E89" s="566"/>
      <c r="F89" s="566"/>
      <c r="G89" s="566"/>
      <c r="H89" s="566"/>
      <c r="I89" s="566"/>
      <c r="J89" s="566"/>
      <c r="K89" s="566"/>
      <c r="L89" s="431"/>
    </row>
    <row r="90" spans="1:12" ht="45" customHeight="1" x14ac:dyDescent="0.25">
      <c r="A90" s="431"/>
      <c r="B90" s="1086" t="s">
        <v>684</v>
      </c>
      <c r="C90" s="1086"/>
      <c r="D90" s="1086"/>
      <c r="E90" s="1086"/>
      <c r="F90" s="1086"/>
      <c r="G90" s="1086"/>
      <c r="H90" s="1086"/>
      <c r="I90" s="1086"/>
      <c r="J90" s="1086"/>
      <c r="K90" s="1086"/>
      <c r="L90" s="431"/>
    </row>
    <row r="91" spans="1:12" ht="15" customHeight="1" thickBot="1" x14ac:dyDescent="0.3">
      <c r="A91" s="431"/>
      <c r="L91" s="431"/>
    </row>
    <row r="92" spans="1:12" ht="15" customHeight="1" x14ac:dyDescent="0.25">
      <c r="A92" s="431"/>
      <c r="B92" s="464" t="s">
        <v>646</v>
      </c>
      <c r="C92" s="465"/>
      <c r="D92" s="465"/>
      <c r="E92" s="465"/>
      <c r="F92" s="465"/>
      <c r="G92" s="465"/>
      <c r="H92" s="465"/>
      <c r="I92" s="465"/>
      <c r="J92" s="465"/>
      <c r="K92" s="466"/>
      <c r="L92" s="431"/>
    </row>
    <row r="93" spans="1:12" ht="15" customHeight="1" x14ac:dyDescent="0.25">
      <c r="A93" s="431"/>
      <c r="B93" s="467"/>
      <c r="C93" s="569" t="s">
        <v>652</v>
      </c>
      <c r="D93" s="569"/>
      <c r="E93" s="569"/>
      <c r="F93" s="569"/>
      <c r="G93" s="569"/>
      <c r="H93" s="569"/>
      <c r="I93" s="569"/>
      <c r="J93" s="569"/>
      <c r="K93" s="468"/>
      <c r="L93" s="431"/>
    </row>
    <row r="94" spans="1:12" ht="15" customHeight="1" x14ac:dyDescent="0.25">
      <c r="A94" s="431"/>
      <c r="B94" s="467" t="s">
        <v>673</v>
      </c>
      <c r="C94" s="1083">
        <v>312000000</v>
      </c>
      <c r="D94" s="1083"/>
      <c r="E94" s="571" t="s">
        <v>651</v>
      </c>
      <c r="F94" s="571">
        <v>1000</v>
      </c>
      <c r="G94" s="571" t="s">
        <v>650</v>
      </c>
      <c r="H94" s="564">
        <f>C94/F94</f>
        <v>312000</v>
      </c>
      <c r="I94" s="569" t="s">
        <v>674</v>
      </c>
      <c r="J94" s="569"/>
      <c r="K94" s="468"/>
      <c r="L94" s="431"/>
    </row>
    <row r="95" spans="1:12" ht="15" customHeight="1" x14ac:dyDescent="0.25">
      <c r="A95" s="431"/>
      <c r="B95" s="467"/>
      <c r="C95" s="569"/>
      <c r="D95" s="569"/>
      <c r="E95" s="571"/>
      <c r="F95" s="569"/>
      <c r="G95" s="569"/>
      <c r="H95" s="569"/>
      <c r="I95" s="569"/>
      <c r="J95" s="569"/>
      <c r="K95" s="468"/>
      <c r="L95" s="431"/>
    </row>
    <row r="96" spans="1:12" ht="15" customHeight="1" x14ac:dyDescent="0.25">
      <c r="A96" s="431"/>
      <c r="B96" s="467"/>
      <c r="C96" s="569" t="s">
        <v>675</v>
      </c>
      <c r="D96" s="569"/>
      <c r="E96" s="571"/>
      <c r="F96" s="569" t="s">
        <v>674</v>
      </c>
      <c r="G96" s="569"/>
      <c r="H96" s="569"/>
      <c r="I96" s="569"/>
      <c r="J96" s="569"/>
      <c r="K96" s="468"/>
      <c r="L96" s="431"/>
    </row>
    <row r="97" spans="1:12" ht="15" customHeight="1" x14ac:dyDescent="0.25">
      <c r="A97" s="431"/>
      <c r="B97" s="467" t="s">
        <v>678</v>
      </c>
      <c r="C97" s="1083">
        <v>50000</v>
      </c>
      <c r="D97" s="1083"/>
      <c r="E97" s="571" t="s">
        <v>651</v>
      </c>
      <c r="F97" s="564">
        <f>H94</f>
        <v>312000</v>
      </c>
      <c r="G97" s="571" t="s">
        <v>650</v>
      </c>
      <c r="H97" s="450">
        <f>C97/F97</f>
        <v>0.16025641025641027</v>
      </c>
      <c r="I97" s="569" t="s">
        <v>676</v>
      </c>
      <c r="J97" s="569"/>
      <c r="K97" s="468"/>
      <c r="L97" s="431"/>
    </row>
    <row r="98" spans="1:12" ht="15" customHeight="1" x14ac:dyDescent="0.25">
      <c r="A98" s="431"/>
      <c r="B98" s="467"/>
      <c r="C98" s="569"/>
      <c r="D98" s="569"/>
      <c r="E98" s="571"/>
      <c r="F98" s="569"/>
      <c r="G98" s="569"/>
      <c r="H98" s="569"/>
      <c r="I98" s="569"/>
      <c r="J98" s="569"/>
      <c r="K98" s="468"/>
      <c r="L98" s="431"/>
    </row>
    <row r="99" spans="1:12" ht="15" customHeight="1" x14ac:dyDescent="0.25">
      <c r="A99" s="431"/>
      <c r="B99" s="469"/>
      <c r="C99" s="470" t="s">
        <v>685</v>
      </c>
      <c r="D99" s="470"/>
      <c r="E99" s="565"/>
      <c r="F99" s="470"/>
      <c r="G99" s="470"/>
      <c r="H99" s="470"/>
      <c r="I99" s="470"/>
      <c r="J99" s="470"/>
      <c r="K99" s="471"/>
      <c r="L99" s="431"/>
    </row>
    <row r="100" spans="1:12" ht="15" customHeight="1" x14ac:dyDescent="0.25">
      <c r="A100" s="431"/>
      <c r="B100" s="467" t="s">
        <v>772</v>
      </c>
      <c r="C100" s="1083">
        <v>2500000</v>
      </c>
      <c r="D100" s="1083"/>
      <c r="E100" s="571" t="s">
        <v>93</v>
      </c>
      <c r="F100" s="472">
        <v>0.3</v>
      </c>
      <c r="G100" s="571" t="s">
        <v>650</v>
      </c>
      <c r="H100" s="564">
        <f>C100*F100</f>
        <v>750000</v>
      </c>
      <c r="I100" s="569" t="s">
        <v>679</v>
      </c>
      <c r="J100" s="569"/>
      <c r="K100" s="468"/>
      <c r="L100" s="431"/>
    </row>
    <row r="101" spans="1:12" ht="15" customHeight="1" x14ac:dyDescent="0.25">
      <c r="A101" s="431"/>
      <c r="B101" s="467"/>
      <c r="C101" s="569"/>
      <c r="D101" s="569"/>
      <c r="E101" s="571"/>
      <c r="F101" s="569"/>
      <c r="G101" s="569"/>
      <c r="H101" s="569"/>
      <c r="I101" s="569"/>
      <c r="J101" s="569"/>
      <c r="K101" s="468"/>
      <c r="L101" s="431"/>
    </row>
    <row r="102" spans="1:12" ht="15" customHeight="1" x14ac:dyDescent="0.25">
      <c r="A102" s="431"/>
      <c r="B102" s="469"/>
      <c r="C102" s="470" t="s">
        <v>680</v>
      </c>
      <c r="D102" s="470"/>
      <c r="E102" s="565"/>
      <c r="F102" s="470" t="s">
        <v>676</v>
      </c>
      <c r="G102" s="470"/>
      <c r="H102" s="470"/>
      <c r="I102" s="470"/>
      <c r="J102" s="470" t="s">
        <v>681</v>
      </c>
      <c r="K102" s="471"/>
      <c r="L102" s="431"/>
    </row>
    <row r="103" spans="1:12" ht="15" customHeight="1" x14ac:dyDescent="0.25">
      <c r="A103" s="431"/>
      <c r="B103" s="467" t="s">
        <v>773</v>
      </c>
      <c r="C103" s="1087">
        <f>H100</f>
        <v>750000</v>
      </c>
      <c r="D103" s="1087"/>
      <c r="E103" s="571" t="s">
        <v>93</v>
      </c>
      <c r="F103" s="450">
        <f>H97</f>
        <v>0.16025641025641027</v>
      </c>
      <c r="G103" s="571" t="s">
        <v>651</v>
      </c>
      <c r="H103" s="571">
        <v>1000</v>
      </c>
      <c r="I103" s="571" t="s">
        <v>650</v>
      </c>
      <c r="J103" s="572">
        <f>C103*F103/H103</f>
        <v>120.19230769230771</v>
      </c>
      <c r="K103" s="468"/>
      <c r="L103" s="431"/>
    </row>
    <row r="104" spans="1:12" ht="15" customHeight="1" thickBot="1" x14ac:dyDescent="0.3">
      <c r="A104" s="431"/>
      <c r="B104" s="473"/>
      <c r="C104" s="459"/>
      <c r="D104" s="459"/>
      <c r="E104" s="460"/>
      <c r="F104" s="461"/>
      <c r="G104" s="460"/>
      <c r="H104" s="460"/>
      <c r="I104" s="460"/>
      <c r="J104" s="462"/>
      <c r="K104" s="570"/>
      <c r="L104" s="431"/>
    </row>
    <row r="105" spans="1:12" ht="40.5" customHeight="1" x14ac:dyDescent="0.25">
      <c r="A105" s="431"/>
      <c r="B105" s="1088" t="s">
        <v>642</v>
      </c>
      <c r="C105" s="1089"/>
      <c r="D105" s="1089"/>
      <c r="E105" s="1089"/>
      <c r="F105" s="1089"/>
      <c r="G105" s="1089"/>
      <c r="H105" s="1089"/>
      <c r="I105" s="1089"/>
      <c r="J105" s="1089"/>
      <c r="K105" s="1089"/>
      <c r="L105" s="431"/>
    </row>
    <row r="106" spans="1:12" ht="15" customHeight="1" x14ac:dyDescent="0.25">
      <c r="A106" s="431"/>
      <c r="B106" s="1090" t="s">
        <v>686</v>
      </c>
      <c r="C106" s="1091"/>
      <c r="D106" s="1091"/>
      <c r="E106" s="1091"/>
      <c r="F106" s="1091"/>
      <c r="G106" s="1091"/>
      <c r="H106" s="1091"/>
      <c r="I106" s="1091"/>
      <c r="J106" s="1091"/>
      <c r="K106" s="1091"/>
      <c r="L106" s="431"/>
    </row>
    <row r="107" spans="1:12" ht="15" customHeight="1" x14ac:dyDescent="0.25">
      <c r="A107" s="431"/>
      <c r="B107" s="569"/>
      <c r="C107" s="474"/>
      <c r="D107" s="474"/>
      <c r="E107" s="571"/>
      <c r="F107" s="450"/>
      <c r="G107" s="571"/>
      <c r="H107" s="571"/>
      <c r="I107" s="571"/>
      <c r="J107" s="572"/>
      <c r="K107" s="569"/>
      <c r="L107" s="431"/>
    </row>
    <row r="108" spans="1:12" ht="15" customHeight="1" x14ac:dyDescent="0.25">
      <c r="A108" s="431"/>
      <c r="B108" s="1090" t="s">
        <v>687</v>
      </c>
      <c r="C108" s="1092"/>
      <c r="D108" s="1092"/>
      <c r="E108" s="1092"/>
      <c r="F108" s="1092"/>
      <c r="G108" s="1092"/>
      <c r="H108" s="1092"/>
      <c r="I108" s="1092"/>
      <c r="J108" s="1092"/>
      <c r="K108" s="1092"/>
      <c r="L108" s="431"/>
    </row>
    <row r="109" spans="1:12" ht="15" customHeight="1" x14ac:dyDescent="0.25">
      <c r="A109" s="431"/>
      <c r="B109" s="569"/>
      <c r="C109" s="474"/>
      <c r="D109" s="474"/>
      <c r="E109" s="571"/>
      <c r="F109" s="450"/>
      <c r="G109" s="571"/>
      <c r="H109" s="571"/>
      <c r="I109" s="571"/>
      <c r="J109" s="572"/>
      <c r="K109" s="569"/>
      <c r="L109" s="431"/>
    </row>
    <row r="110" spans="1:12" ht="59.25" customHeight="1" x14ac:dyDescent="0.25">
      <c r="A110" s="431"/>
      <c r="B110" s="1093" t="s">
        <v>688</v>
      </c>
      <c r="C110" s="1094"/>
      <c r="D110" s="1094"/>
      <c r="E110" s="1094"/>
      <c r="F110" s="1094"/>
      <c r="G110" s="1094"/>
      <c r="H110" s="1094"/>
      <c r="I110" s="1094"/>
      <c r="J110" s="1094"/>
      <c r="K110" s="1094"/>
      <c r="L110" s="431"/>
    </row>
    <row r="111" spans="1:12" ht="14.4" thickBot="1" x14ac:dyDescent="0.3">
      <c r="A111" s="431"/>
      <c r="B111" s="567"/>
      <c r="C111" s="567"/>
      <c r="D111" s="567"/>
      <c r="E111" s="567"/>
      <c r="F111" s="567"/>
      <c r="G111" s="567"/>
      <c r="H111" s="567"/>
      <c r="I111" s="567"/>
      <c r="J111" s="567"/>
      <c r="K111" s="567"/>
      <c r="L111" s="475"/>
    </row>
    <row r="112" spans="1:12" x14ac:dyDescent="0.25">
      <c r="A112" s="431"/>
      <c r="B112" s="436" t="s">
        <v>646</v>
      </c>
      <c r="C112" s="437"/>
      <c r="D112" s="437"/>
      <c r="E112" s="437"/>
      <c r="F112" s="437"/>
      <c r="G112" s="437"/>
      <c r="H112" s="437"/>
      <c r="I112" s="437"/>
      <c r="J112" s="437"/>
      <c r="K112" s="438"/>
      <c r="L112" s="431"/>
    </row>
    <row r="113" spans="1:12" x14ac:dyDescent="0.25">
      <c r="A113" s="431"/>
      <c r="B113" s="448"/>
      <c r="C113" s="440" t="s">
        <v>652</v>
      </c>
      <c r="D113" s="440"/>
      <c r="E113" s="440"/>
      <c r="F113" s="440"/>
      <c r="G113" s="440"/>
      <c r="H113" s="440"/>
      <c r="I113" s="440"/>
      <c r="J113" s="440"/>
      <c r="K113" s="442"/>
      <c r="L113" s="431"/>
    </row>
    <row r="114" spans="1:12" x14ac:dyDescent="0.25">
      <c r="A114" s="431"/>
      <c r="B114" s="448" t="s">
        <v>673</v>
      </c>
      <c r="C114" s="1083">
        <v>312000000</v>
      </c>
      <c r="D114" s="1083"/>
      <c r="E114" s="571" t="s">
        <v>651</v>
      </c>
      <c r="F114" s="571">
        <v>1000</v>
      </c>
      <c r="G114" s="571" t="s">
        <v>650</v>
      </c>
      <c r="H114" s="564">
        <f>C114/F114</f>
        <v>312000</v>
      </c>
      <c r="I114" s="440" t="s">
        <v>674</v>
      </c>
      <c r="J114" s="440"/>
      <c r="K114" s="442"/>
      <c r="L114" s="431"/>
    </row>
    <row r="115" spans="1:12" x14ac:dyDescent="0.25">
      <c r="A115" s="431"/>
      <c r="B115" s="448"/>
      <c r="C115" s="440"/>
      <c r="D115" s="440"/>
      <c r="E115" s="571"/>
      <c r="F115" s="440"/>
      <c r="G115" s="440"/>
      <c r="H115" s="440"/>
      <c r="I115" s="440"/>
      <c r="J115" s="440"/>
      <c r="K115" s="442"/>
      <c r="L115" s="431"/>
    </row>
    <row r="116" spans="1:12" x14ac:dyDescent="0.25">
      <c r="A116" s="431"/>
      <c r="B116" s="448"/>
      <c r="C116" s="440" t="s">
        <v>675</v>
      </c>
      <c r="D116" s="440"/>
      <c r="E116" s="571"/>
      <c r="F116" s="440" t="s">
        <v>674</v>
      </c>
      <c r="G116" s="440"/>
      <c r="H116" s="440"/>
      <c r="I116" s="440"/>
      <c r="J116" s="440"/>
      <c r="K116" s="442"/>
      <c r="L116" s="431"/>
    </row>
    <row r="117" spans="1:12" x14ac:dyDescent="0.25">
      <c r="A117" s="431"/>
      <c r="B117" s="448" t="s">
        <v>678</v>
      </c>
      <c r="C117" s="1083">
        <v>50000</v>
      </c>
      <c r="D117" s="1083"/>
      <c r="E117" s="571" t="s">
        <v>651</v>
      </c>
      <c r="F117" s="564">
        <f>H114</f>
        <v>312000</v>
      </c>
      <c r="G117" s="571" t="s">
        <v>650</v>
      </c>
      <c r="H117" s="450">
        <f>C117/F117</f>
        <v>0.16025641025641027</v>
      </c>
      <c r="I117" s="440" t="s">
        <v>676</v>
      </c>
      <c r="J117" s="440"/>
      <c r="K117" s="442"/>
      <c r="L117" s="431"/>
    </row>
    <row r="118" spans="1:12" x14ac:dyDescent="0.25">
      <c r="A118" s="431"/>
      <c r="B118" s="448"/>
      <c r="C118" s="440"/>
      <c r="D118" s="440"/>
      <c r="E118" s="571"/>
      <c r="F118" s="440"/>
      <c r="G118" s="440"/>
      <c r="H118" s="440"/>
      <c r="I118" s="440"/>
      <c r="J118" s="440"/>
      <c r="K118" s="442"/>
      <c r="L118" s="431"/>
    </row>
    <row r="119" spans="1:12" x14ac:dyDescent="0.25">
      <c r="A119" s="431"/>
      <c r="B119" s="456"/>
      <c r="C119" s="457" t="s">
        <v>685</v>
      </c>
      <c r="D119" s="457"/>
      <c r="E119" s="565"/>
      <c r="F119" s="457"/>
      <c r="G119" s="457"/>
      <c r="H119" s="457"/>
      <c r="I119" s="457"/>
      <c r="J119" s="457"/>
      <c r="K119" s="458"/>
      <c r="L119" s="431"/>
    </row>
    <row r="120" spans="1:12" x14ac:dyDescent="0.25">
      <c r="A120" s="431"/>
      <c r="B120" s="448" t="s">
        <v>772</v>
      </c>
      <c r="C120" s="1083">
        <v>2500000</v>
      </c>
      <c r="D120" s="1083"/>
      <c r="E120" s="571" t="s">
        <v>93</v>
      </c>
      <c r="F120" s="472">
        <v>0.25</v>
      </c>
      <c r="G120" s="571" t="s">
        <v>650</v>
      </c>
      <c r="H120" s="564">
        <f>C120*F120</f>
        <v>625000</v>
      </c>
      <c r="I120" s="440" t="s">
        <v>679</v>
      </c>
      <c r="J120" s="440"/>
      <c r="K120" s="442"/>
      <c r="L120" s="431"/>
    </row>
    <row r="121" spans="1:12" x14ac:dyDescent="0.25">
      <c r="A121" s="431"/>
      <c r="B121" s="448"/>
      <c r="C121" s="440"/>
      <c r="D121" s="440"/>
      <c r="E121" s="571"/>
      <c r="F121" s="440"/>
      <c r="G121" s="440"/>
      <c r="H121" s="440"/>
      <c r="I121" s="440"/>
      <c r="J121" s="440"/>
      <c r="K121" s="442"/>
      <c r="L121" s="431"/>
    </row>
    <row r="122" spans="1:12" x14ac:dyDescent="0.25">
      <c r="A122" s="431"/>
      <c r="B122" s="456"/>
      <c r="C122" s="457" t="s">
        <v>680</v>
      </c>
      <c r="D122" s="457"/>
      <c r="E122" s="565"/>
      <c r="F122" s="457" t="s">
        <v>676</v>
      </c>
      <c r="G122" s="457"/>
      <c r="H122" s="457"/>
      <c r="I122" s="457"/>
      <c r="J122" s="457" t="s">
        <v>681</v>
      </c>
      <c r="K122" s="458"/>
      <c r="L122" s="431"/>
    </row>
    <row r="123" spans="1:12" x14ac:dyDescent="0.25">
      <c r="A123" s="431"/>
      <c r="B123" s="448" t="s">
        <v>773</v>
      </c>
      <c r="C123" s="1087">
        <f>H120</f>
        <v>625000</v>
      </c>
      <c r="D123" s="1087"/>
      <c r="E123" s="571" t="s">
        <v>93</v>
      </c>
      <c r="F123" s="450">
        <f>H117</f>
        <v>0.16025641025641027</v>
      </c>
      <c r="G123" s="571" t="s">
        <v>651</v>
      </c>
      <c r="H123" s="571">
        <v>1000</v>
      </c>
      <c r="I123" s="571" t="s">
        <v>650</v>
      </c>
      <c r="J123" s="572">
        <f>C123*F123/H123</f>
        <v>100.16025641025642</v>
      </c>
      <c r="K123" s="442"/>
      <c r="L123" s="431"/>
    </row>
    <row r="124" spans="1:12" ht="14.4" thickBot="1" x14ac:dyDescent="0.3">
      <c r="A124" s="431"/>
      <c r="B124" s="443"/>
      <c r="C124" s="459"/>
      <c r="D124" s="459"/>
      <c r="E124" s="460"/>
      <c r="F124" s="461"/>
      <c r="G124" s="460"/>
      <c r="H124" s="460"/>
      <c r="I124" s="460"/>
      <c r="J124" s="462"/>
      <c r="K124" s="445"/>
      <c r="L124" s="431"/>
    </row>
    <row r="125" spans="1:12" ht="40.5" customHeight="1" x14ac:dyDescent="0.25">
      <c r="A125" s="431"/>
      <c r="B125" s="1088" t="s">
        <v>642</v>
      </c>
      <c r="C125" s="1088"/>
      <c r="D125" s="1088"/>
      <c r="E125" s="1088"/>
      <c r="F125" s="1088"/>
      <c r="G125" s="1088"/>
      <c r="H125" s="1088"/>
      <c r="I125" s="1088"/>
      <c r="J125" s="1088"/>
      <c r="K125" s="1088"/>
      <c r="L125" s="475"/>
    </row>
    <row r="126" spans="1:12" x14ac:dyDescent="0.25">
      <c r="A126" s="431"/>
      <c r="B126" s="1097" t="s">
        <v>689</v>
      </c>
      <c r="C126" s="1097"/>
      <c r="D126" s="1097"/>
      <c r="E126" s="1097"/>
      <c r="F126" s="1097"/>
      <c r="G126" s="1097"/>
      <c r="H126" s="1097"/>
      <c r="I126" s="1097"/>
      <c r="J126" s="1097"/>
      <c r="K126" s="1097"/>
      <c r="L126" s="475"/>
    </row>
    <row r="127" spans="1:12" x14ac:dyDescent="0.25">
      <c r="A127" s="431"/>
      <c r="B127" s="567"/>
      <c r="C127" s="567"/>
      <c r="D127" s="567"/>
      <c r="E127" s="567"/>
      <c r="F127" s="567"/>
      <c r="G127" s="567"/>
      <c r="H127" s="567"/>
      <c r="I127" s="567"/>
      <c r="J127" s="567"/>
      <c r="K127" s="567"/>
      <c r="L127" s="475"/>
    </row>
    <row r="128" spans="1:12" x14ac:dyDescent="0.25">
      <c r="A128" s="431"/>
      <c r="B128" s="1097" t="s">
        <v>690</v>
      </c>
      <c r="C128" s="1097"/>
      <c r="D128" s="1097"/>
      <c r="E128" s="1097"/>
      <c r="F128" s="1097"/>
      <c r="G128" s="1097"/>
      <c r="H128" s="1097"/>
      <c r="I128" s="1097"/>
      <c r="J128" s="1097"/>
      <c r="K128" s="1097"/>
      <c r="L128" s="475"/>
    </row>
    <row r="129" spans="1:12" x14ac:dyDescent="0.25">
      <c r="A129" s="431"/>
      <c r="B129" s="566"/>
      <c r="C129" s="566"/>
      <c r="D129" s="566"/>
      <c r="E129" s="566"/>
      <c r="F129" s="566"/>
      <c r="G129" s="566"/>
      <c r="H129" s="566"/>
      <c r="I129" s="566"/>
      <c r="J129" s="566"/>
      <c r="K129" s="566"/>
      <c r="L129" s="475"/>
    </row>
    <row r="130" spans="1:12" ht="74.25" customHeight="1" x14ac:dyDescent="0.25">
      <c r="A130" s="431"/>
      <c r="B130" s="1086" t="s">
        <v>774</v>
      </c>
      <c r="C130" s="1086"/>
      <c r="D130" s="1086"/>
      <c r="E130" s="1086"/>
      <c r="F130" s="1086"/>
      <c r="G130" s="1086"/>
      <c r="H130" s="1086"/>
      <c r="I130" s="1086"/>
      <c r="J130" s="1086"/>
      <c r="K130" s="1086"/>
      <c r="L130" s="475"/>
    </row>
    <row r="131" spans="1:12" ht="14.4" thickBot="1" x14ac:dyDescent="0.3">
      <c r="A131" s="431"/>
      <c r="L131" s="431"/>
    </row>
    <row r="132" spans="1:12" x14ac:dyDescent="0.25">
      <c r="A132" s="431"/>
      <c r="B132" s="436" t="s">
        <v>646</v>
      </c>
      <c r="C132" s="437"/>
      <c r="D132" s="437"/>
      <c r="E132" s="437"/>
      <c r="F132" s="437"/>
      <c r="G132" s="437"/>
      <c r="H132" s="437"/>
      <c r="I132" s="437"/>
      <c r="J132" s="437"/>
      <c r="K132" s="438"/>
      <c r="L132" s="431"/>
    </row>
    <row r="133" spans="1:12" x14ac:dyDescent="0.25">
      <c r="A133" s="431"/>
      <c r="B133" s="448"/>
      <c r="C133" s="1106" t="s">
        <v>691</v>
      </c>
      <c r="D133" s="1106"/>
      <c r="E133" s="440"/>
      <c r="F133" s="571" t="s">
        <v>692</v>
      </c>
      <c r="G133" s="440"/>
      <c r="H133" s="1106" t="s">
        <v>679</v>
      </c>
      <c r="I133" s="1106"/>
      <c r="J133" s="440"/>
      <c r="K133" s="442"/>
      <c r="L133" s="431"/>
    </row>
    <row r="134" spans="1:12" x14ac:dyDescent="0.25">
      <c r="A134" s="431"/>
      <c r="B134" s="448" t="s">
        <v>673</v>
      </c>
      <c r="C134" s="1083">
        <v>100000</v>
      </c>
      <c r="D134" s="1083"/>
      <c r="E134" s="571" t="s">
        <v>93</v>
      </c>
      <c r="F134" s="571">
        <v>0.115</v>
      </c>
      <c r="G134" s="571" t="s">
        <v>650</v>
      </c>
      <c r="H134" s="1084">
        <f>C134*F134</f>
        <v>11500</v>
      </c>
      <c r="I134" s="1084"/>
      <c r="J134" s="440"/>
      <c r="K134" s="442"/>
      <c r="L134" s="431"/>
    </row>
    <row r="135" spans="1:12" x14ac:dyDescent="0.25">
      <c r="A135" s="431"/>
      <c r="B135" s="448"/>
      <c r="C135" s="440"/>
      <c r="D135" s="440"/>
      <c r="E135" s="440"/>
      <c r="F135" s="440"/>
      <c r="G135" s="440"/>
      <c r="H135" s="440"/>
      <c r="I135" s="440"/>
      <c r="J135" s="440"/>
      <c r="K135" s="442"/>
      <c r="L135" s="431"/>
    </row>
    <row r="136" spans="1:12" x14ac:dyDescent="0.25">
      <c r="A136" s="431"/>
      <c r="B136" s="456"/>
      <c r="C136" s="1085" t="s">
        <v>679</v>
      </c>
      <c r="D136" s="1085"/>
      <c r="E136" s="457"/>
      <c r="F136" s="565" t="s">
        <v>693</v>
      </c>
      <c r="G136" s="565"/>
      <c r="H136" s="457"/>
      <c r="I136" s="457"/>
      <c r="J136" s="457" t="s">
        <v>694</v>
      </c>
      <c r="K136" s="458"/>
      <c r="L136" s="431"/>
    </row>
    <row r="137" spans="1:12" x14ac:dyDescent="0.25">
      <c r="A137" s="431"/>
      <c r="B137" s="448" t="s">
        <v>678</v>
      </c>
      <c r="C137" s="1084">
        <f>H134</f>
        <v>11500</v>
      </c>
      <c r="D137" s="1084"/>
      <c r="E137" s="571" t="s">
        <v>93</v>
      </c>
      <c r="F137" s="476">
        <v>52.869</v>
      </c>
      <c r="G137" s="571" t="s">
        <v>651</v>
      </c>
      <c r="H137" s="571">
        <v>1000</v>
      </c>
      <c r="I137" s="571" t="s">
        <v>650</v>
      </c>
      <c r="J137" s="477">
        <f>C137*F137/H137</f>
        <v>607.99350000000004</v>
      </c>
      <c r="K137" s="442"/>
      <c r="L137" s="431"/>
    </row>
    <row r="138" spans="1:12" ht="14.4" thickBot="1" x14ac:dyDescent="0.3">
      <c r="A138" s="431"/>
      <c r="B138" s="443"/>
      <c r="C138" s="548"/>
      <c r="D138" s="548"/>
      <c r="E138" s="460"/>
      <c r="F138" s="549"/>
      <c r="G138" s="460"/>
      <c r="H138" s="460"/>
      <c r="I138" s="460"/>
      <c r="J138" s="550"/>
      <c r="K138" s="445"/>
      <c r="L138" s="431"/>
    </row>
    <row r="139" spans="1:12" ht="40.5" customHeight="1" x14ac:dyDescent="0.25">
      <c r="A139" s="431"/>
      <c r="B139" s="535" t="s">
        <v>642</v>
      </c>
      <c r="C139" s="536"/>
      <c r="D139" s="536"/>
      <c r="E139" s="537"/>
      <c r="F139" s="538"/>
      <c r="G139" s="537"/>
      <c r="H139" s="537"/>
      <c r="I139" s="537"/>
      <c r="J139" s="539"/>
      <c r="K139" s="540"/>
      <c r="L139" s="431"/>
    </row>
    <row r="140" spans="1:12" x14ac:dyDescent="0.25">
      <c r="A140" s="431"/>
      <c r="B140" s="541" t="s">
        <v>775</v>
      </c>
      <c r="C140" s="542"/>
      <c r="D140" s="542"/>
      <c r="E140" s="543"/>
      <c r="F140" s="544"/>
      <c r="G140" s="543"/>
      <c r="H140" s="543"/>
      <c r="I140" s="543"/>
      <c r="J140" s="545"/>
      <c r="K140" s="546"/>
      <c r="L140" s="431"/>
    </row>
    <row r="141" spans="1:12" x14ac:dyDescent="0.25">
      <c r="A141" s="431"/>
      <c r="B141" s="448"/>
      <c r="C141" s="564"/>
      <c r="D141" s="564"/>
      <c r="E141" s="571"/>
      <c r="F141" s="551"/>
      <c r="G141" s="571"/>
      <c r="H141" s="571"/>
      <c r="I141" s="571"/>
      <c r="J141" s="477"/>
      <c r="K141" s="442"/>
      <c r="L141" s="431"/>
    </row>
    <row r="142" spans="1:12" x14ac:dyDescent="0.25">
      <c r="A142" s="431"/>
      <c r="B142" s="541" t="s">
        <v>776</v>
      </c>
      <c r="C142" s="542"/>
      <c r="D142" s="542"/>
      <c r="E142" s="543"/>
      <c r="F142" s="544"/>
      <c r="G142" s="543"/>
      <c r="H142" s="543"/>
      <c r="I142" s="543"/>
      <c r="J142" s="545"/>
      <c r="K142" s="546"/>
      <c r="L142" s="431"/>
    </row>
    <row r="143" spans="1:12" x14ac:dyDescent="0.25">
      <c r="A143" s="431"/>
      <c r="B143" s="448"/>
      <c r="C143" s="564"/>
      <c r="D143" s="564"/>
      <c r="E143" s="571"/>
      <c r="F143" s="551"/>
      <c r="G143" s="571"/>
      <c r="H143" s="571"/>
      <c r="I143" s="571"/>
      <c r="J143" s="477"/>
      <c r="K143" s="442"/>
      <c r="L143" s="431"/>
    </row>
    <row r="144" spans="1:12" ht="76.5" customHeight="1" x14ac:dyDescent="0.25">
      <c r="A144" s="431"/>
      <c r="B144" s="1107" t="s">
        <v>777</v>
      </c>
      <c r="C144" s="1108"/>
      <c r="D144" s="1108"/>
      <c r="E144" s="1108"/>
      <c r="F144" s="1108"/>
      <c r="G144" s="1108"/>
      <c r="H144" s="1108"/>
      <c r="I144" s="1108"/>
      <c r="J144" s="1108"/>
      <c r="K144" s="1109"/>
      <c r="L144" s="431"/>
    </row>
    <row r="145" spans="1:12" ht="14.4" thickBot="1" x14ac:dyDescent="0.3">
      <c r="A145" s="431"/>
      <c r="B145" s="448"/>
      <c r="C145" s="564"/>
      <c r="D145" s="564"/>
      <c r="E145" s="571"/>
      <c r="F145" s="551"/>
      <c r="G145" s="571"/>
      <c r="H145" s="571"/>
      <c r="I145" s="571"/>
      <c r="J145" s="477"/>
      <c r="K145" s="442"/>
      <c r="L145" s="431"/>
    </row>
    <row r="146" spans="1:12" x14ac:dyDescent="0.25">
      <c r="A146" s="431"/>
      <c r="B146" s="436" t="s">
        <v>646</v>
      </c>
      <c r="C146" s="552"/>
      <c r="D146" s="552"/>
      <c r="E146" s="553"/>
      <c r="F146" s="554"/>
      <c r="G146" s="553"/>
      <c r="H146" s="553"/>
      <c r="I146" s="553"/>
      <c r="J146" s="555"/>
      <c r="K146" s="438"/>
      <c r="L146" s="431"/>
    </row>
    <row r="147" spans="1:12" x14ac:dyDescent="0.25">
      <c r="A147" s="431"/>
      <c r="B147" s="448"/>
      <c r="C147" s="1084" t="s">
        <v>778</v>
      </c>
      <c r="D147" s="1084"/>
      <c r="E147" s="571"/>
      <c r="F147" s="551" t="s">
        <v>779</v>
      </c>
      <c r="G147" s="571"/>
      <c r="H147" s="571"/>
      <c r="I147" s="571"/>
      <c r="J147" s="1110" t="s">
        <v>780</v>
      </c>
      <c r="K147" s="1111"/>
      <c r="L147" s="431"/>
    </row>
    <row r="148" spans="1:12" x14ac:dyDescent="0.25">
      <c r="A148" s="431"/>
      <c r="B148" s="448"/>
      <c r="C148" s="1112">
        <v>52.869</v>
      </c>
      <c r="D148" s="1112"/>
      <c r="E148" s="571" t="s">
        <v>93</v>
      </c>
      <c r="F148" s="563">
        <v>312000000</v>
      </c>
      <c r="G148" s="556" t="s">
        <v>651</v>
      </c>
      <c r="H148" s="571">
        <v>1000</v>
      </c>
      <c r="I148" s="571" t="s">
        <v>650</v>
      </c>
      <c r="J148" s="1110">
        <f>C148*(F148/1000)</f>
        <v>16495128</v>
      </c>
      <c r="K148" s="1113"/>
      <c r="L148" s="431"/>
    </row>
    <row r="149" spans="1:12" ht="14.4" thickBot="1" x14ac:dyDescent="0.3">
      <c r="A149" s="431"/>
      <c r="B149" s="443"/>
      <c r="C149" s="548"/>
      <c r="D149" s="548"/>
      <c r="E149" s="460"/>
      <c r="F149" s="549"/>
      <c r="G149" s="460"/>
      <c r="H149" s="460"/>
      <c r="I149" s="460"/>
      <c r="J149" s="550"/>
      <c r="K149" s="445"/>
      <c r="L149" s="431"/>
    </row>
    <row r="150" spans="1:12" ht="14.4" thickBot="1" x14ac:dyDescent="0.3">
      <c r="A150" s="431"/>
      <c r="B150" s="443"/>
      <c r="C150" s="444"/>
      <c r="D150" s="444"/>
      <c r="E150" s="444"/>
      <c r="F150" s="444"/>
      <c r="G150" s="444"/>
      <c r="H150" s="444"/>
      <c r="I150" s="444"/>
      <c r="J150" s="444"/>
      <c r="K150" s="445"/>
      <c r="L150" s="431"/>
    </row>
    <row r="151" spans="1:12" x14ac:dyDescent="0.25">
      <c r="A151" s="431"/>
      <c r="B151" s="431"/>
      <c r="C151" s="431"/>
      <c r="D151" s="431"/>
      <c r="E151" s="431"/>
      <c r="F151" s="431"/>
      <c r="G151" s="431"/>
      <c r="H151" s="431"/>
      <c r="I151" s="431"/>
      <c r="J151" s="431"/>
      <c r="K151" s="431"/>
      <c r="L151" s="431"/>
    </row>
    <row r="152" spans="1:12" x14ac:dyDescent="0.25">
      <c r="A152" s="431"/>
      <c r="B152" s="431"/>
      <c r="C152" s="431"/>
      <c r="D152" s="431"/>
      <c r="E152" s="431"/>
      <c r="F152" s="431"/>
      <c r="G152" s="431"/>
      <c r="H152" s="431"/>
      <c r="I152" s="431"/>
      <c r="J152" s="431"/>
      <c r="K152" s="431"/>
      <c r="L152" s="431"/>
    </row>
    <row r="153" spans="1:12" x14ac:dyDescent="0.25">
      <c r="A153" s="431"/>
      <c r="B153" s="431"/>
      <c r="C153" s="431"/>
      <c r="D153" s="431"/>
      <c r="E153" s="431"/>
      <c r="F153" s="431"/>
      <c r="G153" s="431"/>
      <c r="H153" s="431"/>
      <c r="I153" s="431"/>
      <c r="J153" s="431"/>
      <c r="K153" s="431"/>
      <c r="L153" s="431"/>
    </row>
    <row r="154" spans="1:12" x14ac:dyDescent="0.25">
      <c r="A154" s="478"/>
      <c r="B154" s="478"/>
      <c r="C154" s="478"/>
      <c r="D154" s="478"/>
      <c r="E154" s="478"/>
      <c r="F154" s="478"/>
      <c r="G154" s="478"/>
      <c r="H154" s="478"/>
      <c r="I154" s="478"/>
      <c r="J154" s="478"/>
      <c r="K154" s="478"/>
      <c r="L154" s="478"/>
    </row>
    <row r="155" spans="1:12" x14ac:dyDescent="0.25">
      <c r="A155" s="478"/>
      <c r="B155" s="478"/>
      <c r="C155" s="478"/>
      <c r="D155" s="478"/>
      <c r="E155" s="478"/>
      <c r="F155" s="478"/>
      <c r="G155" s="478"/>
      <c r="H155" s="478"/>
      <c r="I155" s="478"/>
      <c r="J155" s="478"/>
      <c r="K155" s="478"/>
      <c r="L155" s="478"/>
    </row>
    <row r="156" spans="1:12" x14ac:dyDescent="0.25">
      <c r="A156" s="478"/>
      <c r="B156" s="478"/>
      <c r="C156" s="478"/>
      <c r="D156" s="478"/>
      <c r="E156" s="478"/>
      <c r="F156" s="478"/>
      <c r="G156" s="478"/>
      <c r="H156" s="478"/>
      <c r="I156" s="478"/>
      <c r="J156" s="478"/>
      <c r="K156" s="478"/>
      <c r="L156" s="478"/>
    </row>
    <row r="157" spans="1:12" x14ac:dyDescent="0.25">
      <c r="A157" s="478"/>
      <c r="B157" s="478"/>
      <c r="C157" s="478"/>
      <c r="D157" s="478"/>
      <c r="E157" s="478"/>
      <c r="F157" s="478"/>
      <c r="G157" s="478"/>
      <c r="H157" s="478"/>
      <c r="I157" s="478"/>
      <c r="J157" s="478"/>
      <c r="K157" s="478"/>
      <c r="L157" s="478"/>
    </row>
    <row r="158" spans="1:12" x14ac:dyDescent="0.25">
      <c r="A158" s="478"/>
      <c r="B158" s="478"/>
      <c r="C158" s="478"/>
      <c r="D158" s="478"/>
      <c r="E158" s="478"/>
      <c r="F158" s="478"/>
      <c r="G158" s="478"/>
      <c r="H158" s="478"/>
      <c r="I158" s="478"/>
      <c r="J158" s="478"/>
      <c r="K158" s="478"/>
      <c r="L158" s="478"/>
    </row>
    <row r="159" spans="1:12" x14ac:dyDescent="0.25">
      <c r="A159" s="478"/>
      <c r="B159" s="478"/>
      <c r="C159" s="478"/>
      <c r="D159" s="478"/>
      <c r="E159" s="478"/>
      <c r="F159" s="478"/>
      <c r="G159" s="478"/>
      <c r="H159" s="478"/>
      <c r="I159" s="478"/>
      <c r="J159" s="478"/>
      <c r="K159" s="478"/>
      <c r="L159" s="478"/>
    </row>
    <row r="160" spans="1:12" x14ac:dyDescent="0.25">
      <c r="A160" s="478"/>
      <c r="B160" s="478"/>
      <c r="C160" s="478"/>
      <c r="D160" s="478"/>
      <c r="E160" s="478"/>
      <c r="F160" s="478"/>
      <c r="G160" s="478"/>
      <c r="H160" s="478"/>
      <c r="I160" s="478"/>
      <c r="J160" s="478"/>
      <c r="K160" s="478"/>
      <c r="L160" s="478"/>
    </row>
    <row r="161" spans="1:12" x14ac:dyDescent="0.25">
      <c r="A161" s="478"/>
      <c r="B161" s="478"/>
      <c r="C161" s="478"/>
      <c r="D161" s="478"/>
      <c r="E161" s="478"/>
      <c r="F161" s="478"/>
      <c r="G161" s="478"/>
      <c r="H161" s="478"/>
      <c r="I161" s="478"/>
      <c r="J161" s="478"/>
      <c r="K161" s="478"/>
      <c r="L161" s="478"/>
    </row>
    <row r="162" spans="1:12" x14ac:dyDescent="0.25">
      <c r="A162" s="478"/>
      <c r="B162" s="478"/>
      <c r="C162" s="478"/>
      <c r="D162" s="478"/>
      <c r="E162" s="478"/>
      <c r="F162" s="478"/>
      <c r="G162" s="478"/>
      <c r="H162" s="478"/>
      <c r="I162" s="478"/>
      <c r="J162" s="478"/>
      <c r="K162" s="478"/>
      <c r="L162" s="478"/>
    </row>
    <row r="163" spans="1:12" x14ac:dyDescent="0.25">
      <c r="A163" s="478"/>
      <c r="B163" s="478"/>
      <c r="C163" s="478"/>
      <c r="D163" s="478"/>
      <c r="E163" s="478"/>
      <c r="F163" s="478"/>
      <c r="G163" s="478"/>
      <c r="H163" s="478"/>
      <c r="I163" s="478"/>
      <c r="J163" s="478"/>
      <c r="K163" s="478"/>
      <c r="L163" s="478"/>
    </row>
    <row r="164" spans="1:12" x14ac:dyDescent="0.25">
      <c r="A164" s="478"/>
      <c r="B164" s="478"/>
      <c r="C164" s="478"/>
      <c r="D164" s="478"/>
      <c r="E164" s="478"/>
      <c r="F164" s="478"/>
      <c r="G164" s="478"/>
      <c r="H164" s="478"/>
      <c r="I164" s="478"/>
      <c r="J164" s="478"/>
      <c r="K164" s="478"/>
      <c r="L164" s="478"/>
    </row>
    <row r="165" spans="1:12" x14ac:dyDescent="0.25">
      <c r="A165" s="478"/>
      <c r="B165" s="478"/>
      <c r="C165" s="478"/>
      <c r="D165" s="478"/>
      <c r="E165" s="478"/>
      <c r="F165" s="478"/>
      <c r="G165" s="478"/>
      <c r="H165" s="478"/>
      <c r="I165" s="478"/>
      <c r="J165" s="478"/>
      <c r="K165" s="478"/>
      <c r="L165" s="478"/>
    </row>
    <row r="166" spans="1:12" x14ac:dyDescent="0.25">
      <c r="A166" s="478"/>
      <c r="B166" s="478"/>
      <c r="C166" s="478"/>
      <c r="D166" s="478"/>
      <c r="E166" s="478"/>
      <c r="F166" s="478"/>
      <c r="G166" s="478"/>
      <c r="H166" s="478"/>
      <c r="I166" s="478"/>
      <c r="J166" s="478"/>
      <c r="K166" s="478"/>
      <c r="L166" s="478"/>
    </row>
    <row r="167" spans="1:12" x14ac:dyDescent="0.25">
      <c r="A167" s="478"/>
      <c r="B167" s="478"/>
      <c r="C167" s="478"/>
      <c r="D167" s="478"/>
      <c r="E167" s="478"/>
      <c r="F167" s="478"/>
      <c r="G167" s="478"/>
      <c r="H167" s="478"/>
      <c r="I167" s="478"/>
      <c r="J167" s="478"/>
      <c r="K167" s="478"/>
      <c r="L167" s="478"/>
    </row>
    <row r="168" spans="1:12" x14ac:dyDescent="0.25">
      <c r="A168" s="478"/>
      <c r="B168" s="478"/>
      <c r="C168" s="478"/>
      <c r="D168" s="478"/>
      <c r="E168" s="478"/>
      <c r="F168" s="478"/>
      <c r="G168" s="478"/>
      <c r="H168" s="478"/>
      <c r="I168" s="478"/>
      <c r="J168" s="478"/>
      <c r="K168" s="478"/>
      <c r="L168" s="478"/>
    </row>
    <row r="169" spans="1:12" x14ac:dyDescent="0.25">
      <c r="A169" s="478"/>
      <c r="B169" s="478"/>
      <c r="C169" s="478"/>
      <c r="D169" s="478"/>
      <c r="E169" s="478"/>
      <c r="F169" s="478"/>
      <c r="G169" s="478"/>
      <c r="H169" s="478"/>
      <c r="I169" s="478"/>
      <c r="J169" s="478"/>
      <c r="K169" s="478"/>
      <c r="L169" s="478"/>
    </row>
    <row r="170" spans="1:12" x14ac:dyDescent="0.25">
      <c r="A170" s="478"/>
      <c r="B170" s="478"/>
      <c r="C170" s="478"/>
      <c r="D170" s="478"/>
      <c r="E170" s="478"/>
      <c r="F170" s="478"/>
      <c r="G170" s="478"/>
      <c r="H170" s="478"/>
      <c r="I170" s="478"/>
      <c r="J170" s="478"/>
      <c r="K170" s="478"/>
      <c r="L170" s="478"/>
    </row>
    <row r="171" spans="1:12" x14ac:dyDescent="0.25">
      <c r="A171" s="478"/>
      <c r="B171" s="478"/>
      <c r="C171" s="478"/>
      <c r="D171" s="478"/>
      <c r="E171" s="478"/>
      <c r="F171" s="478"/>
      <c r="G171" s="478"/>
      <c r="H171" s="478"/>
      <c r="I171" s="478"/>
      <c r="J171" s="478"/>
      <c r="K171" s="478"/>
      <c r="L171" s="478"/>
    </row>
    <row r="172" spans="1:12" x14ac:dyDescent="0.25">
      <c r="A172" s="478"/>
      <c r="B172" s="478"/>
      <c r="C172" s="478"/>
      <c r="D172" s="478"/>
      <c r="E172" s="478"/>
      <c r="F172" s="478"/>
      <c r="G172" s="478"/>
      <c r="H172" s="478"/>
      <c r="I172" s="478"/>
      <c r="J172" s="478"/>
      <c r="K172" s="478"/>
      <c r="L172" s="478"/>
    </row>
    <row r="173" spans="1:12" x14ac:dyDescent="0.25">
      <c r="A173" s="478"/>
      <c r="B173" s="478"/>
      <c r="C173" s="478"/>
      <c r="D173" s="478"/>
      <c r="E173" s="478"/>
      <c r="F173" s="478"/>
      <c r="G173" s="478"/>
      <c r="H173" s="478"/>
      <c r="I173" s="478"/>
      <c r="J173" s="478"/>
      <c r="K173" s="478"/>
      <c r="L173" s="478"/>
    </row>
    <row r="174" spans="1:12" x14ac:dyDescent="0.25">
      <c r="A174" s="478"/>
      <c r="B174" s="478"/>
      <c r="C174" s="478"/>
      <c r="D174" s="478"/>
      <c r="E174" s="478"/>
      <c r="F174" s="478"/>
      <c r="G174" s="478"/>
      <c r="H174" s="478"/>
      <c r="I174" s="478"/>
      <c r="J174" s="478"/>
      <c r="K174" s="478"/>
      <c r="L174" s="478"/>
    </row>
    <row r="175" spans="1:12" x14ac:dyDescent="0.25">
      <c r="A175" s="478"/>
      <c r="B175" s="478"/>
      <c r="C175" s="478"/>
      <c r="D175" s="478"/>
      <c r="E175" s="478"/>
      <c r="F175" s="478"/>
      <c r="G175" s="478"/>
      <c r="H175" s="478"/>
      <c r="I175" s="478"/>
      <c r="J175" s="478"/>
      <c r="K175" s="478"/>
      <c r="L175" s="478"/>
    </row>
    <row r="176" spans="1:12" x14ac:dyDescent="0.25">
      <c r="A176" s="478"/>
      <c r="B176" s="478"/>
      <c r="C176" s="478"/>
      <c r="D176" s="478"/>
      <c r="E176" s="478"/>
      <c r="F176" s="478"/>
      <c r="G176" s="478"/>
      <c r="H176" s="478"/>
      <c r="I176" s="478"/>
      <c r="J176" s="478"/>
      <c r="K176" s="478"/>
      <c r="L176" s="478"/>
    </row>
    <row r="177" spans="1:12" x14ac:dyDescent="0.25">
      <c r="A177" s="478"/>
      <c r="B177" s="478"/>
      <c r="C177" s="478"/>
      <c r="D177" s="478"/>
      <c r="E177" s="478"/>
      <c r="F177" s="478"/>
      <c r="G177" s="478"/>
      <c r="H177" s="478"/>
      <c r="I177" s="478"/>
      <c r="J177" s="478"/>
      <c r="K177" s="478"/>
      <c r="L177" s="478"/>
    </row>
    <row r="178" spans="1:12" x14ac:dyDescent="0.25">
      <c r="A178" s="478"/>
      <c r="B178" s="478"/>
      <c r="C178" s="478"/>
      <c r="D178" s="478"/>
      <c r="E178" s="478"/>
      <c r="F178" s="478"/>
      <c r="G178" s="478"/>
      <c r="H178" s="478"/>
      <c r="I178" s="478"/>
      <c r="J178" s="478"/>
      <c r="K178" s="478"/>
      <c r="L178" s="478"/>
    </row>
    <row r="179" spans="1:12" x14ac:dyDescent="0.25">
      <c r="A179" s="478"/>
      <c r="B179" s="478"/>
      <c r="C179" s="478"/>
      <c r="D179" s="478"/>
      <c r="E179" s="478"/>
      <c r="F179" s="478"/>
      <c r="G179" s="478"/>
      <c r="H179" s="478"/>
      <c r="I179" s="478"/>
      <c r="J179" s="478"/>
      <c r="K179" s="478"/>
      <c r="L179" s="478"/>
    </row>
    <row r="180" spans="1:12" x14ac:dyDescent="0.25">
      <c r="A180" s="478"/>
      <c r="B180" s="478"/>
      <c r="C180" s="478"/>
      <c r="D180" s="478"/>
      <c r="E180" s="478"/>
      <c r="F180" s="478"/>
      <c r="G180" s="478"/>
      <c r="H180" s="478"/>
      <c r="I180" s="478"/>
      <c r="J180" s="478"/>
      <c r="K180" s="478"/>
      <c r="L180" s="478"/>
    </row>
    <row r="181" spans="1:12" x14ac:dyDescent="0.25">
      <c r="A181" s="478"/>
      <c r="B181" s="478"/>
      <c r="C181" s="478"/>
      <c r="D181" s="478"/>
      <c r="E181" s="478"/>
      <c r="F181" s="478"/>
      <c r="G181" s="478"/>
      <c r="H181" s="478"/>
      <c r="I181" s="478"/>
      <c r="J181" s="478"/>
      <c r="K181" s="478"/>
      <c r="L181" s="478"/>
    </row>
    <row r="182" spans="1:12" x14ac:dyDescent="0.25">
      <c r="A182" s="478"/>
      <c r="B182" s="478"/>
      <c r="C182" s="478"/>
      <c r="D182" s="478"/>
      <c r="E182" s="478"/>
      <c r="F182" s="478"/>
      <c r="G182" s="478"/>
      <c r="H182" s="478"/>
      <c r="I182" s="478"/>
      <c r="J182" s="478"/>
      <c r="K182" s="478"/>
      <c r="L182" s="478"/>
    </row>
    <row r="183" spans="1:12" x14ac:dyDescent="0.25">
      <c r="A183" s="478"/>
      <c r="B183" s="478"/>
      <c r="C183" s="478"/>
      <c r="D183" s="478"/>
      <c r="E183" s="478"/>
      <c r="F183" s="478"/>
      <c r="G183" s="478"/>
      <c r="H183" s="478"/>
      <c r="I183" s="478"/>
      <c r="J183" s="478"/>
      <c r="K183" s="478"/>
      <c r="L183" s="478"/>
    </row>
    <row r="184" spans="1:12" x14ac:dyDescent="0.25">
      <c r="A184" s="478"/>
      <c r="B184" s="478"/>
      <c r="C184" s="478"/>
      <c r="D184" s="478"/>
      <c r="E184" s="478"/>
      <c r="F184" s="478"/>
      <c r="G184" s="478"/>
      <c r="H184" s="478"/>
      <c r="I184" s="478"/>
      <c r="J184" s="478"/>
      <c r="K184" s="478"/>
      <c r="L184" s="478"/>
    </row>
    <row r="185" spans="1:12" x14ac:dyDescent="0.25">
      <c r="A185" s="478"/>
      <c r="B185" s="478"/>
      <c r="C185" s="478"/>
      <c r="D185" s="478"/>
      <c r="E185" s="478"/>
      <c r="F185" s="478"/>
      <c r="G185" s="478"/>
      <c r="H185" s="478"/>
      <c r="I185" s="478"/>
      <c r="J185" s="478"/>
      <c r="K185" s="478"/>
      <c r="L185" s="478"/>
    </row>
    <row r="186" spans="1:12" x14ac:dyDescent="0.25">
      <c r="A186" s="478"/>
      <c r="B186" s="478"/>
      <c r="C186" s="478"/>
      <c r="D186" s="478"/>
      <c r="E186" s="478"/>
      <c r="F186" s="478"/>
      <c r="G186" s="478"/>
      <c r="H186" s="478"/>
      <c r="I186" s="478"/>
      <c r="J186" s="478"/>
      <c r="K186" s="478"/>
      <c r="L186" s="478"/>
    </row>
    <row r="187" spans="1:12" x14ac:dyDescent="0.25">
      <c r="A187" s="478"/>
      <c r="B187" s="478"/>
      <c r="C187" s="478"/>
      <c r="D187" s="478"/>
      <c r="E187" s="478"/>
      <c r="F187" s="478"/>
      <c r="G187" s="478"/>
      <c r="H187" s="478"/>
      <c r="I187" s="478"/>
      <c r="J187" s="478"/>
      <c r="K187" s="478"/>
      <c r="L187" s="478"/>
    </row>
    <row r="188" spans="1:12" x14ac:dyDescent="0.25">
      <c r="A188" s="478"/>
      <c r="B188" s="478"/>
      <c r="C188" s="478"/>
      <c r="D188" s="478"/>
      <c r="E188" s="478"/>
      <c r="F188" s="478"/>
      <c r="G188" s="478"/>
      <c r="H188" s="478"/>
      <c r="I188" s="478"/>
      <c r="J188" s="478"/>
      <c r="K188" s="478"/>
      <c r="L188" s="478"/>
    </row>
    <row r="189" spans="1:12" x14ac:dyDescent="0.25">
      <c r="A189" s="478"/>
      <c r="B189" s="478"/>
      <c r="C189" s="478"/>
      <c r="D189" s="478"/>
      <c r="E189" s="478"/>
      <c r="F189" s="478"/>
      <c r="G189" s="478"/>
      <c r="H189" s="478"/>
      <c r="I189" s="478"/>
      <c r="J189" s="478"/>
      <c r="K189" s="478"/>
      <c r="L189" s="478"/>
    </row>
    <row r="190" spans="1:12" x14ac:dyDescent="0.25">
      <c r="A190" s="478"/>
      <c r="B190" s="478"/>
      <c r="C190" s="478"/>
      <c r="D190" s="478"/>
      <c r="E190" s="478"/>
      <c r="F190" s="478"/>
      <c r="G190" s="478"/>
      <c r="H190" s="478"/>
      <c r="I190" s="478"/>
      <c r="J190" s="478"/>
      <c r="K190" s="478"/>
      <c r="L190" s="478"/>
    </row>
    <row r="191" spans="1:12" x14ac:dyDescent="0.25">
      <c r="A191" s="478"/>
      <c r="B191" s="478"/>
      <c r="C191" s="478"/>
      <c r="D191" s="478"/>
      <c r="E191" s="478"/>
      <c r="F191" s="478"/>
      <c r="G191" s="478"/>
      <c r="H191" s="478"/>
      <c r="I191" s="478"/>
      <c r="J191" s="478"/>
      <c r="K191" s="478"/>
      <c r="L191" s="478"/>
    </row>
    <row r="192" spans="1:12" x14ac:dyDescent="0.25">
      <c r="A192" s="478"/>
      <c r="B192" s="478"/>
      <c r="C192" s="478"/>
      <c r="D192" s="478"/>
      <c r="E192" s="478"/>
      <c r="F192" s="478"/>
      <c r="G192" s="478"/>
      <c r="H192" s="478"/>
      <c r="I192" s="478"/>
      <c r="J192" s="478"/>
      <c r="K192" s="478"/>
      <c r="L192" s="478"/>
    </row>
    <row r="193" spans="1:12" x14ac:dyDescent="0.25">
      <c r="A193" s="478"/>
      <c r="B193" s="478"/>
      <c r="C193" s="478"/>
      <c r="D193" s="478"/>
      <c r="E193" s="478"/>
      <c r="F193" s="478"/>
      <c r="G193" s="478"/>
      <c r="H193" s="478"/>
      <c r="I193" s="478"/>
      <c r="J193" s="478"/>
      <c r="K193" s="478"/>
      <c r="L193" s="478"/>
    </row>
    <row r="194" spans="1:12" x14ac:dyDescent="0.25">
      <c r="A194" s="478"/>
      <c r="B194" s="478"/>
      <c r="C194" s="478"/>
      <c r="D194" s="478"/>
      <c r="E194" s="478"/>
      <c r="F194" s="478"/>
      <c r="G194" s="478"/>
      <c r="H194" s="478"/>
      <c r="I194" s="478"/>
      <c r="J194" s="478"/>
      <c r="K194" s="478"/>
      <c r="L194" s="478"/>
    </row>
    <row r="195" spans="1:12" x14ac:dyDescent="0.25">
      <c r="A195" s="478"/>
      <c r="B195" s="478"/>
      <c r="C195" s="478"/>
      <c r="D195" s="478"/>
      <c r="E195" s="478"/>
      <c r="F195" s="478"/>
      <c r="G195" s="478"/>
      <c r="H195" s="478"/>
      <c r="I195" s="478"/>
      <c r="J195" s="478"/>
      <c r="K195" s="478"/>
      <c r="L195" s="478"/>
    </row>
    <row r="196" spans="1:12" x14ac:dyDescent="0.25">
      <c r="A196" s="478"/>
      <c r="B196" s="478"/>
      <c r="C196" s="478"/>
      <c r="D196" s="478"/>
      <c r="E196" s="478"/>
      <c r="F196" s="478"/>
      <c r="G196" s="478"/>
      <c r="H196" s="478"/>
      <c r="I196" s="478"/>
      <c r="J196" s="478"/>
      <c r="K196" s="478"/>
      <c r="L196" s="478"/>
    </row>
    <row r="197" spans="1:12" x14ac:dyDescent="0.25">
      <c r="A197" s="478"/>
      <c r="B197" s="478"/>
      <c r="C197" s="478"/>
      <c r="D197" s="478"/>
      <c r="E197" s="478"/>
      <c r="F197" s="478"/>
      <c r="G197" s="478"/>
      <c r="H197" s="478"/>
      <c r="I197" s="478"/>
      <c r="J197" s="478"/>
      <c r="K197" s="478"/>
      <c r="L197" s="478"/>
    </row>
    <row r="198" spans="1:12" x14ac:dyDescent="0.25">
      <c r="A198" s="478"/>
      <c r="B198" s="478"/>
      <c r="C198" s="478"/>
      <c r="D198" s="478"/>
      <c r="E198" s="478"/>
      <c r="F198" s="478"/>
      <c r="G198" s="478"/>
      <c r="H198" s="478"/>
      <c r="I198" s="478"/>
      <c r="J198" s="478"/>
      <c r="K198" s="478"/>
      <c r="L198" s="478"/>
    </row>
    <row r="199" spans="1:12" x14ac:dyDescent="0.25">
      <c r="A199" s="478"/>
      <c r="B199" s="478"/>
      <c r="C199" s="478"/>
      <c r="D199" s="478"/>
      <c r="E199" s="478"/>
      <c r="F199" s="478"/>
      <c r="G199" s="478"/>
      <c r="H199" s="478"/>
      <c r="I199" s="478"/>
      <c r="J199" s="478"/>
      <c r="K199" s="478"/>
      <c r="L199" s="478"/>
    </row>
    <row r="200" spans="1:12" x14ac:dyDescent="0.25">
      <c r="A200" s="478"/>
      <c r="B200" s="478"/>
      <c r="C200" s="478"/>
      <c r="D200" s="478"/>
      <c r="E200" s="478"/>
      <c r="F200" s="478"/>
      <c r="G200" s="478"/>
      <c r="H200" s="478"/>
      <c r="I200" s="478"/>
      <c r="J200" s="478"/>
      <c r="K200" s="478"/>
      <c r="L200" s="478"/>
    </row>
    <row r="201" spans="1:12" x14ac:dyDescent="0.25">
      <c r="A201" s="478"/>
      <c r="B201" s="478"/>
      <c r="C201" s="478"/>
      <c r="D201" s="478"/>
      <c r="E201" s="478"/>
      <c r="F201" s="478"/>
      <c r="G201" s="478"/>
      <c r="H201" s="478"/>
      <c r="I201" s="478"/>
      <c r="J201" s="478"/>
      <c r="K201" s="478"/>
      <c r="L201" s="478"/>
    </row>
    <row r="202" spans="1:12" x14ac:dyDescent="0.25">
      <c r="A202" s="478"/>
      <c r="B202" s="478"/>
      <c r="C202" s="478"/>
      <c r="D202" s="478"/>
      <c r="E202" s="478"/>
      <c r="F202" s="478"/>
      <c r="G202" s="478"/>
      <c r="H202" s="478"/>
      <c r="I202" s="478"/>
      <c r="J202" s="478"/>
      <c r="K202" s="478"/>
      <c r="L202" s="478"/>
    </row>
    <row r="203" spans="1:12" x14ac:dyDescent="0.25">
      <c r="A203" s="478"/>
      <c r="B203" s="478"/>
      <c r="C203" s="478"/>
      <c r="D203" s="478"/>
      <c r="E203" s="478"/>
      <c r="F203" s="478"/>
      <c r="G203" s="478"/>
      <c r="H203" s="478"/>
      <c r="I203" s="478"/>
      <c r="J203" s="478"/>
      <c r="K203" s="478"/>
      <c r="L203" s="478"/>
    </row>
    <row r="204" spans="1:12" x14ac:dyDescent="0.25">
      <c r="A204" s="478"/>
      <c r="B204" s="478"/>
      <c r="C204" s="478"/>
      <c r="D204" s="478"/>
      <c r="E204" s="478"/>
      <c r="F204" s="478"/>
      <c r="G204" s="478"/>
      <c r="H204" s="478"/>
      <c r="I204" s="478"/>
      <c r="J204" s="478"/>
      <c r="K204" s="478"/>
      <c r="L204" s="478"/>
    </row>
    <row r="205" spans="1:12" x14ac:dyDescent="0.25">
      <c r="A205" s="478"/>
      <c r="B205" s="478"/>
      <c r="C205" s="478"/>
      <c r="D205" s="478"/>
      <c r="E205" s="478"/>
      <c r="F205" s="478"/>
      <c r="G205" s="478"/>
      <c r="H205" s="478"/>
      <c r="I205" s="478"/>
      <c r="J205" s="478"/>
      <c r="K205" s="478"/>
      <c r="L205" s="478"/>
    </row>
    <row r="206" spans="1:12" x14ac:dyDescent="0.25">
      <c r="A206" s="478"/>
      <c r="B206" s="478"/>
      <c r="C206" s="478"/>
      <c r="D206" s="478"/>
      <c r="E206" s="478"/>
      <c r="F206" s="478"/>
      <c r="G206" s="478"/>
      <c r="H206" s="478"/>
      <c r="I206" s="478"/>
      <c r="J206" s="478"/>
      <c r="K206" s="478"/>
      <c r="L206" s="478"/>
    </row>
    <row r="207" spans="1:12" x14ac:dyDescent="0.25">
      <c r="A207" s="478"/>
      <c r="B207" s="478"/>
      <c r="C207" s="478"/>
      <c r="D207" s="478"/>
      <c r="E207" s="478"/>
      <c r="F207" s="478"/>
      <c r="G207" s="478"/>
      <c r="H207" s="478"/>
      <c r="I207" s="478"/>
      <c r="J207" s="478"/>
      <c r="K207" s="478"/>
      <c r="L207" s="478"/>
    </row>
    <row r="208" spans="1:12" x14ac:dyDescent="0.25">
      <c r="A208" s="478"/>
      <c r="B208" s="478"/>
      <c r="C208" s="478"/>
      <c r="D208" s="478"/>
      <c r="E208" s="478"/>
      <c r="F208" s="478"/>
      <c r="G208" s="478"/>
      <c r="H208" s="478"/>
      <c r="I208" s="478"/>
      <c r="J208" s="478"/>
      <c r="K208" s="478"/>
      <c r="L208" s="478"/>
    </row>
    <row r="209" spans="1:12" x14ac:dyDescent="0.25">
      <c r="A209" s="478"/>
      <c r="B209" s="478"/>
      <c r="C209" s="478"/>
      <c r="D209" s="478"/>
      <c r="E209" s="478"/>
      <c r="F209" s="478"/>
      <c r="G209" s="478"/>
      <c r="H209" s="478"/>
      <c r="I209" s="478"/>
      <c r="J209" s="478"/>
      <c r="K209" s="478"/>
      <c r="L209" s="478"/>
    </row>
    <row r="210" spans="1:12" x14ac:dyDescent="0.25">
      <c r="A210" s="478"/>
      <c r="B210" s="478"/>
      <c r="C210" s="478"/>
      <c r="D210" s="478"/>
      <c r="E210" s="478"/>
      <c r="F210" s="478"/>
      <c r="G210" s="478"/>
      <c r="H210" s="478"/>
      <c r="I210" s="478"/>
      <c r="J210" s="478"/>
      <c r="K210" s="478"/>
      <c r="L210" s="478"/>
    </row>
    <row r="211" spans="1:12" x14ac:dyDescent="0.25">
      <c r="A211" s="478"/>
      <c r="B211" s="478"/>
      <c r="C211" s="478"/>
      <c r="D211" s="478"/>
      <c r="E211" s="478"/>
      <c r="F211" s="478"/>
      <c r="G211" s="478"/>
      <c r="H211" s="478"/>
      <c r="I211" s="478"/>
      <c r="J211" s="478"/>
      <c r="K211" s="478"/>
      <c r="L211" s="478"/>
    </row>
    <row r="212" spans="1:12" x14ac:dyDescent="0.25">
      <c r="A212" s="478"/>
      <c r="B212" s="478"/>
      <c r="C212" s="478"/>
      <c r="D212" s="478"/>
      <c r="E212" s="478"/>
      <c r="F212" s="478"/>
      <c r="G212" s="478"/>
      <c r="H212" s="478"/>
      <c r="I212" s="478"/>
      <c r="J212" s="478"/>
      <c r="K212" s="478"/>
      <c r="L212" s="478"/>
    </row>
    <row r="213" spans="1:12" x14ac:dyDescent="0.25">
      <c r="A213" s="478"/>
      <c r="B213" s="478"/>
      <c r="C213" s="478"/>
      <c r="D213" s="478"/>
      <c r="E213" s="478"/>
      <c r="F213" s="478"/>
      <c r="G213" s="478"/>
      <c r="H213" s="478"/>
      <c r="I213" s="478"/>
      <c r="J213" s="478"/>
      <c r="K213" s="478"/>
      <c r="L213" s="478"/>
    </row>
    <row r="214" spans="1:12" x14ac:dyDescent="0.25">
      <c r="A214" s="478"/>
      <c r="B214" s="478"/>
      <c r="C214" s="478"/>
      <c r="D214" s="478"/>
      <c r="E214" s="478"/>
      <c r="F214" s="478"/>
      <c r="G214" s="478"/>
      <c r="H214" s="478"/>
      <c r="I214" s="478"/>
      <c r="J214" s="478"/>
      <c r="K214" s="478"/>
      <c r="L214" s="478"/>
    </row>
    <row r="215" spans="1:12" x14ac:dyDescent="0.25">
      <c r="A215" s="478"/>
      <c r="B215" s="478"/>
      <c r="C215" s="478"/>
      <c r="D215" s="478"/>
      <c r="E215" s="478"/>
      <c r="F215" s="478"/>
      <c r="G215" s="478"/>
      <c r="H215" s="478"/>
      <c r="I215" s="478"/>
      <c r="J215" s="478"/>
      <c r="K215" s="478"/>
      <c r="L215" s="478"/>
    </row>
    <row r="216" spans="1:12" x14ac:dyDescent="0.25">
      <c r="A216" s="478"/>
      <c r="B216" s="478"/>
      <c r="C216" s="478"/>
      <c r="D216" s="478"/>
      <c r="E216" s="478"/>
      <c r="F216" s="478"/>
      <c r="G216" s="478"/>
      <c r="H216" s="478"/>
      <c r="I216" s="478"/>
      <c r="J216" s="478"/>
      <c r="K216" s="478"/>
      <c r="L216" s="478"/>
    </row>
    <row r="217" spans="1:12" x14ac:dyDescent="0.25">
      <c r="A217" s="478"/>
      <c r="B217" s="478"/>
      <c r="C217" s="478"/>
      <c r="D217" s="478"/>
      <c r="E217" s="478"/>
      <c r="F217" s="478"/>
      <c r="G217" s="478"/>
      <c r="H217" s="478"/>
      <c r="I217" s="478"/>
      <c r="J217" s="478"/>
      <c r="K217" s="478"/>
      <c r="L217" s="478"/>
    </row>
    <row r="218" spans="1:12" x14ac:dyDescent="0.25">
      <c r="A218" s="478"/>
      <c r="B218" s="478"/>
      <c r="C218" s="478"/>
      <c r="D218" s="478"/>
      <c r="E218" s="478"/>
      <c r="F218" s="478"/>
      <c r="G218" s="478"/>
      <c r="H218" s="478"/>
      <c r="I218" s="478"/>
      <c r="J218" s="478"/>
      <c r="K218" s="478"/>
      <c r="L218" s="478"/>
    </row>
    <row r="219" spans="1:12" x14ac:dyDescent="0.25">
      <c r="A219" s="478"/>
      <c r="B219" s="478"/>
      <c r="C219" s="478"/>
      <c r="D219" s="478"/>
      <c r="E219" s="478"/>
      <c r="F219" s="478"/>
      <c r="G219" s="478"/>
      <c r="H219" s="478"/>
      <c r="I219" s="478"/>
      <c r="J219" s="478"/>
      <c r="K219" s="478"/>
      <c r="L219" s="478"/>
    </row>
    <row r="220" spans="1:12" x14ac:dyDescent="0.25">
      <c r="A220" s="478"/>
      <c r="B220" s="478"/>
      <c r="C220" s="478"/>
      <c r="D220" s="478"/>
      <c r="E220" s="478"/>
      <c r="F220" s="478"/>
      <c r="G220" s="478"/>
      <c r="H220" s="478"/>
      <c r="I220" s="478"/>
      <c r="J220" s="478"/>
      <c r="K220" s="478"/>
      <c r="L220" s="478"/>
    </row>
    <row r="221" spans="1:12" x14ac:dyDescent="0.25">
      <c r="A221" s="478"/>
      <c r="B221" s="478"/>
      <c r="C221" s="478"/>
      <c r="D221" s="478"/>
      <c r="E221" s="478"/>
      <c r="F221" s="478"/>
      <c r="G221" s="478"/>
      <c r="H221" s="478"/>
      <c r="I221" s="478"/>
      <c r="J221" s="478"/>
      <c r="K221" s="478"/>
      <c r="L221" s="478"/>
    </row>
    <row r="222" spans="1:12" x14ac:dyDescent="0.25">
      <c r="A222" s="478"/>
      <c r="B222" s="478"/>
      <c r="C222" s="478"/>
      <c r="D222" s="478"/>
      <c r="E222" s="478"/>
      <c r="F222" s="478"/>
      <c r="G222" s="478"/>
      <c r="H222" s="478"/>
      <c r="I222" s="478"/>
      <c r="J222" s="478"/>
      <c r="K222" s="478"/>
      <c r="L222" s="478"/>
    </row>
    <row r="223" spans="1:12" x14ac:dyDescent="0.25">
      <c r="A223" s="478"/>
      <c r="B223" s="478"/>
      <c r="C223" s="478"/>
      <c r="D223" s="478"/>
      <c r="E223" s="478"/>
      <c r="F223" s="478"/>
      <c r="G223" s="478"/>
      <c r="H223" s="478"/>
      <c r="I223" s="478"/>
      <c r="J223" s="478"/>
      <c r="K223" s="478"/>
      <c r="L223" s="478"/>
    </row>
    <row r="224" spans="1:12" x14ac:dyDescent="0.25">
      <c r="A224" s="478"/>
      <c r="B224" s="478"/>
      <c r="C224" s="478"/>
      <c r="D224" s="478"/>
      <c r="E224" s="478"/>
      <c r="F224" s="478"/>
      <c r="G224" s="478"/>
      <c r="H224" s="478"/>
      <c r="I224" s="478"/>
      <c r="J224" s="478"/>
      <c r="K224" s="478"/>
      <c r="L224" s="478"/>
    </row>
    <row r="225" spans="1:12" x14ac:dyDescent="0.25">
      <c r="A225" s="478"/>
      <c r="B225" s="478"/>
      <c r="C225" s="478"/>
      <c r="D225" s="478"/>
      <c r="E225" s="478"/>
      <c r="F225" s="478"/>
      <c r="G225" s="478"/>
      <c r="H225" s="478"/>
      <c r="I225" s="478"/>
      <c r="J225" s="478"/>
      <c r="K225" s="478"/>
      <c r="L225" s="478"/>
    </row>
    <row r="226" spans="1:12" x14ac:dyDescent="0.25">
      <c r="A226" s="478"/>
      <c r="B226" s="478"/>
      <c r="C226" s="478"/>
      <c r="D226" s="478"/>
      <c r="E226" s="478"/>
      <c r="F226" s="478"/>
      <c r="G226" s="478"/>
      <c r="H226" s="478"/>
      <c r="I226" s="478"/>
      <c r="J226" s="478"/>
      <c r="K226" s="478"/>
      <c r="L226" s="478"/>
    </row>
    <row r="227" spans="1:12" x14ac:dyDescent="0.25">
      <c r="A227" s="478"/>
      <c r="B227" s="478"/>
      <c r="C227" s="478"/>
      <c r="D227" s="478"/>
      <c r="E227" s="478"/>
      <c r="F227" s="478"/>
      <c r="G227" s="478"/>
      <c r="H227" s="478"/>
      <c r="I227" s="478"/>
      <c r="J227" s="478"/>
      <c r="K227" s="478"/>
      <c r="L227" s="478"/>
    </row>
    <row r="228" spans="1:12" x14ac:dyDescent="0.25">
      <c r="A228" s="478"/>
      <c r="B228" s="478"/>
      <c r="C228" s="478"/>
      <c r="D228" s="478"/>
      <c r="E228" s="478"/>
      <c r="F228" s="478"/>
      <c r="G228" s="478"/>
      <c r="H228" s="478"/>
      <c r="I228" s="478"/>
      <c r="J228" s="478"/>
      <c r="K228" s="478"/>
      <c r="L228" s="478"/>
    </row>
    <row r="229" spans="1:12" x14ac:dyDescent="0.25">
      <c r="A229" s="478"/>
      <c r="B229" s="478"/>
      <c r="C229" s="478"/>
      <c r="D229" s="478"/>
      <c r="E229" s="478"/>
      <c r="F229" s="478"/>
      <c r="G229" s="478"/>
      <c r="H229" s="478"/>
      <c r="I229" s="478"/>
      <c r="J229" s="478"/>
      <c r="K229" s="478"/>
      <c r="L229" s="478"/>
    </row>
    <row r="230" spans="1:12" x14ac:dyDescent="0.25">
      <c r="A230" s="478"/>
      <c r="B230" s="478"/>
      <c r="C230" s="478"/>
      <c r="D230" s="478"/>
      <c r="E230" s="478"/>
      <c r="F230" s="478"/>
      <c r="G230" s="478"/>
      <c r="H230" s="478"/>
      <c r="I230" s="478"/>
      <c r="J230" s="478"/>
      <c r="K230" s="478"/>
      <c r="L230" s="478"/>
    </row>
    <row r="231" spans="1:12" x14ac:dyDescent="0.25">
      <c r="A231" s="478"/>
      <c r="B231" s="478"/>
      <c r="C231" s="478"/>
      <c r="D231" s="478"/>
      <c r="E231" s="478"/>
      <c r="F231" s="478"/>
      <c r="G231" s="478"/>
      <c r="H231" s="478"/>
      <c r="I231" s="478"/>
      <c r="J231" s="478"/>
      <c r="K231" s="478"/>
      <c r="L231" s="478"/>
    </row>
    <row r="232" spans="1:12" x14ac:dyDescent="0.25">
      <c r="A232" s="478"/>
      <c r="B232" s="478"/>
      <c r="C232" s="478"/>
      <c r="D232" s="478"/>
      <c r="E232" s="478"/>
      <c r="F232" s="478"/>
      <c r="G232" s="478"/>
      <c r="H232" s="478"/>
      <c r="I232" s="478"/>
      <c r="J232" s="478"/>
      <c r="K232" s="478"/>
      <c r="L232" s="478"/>
    </row>
    <row r="233" spans="1:12" x14ac:dyDescent="0.25">
      <c r="A233" s="478"/>
      <c r="B233" s="478"/>
      <c r="C233" s="478"/>
      <c r="D233" s="478"/>
      <c r="E233" s="478"/>
      <c r="F233" s="478"/>
      <c r="G233" s="478"/>
      <c r="H233" s="478"/>
      <c r="I233" s="478"/>
      <c r="J233" s="478"/>
      <c r="K233" s="478"/>
      <c r="L233" s="478"/>
    </row>
    <row r="234" spans="1:12" x14ac:dyDescent="0.25">
      <c r="A234" s="478"/>
      <c r="B234" s="478"/>
      <c r="C234" s="478"/>
      <c r="D234" s="478"/>
      <c r="E234" s="478"/>
      <c r="F234" s="478"/>
      <c r="G234" s="478"/>
      <c r="H234" s="478"/>
      <c r="I234" s="478"/>
      <c r="J234" s="478"/>
      <c r="K234" s="478"/>
      <c r="L234" s="478"/>
    </row>
    <row r="235" spans="1:12" x14ac:dyDescent="0.25">
      <c r="A235" s="478"/>
      <c r="B235" s="478"/>
      <c r="C235" s="478"/>
      <c r="D235" s="478"/>
      <c r="E235" s="478"/>
      <c r="F235" s="478"/>
      <c r="G235" s="478"/>
      <c r="H235" s="478"/>
      <c r="I235" s="478"/>
      <c r="J235" s="478"/>
      <c r="K235" s="478"/>
      <c r="L235" s="478"/>
    </row>
    <row r="236" spans="1:12" x14ac:dyDescent="0.25">
      <c r="A236" s="478"/>
      <c r="B236" s="478"/>
      <c r="C236" s="478"/>
      <c r="D236" s="478"/>
      <c r="E236" s="478"/>
      <c r="F236" s="478"/>
      <c r="G236" s="478"/>
      <c r="H236" s="478"/>
      <c r="I236" s="478"/>
      <c r="J236" s="478"/>
      <c r="K236" s="478"/>
      <c r="L236" s="478"/>
    </row>
    <row r="237" spans="1:12" x14ac:dyDescent="0.25">
      <c r="A237" s="478"/>
      <c r="B237" s="478"/>
      <c r="C237" s="478"/>
      <c r="D237" s="478"/>
      <c r="E237" s="478"/>
      <c r="F237" s="478"/>
      <c r="G237" s="478"/>
      <c r="H237" s="478"/>
      <c r="I237" s="478"/>
      <c r="J237" s="478"/>
      <c r="K237" s="478"/>
      <c r="L237" s="478"/>
    </row>
    <row r="238" spans="1:12" x14ac:dyDescent="0.25">
      <c r="A238" s="478"/>
      <c r="B238" s="478"/>
      <c r="C238" s="478"/>
      <c r="D238" s="478"/>
      <c r="E238" s="478"/>
      <c r="F238" s="478"/>
      <c r="G238" s="478"/>
      <c r="H238" s="478"/>
      <c r="I238" s="478"/>
      <c r="J238" s="478"/>
      <c r="K238" s="478"/>
      <c r="L238" s="478"/>
    </row>
    <row r="239" spans="1:12" x14ac:dyDescent="0.25">
      <c r="A239" s="478"/>
      <c r="B239" s="478"/>
      <c r="C239" s="478"/>
      <c r="D239" s="478"/>
      <c r="E239" s="478"/>
      <c r="F239" s="478"/>
      <c r="G239" s="478"/>
      <c r="H239" s="478"/>
      <c r="I239" s="478"/>
      <c r="J239" s="478"/>
      <c r="K239" s="478"/>
      <c r="L239" s="478"/>
    </row>
    <row r="240" spans="1:12" x14ac:dyDescent="0.25">
      <c r="A240" s="478"/>
      <c r="B240" s="478"/>
      <c r="C240" s="478"/>
      <c r="D240" s="478"/>
      <c r="E240" s="478"/>
      <c r="F240" s="478"/>
      <c r="G240" s="478"/>
      <c r="H240" s="478"/>
      <c r="I240" s="478"/>
      <c r="J240" s="478"/>
      <c r="K240" s="478"/>
      <c r="L240" s="478"/>
    </row>
    <row r="241" spans="1:12" x14ac:dyDescent="0.25">
      <c r="A241" s="478"/>
      <c r="B241" s="478"/>
      <c r="C241" s="478"/>
      <c r="D241" s="478"/>
      <c r="E241" s="478"/>
      <c r="F241" s="478"/>
      <c r="G241" s="478"/>
      <c r="H241" s="478"/>
      <c r="I241" s="478"/>
      <c r="J241" s="478"/>
      <c r="K241" s="478"/>
      <c r="L241" s="478"/>
    </row>
    <row r="242" spans="1:12" x14ac:dyDescent="0.25">
      <c r="A242" s="478"/>
      <c r="B242" s="478"/>
      <c r="C242" s="478"/>
      <c r="D242" s="478"/>
      <c r="E242" s="478"/>
      <c r="F242" s="478"/>
      <c r="G242" s="478"/>
      <c r="H242" s="478"/>
      <c r="I242" s="478"/>
      <c r="J242" s="478"/>
      <c r="K242" s="478"/>
      <c r="L242" s="478"/>
    </row>
    <row r="243" spans="1:12" x14ac:dyDescent="0.25">
      <c r="A243" s="478"/>
      <c r="B243" s="478"/>
      <c r="C243" s="478"/>
      <c r="D243" s="478"/>
      <c r="E243" s="478"/>
      <c r="F243" s="478"/>
      <c r="G243" s="478"/>
      <c r="H243" s="478"/>
      <c r="I243" s="478"/>
      <c r="J243" s="478"/>
      <c r="K243" s="478"/>
      <c r="L243" s="478"/>
    </row>
    <row r="244" spans="1:12" x14ac:dyDescent="0.25">
      <c r="A244" s="478"/>
      <c r="B244" s="478"/>
      <c r="C244" s="478"/>
      <c r="D244" s="478"/>
      <c r="E244" s="478"/>
      <c r="F244" s="478"/>
      <c r="G244" s="478"/>
      <c r="H244" s="478"/>
      <c r="I244" s="478"/>
      <c r="J244" s="478"/>
      <c r="K244" s="478"/>
      <c r="L244" s="478"/>
    </row>
    <row r="245" spans="1:12" x14ac:dyDescent="0.25">
      <c r="A245" s="478"/>
      <c r="B245" s="478"/>
      <c r="C245" s="478"/>
      <c r="D245" s="478"/>
      <c r="E245" s="478"/>
      <c r="F245" s="478"/>
      <c r="G245" s="478"/>
      <c r="H245" s="478"/>
      <c r="I245" s="478"/>
      <c r="J245" s="478"/>
      <c r="K245" s="478"/>
      <c r="L245" s="478"/>
    </row>
    <row r="246" spans="1:12" x14ac:dyDescent="0.25">
      <c r="A246" s="478"/>
      <c r="B246" s="478"/>
      <c r="C246" s="478"/>
      <c r="D246" s="478"/>
      <c r="E246" s="478"/>
      <c r="F246" s="478"/>
      <c r="G246" s="478"/>
      <c r="H246" s="478"/>
      <c r="I246" s="478"/>
      <c r="J246" s="478"/>
      <c r="K246" s="478"/>
      <c r="L246" s="478"/>
    </row>
    <row r="247" spans="1:12" x14ac:dyDescent="0.25">
      <c r="A247" s="478"/>
      <c r="B247" s="478"/>
      <c r="C247" s="478"/>
      <c r="D247" s="478"/>
      <c r="E247" s="478"/>
      <c r="F247" s="478"/>
      <c r="G247" s="478"/>
      <c r="H247" s="478"/>
      <c r="I247" s="478"/>
      <c r="J247" s="478"/>
      <c r="K247" s="478"/>
      <c r="L247" s="478"/>
    </row>
    <row r="248" spans="1:12" x14ac:dyDescent="0.25">
      <c r="A248" s="478"/>
      <c r="B248" s="478"/>
      <c r="C248" s="478"/>
      <c r="D248" s="478"/>
      <c r="E248" s="478"/>
      <c r="F248" s="478"/>
      <c r="G248" s="478"/>
      <c r="H248" s="478"/>
      <c r="I248" s="478"/>
      <c r="J248" s="478"/>
      <c r="K248" s="478"/>
      <c r="L248" s="478"/>
    </row>
    <row r="249" spans="1:12" x14ac:dyDescent="0.25">
      <c r="A249" s="478"/>
      <c r="B249" s="478"/>
      <c r="C249" s="478"/>
      <c r="D249" s="478"/>
      <c r="E249" s="478"/>
      <c r="F249" s="478"/>
      <c r="G249" s="478"/>
      <c r="H249" s="478"/>
      <c r="I249" s="478"/>
      <c r="J249" s="478"/>
      <c r="K249" s="478"/>
      <c r="L249" s="478"/>
    </row>
    <row r="250" spans="1:12" x14ac:dyDescent="0.25">
      <c r="A250" s="478"/>
      <c r="B250" s="478"/>
      <c r="C250" s="478"/>
      <c r="D250" s="478"/>
      <c r="E250" s="478"/>
      <c r="F250" s="478"/>
      <c r="G250" s="478"/>
      <c r="H250" s="478"/>
      <c r="I250" s="478"/>
      <c r="J250" s="478"/>
      <c r="K250" s="478"/>
      <c r="L250" s="478"/>
    </row>
    <row r="251" spans="1:12" x14ac:dyDescent="0.25">
      <c r="A251" s="478"/>
      <c r="B251" s="478"/>
      <c r="C251" s="478"/>
      <c r="D251" s="478"/>
      <c r="E251" s="478"/>
      <c r="F251" s="478"/>
      <c r="G251" s="478"/>
      <c r="H251" s="478"/>
      <c r="I251" s="478"/>
      <c r="J251" s="478"/>
      <c r="K251" s="478"/>
      <c r="L251" s="478"/>
    </row>
    <row r="252" spans="1:12" x14ac:dyDescent="0.25">
      <c r="A252" s="478"/>
      <c r="B252" s="478"/>
      <c r="C252" s="478"/>
      <c r="D252" s="478"/>
      <c r="E252" s="478"/>
      <c r="F252" s="478"/>
      <c r="G252" s="478"/>
      <c r="H252" s="478"/>
      <c r="I252" s="478"/>
      <c r="J252" s="478"/>
      <c r="K252" s="478"/>
      <c r="L252" s="478"/>
    </row>
    <row r="253" spans="1:12" x14ac:dyDescent="0.25">
      <c r="A253" s="478"/>
      <c r="B253" s="478"/>
      <c r="C253" s="478"/>
      <c r="D253" s="478"/>
      <c r="E253" s="478"/>
      <c r="F253" s="478"/>
      <c r="G253" s="478"/>
      <c r="H253" s="478"/>
      <c r="I253" s="478"/>
      <c r="J253" s="478"/>
      <c r="K253" s="478"/>
      <c r="L253" s="478"/>
    </row>
    <row r="254" spans="1:12" x14ac:dyDescent="0.25">
      <c r="A254" s="478"/>
      <c r="B254" s="478"/>
      <c r="C254" s="478"/>
      <c r="D254" s="478"/>
      <c r="E254" s="478"/>
      <c r="F254" s="478"/>
      <c r="G254" s="478"/>
      <c r="H254" s="478"/>
      <c r="I254" s="478"/>
      <c r="J254" s="478"/>
      <c r="K254" s="478"/>
      <c r="L254" s="478"/>
    </row>
    <row r="255" spans="1:12" x14ac:dyDescent="0.25">
      <c r="A255" s="478"/>
      <c r="B255" s="478"/>
      <c r="C255" s="478"/>
      <c r="D255" s="478"/>
      <c r="E255" s="478"/>
      <c r="F255" s="478"/>
      <c r="G255" s="478"/>
      <c r="H255" s="478"/>
      <c r="I255" s="478"/>
      <c r="J255" s="478"/>
      <c r="K255" s="478"/>
      <c r="L255" s="478"/>
    </row>
    <row r="256" spans="1:12" x14ac:dyDescent="0.25">
      <c r="A256" s="478"/>
      <c r="B256" s="478"/>
      <c r="C256" s="478"/>
      <c r="D256" s="478"/>
      <c r="E256" s="478"/>
      <c r="F256" s="478"/>
      <c r="G256" s="478"/>
      <c r="H256" s="478"/>
      <c r="I256" s="478"/>
      <c r="J256" s="478"/>
      <c r="K256" s="478"/>
      <c r="L256" s="478"/>
    </row>
    <row r="257" spans="1:12" x14ac:dyDescent="0.25">
      <c r="A257" s="478"/>
      <c r="B257" s="478"/>
      <c r="C257" s="478"/>
      <c r="D257" s="478"/>
      <c r="E257" s="478"/>
      <c r="F257" s="478"/>
      <c r="G257" s="478"/>
      <c r="H257" s="478"/>
      <c r="I257" s="478"/>
      <c r="J257" s="478"/>
      <c r="K257" s="478"/>
      <c r="L257" s="478"/>
    </row>
    <row r="258" spans="1:12" x14ac:dyDescent="0.25">
      <c r="A258" s="478"/>
      <c r="B258" s="478"/>
      <c r="C258" s="478"/>
      <c r="D258" s="478"/>
      <c r="E258" s="478"/>
      <c r="F258" s="478"/>
      <c r="G258" s="478"/>
      <c r="H258" s="478"/>
      <c r="I258" s="478"/>
      <c r="J258" s="478"/>
      <c r="K258" s="478"/>
      <c r="L258" s="478"/>
    </row>
    <row r="259" spans="1:12" x14ac:dyDescent="0.25">
      <c r="A259" s="478"/>
      <c r="B259" s="478"/>
      <c r="C259" s="478"/>
      <c r="D259" s="478"/>
      <c r="E259" s="478"/>
      <c r="F259" s="478"/>
      <c r="G259" s="478"/>
      <c r="H259" s="478"/>
      <c r="I259" s="478"/>
      <c r="J259" s="478"/>
      <c r="K259" s="478"/>
      <c r="L259" s="478"/>
    </row>
    <row r="260" spans="1:12" x14ac:dyDescent="0.25">
      <c r="A260" s="478"/>
      <c r="B260" s="478"/>
      <c r="C260" s="478"/>
      <c r="D260" s="478"/>
      <c r="E260" s="478"/>
      <c r="F260" s="478"/>
      <c r="G260" s="478"/>
      <c r="H260" s="478"/>
      <c r="I260" s="478"/>
      <c r="J260" s="478"/>
      <c r="K260" s="478"/>
      <c r="L260" s="478"/>
    </row>
    <row r="261" spans="1:12" x14ac:dyDescent="0.25">
      <c r="A261" s="478"/>
      <c r="B261" s="478"/>
      <c r="C261" s="478"/>
      <c r="D261" s="478"/>
      <c r="E261" s="478"/>
      <c r="F261" s="478"/>
      <c r="G261" s="478"/>
      <c r="H261" s="478"/>
      <c r="I261" s="478"/>
      <c r="J261" s="478"/>
      <c r="K261" s="478"/>
      <c r="L261" s="478"/>
    </row>
    <row r="262" spans="1:12" x14ac:dyDescent="0.25">
      <c r="A262" s="478"/>
      <c r="B262" s="478"/>
      <c r="C262" s="478"/>
      <c r="D262" s="478"/>
      <c r="E262" s="478"/>
      <c r="F262" s="478"/>
      <c r="G262" s="478"/>
      <c r="H262" s="478"/>
      <c r="I262" s="478"/>
      <c r="J262" s="478"/>
      <c r="K262" s="478"/>
      <c r="L262" s="478"/>
    </row>
    <row r="263" spans="1:12" x14ac:dyDescent="0.25">
      <c r="A263" s="478"/>
      <c r="B263" s="478"/>
      <c r="C263" s="478"/>
      <c r="D263" s="478"/>
      <c r="E263" s="478"/>
      <c r="F263" s="478"/>
      <c r="G263" s="478"/>
      <c r="H263" s="478"/>
      <c r="I263" s="478"/>
      <c r="J263" s="478"/>
      <c r="K263" s="478"/>
      <c r="L263" s="478"/>
    </row>
    <row r="264" spans="1:12" x14ac:dyDescent="0.25">
      <c r="A264" s="478"/>
      <c r="B264" s="478"/>
      <c r="C264" s="478"/>
      <c r="D264" s="478"/>
      <c r="E264" s="478"/>
      <c r="F264" s="478"/>
      <c r="G264" s="478"/>
      <c r="H264" s="478"/>
      <c r="I264" s="478"/>
      <c r="J264" s="478"/>
      <c r="K264" s="478"/>
      <c r="L264" s="478"/>
    </row>
    <row r="265" spans="1:12" x14ac:dyDescent="0.25">
      <c r="A265" s="478"/>
      <c r="B265" s="478"/>
      <c r="C265" s="478"/>
      <c r="D265" s="478"/>
      <c r="E265" s="478"/>
      <c r="F265" s="478"/>
      <c r="G265" s="478"/>
      <c r="H265" s="478"/>
      <c r="I265" s="478"/>
      <c r="J265" s="478"/>
      <c r="K265" s="478"/>
      <c r="L265" s="478"/>
    </row>
    <row r="266" spans="1:12" x14ac:dyDescent="0.25">
      <c r="A266" s="478"/>
      <c r="B266" s="478"/>
      <c r="C266" s="478"/>
      <c r="D266" s="478"/>
      <c r="E266" s="478"/>
      <c r="F266" s="478"/>
      <c r="G266" s="478"/>
      <c r="H266" s="478"/>
      <c r="I266" s="478"/>
      <c r="J266" s="478"/>
      <c r="K266" s="478"/>
      <c r="L266" s="478"/>
    </row>
    <row r="267" spans="1:12" x14ac:dyDescent="0.25">
      <c r="A267" s="478"/>
      <c r="B267" s="478"/>
      <c r="C267" s="478"/>
      <c r="D267" s="478"/>
      <c r="E267" s="478"/>
      <c r="F267" s="478"/>
      <c r="G267" s="478"/>
      <c r="H267" s="478"/>
      <c r="I267" s="478"/>
      <c r="J267" s="478"/>
      <c r="K267" s="478"/>
      <c r="L267" s="478"/>
    </row>
    <row r="268" spans="1:12" x14ac:dyDescent="0.25">
      <c r="A268" s="478"/>
      <c r="B268" s="478"/>
      <c r="C268" s="478"/>
      <c r="D268" s="478"/>
      <c r="E268" s="478"/>
      <c r="F268" s="478"/>
      <c r="G268" s="478"/>
      <c r="H268" s="478"/>
      <c r="I268" s="478"/>
      <c r="J268" s="478"/>
      <c r="K268" s="478"/>
      <c r="L268" s="478"/>
    </row>
    <row r="269" spans="1:12" x14ac:dyDescent="0.25">
      <c r="A269" s="478"/>
      <c r="B269" s="478"/>
      <c r="C269" s="478"/>
      <c r="D269" s="478"/>
      <c r="E269" s="478"/>
      <c r="F269" s="478"/>
      <c r="G269" s="478"/>
      <c r="H269" s="478"/>
      <c r="I269" s="478"/>
      <c r="J269" s="478"/>
      <c r="K269" s="478"/>
      <c r="L269" s="478"/>
    </row>
    <row r="270" spans="1:12" x14ac:dyDescent="0.25">
      <c r="A270" s="478"/>
      <c r="B270" s="478"/>
      <c r="C270" s="478"/>
      <c r="D270" s="478"/>
      <c r="E270" s="478"/>
      <c r="F270" s="478"/>
      <c r="G270" s="478"/>
      <c r="H270" s="478"/>
      <c r="I270" s="478"/>
      <c r="J270" s="478"/>
      <c r="K270" s="478"/>
      <c r="L270" s="478"/>
    </row>
    <row r="271" spans="1:12" x14ac:dyDescent="0.25">
      <c r="A271" s="478"/>
      <c r="B271" s="478"/>
      <c r="C271" s="478"/>
      <c r="D271" s="478"/>
      <c r="E271" s="478"/>
      <c r="F271" s="478"/>
      <c r="G271" s="478"/>
      <c r="H271" s="478"/>
      <c r="I271" s="478"/>
      <c r="J271" s="478"/>
      <c r="K271" s="478"/>
      <c r="L271" s="478"/>
    </row>
    <row r="272" spans="1:12" x14ac:dyDescent="0.25">
      <c r="A272" s="478"/>
      <c r="B272" s="478"/>
      <c r="C272" s="478"/>
      <c r="D272" s="478"/>
      <c r="E272" s="478"/>
      <c r="F272" s="478"/>
      <c r="G272" s="478"/>
      <c r="H272" s="478"/>
      <c r="I272" s="478"/>
      <c r="J272" s="478"/>
      <c r="K272" s="478"/>
      <c r="L272" s="478"/>
    </row>
    <row r="273" spans="1:12" x14ac:dyDescent="0.25">
      <c r="A273" s="478"/>
      <c r="B273" s="478"/>
      <c r="C273" s="478"/>
      <c r="D273" s="478"/>
      <c r="E273" s="478"/>
      <c r="F273" s="478"/>
      <c r="G273" s="478"/>
      <c r="H273" s="478"/>
      <c r="I273" s="478"/>
      <c r="J273" s="478"/>
      <c r="K273" s="478"/>
      <c r="L273" s="478"/>
    </row>
    <row r="274" spans="1:12" x14ac:dyDescent="0.25">
      <c r="A274" s="478"/>
      <c r="B274" s="478"/>
      <c r="C274" s="478"/>
      <c r="D274" s="478"/>
      <c r="E274" s="478"/>
      <c r="F274" s="478"/>
      <c r="G274" s="478"/>
      <c r="H274" s="478"/>
      <c r="I274" s="478"/>
      <c r="J274" s="478"/>
      <c r="K274" s="478"/>
      <c r="L274" s="478"/>
    </row>
    <row r="275" spans="1:12" x14ac:dyDescent="0.25">
      <c r="A275" s="478"/>
      <c r="B275" s="478"/>
      <c r="C275" s="478"/>
      <c r="D275" s="478"/>
      <c r="E275" s="478"/>
      <c r="F275" s="478"/>
      <c r="G275" s="478"/>
      <c r="H275" s="478"/>
      <c r="I275" s="478"/>
      <c r="J275" s="478"/>
      <c r="K275" s="478"/>
      <c r="L275" s="478"/>
    </row>
    <row r="276" spans="1:12" x14ac:dyDescent="0.25">
      <c r="A276" s="478"/>
      <c r="B276" s="478"/>
      <c r="C276" s="478"/>
      <c r="D276" s="478"/>
      <c r="E276" s="478"/>
      <c r="F276" s="478"/>
      <c r="G276" s="478"/>
      <c r="H276" s="478"/>
      <c r="I276" s="478"/>
      <c r="J276" s="478"/>
      <c r="K276" s="478"/>
      <c r="L276" s="478"/>
    </row>
    <row r="277" spans="1:12" x14ac:dyDescent="0.25">
      <c r="A277" s="478"/>
      <c r="B277" s="478"/>
      <c r="C277" s="478"/>
      <c r="D277" s="478"/>
      <c r="E277" s="478"/>
      <c r="F277" s="478"/>
      <c r="G277" s="478"/>
      <c r="H277" s="478"/>
      <c r="I277" s="478"/>
      <c r="J277" s="478"/>
      <c r="K277" s="478"/>
      <c r="L277" s="478"/>
    </row>
    <row r="278" spans="1:12" x14ac:dyDescent="0.25">
      <c r="A278" s="478"/>
      <c r="B278" s="478"/>
      <c r="C278" s="478"/>
      <c r="D278" s="478"/>
      <c r="E278" s="478"/>
      <c r="F278" s="478"/>
      <c r="G278" s="478"/>
      <c r="H278" s="478"/>
      <c r="I278" s="478"/>
      <c r="J278" s="478"/>
      <c r="K278" s="478"/>
      <c r="L278" s="478"/>
    </row>
    <row r="279" spans="1:12" x14ac:dyDescent="0.25">
      <c r="A279" s="478"/>
      <c r="B279" s="478"/>
      <c r="C279" s="478"/>
      <c r="D279" s="478"/>
      <c r="E279" s="478"/>
      <c r="F279" s="478"/>
      <c r="G279" s="478"/>
      <c r="H279" s="478"/>
      <c r="I279" s="478"/>
      <c r="J279" s="478"/>
      <c r="K279" s="478"/>
      <c r="L279" s="478"/>
    </row>
    <row r="280" spans="1:12" x14ac:dyDescent="0.25">
      <c r="A280" s="478"/>
      <c r="B280" s="478"/>
      <c r="C280" s="478"/>
      <c r="D280" s="478"/>
      <c r="E280" s="478"/>
      <c r="F280" s="478"/>
      <c r="G280" s="478"/>
      <c r="H280" s="478"/>
      <c r="I280" s="478"/>
      <c r="J280" s="478"/>
      <c r="K280" s="478"/>
      <c r="L280" s="478"/>
    </row>
    <row r="281" spans="1:12" x14ac:dyDescent="0.25">
      <c r="A281" s="478"/>
      <c r="B281" s="478"/>
      <c r="C281" s="478"/>
      <c r="D281" s="478"/>
      <c r="E281" s="478"/>
      <c r="F281" s="478"/>
      <c r="G281" s="478"/>
      <c r="H281" s="478"/>
      <c r="I281" s="478"/>
      <c r="J281" s="478"/>
      <c r="K281" s="478"/>
      <c r="L281" s="478"/>
    </row>
    <row r="282" spans="1:12" x14ac:dyDescent="0.25">
      <c r="A282" s="478"/>
      <c r="B282" s="478"/>
      <c r="C282" s="478"/>
      <c r="D282" s="478"/>
      <c r="E282" s="478"/>
      <c r="F282" s="478"/>
      <c r="G282" s="478"/>
      <c r="H282" s="478"/>
      <c r="I282" s="478"/>
      <c r="J282" s="478"/>
      <c r="K282" s="478"/>
      <c r="L282" s="478"/>
    </row>
    <row r="283" spans="1:12" x14ac:dyDescent="0.25">
      <c r="A283" s="478"/>
      <c r="B283" s="478"/>
      <c r="C283" s="478"/>
      <c r="D283" s="478"/>
      <c r="E283" s="478"/>
      <c r="F283" s="478"/>
      <c r="G283" s="478"/>
      <c r="H283" s="478"/>
      <c r="I283" s="478"/>
      <c r="J283" s="478"/>
      <c r="K283" s="478"/>
      <c r="L283" s="478"/>
    </row>
    <row r="284" spans="1:12" x14ac:dyDescent="0.25">
      <c r="A284" s="478"/>
      <c r="B284" s="478"/>
      <c r="C284" s="478"/>
      <c r="D284" s="478"/>
      <c r="E284" s="478"/>
      <c r="F284" s="478"/>
      <c r="G284" s="478"/>
      <c r="H284" s="478"/>
      <c r="I284" s="478"/>
      <c r="J284" s="478"/>
      <c r="K284" s="478"/>
      <c r="L284" s="478"/>
    </row>
    <row r="285" spans="1:12" x14ac:dyDescent="0.25">
      <c r="A285" s="478"/>
      <c r="B285" s="478"/>
      <c r="C285" s="478"/>
      <c r="D285" s="478"/>
      <c r="E285" s="478"/>
      <c r="F285" s="478"/>
      <c r="G285" s="478"/>
      <c r="H285" s="478"/>
      <c r="I285" s="478"/>
      <c r="J285" s="478"/>
      <c r="K285" s="478"/>
      <c r="L285" s="478"/>
    </row>
    <row r="286" spans="1:12" x14ac:dyDescent="0.25">
      <c r="A286" s="478"/>
      <c r="B286" s="478"/>
      <c r="C286" s="478"/>
      <c r="D286" s="478"/>
      <c r="E286" s="478"/>
      <c r="F286" s="478"/>
      <c r="G286" s="478"/>
      <c r="H286" s="478"/>
      <c r="I286" s="478"/>
      <c r="J286" s="478"/>
      <c r="K286" s="478"/>
      <c r="L286" s="478"/>
    </row>
    <row r="287" spans="1:12" x14ac:dyDescent="0.25">
      <c r="A287" s="478"/>
      <c r="B287" s="478"/>
      <c r="C287" s="478"/>
      <c r="D287" s="478"/>
      <c r="E287" s="478"/>
      <c r="F287" s="478"/>
      <c r="G287" s="478"/>
      <c r="H287" s="478"/>
      <c r="I287" s="478"/>
      <c r="J287" s="478"/>
      <c r="K287" s="478"/>
      <c r="L287" s="478"/>
    </row>
    <row r="288" spans="1:12" x14ac:dyDescent="0.25">
      <c r="A288" s="478"/>
      <c r="B288" s="478"/>
      <c r="C288" s="478"/>
      <c r="D288" s="478"/>
      <c r="E288" s="478"/>
      <c r="F288" s="478"/>
      <c r="G288" s="478"/>
      <c r="H288" s="478"/>
      <c r="I288" s="478"/>
      <c r="J288" s="478"/>
      <c r="K288" s="478"/>
      <c r="L288" s="478"/>
    </row>
    <row r="289" spans="1:12" x14ac:dyDescent="0.25">
      <c r="A289" s="478"/>
      <c r="B289" s="478"/>
      <c r="C289" s="478"/>
      <c r="D289" s="478"/>
      <c r="E289" s="478"/>
      <c r="F289" s="478"/>
      <c r="G289" s="478"/>
      <c r="H289" s="478"/>
      <c r="I289" s="478"/>
      <c r="J289" s="478"/>
      <c r="K289" s="478"/>
      <c r="L289" s="478"/>
    </row>
    <row r="290" spans="1:12" x14ac:dyDescent="0.25">
      <c r="A290" s="478"/>
      <c r="B290" s="478"/>
      <c r="C290" s="478"/>
      <c r="D290" s="478"/>
      <c r="E290" s="478"/>
      <c r="F290" s="478"/>
      <c r="G290" s="478"/>
      <c r="H290" s="478"/>
      <c r="I290" s="478"/>
      <c r="J290" s="478"/>
      <c r="K290" s="478"/>
      <c r="L290" s="478"/>
    </row>
    <row r="291" spans="1:12" x14ac:dyDescent="0.25">
      <c r="A291" s="478"/>
      <c r="B291" s="478"/>
      <c r="C291" s="478"/>
      <c r="D291" s="478"/>
      <c r="E291" s="478"/>
      <c r="F291" s="478"/>
      <c r="G291" s="478"/>
      <c r="H291" s="478"/>
      <c r="I291" s="478"/>
      <c r="J291" s="478"/>
      <c r="K291" s="478"/>
      <c r="L291" s="478"/>
    </row>
    <row r="292" spans="1:12" x14ac:dyDescent="0.25">
      <c r="A292" s="478"/>
      <c r="B292" s="478"/>
      <c r="C292" s="478"/>
      <c r="D292" s="478"/>
      <c r="E292" s="478"/>
      <c r="F292" s="478"/>
      <c r="G292" s="478"/>
      <c r="H292" s="478"/>
      <c r="I292" s="478"/>
      <c r="J292" s="478"/>
      <c r="K292" s="478"/>
      <c r="L292" s="478"/>
    </row>
    <row r="293" spans="1:12" x14ac:dyDescent="0.25">
      <c r="A293" s="478"/>
      <c r="B293" s="478"/>
      <c r="C293" s="478"/>
      <c r="D293" s="478"/>
      <c r="E293" s="478"/>
      <c r="F293" s="478"/>
      <c r="G293" s="478"/>
      <c r="H293" s="478"/>
      <c r="I293" s="478"/>
      <c r="J293" s="478"/>
      <c r="K293" s="478"/>
      <c r="L293" s="478"/>
    </row>
    <row r="294" spans="1:12" x14ac:dyDescent="0.25">
      <c r="A294" s="478"/>
      <c r="B294" s="478"/>
      <c r="C294" s="478"/>
      <c r="D294" s="478"/>
      <c r="E294" s="478"/>
      <c r="F294" s="478"/>
      <c r="G294" s="478"/>
      <c r="H294" s="478"/>
      <c r="I294" s="478"/>
      <c r="J294" s="478"/>
      <c r="K294" s="478"/>
      <c r="L294" s="478"/>
    </row>
    <row r="295" spans="1:12" x14ac:dyDescent="0.25">
      <c r="A295" s="478"/>
      <c r="B295" s="478"/>
      <c r="C295" s="478"/>
      <c r="D295" s="478"/>
      <c r="E295" s="478"/>
      <c r="F295" s="478"/>
      <c r="G295" s="478"/>
      <c r="H295" s="478"/>
      <c r="I295" s="478"/>
      <c r="J295" s="478"/>
      <c r="K295" s="478"/>
      <c r="L295" s="478"/>
    </row>
    <row r="296" spans="1:12" x14ac:dyDescent="0.25">
      <c r="A296" s="478"/>
      <c r="B296" s="478"/>
      <c r="C296" s="478"/>
      <c r="D296" s="478"/>
      <c r="E296" s="478"/>
      <c r="F296" s="478"/>
      <c r="G296" s="478"/>
      <c r="H296" s="478"/>
      <c r="I296" s="478"/>
      <c r="J296" s="478"/>
      <c r="K296" s="478"/>
      <c r="L296" s="478"/>
    </row>
    <row r="297" spans="1:12" x14ac:dyDescent="0.25">
      <c r="A297" s="478"/>
      <c r="B297" s="478"/>
      <c r="C297" s="478"/>
      <c r="D297" s="478"/>
      <c r="E297" s="478"/>
      <c r="F297" s="478"/>
      <c r="G297" s="478"/>
      <c r="H297" s="478"/>
      <c r="I297" s="478"/>
      <c r="J297" s="478"/>
      <c r="K297" s="478"/>
      <c r="L297" s="478"/>
    </row>
    <row r="298" spans="1:12" x14ac:dyDescent="0.25">
      <c r="A298" s="478"/>
      <c r="B298" s="478"/>
      <c r="C298" s="478"/>
      <c r="D298" s="478"/>
      <c r="E298" s="478"/>
      <c r="F298" s="478"/>
      <c r="G298" s="478"/>
      <c r="H298" s="478"/>
      <c r="I298" s="478"/>
      <c r="J298" s="478"/>
      <c r="K298" s="478"/>
      <c r="L298" s="478"/>
    </row>
    <row r="299" spans="1:12" x14ac:dyDescent="0.25">
      <c r="A299" s="478"/>
      <c r="B299" s="478"/>
      <c r="C299" s="478"/>
      <c r="D299" s="478"/>
      <c r="E299" s="478"/>
      <c r="F299" s="478"/>
      <c r="G299" s="478"/>
      <c r="H299" s="478"/>
      <c r="I299" s="478"/>
      <c r="J299" s="478"/>
      <c r="K299" s="478"/>
      <c r="L299" s="478"/>
    </row>
    <row r="300" spans="1:12" x14ac:dyDescent="0.25">
      <c r="A300" s="478"/>
      <c r="B300" s="478"/>
      <c r="C300" s="478"/>
      <c r="D300" s="478"/>
      <c r="E300" s="478"/>
      <c r="F300" s="478"/>
      <c r="G300" s="478"/>
      <c r="H300" s="478"/>
      <c r="I300" s="478"/>
      <c r="J300" s="478"/>
      <c r="K300" s="478"/>
      <c r="L300" s="478"/>
    </row>
    <row r="301" spans="1:12" x14ac:dyDescent="0.25">
      <c r="A301" s="478"/>
      <c r="B301" s="478"/>
      <c r="C301" s="478"/>
      <c r="D301" s="478"/>
      <c r="E301" s="478"/>
      <c r="F301" s="478"/>
      <c r="G301" s="478"/>
      <c r="H301" s="478"/>
      <c r="I301" s="478"/>
      <c r="J301" s="478"/>
      <c r="K301" s="478"/>
      <c r="L301" s="478"/>
    </row>
    <row r="302" spans="1:12" x14ac:dyDescent="0.25">
      <c r="A302" s="478"/>
      <c r="B302" s="478"/>
      <c r="C302" s="478"/>
      <c r="D302" s="478"/>
      <c r="E302" s="478"/>
      <c r="F302" s="478"/>
      <c r="G302" s="478"/>
      <c r="H302" s="478"/>
      <c r="I302" s="478"/>
      <c r="J302" s="478"/>
      <c r="K302" s="478"/>
      <c r="L302" s="478"/>
    </row>
    <row r="303" spans="1:12" x14ac:dyDescent="0.25">
      <c r="A303" s="478"/>
      <c r="B303" s="478"/>
      <c r="C303" s="478"/>
      <c r="D303" s="478"/>
      <c r="E303" s="478"/>
      <c r="F303" s="478"/>
      <c r="G303" s="478"/>
      <c r="H303" s="478"/>
      <c r="I303" s="478"/>
      <c r="J303" s="478"/>
      <c r="K303" s="478"/>
      <c r="L303" s="478"/>
    </row>
    <row r="304" spans="1:12" x14ac:dyDescent="0.25">
      <c r="A304" s="478"/>
      <c r="B304" s="478"/>
      <c r="C304" s="478"/>
      <c r="D304" s="478"/>
      <c r="E304" s="478"/>
      <c r="F304" s="478"/>
      <c r="G304" s="478"/>
      <c r="H304" s="478"/>
      <c r="I304" s="478"/>
      <c r="J304" s="478"/>
      <c r="K304" s="478"/>
      <c r="L304" s="478"/>
    </row>
    <row r="305" spans="1:12" x14ac:dyDescent="0.25">
      <c r="A305" s="478"/>
      <c r="B305" s="478"/>
      <c r="C305" s="478"/>
      <c r="D305" s="478"/>
      <c r="E305" s="478"/>
      <c r="F305" s="478"/>
      <c r="G305" s="478"/>
      <c r="H305" s="478"/>
      <c r="I305" s="478"/>
      <c r="J305" s="478"/>
      <c r="K305" s="478"/>
      <c r="L305" s="478"/>
    </row>
    <row r="306" spans="1:12" x14ac:dyDescent="0.25">
      <c r="A306" s="478"/>
      <c r="B306" s="478"/>
      <c r="C306" s="478"/>
      <c r="D306" s="478"/>
      <c r="E306" s="478"/>
      <c r="F306" s="478"/>
      <c r="G306" s="478"/>
      <c r="H306" s="478"/>
      <c r="I306" s="478"/>
      <c r="J306" s="478"/>
      <c r="K306" s="478"/>
      <c r="L306" s="478"/>
    </row>
    <row r="307" spans="1:12" x14ac:dyDescent="0.25">
      <c r="A307" s="478"/>
      <c r="B307" s="478"/>
      <c r="C307" s="478"/>
      <c r="D307" s="478"/>
      <c r="E307" s="478"/>
      <c r="F307" s="478"/>
      <c r="G307" s="478"/>
      <c r="H307" s="478"/>
      <c r="I307" s="478"/>
      <c r="J307" s="478"/>
      <c r="K307" s="478"/>
      <c r="L307" s="478"/>
    </row>
    <row r="308" spans="1:12" x14ac:dyDescent="0.25">
      <c r="A308" s="478"/>
      <c r="B308" s="478"/>
      <c r="C308" s="478"/>
      <c r="D308" s="478"/>
      <c r="E308" s="478"/>
      <c r="F308" s="478"/>
      <c r="G308" s="478"/>
      <c r="H308" s="478"/>
      <c r="I308" s="478"/>
      <c r="J308" s="478"/>
      <c r="K308" s="478"/>
      <c r="L308" s="478"/>
    </row>
    <row r="309" spans="1:12" x14ac:dyDescent="0.25">
      <c r="A309" s="478"/>
      <c r="B309" s="478"/>
      <c r="C309" s="478"/>
      <c r="D309" s="478"/>
      <c r="E309" s="478"/>
      <c r="F309" s="478"/>
      <c r="G309" s="478"/>
      <c r="H309" s="478"/>
      <c r="I309" s="478"/>
      <c r="J309" s="478"/>
      <c r="K309" s="478"/>
      <c r="L309" s="478"/>
    </row>
    <row r="310" spans="1:12" x14ac:dyDescent="0.25">
      <c r="A310" s="478"/>
      <c r="B310" s="478"/>
      <c r="C310" s="478"/>
      <c r="D310" s="478"/>
      <c r="E310" s="478"/>
      <c r="F310" s="478"/>
      <c r="G310" s="478"/>
      <c r="H310" s="478"/>
      <c r="I310" s="478"/>
      <c r="J310" s="478"/>
      <c r="K310" s="478"/>
      <c r="L310" s="478"/>
    </row>
    <row r="311" spans="1:12" x14ac:dyDescent="0.25">
      <c r="A311" s="478"/>
      <c r="B311" s="478"/>
      <c r="C311" s="478"/>
      <c r="D311" s="478"/>
      <c r="E311" s="478"/>
      <c r="F311" s="478"/>
      <c r="G311" s="478"/>
      <c r="H311" s="478"/>
      <c r="I311" s="478"/>
      <c r="J311" s="478"/>
      <c r="K311" s="478"/>
      <c r="L311" s="478"/>
    </row>
    <row r="312" spans="1:12" x14ac:dyDescent="0.25">
      <c r="A312" s="478"/>
      <c r="B312" s="478"/>
      <c r="C312" s="478"/>
      <c r="D312" s="478"/>
      <c r="E312" s="478"/>
      <c r="F312" s="478"/>
      <c r="G312" s="478"/>
      <c r="H312" s="478"/>
      <c r="I312" s="478"/>
      <c r="J312" s="478"/>
      <c r="K312" s="478"/>
      <c r="L312" s="478"/>
    </row>
    <row r="313" spans="1:12" x14ac:dyDescent="0.25">
      <c r="A313" s="478"/>
      <c r="B313" s="478"/>
      <c r="C313" s="478"/>
      <c r="D313" s="478"/>
      <c r="E313" s="478"/>
      <c r="F313" s="478"/>
      <c r="G313" s="478"/>
      <c r="H313" s="478"/>
      <c r="I313" s="478"/>
      <c r="J313" s="478"/>
      <c r="K313" s="478"/>
      <c r="L313" s="478"/>
    </row>
    <row r="314" spans="1:12" x14ac:dyDescent="0.25">
      <c r="A314" s="478"/>
      <c r="B314" s="478"/>
      <c r="C314" s="478"/>
      <c r="D314" s="478"/>
      <c r="E314" s="478"/>
      <c r="F314" s="478"/>
      <c r="G314" s="478"/>
      <c r="H314" s="478"/>
      <c r="I314" s="478"/>
      <c r="J314" s="478"/>
      <c r="K314" s="478"/>
      <c r="L314" s="478"/>
    </row>
    <row r="315" spans="1:12" x14ac:dyDescent="0.25">
      <c r="A315" s="478"/>
      <c r="B315" s="478"/>
      <c r="C315" s="478"/>
      <c r="D315" s="478"/>
      <c r="E315" s="478"/>
      <c r="F315" s="478"/>
      <c r="G315" s="478"/>
      <c r="H315" s="478"/>
      <c r="I315" s="478"/>
      <c r="J315" s="478"/>
      <c r="K315" s="478"/>
      <c r="L315" s="478"/>
    </row>
    <row r="316" spans="1:12" x14ac:dyDescent="0.25">
      <c r="A316" s="478"/>
      <c r="B316" s="478"/>
      <c r="C316" s="478"/>
      <c r="D316" s="478"/>
      <c r="E316" s="478"/>
      <c r="F316" s="478"/>
      <c r="G316" s="478"/>
      <c r="H316" s="478"/>
      <c r="I316" s="478"/>
      <c r="J316" s="478"/>
      <c r="K316" s="478"/>
      <c r="L316" s="478"/>
    </row>
    <row r="317" spans="1:12" x14ac:dyDescent="0.25">
      <c r="A317" s="478"/>
      <c r="B317" s="478"/>
      <c r="C317" s="478"/>
      <c r="D317" s="478"/>
      <c r="E317" s="478"/>
      <c r="F317" s="478"/>
      <c r="G317" s="478"/>
      <c r="H317" s="478"/>
      <c r="I317" s="478"/>
      <c r="J317" s="478"/>
      <c r="K317" s="478"/>
      <c r="L317" s="478"/>
    </row>
    <row r="318" spans="1:12" x14ac:dyDescent="0.25">
      <c r="A318" s="478"/>
      <c r="B318" s="478"/>
      <c r="C318" s="478"/>
      <c r="D318" s="478"/>
      <c r="E318" s="478"/>
      <c r="F318" s="478"/>
      <c r="G318" s="478"/>
      <c r="H318" s="478"/>
      <c r="I318" s="478"/>
      <c r="J318" s="478"/>
      <c r="K318" s="478"/>
      <c r="L318" s="478"/>
    </row>
    <row r="319" spans="1:12" x14ac:dyDescent="0.25">
      <c r="A319" s="478"/>
      <c r="B319" s="478"/>
      <c r="C319" s="478"/>
      <c r="D319" s="478"/>
      <c r="E319" s="478"/>
      <c r="F319" s="478"/>
      <c r="G319" s="478"/>
      <c r="H319" s="478"/>
      <c r="I319" s="478"/>
      <c r="J319" s="478"/>
      <c r="K319" s="478"/>
      <c r="L319" s="478"/>
    </row>
    <row r="320" spans="1:12" x14ac:dyDescent="0.25">
      <c r="A320" s="478"/>
      <c r="B320" s="478"/>
      <c r="C320" s="478"/>
      <c r="D320" s="478"/>
      <c r="E320" s="478"/>
      <c r="F320" s="478"/>
      <c r="G320" s="478"/>
      <c r="H320" s="478"/>
      <c r="I320" s="478"/>
      <c r="J320" s="478"/>
      <c r="K320" s="478"/>
      <c r="L320" s="478"/>
    </row>
    <row r="321" spans="1:12" x14ac:dyDescent="0.25">
      <c r="A321" s="478"/>
      <c r="B321" s="478"/>
      <c r="C321" s="478"/>
      <c r="D321" s="478"/>
      <c r="E321" s="478"/>
      <c r="F321" s="478"/>
      <c r="G321" s="478"/>
      <c r="H321" s="478"/>
      <c r="I321" s="478"/>
      <c r="J321" s="478"/>
      <c r="K321" s="478"/>
      <c r="L321" s="478"/>
    </row>
    <row r="322" spans="1:12" x14ac:dyDescent="0.25">
      <c r="A322" s="478"/>
      <c r="B322" s="478"/>
      <c r="C322" s="478"/>
      <c r="D322" s="478"/>
      <c r="E322" s="478"/>
      <c r="F322" s="478"/>
      <c r="G322" s="478"/>
      <c r="H322" s="478"/>
      <c r="I322" s="478"/>
      <c r="J322" s="478"/>
      <c r="K322" s="478"/>
      <c r="L322" s="478"/>
    </row>
    <row r="323" spans="1:12" x14ac:dyDescent="0.25">
      <c r="A323" s="478"/>
      <c r="B323" s="478"/>
      <c r="C323" s="478"/>
      <c r="D323" s="478"/>
      <c r="E323" s="478"/>
      <c r="F323" s="478"/>
      <c r="G323" s="478"/>
      <c r="H323" s="478"/>
      <c r="I323" s="478"/>
      <c r="J323" s="478"/>
      <c r="K323" s="478"/>
      <c r="L323" s="478"/>
    </row>
    <row r="324" spans="1:12" x14ac:dyDescent="0.25">
      <c r="A324" s="478"/>
      <c r="B324" s="478"/>
      <c r="C324" s="478"/>
      <c r="D324" s="478"/>
      <c r="E324" s="478"/>
      <c r="F324" s="478"/>
      <c r="G324" s="478"/>
      <c r="H324" s="478"/>
      <c r="I324" s="478"/>
      <c r="J324" s="478"/>
      <c r="K324" s="478"/>
      <c r="L324" s="478"/>
    </row>
    <row r="325" spans="1:12" x14ac:dyDescent="0.25">
      <c r="A325" s="478"/>
      <c r="B325" s="478"/>
      <c r="C325" s="478"/>
      <c r="D325" s="478"/>
      <c r="E325" s="478"/>
      <c r="F325" s="478"/>
      <c r="G325" s="478"/>
      <c r="H325" s="478"/>
      <c r="I325" s="478"/>
      <c r="J325" s="478"/>
      <c r="K325" s="478"/>
      <c r="L325" s="478"/>
    </row>
    <row r="326" spans="1:12" x14ac:dyDescent="0.25">
      <c r="A326" s="478"/>
      <c r="B326" s="478"/>
      <c r="C326" s="478"/>
      <c r="D326" s="478"/>
      <c r="E326" s="478"/>
      <c r="F326" s="478"/>
      <c r="G326" s="478"/>
      <c r="H326" s="478"/>
      <c r="I326" s="478"/>
      <c r="J326" s="478"/>
      <c r="K326" s="478"/>
      <c r="L326" s="478"/>
    </row>
    <row r="327" spans="1:12" x14ac:dyDescent="0.25">
      <c r="A327" s="478"/>
      <c r="B327" s="478"/>
      <c r="C327" s="478"/>
      <c r="D327" s="478"/>
      <c r="E327" s="478"/>
      <c r="F327" s="478"/>
      <c r="G327" s="478"/>
      <c r="H327" s="478"/>
      <c r="I327" s="478"/>
      <c r="J327" s="478"/>
      <c r="K327" s="478"/>
      <c r="L327" s="478"/>
    </row>
    <row r="328" spans="1:12" x14ac:dyDescent="0.25">
      <c r="A328" s="478"/>
      <c r="B328" s="478"/>
      <c r="C328" s="478"/>
      <c r="D328" s="478"/>
      <c r="E328" s="478"/>
      <c r="F328" s="478"/>
      <c r="G328" s="478"/>
      <c r="H328" s="478"/>
      <c r="I328" s="478"/>
      <c r="J328" s="478"/>
      <c r="K328" s="478"/>
      <c r="L328" s="478"/>
    </row>
    <row r="329" spans="1:12" x14ac:dyDescent="0.25">
      <c r="A329" s="478"/>
      <c r="B329" s="478"/>
      <c r="C329" s="478"/>
      <c r="D329" s="478"/>
      <c r="E329" s="478"/>
      <c r="F329" s="478"/>
      <c r="G329" s="478"/>
      <c r="H329" s="478"/>
      <c r="I329" s="478"/>
      <c r="J329" s="478"/>
      <c r="K329" s="478"/>
      <c r="L329" s="478"/>
    </row>
    <row r="330" spans="1:12" x14ac:dyDescent="0.25">
      <c r="A330" s="478"/>
      <c r="B330" s="478"/>
      <c r="C330" s="478"/>
      <c r="D330" s="478"/>
      <c r="E330" s="478"/>
      <c r="F330" s="478"/>
      <c r="G330" s="478"/>
      <c r="H330" s="478"/>
      <c r="I330" s="478"/>
      <c r="J330" s="478"/>
      <c r="K330" s="478"/>
      <c r="L330" s="478"/>
    </row>
    <row r="331" spans="1:12" x14ac:dyDescent="0.25">
      <c r="A331" s="478"/>
      <c r="B331" s="478"/>
      <c r="C331" s="478"/>
      <c r="D331" s="478"/>
      <c r="E331" s="478"/>
      <c r="F331" s="478"/>
      <c r="G331" s="478"/>
      <c r="H331" s="478"/>
      <c r="I331" s="478"/>
      <c r="J331" s="478"/>
      <c r="K331" s="478"/>
      <c r="L331" s="478"/>
    </row>
    <row r="332" spans="1:12" x14ac:dyDescent="0.25">
      <c r="A332" s="478"/>
      <c r="B332" s="478"/>
      <c r="C332" s="478"/>
      <c r="D332" s="478"/>
      <c r="E332" s="478"/>
      <c r="F332" s="478"/>
      <c r="G332" s="478"/>
      <c r="H332" s="478"/>
      <c r="I332" s="478"/>
      <c r="J332" s="478"/>
      <c r="K332" s="478"/>
      <c r="L332" s="478"/>
    </row>
    <row r="333" spans="1:12" x14ac:dyDescent="0.25">
      <c r="A333" s="478"/>
      <c r="B333" s="478"/>
      <c r="C333" s="478"/>
      <c r="D333" s="478"/>
      <c r="E333" s="478"/>
      <c r="F333" s="478"/>
      <c r="G333" s="478"/>
      <c r="H333" s="478"/>
      <c r="I333" s="478"/>
      <c r="J333" s="478"/>
      <c r="K333" s="478"/>
      <c r="L333" s="478"/>
    </row>
    <row r="334" spans="1:12" x14ac:dyDescent="0.25">
      <c r="A334" s="478"/>
      <c r="B334" s="478"/>
      <c r="C334" s="478"/>
      <c r="D334" s="478"/>
      <c r="E334" s="478"/>
      <c r="F334" s="478"/>
      <c r="G334" s="478"/>
      <c r="H334" s="478"/>
      <c r="I334" s="478"/>
      <c r="J334" s="478"/>
      <c r="K334" s="478"/>
      <c r="L334" s="478"/>
    </row>
    <row r="335" spans="1:12" x14ac:dyDescent="0.25">
      <c r="A335" s="478"/>
      <c r="B335" s="478"/>
      <c r="C335" s="478"/>
      <c r="D335" s="478"/>
      <c r="E335" s="478"/>
      <c r="F335" s="478"/>
      <c r="G335" s="478"/>
      <c r="H335" s="478"/>
      <c r="I335" s="478"/>
      <c r="J335" s="478"/>
      <c r="K335" s="478"/>
      <c r="L335" s="478"/>
    </row>
    <row r="336" spans="1:12" x14ac:dyDescent="0.25">
      <c r="A336" s="478"/>
      <c r="B336" s="478"/>
      <c r="C336" s="478"/>
      <c r="D336" s="478"/>
      <c r="E336" s="478"/>
      <c r="F336" s="478"/>
      <c r="G336" s="478"/>
      <c r="H336" s="478"/>
      <c r="I336" s="478"/>
      <c r="J336" s="478"/>
      <c r="K336" s="478"/>
      <c r="L336" s="478"/>
    </row>
    <row r="337" spans="1:12" x14ac:dyDescent="0.25">
      <c r="A337" s="478"/>
      <c r="B337" s="478"/>
      <c r="C337" s="478"/>
      <c r="D337" s="478"/>
      <c r="E337" s="478"/>
      <c r="F337" s="478"/>
      <c r="G337" s="478"/>
      <c r="H337" s="478"/>
      <c r="I337" s="478"/>
      <c r="J337" s="478"/>
      <c r="K337" s="478"/>
      <c r="L337" s="478"/>
    </row>
    <row r="338" spans="1:12" x14ac:dyDescent="0.25">
      <c r="A338" s="478"/>
      <c r="B338" s="478"/>
      <c r="C338" s="478"/>
      <c r="D338" s="478"/>
      <c r="E338" s="478"/>
      <c r="F338" s="478"/>
      <c r="G338" s="478"/>
      <c r="H338" s="478"/>
      <c r="I338" s="478"/>
      <c r="J338" s="478"/>
      <c r="K338" s="478"/>
      <c r="L338" s="478"/>
    </row>
    <row r="339" spans="1:12" x14ac:dyDescent="0.25">
      <c r="A339" s="478"/>
      <c r="B339" s="478"/>
      <c r="C339" s="478"/>
      <c r="D339" s="478"/>
      <c r="E339" s="478"/>
      <c r="F339" s="478"/>
      <c r="G339" s="478"/>
      <c r="H339" s="478"/>
      <c r="I339" s="478"/>
      <c r="J339" s="478"/>
      <c r="K339" s="478"/>
      <c r="L339" s="478"/>
    </row>
    <row r="340" spans="1:12" x14ac:dyDescent="0.25">
      <c r="A340" s="478"/>
      <c r="B340" s="478"/>
      <c r="C340" s="478"/>
      <c r="D340" s="478"/>
      <c r="E340" s="478"/>
      <c r="F340" s="478"/>
      <c r="G340" s="478"/>
      <c r="H340" s="478"/>
      <c r="I340" s="478"/>
      <c r="J340" s="478"/>
      <c r="K340" s="478"/>
      <c r="L340" s="478"/>
    </row>
    <row r="341" spans="1:12" x14ac:dyDescent="0.25">
      <c r="A341" s="478"/>
      <c r="B341" s="478"/>
      <c r="C341" s="478"/>
      <c r="D341" s="478"/>
      <c r="E341" s="478"/>
      <c r="F341" s="478"/>
      <c r="G341" s="478"/>
      <c r="H341" s="478"/>
      <c r="I341" s="478"/>
      <c r="J341" s="478"/>
      <c r="K341" s="478"/>
      <c r="L341" s="478"/>
    </row>
    <row r="342" spans="1:12" x14ac:dyDescent="0.25">
      <c r="A342" s="478"/>
      <c r="B342" s="478"/>
      <c r="C342" s="478"/>
      <c r="D342" s="478"/>
      <c r="E342" s="478"/>
      <c r="F342" s="478"/>
      <c r="G342" s="478"/>
      <c r="H342" s="478"/>
      <c r="I342" s="478"/>
      <c r="J342" s="478"/>
      <c r="K342" s="478"/>
      <c r="L342" s="478"/>
    </row>
    <row r="343" spans="1:12" x14ac:dyDescent="0.25">
      <c r="A343" s="478"/>
      <c r="B343" s="478"/>
      <c r="C343" s="478"/>
      <c r="D343" s="478"/>
      <c r="E343" s="478"/>
      <c r="F343" s="478"/>
      <c r="G343" s="478"/>
      <c r="H343" s="478"/>
      <c r="I343" s="478"/>
      <c r="J343" s="478"/>
      <c r="K343" s="478"/>
      <c r="L343" s="478"/>
    </row>
    <row r="344" spans="1:12" x14ac:dyDescent="0.25">
      <c r="A344" s="478"/>
      <c r="B344" s="478"/>
      <c r="C344" s="478"/>
      <c r="D344" s="478"/>
      <c r="E344" s="478"/>
      <c r="F344" s="478"/>
      <c r="G344" s="478"/>
      <c r="H344" s="478"/>
      <c r="I344" s="478"/>
      <c r="J344" s="478"/>
      <c r="K344" s="478"/>
      <c r="L344" s="478"/>
    </row>
    <row r="345" spans="1:12" x14ac:dyDescent="0.25">
      <c r="A345" s="478"/>
      <c r="B345" s="478"/>
      <c r="C345" s="478"/>
      <c r="D345" s="478"/>
      <c r="E345" s="478"/>
      <c r="F345" s="478"/>
      <c r="G345" s="478"/>
      <c r="H345" s="478"/>
      <c r="I345" s="478"/>
      <c r="J345" s="478"/>
      <c r="K345" s="478"/>
      <c r="L345" s="478"/>
    </row>
    <row r="346" spans="1:12" x14ac:dyDescent="0.25">
      <c r="A346" s="478"/>
      <c r="B346" s="478"/>
      <c r="C346" s="478"/>
      <c r="D346" s="478"/>
      <c r="E346" s="478"/>
      <c r="F346" s="478"/>
      <c r="G346" s="478"/>
      <c r="H346" s="478"/>
      <c r="I346" s="478"/>
      <c r="J346" s="478"/>
      <c r="K346" s="478"/>
      <c r="L346" s="478"/>
    </row>
    <row r="347" spans="1:12" x14ac:dyDescent="0.25">
      <c r="A347" s="478"/>
      <c r="B347" s="478"/>
      <c r="C347" s="478"/>
      <c r="D347" s="478"/>
      <c r="E347" s="478"/>
      <c r="F347" s="478"/>
      <c r="G347" s="478"/>
      <c r="H347" s="478"/>
      <c r="I347" s="478"/>
      <c r="J347" s="478"/>
      <c r="K347" s="478"/>
      <c r="L347" s="478"/>
    </row>
    <row r="348" spans="1:12" x14ac:dyDescent="0.25">
      <c r="A348" s="478"/>
      <c r="B348" s="478"/>
      <c r="C348" s="478"/>
      <c r="D348" s="478"/>
      <c r="E348" s="478"/>
      <c r="F348" s="478"/>
      <c r="G348" s="478"/>
      <c r="H348" s="478"/>
      <c r="I348" s="478"/>
      <c r="J348" s="478"/>
      <c r="K348" s="478"/>
      <c r="L348" s="478"/>
    </row>
    <row r="349" spans="1:12" x14ac:dyDescent="0.25">
      <c r="A349" s="478"/>
      <c r="B349" s="478"/>
      <c r="C349" s="478"/>
      <c r="D349" s="478"/>
      <c r="E349" s="478"/>
      <c r="F349" s="478"/>
      <c r="G349" s="478"/>
      <c r="H349" s="478"/>
      <c r="I349" s="478"/>
      <c r="J349" s="478"/>
      <c r="K349" s="478"/>
      <c r="L349" s="478"/>
    </row>
    <row r="350" spans="1:12" x14ac:dyDescent="0.25">
      <c r="A350" s="478"/>
      <c r="B350" s="478"/>
      <c r="C350" s="478"/>
      <c r="D350" s="478"/>
      <c r="E350" s="478"/>
      <c r="F350" s="478"/>
      <c r="G350" s="478"/>
      <c r="H350" s="478"/>
      <c r="I350" s="478"/>
      <c r="J350" s="478"/>
      <c r="K350" s="478"/>
      <c r="L350" s="478"/>
    </row>
    <row r="351" spans="1:12" x14ac:dyDescent="0.25">
      <c r="A351" s="478"/>
      <c r="B351" s="478"/>
      <c r="C351" s="478"/>
      <c r="D351" s="478"/>
      <c r="E351" s="478"/>
      <c r="F351" s="478"/>
      <c r="G351" s="478"/>
      <c r="H351" s="478"/>
      <c r="I351" s="478"/>
      <c r="J351" s="478"/>
      <c r="K351" s="478"/>
      <c r="L351" s="478"/>
    </row>
    <row r="352" spans="1:12" x14ac:dyDescent="0.25">
      <c r="A352" s="478"/>
      <c r="B352" s="478"/>
      <c r="C352" s="478"/>
      <c r="D352" s="478"/>
      <c r="E352" s="478"/>
      <c r="F352" s="478"/>
      <c r="G352" s="478"/>
      <c r="H352" s="478"/>
      <c r="I352" s="478"/>
      <c r="J352" s="478"/>
      <c r="K352" s="478"/>
      <c r="L352" s="478"/>
    </row>
    <row r="353" spans="1:12" x14ac:dyDescent="0.25">
      <c r="A353" s="478"/>
      <c r="B353" s="478"/>
      <c r="C353" s="478"/>
      <c r="D353" s="478"/>
      <c r="E353" s="478"/>
      <c r="F353" s="478"/>
      <c r="G353" s="478"/>
      <c r="H353" s="478"/>
      <c r="I353" s="478"/>
      <c r="J353" s="478"/>
      <c r="K353" s="478"/>
      <c r="L353" s="478"/>
    </row>
    <row r="354" spans="1:12" x14ac:dyDescent="0.25">
      <c r="A354" s="478"/>
      <c r="B354" s="478"/>
      <c r="C354" s="478"/>
      <c r="D354" s="478"/>
      <c r="E354" s="478"/>
      <c r="F354" s="478"/>
      <c r="G354" s="478"/>
      <c r="H354" s="478"/>
      <c r="I354" s="478"/>
      <c r="J354" s="478"/>
      <c r="K354" s="478"/>
      <c r="L354" s="478"/>
    </row>
  </sheetData>
  <sheetProtection sheet="1" objects="1" scenarios="1"/>
  <mergeCells count="55">
    <mergeCell ref="C137:D137"/>
    <mergeCell ref="B144:K144"/>
    <mergeCell ref="C147:D147"/>
    <mergeCell ref="J147:K147"/>
    <mergeCell ref="C148:D148"/>
    <mergeCell ref="J148:K148"/>
    <mergeCell ref="B125:K125"/>
    <mergeCell ref="B126:K126"/>
    <mergeCell ref="B128:K128"/>
    <mergeCell ref="C133:D133"/>
    <mergeCell ref="H133:I133"/>
    <mergeCell ref="B130:K130"/>
    <mergeCell ref="C77:D77"/>
    <mergeCell ref="C80:D80"/>
    <mergeCell ref="C83:D83"/>
    <mergeCell ref="B88:K88"/>
    <mergeCell ref="C74:D74"/>
    <mergeCell ref="B85:K85"/>
    <mergeCell ref="B86:K86"/>
    <mergeCell ref="B6:K6"/>
    <mergeCell ref="B7:K7"/>
    <mergeCell ref="B8:K8"/>
    <mergeCell ref="B10:K10"/>
    <mergeCell ref="B12:K12"/>
    <mergeCell ref="C25:D25"/>
    <mergeCell ref="F23:G23"/>
    <mergeCell ref="B58:K58"/>
    <mergeCell ref="B52:K52"/>
    <mergeCell ref="B53:K53"/>
    <mergeCell ref="B55:K55"/>
    <mergeCell ref="B57:K57"/>
    <mergeCell ref="B30:K30"/>
    <mergeCell ref="B31:K31"/>
    <mergeCell ref="C41:D41"/>
    <mergeCell ref="B48:C48"/>
    <mergeCell ref="G50:H50"/>
    <mergeCell ref="I51:K51"/>
    <mergeCell ref="B33:K33"/>
    <mergeCell ref="B35:K35"/>
    <mergeCell ref="C134:D134"/>
    <mergeCell ref="H134:I134"/>
    <mergeCell ref="C136:D136"/>
    <mergeCell ref="B90:K90"/>
    <mergeCell ref="C94:D94"/>
    <mergeCell ref="C97:D97"/>
    <mergeCell ref="C100:D100"/>
    <mergeCell ref="C103:D103"/>
    <mergeCell ref="C120:D120"/>
    <mergeCell ref="B105:K105"/>
    <mergeCell ref="C123:D123"/>
    <mergeCell ref="B106:K106"/>
    <mergeCell ref="B108:K108"/>
    <mergeCell ref="B110:K110"/>
    <mergeCell ref="C114:D114"/>
    <mergeCell ref="C117:D117"/>
  </mergeCells>
  <pageMargins left="0.7" right="0.7" top="0.75" bottom="0.75" header="0.3" footer="0.3"/>
  <pageSetup orientation="portrait" blackAndWhite="1" r:id="rId1"/>
  <rowBreaks count="4" manualBreakCount="4">
    <brk id="32" min="1" max="22" man="1"/>
    <brk id="54" min="1" max="22" man="1"/>
    <brk id="88" min="1" max="22" man="1"/>
    <brk id="109" min="1" max="22" man="1"/>
  </rowBreaks>
  <colBreaks count="1" manualBreakCount="1">
    <brk id="11" max="1048575" man="1"/>
  </col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0"/>
  <sheetViews>
    <sheetView workbookViewId="0">
      <selection activeCell="C9" sqref="C9"/>
    </sheetView>
  </sheetViews>
  <sheetFormatPr defaultColWidth="8.9140625" defaultRowHeight="15.6" x14ac:dyDescent="0.3"/>
  <cols>
    <col min="1" max="1" width="71.25" style="1" customWidth="1"/>
    <col min="2" max="16384" width="8.9140625" style="1"/>
  </cols>
  <sheetData>
    <row r="1" spans="1:1" ht="16.8" x14ac:dyDescent="0.3">
      <c r="A1" s="479" t="s">
        <v>695</v>
      </c>
    </row>
    <row r="3" spans="1:1" ht="31.2" x14ac:dyDescent="0.3">
      <c r="A3" s="480" t="s">
        <v>696</v>
      </c>
    </row>
    <row r="4" spans="1:1" x14ac:dyDescent="0.3">
      <c r="A4" s="481" t="s">
        <v>697</v>
      </c>
    </row>
    <row r="7" spans="1:1" ht="31.2" x14ac:dyDescent="0.3">
      <c r="A7" s="480" t="s">
        <v>698</v>
      </c>
    </row>
    <row r="8" spans="1:1" x14ac:dyDescent="0.3">
      <c r="A8" s="481" t="s">
        <v>699</v>
      </c>
    </row>
    <row r="11" spans="1:1" x14ac:dyDescent="0.3">
      <c r="A11" s="1" t="s">
        <v>700</v>
      </c>
    </row>
    <row r="12" spans="1:1" x14ac:dyDescent="0.3">
      <c r="A12" s="481" t="s">
        <v>701</v>
      </c>
    </row>
    <row r="15" spans="1:1" x14ac:dyDescent="0.3">
      <c r="A15" s="1" t="s">
        <v>702</v>
      </c>
    </row>
    <row r="16" spans="1:1" x14ac:dyDescent="0.3">
      <c r="A16" s="481" t="s">
        <v>703</v>
      </c>
    </row>
    <row r="19" spans="1:1" x14ac:dyDescent="0.3">
      <c r="A19" s="1" t="s">
        <v>704</v>
      </c>
    </row>
    <row r="20" spans="1:1" x14ac:dyDescent="0.3">
      <c r="A20" s="481" t="s">
        <v>705</v>
      </c>
    </row>
    <row r="23" spans="1:1" x14ac:dyDescent="0.3">
      <c r="A23" s="1" t="s">
        <v>706</v>
      </c>
    </row>
    <row r="24" spans="1:1" x14ac:dyDescent="0.3">
      <c r="A24" s="481" t="s">
        <v>707</v>
      </c>
    </row>
    <row r="27" spans="1:1" x14ac:dyDescent="0.3">
      <c r="A27" s="1" t="s">
        <v>708</v>
      </c>
    </row>
    <row r="28" spans="1:1" x14ac:dyDescent="0.3">
      <c r="A28" s="481" t="s">
        <v>709</v>
      </c>
    </row>
    <row r="31" spans="1:1" x14ac:dyDescent="0.3">
      <c r="A31" s="1" t="s">
        <v>710</v>
      </c>
    </row>
    <row r="32" spans="1:1" x14ac:dyDescent="0.3">
      <c r="A32" s="481" t="s">
        <v>711</v>
      </c>
    </row>
    <row r="35" spans="1:1" x14ac:dyDescent="0.3">
      <c r="A35" s="1" t="s">
        <v>712</v>
      </c>
    </row>
    <row r="36" spans="1:1" x14ac:dyDescent="0.3">
      <c r="A36" s="481" t="s">
        <v>713</v>
      </c>
    </row>
    <row r="39" spans="1:1" x14ac:dyDescent="0.3">
      <c r="A39" s="1" t="s">
        <v>714</v>
      </c>
    </row>
    <row r="40" spans="1:1" x14ac:dyDescent="0.3">
      <c r="A40" s="481" t="s">
        <v>715</v>
      </c>
    </row>
  </sheetData>
  <sheetProtection sheet="1" objects="1" scenarios="1"/>
  <hyperlinks>
    <hyperlink ref="A4" r:id="rId1"/>
    <hyperlink ref="A8" r:id="rId2"/>
    <hyperlink ref="A12" r:id="rId3"/>
    <hyperlink ref="A16" r:id="rId4"/>
    <hyperlink ref="A20" r:id="rId5"/>
    <hyperlink ref="A24" r:id="rId6"/>
    <hyperlink ref="A28" r:id="rId7"/>
    <hyperlink ref="A32" r:id="rId8"/>
    <hyperlink ref="A36" r:id="rId9"/>
    <hyperlink ref="A40" r:id="rId10"/>
  </hyperlinks>
  <pageMargins left="0.7" right="0.7" top="0.75" bottom="0.75" header="0.3" footer="0.3"/>
  <pageSetup orientation="portrait" r:id="rId1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103"/>
  <sheetViews>
    <sheetView view="pageBreakPreview" zoomScale="60" zoomScaleNormal="100" workbookViewId="0">
      <selection activeCell="G62" sqref="G62:G63"/>
    </sheetView>
  </sheetViews>
  <sheetFormatPr defaultColWidth="8.9140625" defaultRowHeight="15.6" x14ac:dyDescent="0.25"/>
  <cols>
    <col min="1" max="1" width="8.9140625" style="87"/>
    <col min="2" max="2" width="24.33203125" style="30" customWidth="1"/>
    <col min="3" max="3" width="10.75" style="30" customWidth="1"/>
    <col min="4" max="4" width="5.75" style="30" customWidth="1"/>
    <col min="5" max="5" width="14" style="30" customWidth="1"/>
    <col min="6" max="6" width="13.33203125" style="30" customWidth="1"/>
    <col min="7" max="7" width="12.33203125" style="30" customWidth="1"/>
    <col min="8" max="16384" width="8.9140625" style="87"/>
  </cols>
  <sheetData>
    <row r="1" spans="2:9" x14ac:dyDescent="0.25">
      <c r="B1" s="32"/>
      <c r="C1" s="32"/>
      <c r="D1" s="31" t="s">
        <v>165</v>
      </c>
      <c r="E1" s="32"/>
      <c r="F1" s="32"/>
      <c r="G1" s="119"/>
      <c r="I1" s="18">
        <f>inputPrYr!C5</f>
        <v>2015</v>
      </c>
    </row>
    <row r="2" spans="2:9" x14ac:dyDescent="0.25">
      <c r="B2" s="995" t="str">
        <f>CONCATENATE("To the Clerk of ",(inputPrYr!D3),", State of Kansas")</f>
        <v>To the Clerk of Miami County, State of Kansas</v>
      </c>
      <c r="C2" s="983"/>
      <c r="D2" s="983"/>
      <c r="E2" s="983"/>
      <c r="F2" s="983"/>
      <c r="G2" s="983"/>
    </row>
    <row r="3" spans="2:9" x14ac:dyDescent="0.25">
      <c r="B3" s="121" t="s">
        <v>626</v>
      </c>
      <c r="C3" s="37"/>
      <c r="D3" s="37"/>
      <c r="E3" s="37"/>
      <c r="F3" s="37"/>
      <c r="G3" s="37"/>
    </row>
    <row r="4" spans="2:9" x14ac:dyDescent="0.25">
      <c r="B4" s="993" t="str">
        <f>(inputPrYr!D2)</f>
        <v>City of Osawatomie</v>
      </c>
      <c r="C4" s="994"/>
      <c r="D4" s="994"/>
      <c r="E4" s="994"/>
      <c r="F4" s="994"/>
      <c r="G4" s="994"/>
    </row>
    <row r="5" spans="2:9" x14ac:dyDescent="0.25">
      <c r="B5" s="121" t="s">
        <v>79</v>
      </c>
      <c r="C5" s="37"/>
      <c r="D5" s="37"/>
      <c r="E5" s="37"/>
      <c r="F5" s="37"/>
      <c r="G5" s="37"/>
    </row>
    <row r="6" spans="2:9" x14ac:dyDescent="0.25">
      <c r="B6" s="121" t="s">
        <v>80</v>
      </c>
      <c r="C6" s="37"/>
      <c r="D6" s="37"/>
      <c r="E6" s="37"/>
      <c r="F6" s="37"/>
      <c r="G6" s="37"/>
    </row>
    <row r="7" spans="2:9" x14ac:dyDescent="0.25">
      <c r="B7" s="121" t="str">
        <f>CONCATENATE("maximum expenditures for the various funds for the year ",I1,"; and")</f>
        <v>maximum expenditures for the various funds for the year 2015; and</v>
      </c>
      <c r="C7" s="37"/>
      <c r="D7" s="37"/>
      <c r="E7" s="37"/>
      <c r="F7" s="37"/>
      <c r="G7" s="37"/>
    </row>
    <row r="8" spans="2:9" x14ac:dyDescent="0.25">
      <c r="B8" s="121" t="str">
        <f>CONCATENATE("(3) the Amounts(s) of ",I1-1," Ad Valorem Tax are within statutory limitations.")</f>
        <v>(3) the Amounts(s) of 2014 Ad Valorem Tax are within statutory limitations.</v>
      </c>
      <c r="C8" s="37"/>
      <c r="D8" s="37"/>
      <c r="E8" s="37"/>
      <c r="F8" s="37"/>
      <c r="G8" s="37"/>
    </row>
    <row r="9" spans="2:9" x14ac:dyDescent="0.25">
      <c r="B9" s="32"/>
      <c r="C9" s="32"/>
      <c r="D9" s="32"/>
      <c r="E9" s="122" t="str">
        <f>CONCATENATE("",I1," Adopted Budget")</f>
        <v>2015 Adopted Budget</v>
      </c>
      <c r="F9" s="123"/>
      <c r="G9" s="124"/>
    </row>
    <row r="10" spans="2:9" ht="21" customHeight="1" x14ac:dyDescent="0.25">
      <c r="B10" s="32"/>
      <c r="C10" s="32"/>
      <c r="D10" s="125"/>
      <c r="E10" s="126" t="s">
        <v>81</v>
      </c>
      <c r="F10" s="127" t="str">
        <f>CONCATENATE("Amount of ",I1-1,"")</f>
        <v>Amount of 2014</v>
      </c>
      <c r="G10" s="127" t="s">
        <v>82</v>
      </c>
    </row>
    <row r="11" spans="2:9" x14ac:dyDescent="0.25">
      <c r="B11" s="33"/>
      <c r="C11" s="32"/>
      <c r="D11" s="127" t="s">
        <v>83</v>
      </c>
      <c r="E11" s="427" t="s">
        <v>9</v>
      </c>
      <c r="F11" s="129" t="s">
        <v>254</v>
      </c>
      <c r="G11" s="128" t="s">
        <v>84</v>
      </c>
    </row>
    <row r="12" spans="2:9" x14ac:dyDescent="0.25">
      <c r="B12" s="130" t="s">
        <v>85</v>
      </c>
      <c r="C12" s="52"/>
      <c r="D12" s="131" t="s">
        <v>86</v>
      </c>
      <c r="E12" s="428" t="s">
        <v>640</v>
      </c>
      <c r="F12" s="132" t="s">
        <v>255</v>
      </c>
      <c r="G12" s="131" t="s">
        <v>87</v>
      </c>
    </row>
    <row r="13" spans="2:9" x14ac:dyDescent="0.25">
      <c r="B13" s="133" t="str">
        <f>CONCATENATE("Computation to Determine Limit for ",I1,"")</f>
        <v>Computation to Determine Limit for 2015</v>
      </c>
      <c r="C13" s="74"/>
      <c r="D13" s="134">
        <v>2</v>
      </c>
      <c r="E13" s="135"/>
      <c r="F13" s="135"/>
      <c r="G13" s="135"/>
    </row>
    <row r="14" spans="2:9" x14ac:dyDescent="0.25">
      <c r="B14" s="133" t="s">
        <v>873</v>
      </c>
      <c r="C14" s="52"/>
      <c r="D14" s="131">
        <v>3</v>
      </c>
      <c r="E14" s="128"/>
      <c r="F14" s="128"/>
      <c r="G14" s="128"/>
    </row>
    <row r="15" spans="2:9" x14ac:dyDescent="0.25">
      <c r="B15" s="133" t="s">
        <v>217</v>
      </c>
      <c r="C15" s="52"/>
      <c r="D15" s="131">
        <v>4</v>
      </c>
      <c r="E15" s="128"/>
      <c r="F15" s="128"/>
      <c r="G15" s="128"/>
    </row>
    <row r="16" spans="2:9" x14ac:dyDescent="0.25">
      <c r="B16" s="133" t="s">
        <v>88</v>
      </c>
      <c r="C16" s="74"/>
      <c r="D16" s="134">
        <v>5</v>
      </c>
      <c r="E16" s="136"/>
      <c r="F16" s="136"/>
      <c r="G16" s="136"/>
    </row>
    <row r="17" spans="2:7" x14ac:dyDescent="0.25">
      <c r="B17" s="133" t="s">
        <v>89</v>
      </c>
      <c r="C17" s="74"/>
      <c r="D17" s="134">
        <v>6</v>
      </c>
      <c r="E17" s="136"/>
      <c r="F17" s="136"/>
      <c r="G17" s="136"/>
    </row>
    <row r="18" spans="2:7" x14ac:dyDescent="0.25">
      <c r="B18" s="266" t="str">
        <f>IF(inputPrYr!D19&gt;0,"Computation to Determine State Library Grant","")</f>
        <v>Computation to Determine State Library Grant</v>
      </c>
      <c r="C18" s="74"/>
      <c r="D18" s="134">
        <f>IF(inputPrYr!D19&gt;0,'Library Grant'!F40,"")</f>
        <v>7</v>
      </c>
      <c r="E18" s="136"/>
      <c r="F18" s="136"/>
      <c r="G18" s="136"/>
    </row>
    <row r="19" spans="2:7" x14ac:dyDescent="0.25">
      <c r="B19" s="137" t="s">
        <v>90</v>
      </c>
      <c r="C19" s="138" t="s">
        <v>91</v>
      </c>
      <c r="D19" s="139"/>
      <c r="E19" s="140"/>
      <c r="F19" s="140"/>
      <c r="G19" s="140"/>
    </row>
    <row r="20" spans="2:7" x14ac:dyDescent="0.25">
      <c r="B20" s="45" t="s">
        <v>74</v>
      </c>
      <c r="C20" s="141" t="str">
        <f>IF(inputPrYr!C17&gt;0,(inputPrYr!C17),"  ")</f>
        <v>12-101a</v>
      </c>
      <c r="D20" s="134">
        <f>general!C40</f>
        <v>8</v>
      </c>
      <c r="E20" s="824">
        <f>IF(general!$E$74&lt;&gt;0,general!$E$74,"  ")</f>
        <v>2421391.1740000001</v>
      </c>
      <c r="F20" s="837">
        <f>IF(general!$E$81&lt;&gt;0,general!$E$81,0)</f>
        <v>596007.86764967558</v>
      </c>
      <c r="G20" s="826">
        <f>IF($G$61=0,"",ROUND(F20/$G$61*1000,3))</f>
        <v>26.768999999999998</v>
      </c>
    </row>
    <row r="21" spans="2:7" x14ac:dyDescent="0.25">
      <c r="B21" s="45" t="s">
        <v>45</v>
      </c>
      <c r="C21" s="141" t="str">
        <f>IF(inputPrYr!C18&gt;0,(inputPrYr!C18),"  ")</f>
        <v>10-113</v>
      </c>
      <c r="D21" s="134">
        <f>IF('GO B&amp;I Debt'!C65&gt;0,'GO B&amp;I Debt'!C65,"  ")</f>
        <v>9</v>
      </c>
      <c r="E21" s="824">
        <f>IF('GO B&amp;I Debt'!E56&lt;&gt;0,'GO B&amp;I Debt'!E56,"  ")</f>
        <v>831705</v>
      </c>
      <c r="F21" s="837">
        <f>IF('GO B&amp;I Debt'!$E$63&lt;&gt;0,'GO B&amp;I Debt'!$E$63,0)</f>
        <v>281704</v>
      </c>
      <c r="G21" s="826">
        <f t="shared" ref="G21:G32" si="0">IF($G$61=0,"",ROUND(F21/$G$61*1000,3))</f>
        <v>12.651999999999999</v>
      </c>
    </row>
    <row r="22" spans="2:7" x14ac:dyDescent="0.25">
      <c r="B22" s="68" t="str">
        <f>IF(inputPrYr!$B19&gt;"  ",(inputPrYr!$B19),"  ")</f>
        <v>Library</v>
      </c>
      <c r="C22" s="141" t="str">
        <f>IF(inputPrYr!C19&gt;0,(inputPrYr!C19),"  ")</f>
        <v>12-1220</v>
      </c>
      <c r="D22" s="134">
        <f>IF('Library-Rec'!C86&gt;0,'Library-Rec'!C86,"  ")</f>
        <v>11</v>
      </c>
      <c r="E22" s="824">
        <f>IF('Library-Rec'!E33&lt;&gt;0,'Library-Rec'!E33,"  ")</f>
        <v>106394</v>
      </c>
      <c r="F22" s="837">
        <f>IF('Library-Rec'!$E$40&lt;&gt;0,'Library-Rec'!$E$40,0)</f>
        <v>0</v>
      </c>
      <c r="G22" s="826">
        <f t="shared" si="0"/>
        <v>0</v>
      </c>
    </row>
    <row r="23" spans="2:7" x14ac:dyDescent="0.25">
      <c r="B23" s="68" t="str">
        <f>IF(inputPrYr!$B21&gt;"  ",(inputPrYr!$B21),"  ")</f>
        <v>Industrial</v>
      </c>
      <c r="C23" s="141" t="str">
        <f>IF(inputPrYr!C21&gt;0,(inputPrYr!C21),"  ")</f>
        <v>12-1617h</v>
      </c>
      <c r="D23" s="134">
        <f>IF('Ind-EBF'!C86&gt;0,'Ind-EBF'!C86,"  ")</f>
        <v>13</v>
      </c>
      <c r="E23" s="824">
        <f>IF('Ind-EBF'!$E$33&gt;0,'Ind-EBF'!$E$33,"  ")</f>
        <v>70463</v>
      </c>
      <c r="F23" s="837">
        <f>IF('Ind-EBF'!$E$40&lt;&gt;0,'Ind-EBF'!$E$40,0)</f>
        <v>0</v>
      </c>
      <c r="G23" s="826">
        <f t="shared" si="0"/>
        <v>0</v>
      </c>
    </row>
    <row r="24" spans="2:7" x14ac:dyDescent="0.25">
      <c r="B24" s="68" t="str">
        <f>IF(inputPrYr!$B22&gt;"  ",(inputPrYr!$B22),"  ")</f>
        <v>Employee Benefits</v>
      </c>
      <c r="C24" s="141" t="str">
        <f>IF(inputPrYr!C22&gt;0,(inputPrYr!C22),"  ")</f>
        <v>12-16,102</v>
      </c>
      <c r="D24" s="134">
        <f>IF('Ind-EBF'!C86&gt;0,'Ind-EBF'!C86,"  ")</f>
        <v>13</v>
      </c>
      <c r="E24" s="824">
        <f>IF('Ind-EBF'!$E$77&gt;0,'Ind-EBF'!$E$77,"  ")</f>
        <v>731932.13693090016</v>
      </c>
      <c r="F24" s="837">
        <f>IF('Ind-EBF'!$E$84&lt;&gt;0,'Ind-EBF'!$E$84,0)</f>
        <v>553956.30154890008</v>
      </c>
      <c r="G24" s="826">
        <f t="shared" si="0"/>
        <v>24.88</v>
      </c>
    </row>
    <row r="25" spans="2:7" x14ac:dyDescent="0.25">
      <c r="B25" s="68" t="str">
        <f>IF(inputPrYr!$B23&gt;"  ",(inputPrYr!$B23),"  ")</f>
        <v>Public Safety Equipment</v>
      </c>
      <c r="C25" s="141" t="str">
        <f>IF(inputPrYr!C23&gt;0,(inputPrYr!C23),"  ")</f>
        <v>12-110b</v>
      </c>
      <c r="D25" s="134">
        <f>IF('Pub Saf-REBF'!C86&gt;0,'Pub Saf-REBF'!C86,"  ")</f>
        <v>15</v>
      </c>
      <c r="E25" s="824">
        <f>IF('Pub Saf-REBF'!$E$33&gt;0,'Pub Saf-REBF'!$E$33,"  ")</f>
        <v>9068</v>
      </c>
      <c r="F25" s="837">
        <f>IF('Pub Saf-REBF'!$E$40&lt;&gt;0,'Pub Saf-REBF'!$E$40,0)</f>
        <v>0</v>
      </c>
      <c r="G25" s="826">
        <f t="shared" si="0"/>
        <v>0</v>
      </c>
    </row>
    <row r="26" spans="2:7" x14ac:dyDescent="0.25">
      <c r="B26" s="68" t="str">
        <f>IF(inputPrYr!$B24&gt;"  ",(inputPrYr!$B24),"  ")</f>
        <v>Recreation Employee Benefits</v>
      </c>
      <c r="C26" s="141" t="str">
        <f>IF(inputPrYr!C24&gt;0,(inputPrYr!C24),"  ")</f>
        <v>12-16,102</v>
      </c>
      <c r="D26" s="134">
        <f>IF('Pub Saf-REBF'!C86&gt;0,'Pub Saf-REBF'!C86,"  ")</f>
        <v>15</v>
      </c>
      <c r="E26" s="824">
        <f>IF('Pub Saf-REBF'!$E$77&gt;0,'Pub Saf-REBF'!$E$77,"  ")</f>
        <v>250</v>
      </c>
      <c r="F26" s="837">
        <f>IF('Pub Saf-REBF'!$E$84&lt;&gt;0,'Pub Saf-REBF'!$E$84,0)</f>
        <v>0</v>
      </c>
      <c r="G26" s="826">
        <f t="shared" si="0"/>
        <v>0</v>
      </c>
    </row>
    <row r="27" spans="2:7" hidden="1" x14ac:dyDescent="0.25">
      <c r="B27" s="68" t="str">
        <f>IF(inputPrYr!$B25&gt;"  ",(inputPrYr!$B25),"  ")</f>
        <v xml:space="preserve">  </v>
      </c>
      <c r="C27" s="141" t="str">
        <f>IF(inputPrYr!C25&gt;0,(inputPrYr!C25),"  ")</f>
        <v xml:space="preserve">  </v>
      </c>
      <c r="D27" s="134" t="str">
        <f>IF('levy page11'!C82&gt;0,'levy page11'!C82,"  ")</f>
        <v xml:space="preserve">  </v>
      </c>
      <c r="E27" s="824" t="str">
        <f>IF('levy page11'!$E$33&gt;0,'levy page11'!$E$33,"  ")</f>
        <v xml:space="preserve">  </v>
      </c>
      <c r="F27" s="837">
        <f>IF('levy page11'!$E$40&lt;&gt;0,'levy page11'!$E$40,0)</f>
        <v>0</v>
      </c>
      <c r="G27" s="826">
        <f t="shared" si="0"/>
        <v>0</v>
      </c>
    </row>
    <row r="28" spans="2:7" hidden="1" x14ac:dyDescent="0.25">
      <c r="B28" s="68" t="str">
        <f>IF(inputPrYr!$B26&gt;"  ",(inputPrYr!$B26),"  ")</f>
        <v xml:space="preserve">  </v>
      </c>
      <c r="C28" s="141" t="str">
        <f>IF(inputPrYr!C26&gt;0,(inputPrYr!C26),"  ")</f>
        <v xml:space="preserve">  </v>
      </c>
      <c r="D28" s="134" t="str">
        <f>IF('levy page11'!C82&gt;0,'levy page11'!C82,"  ")</f>
        <v xml:space="preserve">  </v>
      </c>
      <c r="E28" s="824" t="str">
        <f>IF('levy page11'!$E$73&gt;0,'levy page11'!$E$73,"  ")</f>
        <v xml:space="preserve">  </v>
      </c>
      <c r="F28" s="837">
        <f>IF('levy page11'!$E$80&lt;&gt;0,'levy page11'!$E$80,0)</f>
        <v>0</v>
      </c>
      <c r="G28" s="826">
        <f t="shared" si="0"/>
        <v>0</v>
      </c>
    </row>
    <row r="29" spans="2:7" hidden="1" x14ac:dyDescent="0.25">
      <c r="B29" s="68" t="str">
        <f>IF(inputPrYr!$B27&gt;"  ",(inputPrYr!$B27),"  ")</f>
        <v xml:space="preserve">  </v>
      </c>
      <c r="C29" s="141" t="str">
        <f>IF(inputPrYr!C27&gt;0,(inputPrYr!C27),"  ")</f>
        <v xml:space="preserve">  </v>
      </c>
      <c r="D29" s="134" t="str">
        <f>IF('levy page12'!C82&gt;0,'levy page12'!C82,"  ")</f>
        <v xml:space="preserve">  </v>
      </c>
      <c r="E29" s="824" t="str">
        <f>IF('levy page12'!$E$33&gt;0,'levy page12'!$E$33,"  ")</f>
        <v xml:space="preserve">  </v>
      </c>
      <c r="F29" s="837">
        <f>IF('levy page12'!$E$40&lt;&gt;0,'levy page12'!$E$40,0)</f>
        <v>0</v>
      </c>
      <c r="G29" s="826">
        <f t="shared" si="0"/>
        <v>0</v>
      </c>
    </row>
    <row r="30" spans="2:7" hidden="1" x14ac:dyDescent="0.25">
      <c r="B30" s="68" t="str">
        <f>IF(inputPrYr!$B28&gt;"  ",(inputPrYr!$B28),"  ")</f>
        <v xml:space="preserve">  </v>
      </c>
      <c r="C30" s="141" t="str">
        <f>IF(inputPrYr!C28&gt;0,(inputPrYr!C28),"  ")</f>
        <v xml:space="preserve">  </v>
      </c>
      <c r="D30" s="134" t="str">
        <f>IF('levy page12'!C82&gt;0,'levy page12'!C82,"  ")</f>
        <v xml:space="preserve">  </v>
      </c>
      <c r="E30" s="824" t="str">
        <f>IF('levy page12'!$E$73&gt;0,'levy page12'!$E$73,"  ")</f>
        <v xml:space="preserve">  </v>
      </c>
      <c r="F30" s="837">
        <f>IF('levy page12'!$E$80&lt;&gt;0,'levy page12'!$E$80,0)</f>
        <v>0</v>
      </c>
      <c r="G30" s="826">
        <f t="shared" si="0"/>
        <v>0</v>
      </c>
    </row>
    <row r="31" spans="2:7" hidden="1" x14ac:dyDescent="0.25">
      <c r="B31" s="68" t="str">
        <f>IF(inputPrYr!$B29&gt;"  ",(inputPrYr!$B29),"  ")</f>
        <v xml:space="preserve">  </v>
      </c>
      <c r="C31" s="141" t="str">
        <f>IF(inputPrYr!C29&gt;0,(inputPrYr!C29),"  ")</f>
        <v xml:space="preserve">  </v>
      </c>
      <c r="D31" s="134" t="str">
        <f>IF('levy page13'!C82&gt;0,'levy page13'!C82,"  ")</f>
        <v xml:space="preserve">  </v>
      </c>
      <c r="E31" s="824" t="str">
        <f>IF('levy page13'!$E$33&gt;0,'levy page13'!$E$33,"  ")</f>
        <v xml:space="preserve">  </v>
      </c>
      <c r="F31" s="837">
        <f>IF('levy page13'!$E$40&lt;&gt;0,'levy page13'!$E$40,0)</f>
        <v>0</v>
      </c>
      <c r="G31" s="826">
        <f t="shared" si="0"/>
        <v>0</v>
      </c>
    </row>
    <row r="32" spans="2:7" hidden="1" x14ac:dyDescent="0.25">
      <c r="B32" s="68" t="str">
        <f>IF(inputPrYr!$B30&gt;"  ",(inputPrYr!$B30),"  ")</f>
        <v xml:space="preserve">  </v>
      </c>
      <c r="C32" s="141" t="str">
        <f>IF(inputPrYr!C30&gt;0,(inputPrYr!C30),"  ")</f>
        <v xml:space="preserve">  </v>
      </c>
      <c r="D32" s="134" t="str">
        <f>IF('levy page13'!C82&gt;0,'levy page13'!C82,"  ")</f>
        <v xml:space="preserve">  </v>
      </c>
      <c r="E32" s="824" t="str">
        <f>IF('levy page13'!$E$73&gt;0,'levy page13'!$E$73,"  ")</f>
        <v xml:space="preserve">  </v>
      </c>
      <c r="F32" s="837">
        <f>IF('levy page13'!$E$80&lt;&gt;0,'levy page13'!$E$80,0)</f>
        <v>0</v>
      </c>
      <c r="G32" s="826">
        <f t="shared" si="0"/>
        <v>0</v>
      </c>
    </row>
    <row r="33" spans="2:7" x14ac:dyDescent="0.25">
      <c r="B33" s="142" t="str">
        <f>IF(inputPrYr!$B36&gt;"  ",(inputPrYr!$B36),"  ")</f>
        <v>Street Improvements</v>
      </c>
      <c r="C33" s="143"/>
      <c r="D33" s="144">
        <f>IF('Street-Refuse'!C70&gt;0,'Street-Refuse'!C70,"  ")</f>
        <v>17</v>
      </c>
      <c r="E33" s="824">
        <f>IF('Street-Refuse'!$E$30&gt;0,'Street-Refuse'!$E$30,"  ")</f>
        <v>157980</v>
      </c>
      <c r="F33" s="824"/>
      <c r="G33" s="838"/>
    </row>
    <row r="34" spans="2:7" x14ac:dyDescent="0.25">
      <c r="B34" s="142" t="str">
        <f>IF(inputPrYr!$B37&gt;"  ",(inputPrYr!$B37),"  ")</f>
        <v>Refuse</v>
      </c>
      <c r="C34" s="143"/>
      <c r="D34" s="144">
        <f>IF('Street-Refuse'!C70&gt;0,'Street-Refuse'!C70,"  ")</f>
        <v>17</v>
      </c>
      <c r="E34" s="824">
        <f>IF('Street-Refuse'!$E$64&gt;0,'Street-Refuse'!$E$64,"  ")</f>
        <v>396700</v>
      </c>
      <c r="F34" s="824"/>
      <c r="G34" s="838"/>
    </row>
    <row r="35" spans="2:7" x14ac:dyDescent="0.25">
      <c r="B35" s="142" t="str">
        <f>IF(inputPrYr!$B38&gt;"  ",(inputPrYr!$B38),"  ")</f>
        <v>Golf Course</v>
      </c>
      <c r="C35" s="145"/>
      <c r="D35" s="144">
        <f>IF('Golf-911'!C75&gt;0,'Golf-911'!C75,"  ")</f>
        <v>19</v>
      </c>
      <c r="E35" s="824">
        <f>IF('Golf-911'!$E$35&gt;0,'Golf-911'!$E$35,"  ")</f>
        <v>258454</v>
      </c>
      <c r="F35" s="824"/>
      <c r="G35" s="838"/>
    </row>
    <row r="36" spans="2:7" x14ac:dyDescent="0.25">
      <c r="B36" s="142" t="str">
        <f>IF(inputPrYr!$B39&gt;"  ",(inputPrYr!$B39),"  ")</f>
        <v>Special Revenue (911)</v>
      </c>
      <c r="C36" s="143"/>
      <c r="D36" s="144">
        <f>IF('Golf-911'!C75&gt;0,'Golf-911'!C75,"  ")</f>
        <v>19</v>
      </c>
      <c r="E36" s="824">
        <f>IF('Golf-911'!$E$69&gt;0,'Golf-911'!$E$69,"  ")</f>
        <v>9897</v>
      </c>
      <c r="F36" s="824"/>
      <c r="G36" s="838"/>
    </row>
    <row r="37" spans="2:7" x14ac:dyDescent="0.25">
      <c r="B37" s="142" t="str">
        <f>IF(inputPrYr!$B40&gt;"  ",(inputPrYr!$B40),"  ")</f>
        <v>Tourism</v>
      </c>
      <c r="C37" s="145"/>
      <c r="D37" s="144">
        <f>IF(Tourism!C75&gt;0,Tourism!C75,"  ")</f>
        <v>20</v>
      </c>
      <c r="E37" s="824">
        <f>IF(Tourism!$E$38&gt;0,Tourism!$E$38,"  ")</f>
        <v>76550</v>
      </c>
      <c r="F37" s="824"/>
      <c r="G37" s="838"/>
    </row>
    <row r="38" spans="2:7" hidden="1" x14ac:dyDescent="0.25">
      <c r="B38" s="142" t="str">
        <f>IF(inputPrYr!$B41&gt;"  ",(inputPrYr!$B41),"  ")</f>
        <v xml:space="preserve">  </v>
      </c>
      <c r="C38" s="146"/>
      <c r="D38" s="144">
        <f>IF(Tourism!C75&gt;0,Tourism!C75,"  ")</f>
        <v>20</v>
      </c>
      <c r="E38" s="824" t="str">
        <f>IF(Tourism!$E$69&gt;0,Tourism!$E$69,"  ")</f>
        <v xml:space="preserve">  </v>
      </c>
      <c r="F38" s="824"/>
      <c r="G38" s="838"/>
    </row>
    <row r="39" spans="2:7" hidden="1" x14ac:dyDescent="0.25">
      <c r="B39" s="142" t="str">
        <f>IF(inputPrYr!$B42&gt;"  ",(inputPrYr!$B42),"  ")</f>
        <v xml:space="preserve">  </v>
      </c>
      <c r="C39" s="146"/>
      <c r="D39" s="144" t="str">
        <f>IF('no levy page17'!C67&gt;0,'no levy page17'!C67,"  ")</f>
        <v xml:space="preserve">  </v>
      </c>
      <c r="E39" s="824" t="str">
        <f>IF('no levy page17'!$E$30&gt;0,'no levy page17'!$E$30,"  ")</f>
        <v xml:space="preserve">  </v>
      </c>
      <c r="F39" s="824"/>
      <c r="G39" s="838"/>
    </row>
    <row r="40" spans="2:7" hidden="1" x14ac:dyDescent="0.25">
      <c r="B40" s="142" t="str">
        <f>IF(inputPrYr!$B43&gt;"  ",(inputPrYr!$B43),"  ")</f>
        <v xml:space="preserve">  </v>
      </c>
      <c r="C40" s="146"/>
      <c r="D40" s="144" t="str">
        <f>IF('no levy page17'!C67&gt;0,'no levy page17'!C67,"  ")</f>
        <v xml:space="preserve">  </v>
      </c>
      <c r="E40" s="824" t="str">
        <f>IF('no levy page17'!$E$61&gt;0,'no levy page17'!$E$61,"  ")</f>
        <v xml:space="preserve">  </v>
      </c>
      <c r="F40" s="824"/>
      <c r="G40" s="838"/>
    </row>
    <row r="41" spans="2:7" hidden="1" x14ac:dyDescent="0.25">
      <c r="B41" s="142" t="str">
        <f>IF(inputPrYr!$B44&gt;"  ",(inputPrYr!$B44),"  ")</f>
        <v xml:space="preserve">  </v>
      </c>
      <c r="C41" s="143"/>
      <c r="D41" s="144" t="str">
        <f>IF('no levy page18'!C67&gt;0,'no levy page18'!C67,"  ")</f>
        <v xml:space="preserve">  </v>
      </c>
      <c r="E41" s="824" t="str">
        <f>IF('no levy page18'!$E$30&gt;0,'no levy page18'!$E$30,"  ")</f>
        <v xml:space="preserve">  </v>
      </c>
      <c r="F41" s="824"/>
      <c r="G41" s="838"/>
    </row>
    <row r="42" spans="2:7" hidden="1" x14ac:dyDescent="0.25">
      <c r="B42" s="142" t="str">
        <f>IF(inputPrYr!$B45&gt;"  ",(inputPrYr!$B45),"  ")</f>
        <v xml:space="preserve">  </v>
      </c>
      <c r="C42" s="143"/>
      <c r="D42" s="144" t="str">
        <f>IF('no levy page18'!C67&gt;0,'no levy page18'!C67,"  ")</f>
        <v xml:space="preserve">  </v>
      </c>
      <c r="E42" s="824" t="str">
        <f>IF('no levy page18'!$E$61&gt;0,'no levy page18'!$E$61,"  ")</f>
        <v xml:space="preserve">  </v>
      </c>
      <c r="F42" s="824"/>
      <c r="G42" s="838"/>
    </row>
    <row r="43" spans="2:7" hidden="1" x14ac:dyDescent="0.25">
      <c r="B43" s="142" t="str">
        <f>IF(inputPrYr!$B46&gt;"  ",(inputPrYr!$B46),"  ")</f>
        <v xml:space="preserve">  </v>
      </c>
      <c r="C43" s="143"/>
      <c r="D43" s="144" t="str">
        <f>IF('no levy page19'!C67&gt;0,'no levy page19'!C67,"  ")</f>
        <v xml:space="preserve">  </v>
      </c>
      <c r="E43" s="824" t="str">
        <f>IF('no levy page19'!$E$30&gt;0,'no levy page19'!$E$30,"  ")</f>
        <v xml:space="preserve">  </v>
      </c>
      <c r="F43" s="824"/>
      <c r="G43" s="838"/>
    </row>
    <row r="44" spans="2:7" hidden="1" x14ac:dyDescent="0.25">
      <c r="B44" s="142" t="str">
        <f>IF(inputPrYr!$B47&gt;"  ",(inputPrYr!$B47),"  ")</f>
        <v xml:space="preserve">  </v>
      </c>
      <c r="C44" s="143"/>
      <c r="D44" s="144" t="str">
        <f>IF('no levy page19'!C67&gt;0,'no levy page19'!C67,"  ")</f>
        <v xml:space="preserve">  </v>
      </c>
      <c r="E44" s="824" t="str">
        <f>IF('no levy page19'!$E$61&gt;0,'no levy page19'!$E$61,"  ")</f>
        <v xml:space="preserve">  </v>
      </c>
      <c r="F44" s="824"/>
      <c r="G44" s="838"/>
    </row>
    <row r="45" spans="2:7" hidden="1" x14ac:dyDescent="0.25">
      <c r="B45" s="142" t="str">
        <f>IF(inputPrYr!$B48&gt;"  ",(inputPrYr!$B48),"  ")</f>
        <v xml:space="preserve">  </v>
      </c>
      <c r="C45" s="143"/>
      <c r="D45" s="144" t="str">
        <f>IF('no levy page20'!C67&gt;0,'no levy page20'!C67,"  ")</f>
        <v xml:space="preserve">  </v>
      </c>
      <c r="E45" s="824" t="str">
        <f>IF('no levy page20'!$E$30&gt;0,'no levy page20'!$E$30,"  ")</f>
        <v xml:space="preserve">  </v>
      </c>
      <c r="F45" s="824"/>
      <c r="G45" s="838"/>
    </row>
    <row r="46" spans="2:7" hidden="1" x14ac:dyDescent="0.25">
      <c r="B46" s="142" t="str">
        <f>IF(inputPrYr!$B49&gt;"  ",(inputPrYr!$B49),"  ")</f>
        <v xml:space="preserve">  </v>
      </c>
      <c r="C46" s="143"/>
      <c r="D46" s="144" t="str">
        <f>IF('no levy page20'!C67&gt;0,'no levy page20'!C67,"  ")</f>
        <v xml:space="preserve">  </v>
      </c>
      <c r="E46" s="824" t="str">
        <f>IF('no levy page20'!$E$61&gt;0,'no levy page20'!$E$61,"  ")</f>
        <v xml:space="preserve">  </v>
      </c>
      <c r="F46" s="824"/>
      <c r="G46" s="838"/>
    </row>
    <row r="47" spans="2:7" hidden="1" x14ac:dyDescent="0.25">
      <c r="B47" s="142" t="str">
        <f>IF(inputPrYr!$B50&gt;"  ",(inputPrYr!$B50),"  ")</f>
        <v xml:space="preserve">  </v>
      </c>
      <c r="C47" s="145"/>
      <c r="D47" s="144" t="str">
        <f>IF('no levy page21'!C67&gt;0,'no levy page21'!C67,"  ")</f>
        <v xml:space="preserve">  </v>
      </c>
      <c r="E47" s="824" t="str">
        <f>IF('no levy page21'!$E$30&gt;0,'no levy page21'!$E$30,"  ")</f>
        <v xml:space="preserve">  </v>
      </c>
      <c r="F47" s="824"/>
      <c r="G47" s="838"/>
    </row>
    <row r="48" spans="2:7" hidden="1" x14ac:dyDescent="0.25">
      <c r="B48" s="142" t="str">
        <f>IF(inputPrYr!$B51&gt;"  ",(inputPrYr!$B51),"  ")</f>
        <v xml:space="preserve">  </v>
      </c>
      <c r="C48" s="146"/>
      <c r="D48" s="144" t="str">
        <f>IF('no levy page21'!C67&gt;0,'no levy page21'!C67,"  ")</f>
        <v xml:space="preserve">  </v>
      </c>
      <c r="E48" s="824" t="str">
        <f>IF('no levy page21'!$E$61&gt;0,'no levy page21'!$E$61,"  ")</f>
        <v xml:space="preserve">  </v>
      </c>
      <c r="F48" s="824"/>
      <c r="G48" s="838"/>
    </row>
    <row r="49" spans="2:8" x14ac:dyDescent="0.25">
      <c r="B49" s="142" t="str">
        <f>IF(inputPrYr!$B53&gt;"  ",(inputPrYr!$B53),"  ")</f>
        <v>Water</v>
      </c>
      <c r="C49" s="143"/>
      <c r="D49" s="144">
        <f>IF(Water!C43&gt;0,Water!C43,"  ")</f>
        <v>21</v>
      </c>
      <c r="E49" s="824">
        <f>IF(Water!$E$37&gt;0,Water!$E$37,"  ")</f>
        <v>969144</v>
      </c>
      <c r="F49" s="824"/>
      <c r="G49" s="838"/>
    </row>
    <row r="50" spans="2:8" x14ac:dyDescent="0.25">
      <c r="B50" s="142" t="str">
        <f>IF(inputPrYr!$B54&gt;"  ",(inputPrYr!$B54),"  ")</f>
        <v>Electric</v>
      </c>
      <c r="C50" s="143"/>
      <c r="D50" s="144">
        <f>IF(Electric!C45&gt;0,Electric!C45,"  ")</f>
        <v>22</v>
      </c>
      <c r="E50" s="824">
        <f>IF(Electric!$E$41&gt;0,Electric!$E$41,"  ")</f>
        <v>4256969</v>
      </c>
      <c r="F50" s="824"/>
      <c r="G50" s="838"/>
    </row>
    <row r="51" spans="2:8" x14ac:dyDescent="0.25">
      <c r="B51" s="142" t="str">
        <f>IF(inputPrYr!$B55&gt;"  ",(inputPrYr!$B55),"  ")</f>
        <v>Sewer</v>
      </c>
      <c r="C51" s="145"/>
      <c r="D51" s="144">
        <f>IF(Sewer!C38&gt;0,Sewer!C38,"  ")</f>
        <v>23</v>
      </c>
      <c r="E51" s="824">
        <f>IF(Sewer!$E$32&gt;0,Sewer!$E$32,"  ")</f>
        <v>962755.43753539398</v>
      </c>
      <c r="F51" s="824"/>
      <c r="G51" s="838"/>
    </row>
    <row r="52" spans="2:8" x14ac:dyDescent="0.25">
      <c r="B52" s="142" t="str">
        <f>IF(inputPrYr!$B56&gt;"  ",(inputPrYr!$B56),"  ")</f>
        <v>Special Parks &amp; Recreation</v>
      </c>
      <c r="C52" s="146"/>
      <c r="D52" s="144">
        <f>IF('Special Parks &amp; Recreation'!C44&gt;0,'Special Parks &amp; Recreation'!C44,"  ")</f>
        <v>24</v>
      </c>
      <c r="E52" s="824">
        <f>IF('Special Parks &amp; Recreation'!$E$38&gt;0,'Special Parks &amp; Recreation'!$E$38,"  ")</f>
        <v>262198.83087479498</v>
      </c>
      <c r="F52" s="824"/>
      <c r="G52" s="838"/>
    </row>
    <row r="53" spans="2:8" x14ac:dyDescent="0.25">
      <c r="B53" s="142" t="str">
        <f>IF(inputPrYr!$B59&gt;"  ",(NonBudA!$A3),"  ")</f>
        <v>Non-Budgeted Funds A - CIP</v>
      </c>
      <c r="C53" s="146"/>
      <c r="D53" s="144">
        <f>IF(NonBudA!F33&gt;0,NonBudA!F33,"  ")</f>
        <v>20</v>
      </c>
      <c r="E53" s="824"/>
      <c r="F53" s="824"/>
      <c r="G53" s="838"/>
    </row>
    <row r="54" spans="2:8" x14ac:dyDescent="0.25">
      <c r="B54" s="142" t="str">
        <f>IF(inputPrYr!$B65&gt;"  ",(NonBudB!$A3),"  ")</f>
        <v>Non-Budgeted Funds B - Court</v>
      </c>
      <c r="C54" s="146"/>
      <c r="D54" s="144">
        <f>IF(NonBudB!F33&gt;0,NonBudB!F33,"  ")</f>
        <v>21</v>
      </c>
      <c r="E54" s="824"/>
      <c r="F54" s="824"/>
      <c r="G54" s="838"/>
    </row>
    <row r="55" spans="2:8" x14ac:dyDescent="0.25">
      <c r="B55" s="142" t="str">
        <f>IF(inputPrYr!$B71&gt;"  ",(NonBudC!$A3),"  ")</f>
        <v>Non-Budgeted Funds C - Misc</v>
      </c>
      <c r="C55" s="143"/>
      <c r="D55" s="144">
        <f>IF(NonBudC!F33&gt;0,NonBudC!F33,"  ")</f>
        <v>22</v>
      </c>
      <c r="E55" s="824"/>
      <c r="F55" s="824"/>
      <c r="G55" s="838"/>
    </row>
    <row r="56" spans="2:8" ht="16.2" thickBot="1" x14ac:dyDescent="0.3">
      <c r="B56" s="142" t="str">
        <f>IF(inputPrYr!$B77&gt;"  ",(NonBudD!$A3),"  ")</f>
        <v xml:space="preserve">  </v>
      </c>
      <c r="C56" s="145"/>
      <c r="D56" s="144" t="str">
        <f>IF(NonBudD!F33&gt;0,NonBudD!F33,"  ")</f>
        <v xml:space="preserve">  </v>
      </c>
      <c r="E56" s="839"/>
      <c r="F56" s="839"/>
      <c r="G56" s="840"/>
    </row>
    <row r="57" spans="2:8" x14ac:dyDescent="0.25">
      <c r="B57" s="393" t="s">
        <v>634</v>
      </c>
      <c r="C57" s="74"/>
      <c r="D57" s="241" t="s">
        <v>93</v>
      </c>
      <c r="E57" s="841">
        <f>SUM(E20:E56)</f>
        <v>11521851.579341089</v>
      </c>
      <c r="F57" s="841">
        <f>SUM(F20:F56)</f>
        <v>1431668.1691985757</v>
      </c>
      <c r="G57" s="842">
        <f>IF(SUM(G20:G56)=0,"",SUM(G20:G56))</f>
        <v>64.301000000000002</v>
      </c>
    </row>
    <row r="58" spans="2:8" x14ac:dyDescent="0.25">
      <c r="B58" s="133" t="str">
        <f>inputPrYr!B33</f>
        <v>Recreation</v>
      </c>
      <c r="C58" s="366" t="s">
        <v>633</v>
      </c>
      <c r="D58" s="134">
        <f>IF('Library-Rec'!C86&gt;0,'Library-Rec'!C86,"  ")</f>
        <v>11</v>
      </c>
      <c r="E58" s="824">
        <f>IF('Library-Rec'!E77&lt;&gt;0,'Library-Rec'!E77,"  ")</f>
        <v>1000</v>
      </c>
      <c r="F58" s="837">
        <f>IF('Library-Rec'!E84&lt;&gt;0,'Library-Rec'!E84,0)</f>
        <v>0</v>
      </c>
      <c r="G58" s="837">
        <f>IF($G$61=0,0,ROUND(F58/$G$61*1000,3))</f>
        <v>0</v>
      </c>
      <c r="H58" s="18" t="str">
        <f>IF(G58&gt;inputOth!E6,"Exceed Limit","")</f>
        <v/>
      </c>
    </row>
    <row r="59" spans="2:8" ht="16.2" thickBot="1" x14ac:dyDescent="0.3">
      <c r="B59" s="420" t="s">
        <v>635</v>
      </c>
      <c r="C59" s="421"/>
      <c r="D59" s="241" t="s">
        <v>93</v>
      </c>
      <c r="E59" s="843">
        <f>SUM(E57:E58)</f>
        <v>11522851.579341089</v>
      </c>
      <c r="F59" s="843">
        <f>SUM(F57:F58)</f>
        <v>1431668.1691985757</v>
      </c>
      <c r="G59" s="844" t="s">
        <v>631</v>
      </c>
    </row>
    <row r="60" spans="2:8" ht="16.2" thickTop="1" x14ac:dyDescent="0.25">
      <c r="B60" s="919" t="s">
        <v>985</v>
      </c>
      <c r="C60" s="147"/>
      <c r="D60" s="148"/>
      <c r="E60" s="149"/>
      <c r="F60" s="150" t="str">
        <f>IF(F57&gt;1000,IF(F57&gt;computation!J47,"Yes","No"),"No")</f>
        <v>Yes</v>
      </c>
      <c r="G60" s="419" t="s">
        <v>221</v>
      </c>
    </row>
    <row r="61" spans="2:8" x14ac:dyDescent="0.25">
      <c r="B61" s="133" t="s">
        <v>301</v>
      </c>
      <c r="C61" s="74"/>
      <c r="D61" s="134">
        <f>summ!D73</f>
        <v>23</v>
      </c>
      <c r="E61" s="32"/>
      <c r="F61" s="32"/>
      <c r="G61" s="529">
        <v>22265267</v>
      </c>
    </row>
    <row r="62" spans="2:8" x14ac:dyDescent="0.25">
      <c r="B62" s="133" t="s">
        <v>12</v>
      </c>
      <c r="C62" s="74"/>
      <c r="D62" s="134" t="str">
        <f>IF(nhood!C40&gt;0,nhood!C40,"")</f>
        <v/>
      </c>
      <c r="E62" s="32"/>
      <c r="F62" s="32"/>
      <c r="G62" s="998" t="str">
        <f>CONCATENATE("Nov 1, ",I1-1," Total Assessed Valuation")</f>
        <v>Nov 1, 2014 Total Assessed Valuation</v>
      </c>
    </row>
    <row r="63" spans="2:8" x14ac:dyDescent="0.25">
      <c r="B63" s="56" t="s">
        <v>94</v>
      </c>
      <c r="C63" s="57"/>
      <c r="D63" s="57"/>
      <c r="E63" s="57"/>
      <c r="F63" s="57"/>
      <c r="G63" s="999"/>
    </row>
    <row r="64" spans="2:8" x14ac:dyDescent="0.25">
      <c r="B64" s="334"/>
      <c r="C64" s="57"/>
      <c r="D64" s="32"/>
      <c r="E64" s="270"/>
      <c r="F64" s="57"/>
      <c r="G64" s="57"/>
    </row>
    <row r="65" spans="2:7" x14ac:dyDescent="0.25">
      <c r="B65" s="335"/>
      <c r="C65" s="57"/>
      <c r="D65" s="57" t="s">
        <v>872</v>
      </c>
      <c r="E65" s="270"/>
      <c r="F65" s="57"/>
      <c r="G65" s="57"/>
    </row>
    <row r="66" spans="2:7" x14ac:dyDescent="0.25">
      <c r="B66" s="56" t="s">
        <v>224</v>
      </c>
      <c r="C66" s="32"/>
      <c r="D66" s="56"/>
      <c r="E66" s="270"/>
      <c r="F66" s="57"/>
      <c r="G66" s="57"/>
    </row>
    <row r="67" spans="2:7" x14ac:dyDescent="0.25">
      <c r="B67" s="334"/>
      <c r="C67" s="57"/>
      <c r="D67" s="57" t="s">
        <v>872</v>
      </c>
      <c r="E67" s="270"/>
      <c r="F67" s="270"/>
      <c r="G67" s="270"/>
    </row>
    <row r="68" spans="2:7" x14ac:dyDescent="0.25">
      <c r="B68" s="335"/>
      <c r="C68" s="151"/>
      <c r="D68" s="57"/>
      <c r="E68" s="57"/>
      <c r="F68" s="737"/>
      <c r="G68" s="737"/>
    </row>
    <row r="69" spans="2:7" x14ac:dyDescent="0.25">
      <c r="B69" s="58" t="s">
        <v>871</v>
      </c>
      <c r="C69" s="151"/>
      <c r="D69" s="57" t="s">
        <v>872</v>
      </c>
      <c r="E69" s="57"/>
      <c r="F69" s="738"/>
      <c r="G69" s="738"/>
    </row>
    <row r="70" spans="2:7" x14ac:dyDescent="0.25">
      <c r="B70" s="334"/>
      <c r="C70" s="152"/>
      <c r="D70" s="57"/>
      <c r="E70" s="57"/>
      <c r="F70" s="737"/>
      <c r="G70" s="737"/>
    </row>
    <row r="71" spans="2:7" x14ac:dyDescent="0.25">
      <c r="B71" s="270"/>
      <c r="C71" s="152"/>
      <c r="D71" s="57" t="s">
        <v>872</v>
      </c>
      <c r="E71" s="57"/>
      <c r="F71" s="738"/>
      <c r="G71" s="738"/>
    </row>
    <row r="72" spans="2:7" x14ac:dyDescent="0.25">
      <c r="B72" s="33" t="s">
        <v>5</v>
      </c>
      <c r="C72" s="153">
        <f>I1-1</f>
        <v>2014</v>
      </c>
      <c r="D72" s="57"/>
      <c r="E72" s="57"/>
      <c r="F72" s="739"/>
      <c r="G72" s="57"/>
    </row>
    <row r="73" spans="2:7" x14ac:dyDescent="0.25">
      <c r="B73" s="125"/>
      <c r="C73" s="32"/>
      <c r="D73" s="57" t="s">
        <v>872</v>
      </c>
      <c r="E73" s="57"/>
      <c r="F73" s="57"/>
      <c r="G73" s="57"/>
    </row>
    <row r="74" spans="2:7" x14ac:dyDescent="0.25">
      <c r="B74" s="120" t="s">
        <v>96</v>
      </c>
      <c r="C74" s="32"/>
      <c r="D74" s="996" t="s">
        <v>95</v>
      </c>
      <c r="E74" s="997"/>
      <c r="F74" s="997"/>
      <c r="G74" s="997"/>
    </row>
    <row r="75" spans="2:7" x14ac:dyDescent="0.25">
      <c r="B75" s="18"/>
    </row>
    <row r="85" spans="2:7" ht="15" x14ac:dyDescent="0.25">
      <c r="B85" s="87"/>
      <c r="C85" s="87"/>
      <c r="D85" s="87"/>
      <c r="E85" s="87"/>
      <c r="F85" s="87"/>
      <c r="G85" s="87"/>
    </row>
    <row r="86" spans="2:7" ht="15" x14ac:dyDescent="0.25">
      <c r="B86" s="87"/>
      <c r="C86" s="87"/>
      <c r="D86" s="87"/>
      <c r="E86" s="87"/>
      <c r="F86" s="87"/>
      <c r="G86" s="87"/>
    </row>
    <row r="87" spans="2:7" ht="15" x14ac:dyDescent="0.25">
      <c r="B87" s="87"/>
      <c r="C87" s="87"/>
      <c r="D87" s="87"/>
      <c r="E87" s="87"/>
      <c r="F87" s="87"/>
      <c r="G87" s="87"/>
    </row>
    <row r="88" spans="2:7" ht="15" x14ac:dyDescent="0.25">
      <c r="B88" s="87"/>
      <c r="C88" s="87"/>
      <c r="D88" s="87"/>
      <c r="E88" s="87"/>
      <c r="F88" s="87"/>
      <c r="G88" s="87"/>
    </row>
    <row r="89" spans="2:7" ht="15" x14ac:dyDescent="0.25">
      <c r="B89" s="87"/>
      <c r="C89" s="87"/>
      <c r="D89" s="87"/>
      <c r="E89" s="87"/>
      <c r="F89" s="87"/>
      <c r="G89" s="87"/>
    </row>
    <row r="90" spans="2:7" ht="15" x14ac:dyDescent="0.25">
      <c r="B90" s="87"/>
      <c r="C90" s="87"/>
      <c r="D90" s="87"/>
      <c r="E90" s="87"/>
      <c r="F90" s="87"/>
      <c r="G90" s="87"/>
    </row>
    <row r="91" spans="2:7" ht="15" x14ac:dyDescent="0.25">
      <c r="B91" s="87"/>
      <c r="C91" s="87"/>
      <c r="D91" s="87"/>
      <c r="E91" s="87"/>
      <c r="F91" s="87"/>
      <c r="G91" s="87"/>
    </row>
    <row r="92" spans="2:7" ht="15" x14ac:dyDescent="0.25">
      <c r="B92" s="87"/>
      <c r="C92" s="87"/>
      <c r="D92" s="87"/>
      <c r="E92" s="87"/>
      <c r="F92" s="87"/>
      <c r="G92" s="87"/>
    </row>
    <row r="93" spans="2:7" ht="15" x14ac:dyDescent="0.25">
      <c r="B93" s="87"/>
      <c r="C93" s="87"/>
      <c r="D93" s="87"/>
      <c r="E93" s="87"/>
      <c r="F93" s="87"/>
      <c r="G93" s="87"/>
    </row>
    <row r="94" spans="2:7" ht="15" x14ac:dyDescent="0.25">
      <c r="B94" s="87"/>
      <c r="C94" s="87"/>
      <c r="D94" s="87"/>
      <c r="E94" s="87"/>
      <c r="F94" s="87"/>
      <c r="G94" s="87"/>
    </row>
    <row r="95" spans="2:7" ht="15" x14ac:dyDescent="0.25">
      <c r="B95" s="87"/>
      <c r="C95" s="87"/>
      <c r="D95" s="87"/>
      <c r="E95" s="87"/>
      <c r="F95" s="87"/>
      <c r="G95" s="87"/>
    </row>
    <row r="96" spans="2:7" ht="15" x14ac:dyDescent="0.25">
      <c r="B96" s="87"/>
      <c r="C96" s="87"/>
      <c r="D96" s="87"/>
      <c r="E96" s="87"/>
      <c r="F96" s="87"/>
      <c r="G96" s="87"/>
    </row>
    <row r="97" spans="2:7" ht="15" x14ac:dyDescent="0.25">
      <c r="B97" s="87"/>
      <c r="C97" s="87"/>
      <c r="D97" s="87"/>
      <c r="E97" s="87"/>
      <c r="F97" s="87"/>
      <c r="G97" s="87"/>
    </row>
    <row r="98" spans="2:7" ht="15" x14ac:dyDescent="0.25">
      <c r="B98" s="87"/>
      <c r="C98" s="87"/>
      <c r="D98" s="87"/>
      <c r="E98" s="87"/>
      <c r="F98" s="87"/>
      <c r="G98" s="87"/>
    </row>
    <row r="99" spans="2:7" ht="15" x14ac:dyDescent="0.25">
      <c r="B99" s="87"/>
      <c r="C99" s="87"/>
      <c r="D99" s="87"/>
      <c r="E99" s="87"/>
      <c r="F99" s="87"/>
      <c r="G99" s="87"/>
    </row>
    <row r="100" spans="2:7" ht="15" x14ac:dyDescent="0.25">
      <c r="B100" s="87"/>
      <c r="C100" s="87"/>
      <c r="D100" s="87"/>
      <c r="E100" s="87"/>
      <c r="F100" s="87"/>
      <c r="G100" s="87"/>
    </row>
    <row r="103" spans="2:7" x14ac:dyDescent="0.25">
      <c r="B103" s="18"/>
      <c r="C103" s="18"/>
      <c r="D103" s="18"/>
      <c r="E103" s="18"/>
      <c r="F103" s="18"/>
      <c r="G103" s="18"/>
    </row>
  </sheetData>
  <sheetProtection sheet="1" objects="1" scenarios="1"/>
  <mergeCells count="4">
    <mergeCell ref="B4:G4"/>
    <mergeCell ref="B2:G2"/>
    <mergeCell ref="D74:G74"/>
    <mergeCell ref="G62:G63"/>
  </mergeCells>
  <phoneticPr fontId="0" type="noConversion"/>
  <pageMargins left="0.82" right="0.5" top="1" bottom="0.5" header="0.5" footer="0.25"/>
  <pageSetup scale="71" fitToHeight="2" orientation="portrait" blackAndWhite="1" r:id="rId1"/>
  <headerFooter alignWithMargins="0">
    <oddHeader xml:space="preserve">&amp;RState of Kansas
City
</oddHeader>
    <oddFooter>&amp;C   Page No. 1</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1"/>
  <sheetViews>
    <sheetView workbookViewId="0">
      <selection activeCell="L79" sqref="L79"/>
    </sheetView>
  </sheetViews>
  <sheetFormatPr defaultColWidth="8.9140625" defaultRowHeight="15.6" x14ac:dyDescent="0.25"/>
  <cols>
    <col min="1" max="1" width="84.25" style="18" customWidth="1"/>
    <col min="2" max="16384" width="8.9140625" style="18"/>
  </cols>
  <sheetData>
    <row r="1" spans="1:1" x14ac:dyDescent="0.25">
      <c r="A1" s="523" t="s">
        <v>1012</v>
      </c>
    </row>
    <row r="2" spans="1:1" x14ac:dyDescent="0.25">
      <c r="A2" s="951" t="s">
        <v>1013</v>
      </c>
    </row>
    <row r="4" spans="1:1" x14ac:dyDescent="0.25">
      <c r="A4" s="523" t="s">
        <v>994</v>
      </c>
    </row>
    <row r="5" spans="1:1" x14ac:dyDescent="0.25">
      <c r="A5" s="18" t="s">
        <v>993</v>
      </c>
    </row>
    <row r="7" spans="1:1" x14ac:dyDescent="0.25">
      <c r="A7" s="523" t="s">
        <v>995</v>
      </c>
    </row>
    <row r="8" spans="1:1" x14ac:dyDescent="0.25">
      <c r="A8" s="900" t="s">
        <v>963</v>
      </c>
    </row>
    <row r="10" spans="1:1" x14ac:dyDescent="0.25">
      <c r="A10" s="523" t="s">
        <v>996</v>
      </c>
    </row>
    <row r="11" spans="1:1" x14ac:dyDescent="0.25">
      <c r="A11" s="18" t="s">
        <v>962</v>
      </c>
    </row>
    <row r="13" spans="1:1" x14ac:dyDescent="0.25">
      <c r="A13" s="523" t="s">
        <v>997</v>
      </c>
    </row>
    <row r="14" spans="1:1" x14ac:dyDescent="0.25">
      <c r="A14" s="18" t="s">
        <v>961</v>
      </c>
    </row>
    <row r="16" spans="1:1" x14ac:dyDescent="0.25">
      <c r="A16" s="523" t="s">
        <v>998</v>
      </c>
    </row>
    <row r="17" spans="1:1" x14ac:dyDescent="0.25">
      <c r="A17" s="847" t="s">
        <v>959</v>
      </c>
    </row>
    <row r="19" spans="1:1" x14ac:dyDescent="0.25">
      <c r="A19" s="523" t="s">
        <v>999</v>
      </c>
    </row>
    <row r="20" spans="1:1" x14ac:dyDescent="0.25">
      <c r="A20" s="18" t="s">
        <v>958</v>
      </c>
    </row>
    <row r="22" spans="1:1" x14ac:dyDescent="0.25">
      <c r="A22" s="523" t="s">
        <v>1000</v>
      </c>
    </row>
    <row r="23" spans="1:1" x14ac:dyDescent="0.25">
      <c r="A23" s="863" t="s">
        <v>957</v>
      </c>
    </row>
    <row r="25" spans="1:1" x14ac:dyDescent="0.25">
      <c r="A25" s="523" t="s">
        <v>1001</v>
      </c>
    </row>
    <row r="26" spans="1:1" x14ac:dyDescent="0.25">
      <c r="A26" s="18" t="s">
        <v>955</v>
      </c>
    </row>
    <row r="28" spans="1:1" x14ac:dyDescent="0.25">
      <c r="A28" s="523" t="s">
        <v>1002</v>
      </c>
    </row>
    <row r="29" spans="1:1" x14ac:dyDescent="0.25">
      <c r="A29" s="847" t="s">
        <v>881</v>
      </c>
    </row>
    <row r="30" spans="1:1" x14ac:dyDescent="0.25">
      <c r="A30" s="18" t="s">
        <v>882</v>
      </c>
    </row>
    <row r="31" spans="1:1" x14ac:dyDescent="0.25">
      <c r="A31" s="18" t="s">
        <v>883</v>
      </c>
    </row>
    <row r="32" spans="1:1" x14ac:dyDescent="0.25">
      <c r="A32" s="18" t="s">
        <v>884</v>
      </c>
    </row>
    <row r="33" spans="1:1" x14ac:dyDescent="0.25">
      <c r="A33" s="18" t="s">
        <v>885</v>
      </c>
    </row>
    <row r="34" spans="1:1" x14ac:dyDescent="0.25">
      <c r="A34" s="18" t="s">
        <v>886</v>
      </c>
    </row>
    <row r="35" spans="1:1" x14ac:dyDescent="0.25">
      <c r="A35" s="18" t="s">
        <v>887</v>
      </c>
    </row>
    <row r="36" spans="1:1" x14ac:dyDescent="0.25">
      <c r="A36" s="18" t="s">
        <v>888</v>
      </c>
    </row>
    <row r="37" spans="1:1" x14ac:dyDescent="0.25">
      <c r="A37" s="18" t="s">
        <v>889</v>
      </c>
    </row>
    <row r="38" spans="1:1" x14ac:dyDescent="0.25">
      <c r="A38" s="18" t="s">
        <v>890</v>
      </c>
    </row>
    <row r="39" spans="1:1" x14ac:dyDescent="0.25">
      <c r="A39" s="18" t="s">
        <v>891</v>
      </c>
    </row>
    <row r="40" spans="1:1" x14ac:dyDescent="0.25">
      <c r="A40" s="18" t="s">
        <v>892</v>
      </c>
    </row>
    <row r="41" spans="1:1" x14ac:dyDescent="0.25">
      <c r="A41" s="18" t="s">
        <v>893</v>
      </c>
    </row>
    <row r="42" spans="1:1" x14ac:dyDescent="0.25">
      <c r="A42" s="18" t="s">
        <v>894</v>
      </c>
    </row>
    <row r="43" spans="1:1" x14ac:dyDescent="0.25">
      <c r="A43" s="18" t="s">
        <v>895</v>
      </c>
    </row>
    <row r="44" spans="1:1" x14ac:dyDescent="0.25">
      <c r="A44" s="18" t="s">
        <v>896</v>
      </c>
    </row>
    <row r="45" spans="1:1" ht="46.8" x14ac:dyDescent="0.25">
      <c r="A45" s="20" t="s">
        <v>897</v>
      </c>
    </row>
    <row r="46" spans="1:1" x14ac:dyDescent="0.25">
      <c r="A46" s="19" t="s">
        <v>898</v>
      </c>
    </row>
    <row r="47" spans="1:1" ht="31.2" x14ac:dyDescent="0.25">
      <c r="A47" s="20" t="s">
        <v>899</v>
      </c>
    </row>
    <row r="48" spans="1:1" x14ac:dyDescent="0.25">
      <c r="A48" s="18" t="s">
        <v>900</v>
      </c>
    </row>
    <row r="49" spans="1:1" x14ac:dyDescent="0.25">
      <c r="A49" s="18" t="s">
        <v>901</v>
      </c>
    </row>
    <row r="50" spans="1:1" x14ac:dyDescent="0.25">
      <c r="A50" s="18" t="s">
        <v>902</v>
      </c>
    </row>
    <row r="51" spans="1:1" x14ac:dyDescent="0.25">
      <c r="A51" s="18" t="s">
        <v>903</v>
      </c>
    </row>
    <row r="52" spans="1:1" x14ac:dyDescent="0.25">
      <c r="A52" s="18" t="s">
        <v>904</v>
      </c>
    </row>
    <row r="53" spans="1:1" x14ac:dyDescent="0.25">
      <c r="A53" s="18" t="s">
        <v>905</v>
      </c>
    </row>
    <row r="54" spans="1:1" x14ac:dyDescent="0.25">
      <c r="A54" s="18" t="s">
        <v>906</v>
      </c>
    </row>
    <row r="55" spans="1:1" x14ac:dyDescent="0.25">
      <c r="A55" s="18" t="s">
        <v>907</v>
      </c>
    </row>
    <row r="56" spans="1:1" x14ac:dyDescent="0.25">
      <c r="A56" s="18" t="s">
        <v>908</v>
      </c>
    </row>
    <row r="57" spans="1:1" x14ac:dyDescent="0.25">
      <c r="A57" s="18" t="s">
        <v>909</v>
      </c>
    </row>
    <row r="58" spans="1:1" x14ac:dyDescent="0.25">
      <c r="A58" s="18" t="s">
        <v>910</v>
      </c>
    </row>
    <row r="59" spans="1:1" x14ac:dyDescent="0.25">
      <c r="A59" s="18" t="s">
        <v>911</v>
      </c>
    </row>
    <row r="60" spans="1:1" x14ac:dyDescent="0.25">
      <c r="A60" s="18" t="s">
        <v>912</v>
      </c>
    </row>
    <row r="61" spans="1:1" x14ac:dyDescent="0.25">
      <c r="A61" s="18" t="s">
        <v>913</v>
      </c>
    </row>
    <row r="62" spans="1:1" x14ac:dyDescent="0.25">
      <c r="A62" s="18" t="s">
        <v>914</v>
      </c>
    </row>
    <row r="63" spans="1:1" x14ac:dyDescent="0.25">
      <c r="A63" s="18" t="s">
        <v>915</v>
      </c>
    </row>
    <row r="64" spans="1:1" x14ac:dyDescent="0.25">
      <c r="A64" s="18" t="s">
        <v>916</v>
      </c>
    </row>
    <row r="65" spans="1:1" x14ac:dyDescent="0.25">
      <c r="A65" s="18" t="s">
        <v>917</v>
      </c>
    </row>
    <row r="66" spans="1:1" ht="37.5" customHeight="1" x14ac:dyDescent="0.25">
      <c r="A66" s="20" t="s">
        <v>951</v>
      </c>
    </row>
    <row r="68" spans="1:1" x14ac:dyDescent="0.25">
      <c r="A68" s="523" t="s">
        <v>1003</v>
      </c>
    </row>
    <row r="69" spans="1:1" x14ac:dyDescent="0.25">
      <c r="A69" s="503" t="s">
        <v>785</v>
      </c>
    </row>
    <row r="71" spans="1:1" x14ac:dyDescent="0.25">
      <c r="A71" s="523" t="s">
        <v>1004</v>
      </c>
    </row>
    <row r="72" spans="1:1" x14ac:dyDescent="0.25">
      <c r="A72" s="18" t="s">
        <v>784</v>
      </c>
    </row>
    <row r="74" spans="1:1" x14ac:dyDescent="0.25">
      <c r="A74" s="523" t="s">
        <v>1005</v>
      </c>
    </row>
    <row r="75" spans="1:1" x14ac:dyDescent="0.25">
      <c r="A75" s="503" t="s">
        <v>720</v>
      </c>
    </row>
    <row r="76" spans="1:1" x14ac:dyDescent="0.25">
      <c r="A76" s="503" t="s">
        <v>721</v>
      </c>
    </row>
    <row r="77" spans="1:1" ht="31.2" x14ac:dyDescent="0.25">
      <c r="A77" s="486" t="s">
        <v>745</v>
      </c>
    </row>
    <row r="78" spans="1:1" x14ac:dyDescent="0.25">
      <c r="A78" s="503" t="s">
        <v>722</v>
      </c>
    </row>
    <row r="79" spans="1:1" x14ac:dyDescent="0.25">
      <c r="A79" s="503" t="s">
        <v>723</v>
      </c>
    </row>
    <row r="80" spans="1:1" x14ac:dyDescent="0.25">
      <c r="A80" s="503" t="s">
        <v>724</v>
      </c>
    </row>
    <row r="81" spans="1:1" x14ac:dyDescent="0.25">
      <c r="A81" s="503" t="s">
        <v>725</v>
      </c>
    </row>
    <row r="82" spans="1:1" x14ac:dyDescent="0.25">
      <c r="A82" s="503" t="s">
        <v>726</v>
      </c>
    </row>
    <row r="83" spans="1:1" x14ac:dyDescent="0.25">
      <c r="A83" s="503" t="s">
        <v>727</v>
      </c>
    </row>
    <row r="84" spans="1:1" x14ac:dyDescent="0.25">
      <c r="A84" s="503" t="s">
        <v>728</v>
      </c>
    </row>
    <row r="85" spans="1:1" x14ac:dyDescent="0.25">
      <c r="A85" s="503" t="s">
        <v>729</v>
      </c>
    </row>
    <row r="86" spans="1:1" x14ac:dyDescent="0.25">
      <c r="A86" s="503" t="s">
        <v>730</v>
      </c>
    </row>
    <row r="87" spans="1:1" x14ac:dyDescent="0.25">
      <c r="A87" s="503" t="s">
        <v>731</v>
      </c>
    </row>
    <row r="88" spans="1:1" x14ac:dyDescent="0.25">
      <c r="A88" s="503" t="s">
        <v>732</v>
      </c>
    </row>
    <row r="89" spans="1:1" x14ac:dyDescent="0.25">
      <c r="A89" s="503" t="s">
        <v>733</v>
      </c>
    </row>
    <row r="90" spans="1:1" x14ac:dyDescent="0.25">
      <c r="A90" s="503" t="s">
        <v>734</v>
      </c>
    </row>
    <row r="91" spans="1:1" x14ac:dyDescent="0.25">
      <c r="A91" s="503" t="s">
        <v>735</v>
      </c>
    </row>
    <row r="92" spans="1:1" x14ac:dyDescent="0.25">
      <c r="A92" s="503" t="s">
        <v>736</v>
      </c>
    </row>
    <row r="93" spans="1:1" x14ac:dyDescent="0.25">
      <c r="A93" s="503" t="s">
        <v>737</v>
      </c>
    </row>
    <row r="94" spans="1:1" x14ac:dyDescent="0.25">
      <c r="A94" s="503" t="s">
        <v>738</v>
      </c>
    </row>
    <row r="95" spans="1:1" x14ac:dyDescent="0.25">
      <c r="A95" s="503" t="s">
        <v>739</v>
      </c>
    </row>
    <row r="96" spans="1:1" x14ac:dyDescent="0.25">
      <c r="A96" s="503" t="s">
        <v>740</v>
      </c>
    </row>
    <row r="97" spans="1:1" x14ac:dyDescent="0.25">
      <c r="A97" s="503" t="s">
        <v>741</v>
      </c>
    </row>
    <row r="98" spans="1:1" x14ac:dyDescent="0.25">
      <c r="A98" s="503" t="s">
        <v>742</v>
      </c>
    </row>
    <row r="99" spans="1:1" x14ac:dyDescent="0.25">
      <c r="A99" s="503" t="s">
        <v>743</v>
      </c>
    </row>
    <row r="100" spans="1:1" x14ac:dyDescent="0.25">
      <c r="A100" s="503" t="s">
        <v>744</v>
      </c>
    </row>
    <row r="101" spans="1:1" x14ac:dyDescent="0.25">
      <c r="A101" s="503" t="s">
        <v>753</v>
      </c>
    </row>
    <row r="102" spans="1:1" x14ac:dyDescent="0.25">
      <c r="A102" s="503" t="s">
        <v>754</v>
      </c>
    </row>
    <row r="103" spans="1:1" x14ac:dyDescent="0.25">
      <c r="A103" s="503" t="s">
        <v>755</v>
      </c>
    </row>
    <row r="104" spans="1:1" x14ac:dyDescent="0.25">
      <c r="A104" s="503" t="s">
        <v>756</v>
      </c>
    </row>
    <row r="105" spans="1:1" x14ac:dyDescent="0.25">
      <c r="A105" s="503" t="s">
        <v>757</v>
      </c>
    </row>
    <row r="106" spans="1:1" x14ac:dyDescent="0.25">
      <c r="A106" s="503" t="s">
        <v>758</v>
      </c>
    </row>
    <row r="107" spans="1:1" x14ac:dyDescent="0.25">
      <c r="A107" s="503" t="s">
        <v>759</v>
      </c>
    </row>
    <row r="108" spans="1:1" x14ac:dyDescent="0.25">
      <c r="A108" s="503" t="s">
        <v>765</v>
      </c>
    </row>
    <row r="109" spans="1:1" x14ac:dyDescent="0.25">
      <c r="A109" s="503" t="s">
        <v>771</v>
      </c>
    </row>
    <row r="111" spans="1:1" x14ac:dyDescent="0.25">
      <c r="A111" s="353" t="s">
        <v>1006</v>
      </c>
    </row>
    <row r="112" spans="1:1" x14ac:dyDescent="0.25">
      <c r="A112" s="18" t="s">
        <v>623</v>
      </c>
    </row>
    <row r="113" spans="1:1" x14ac:dyDescent="0.25">
      <c r="A113" s="18" t="s">
        <v>624</v>
      </c>
    </row>
    <row r="114" spans="1:1" x14ac:dyDescent="0.25">
      <c r="A114" s="18" t="s">
        <v>625</v>
      </c>
    </row>
    <row r="116" spans="1:1" x14ac:dyDescent="0.25">
      <c r="A116" s="353" t="s">
        <v>1007</v>
      </c>
    </row>
    <row r="117" spans="1:1" x14ac:dyDescent="0.25">
      <c r="A117" s="18" t="s">
        <v>622</v>
      </c>
    </row>
    <row r="119" spans="1:1" x14ac:dyDescent="0.25">
      <c r="A119" s="353" t="s">
        <v>1008</v>
      </c>
    </row>
    <row r="120" spans="1:1" x14ac:dyDescent="0.25">
      <c r="A120" s="352" t="s">
        <v>393</v>
      </c>
    </row>
    <row r="121" spans="1:1" x14ac:dyDescent="0.25">
      <c r="A121" s="352" t="s">
        <v>394</v>
      </c>
    </row>
    <row r="122" spans="1:1" x14ac:dyDescent="0.25">
      <c r="A122" s="352" t="s">
        <v>395</v>
      </c>
    </row>
    <row r="123" spans="1:1" x14ac:dyDescent="0.25">
      <c r="A123" s="18" t="s">
        <v>612</v>
      </c>
    </row>
    <row r="125" spans="1:1" x14ac:dyDescent="0.25">
      <c r="A125" s="328" t="s">
        <v>1009</v>
      </c>
    </row>
    <row r="126" spans="1:1" x14ac:dyDescent="0.25">
      <c r="A126" s="332" t="s">
        <v>373</v>
      </c>
    </row>
    <row r="127" spans="1:1" x14ac:dyDescent="0.25">
      <c r="A127" s="18" t="s">
        <v>374</v>
      </c>
    </row>
    <row r="128" spans="1:1" x14ac:dyDescent="0.25">
      <c r="A128" s="18" t="s">
        <v>375</v>
      </c>
    </row>
    <row r="129" spans="1:1" ht="21.75" customHeight="1" x14ac:dyDescent="0.25">
      <c r="A129" s="20" t="s">
        <v>376</v>
      </c>
    </row>
    <row r="130" spans="1:1" x14ac:dyDescent="0.25">
      <c r="A130" s="18" t="s">
        <v>377</v>
      </c>
    </row>
    <row r="131" spans="1:1" x14ac:dyDescent="0.25">
      <c r="A131" s="18" t="s">
        <v>378</v>
      </c>
    </row>
    <row r="132" spans="1:1" x14ac:dyDescent="0.25">
      <c r="A132" s="18" t="s">
        <v>379</v>
      </c>
    </row>
    <row r="133" spans="1:1" x14ac:dyDescent="0.25">
      <c r="A133" s="18" t="s">
        <v>380</v>
      </c>
    </row>
    <row r="134" spans="1:1" x14ac:dyDescent="0.25">
      <c r="A134" s="18" t="s">
        <v>381</v>
      </c>
    </row>
    <row r="135" spans="1:1" x14ac:dyDescent="0.25">
      <c r="A135" s="18" t="s">
        <v>382</v>
      </c>
    </row>
    <row r="136" spans="1:1" x14ac:dyDescent="0.25">
      <c r="A136" s="18" t="s">
        <v>383</v>
      </c>
    </row>
    <row r="138" spans="1:1" x14ac:dyDescent="0.25">
      <c r="A138" s="328" t="s">
        <v>1010</v>
      </c>
    </row>
    <row r="139" spans="1:1" x14ac:dyDescent="0.25">
      <c r="A139" s="18" t="s">
        <v>320</v>
      </c>
    </row>
    <row r="141" spans="1:1" x14ac:dyDescent="0.25">
      <c r="A141" s="328" t="s">
        <v>318</v>
      </c>
    </row>
    <row r="142" spans="1:1" x14ac:dyDescent="0.25">
      <c r="A142" s="18" t="s">
        <v>319</v>
      </c>
    </row>
    <row r="144" spans="1:1" x14ac:dyDescent="0.25">
      <c r="A144" s="328" t="s">
        <v>315</v>
      </c>
    </row>
    <row r="145" spans="1:1" x14ac:dyDescent="0.25">
      <c r="A145" s="18" t="s">
        <v>316</v>
      </c>
    </row>
    <row r="146" spans="1:1" x14ac:dyDescent="0.25">
      <c r="A146" s="18" t="s">
        <v>317</v>
      </c>
    </row>
    <row r="148" spans="1:1" x14ac:dyDescent="0.25">
      <c r="A148" s="328" t="s">
        <v>62</v>
      </c>
    </row>
    <row r="149" spans="1:1" x14ac:dyDescent="0.25">
      <c r="A149" s="18" t="s">
        <v>47</v>
      </c>
    </row>
    <row r="150" spans="1:1" x14ac:dyDescent="0.25">
      <c r="A150" s="18" t="s">
        <v>48</v>
      </c>
    </row>
    <row r="151" spans="1:1" x14ac:dyDescent="0.25">
      <c r="A151" s="18" t="s">
        <v>49</v>
      </c>
    </row>
    <row r="152" spans="1:1" x14ac:dyDescent="0.25">
      <c r="A152" s="18" t="s">
        <v>56</v>
      </c>
    </row>
    <row r="153" spans="1:1" x14ac:dyDescent="0.25">
      <c r="A153" s="18" t="s">
        <v>50</v>
      </c>
    </row>
    <row r="154" spans="1:1" x14ac:dyDescent="0.25">
      <c r="A154" s="18" t="s">
        <v>51</v>
      </c>
    </row>
    <row r="155" spans="1:1" ht="31.2" x14ac:dyDescent="0.25">
      <c r="A155" s="20" t="s">
        <v>57</v>
      </c>
    </row>
    <row r="156" spans="1:1" ht="31.2" x14ac:dyDescent="0.25">
      <c r="A156" s="20" t="s">
        <v>52</v>
      </c>
    </row>
    <row r="157" spans="1:1" x14ac:dyDescent="0.25">
      <c r="A157" s="20" t="s">
        <v>53</v>
      </c>
    </row>
    <row r="158" spans="1:1" x14ac:dyDescent="0.25">
      <c r="A158" s="20" t="s">
        <v>54</v>
      </c>
    </row>
    <row r="159" spans="1:1" ht="31.2" x14ac:dyDescent="0.25">
      <c r="A159" s="20" t="s">
        <v>308</v>
      </c>
    </row>
    <row r="160" spans="1:1" x14ac:dyDescent="0.25">
      <c r="A160" s="18" t="s">
        <v>309</v>
      </c>
    </row>
    <row r="161" spans="1:1" ht="31.2" x14ac:dyDescent="0.25">
      <c r="A161" s="20" t="s">
        <v>55</v>
      </c>
    </row>
    <row r="162" spans="1:1" x14ac:dyDescent="0.25">
      <c r="A162" s="18" t="s">
        <v>59</v>
      </c>
    </row>
    <row r="163" spans="1:1" x14ac:dyDescent="0.25">
      <c r="A163" s="18" t="s">
        <v>60</v>
      </c>
    </row>
    <row r="164" spans="1:1" x14ac:dyDescent="0.25">
      <c r="A164" s="18" t="s">
        <v>61</v>
      </c>
    </row>
    <row r="165" spans="1:1" ht="31.2" x14ac:dyDescent="0.25">
      <c r="A165" s="20" t="s">
        <v>307</v>
      </c>
    </row>
    <row r="166" spans="1:1" x14ac:dyDescent="0.25">
      <c r="A166" s="18" t="s">
        <v>306</v>
      </c>
    </row>
    <row r="167" spans="1:1" ht="31.2" x14ac:dyDescent="0.25">
      <c r="A167" s="20" t="s">
        <v>305</v>
      </c>
    </row>
    <row r="168" spans="1:1" x14ac:dyDescent="0.25">
      <c r="A168" s="18" t="s">
        <v>310</v>
      </c>
    </row>
    <row r="170" spans="1:1" x14ac:dyDescent="0.25">
      <c r="A170" s="328" t="s">
        <v>66</v>
      </c>
    </row>
    <row r="171" spans="1:1" x14ac:dyDescent="0.25">
      <c r="A171" s="18" t="s">
        <v>67</v>
      </c>
    </row>
    <row r="172" spans="1:1" x14ac:dyDescent="0.25">
      <c r="A172" s="18" t="s">
        <v>68</v>
      </c>
    </row>
    <row r="173" spans="1:1" x14ac:dyDescent="0.25">
      <c r="A173" s="18" t="s">
        <v>69</v>
      </c>
    </row>
    <row r="174" spans="1:1" x14ac:dyDescent="0.25">
      <c r="A174" s="18" t="s">
        <v>58</v>
      </c>
    </row>
    <row r="177" spans="1:1" x14ac:dyDescent="0.25">
      <c r="A177" s="328" t="s">
        <v>43</v>
      </c>
    </row>
    <row r="178" spans="1:1" x14ac:dyDescent="0.25">
      <c r="A178" s="18" t="s">
        <v>44</v>
      </c>
    </row>
    <row r="180" spans="1:1" x14ac:dyDescent="0.25">
      <c r="A180" s="328" t="s">
        <v>36</v>
      </c>
    </row>
    <row r="181" spans="1:1" x14ac:dyDescent="0.25">
      <c r="A181" s="18" t="s">
        <v>37</v>
      </c>
    </row>
    <row r="182" spans="1:1" x14ac:dyDescent="0.25">
      <c r="A182" s="18" t="s">
        <v>38</v>
      </c>
    </row>
    <row r="183" spans="1:1" ht="31.2" x14ac:dyDescent="0.25">
      <c r="A183" s="20" t="s">
        <v>39</v>
      </c>
    </row>
    <row r="184" spans="1:1" x14ac:dyDescent="0.25">
      <c r="A184" s="18" t="s">
        <v>40</v>
      </c>
    </row>
    <row r="185" spans="1:1" x14ac:dyDescent="0.25">
      <c r="A185" s="18" t="s">
        <v>41</v>
      </c>
    </row>
    <row r="186" spans="1:1" x14ac:dyDescent="0.25">
      <c r="A186" s="18" t="s">
        <v>42</v>
      </c>
    </row>
    <row r="188" spans="1:1" ht="18" customHeight="1" x14ac:dyDescent="0.25">
      <c r="A188" s="328" t="s">
        <v>277</v>
      </c>
    </row>
    <row r="189" spans="1:1" ht="48.75" customHeight="1" x14ac:dyDescent="0.25">
      <c r="A189" s="20" t="s">
        <v>311</v>
      </c>
    </row>
    <row r="190" spans="1:1" x14ac:dyDescent="0.25">
      <c r="A190" s="18" t="s">
        <v>278</v>
      </c>
    </row>
    <row r="191" spans="1:1" x14ac:dyDescent="0.25">
      <c r="A191" s="18" t="s">
        <v>279</v>
      </c>
    </row>
    <row r="192" spans="1:1" x14ac:dyDescent="0.25">
      <c r="A192" s="18" t="s">
        <v>312</v>
      </c>
    </row>
    <row r="193" spans="1:1" x14ac:dyDescent="0.25">
      <c r="A193" s="18" t="s">
        <v>280</v>
      </c>
    </row>
    <row r="194" spans="1:1" x14ac:dyDescent="0.25">
      <c r="A194" s="18" t="s">
        <v>281</v>
      </c>
    </row>
    <row r="195" spans="1:1" x14ac:dyDescent="0.25">
      <c r="A195" s="18" t="s">
        <v>6</v>
      </c>
    </row>
    <row r="196" spans="1:1" x14ac:dyDescent="0.25">
      <c r="A196" s="18" t="s">
        <v>282</v>
      </c>
    </row>
    <row r="197" spans="1:1" x14ac:dyDescent="0.25">
      <c r="A197" s="18" t="s">
        <v>283</v>
      </c>
    </row>
    <row r="198" spans="1:1" ht="31.2" x14ac:dyDescent="0.25">
      <c r="A198" s="20" t="s">
        <v>284</v>
      </c>
    </row>
    <row r="199" spans="1:1" ht="31.2" x14ac:dyDescent="0.25">
      <c r="A199" s="20" t="s">
        <v>14</v>
      </c>
    </row>
    <row r="200" spans="1:1" x14ac:dyDescent="0.25">
      <c r="A200" s="18" t="s">
        <v>285</v>
      </c>
    </row>
    <row r="201" spans="1:1" x14ac:dyDescent="0.25">
      <c r="A201" s="18" t="s">
        <v>286</v>
      </c>
    </row>
    <row r="202" spans="1:1" x14ac:dyDescent="0.25">
      <c r="A202" s="18" t="s">
        <v>313</v>
      </c>
    </row>
    <row r="203" spans="1:1" x14ac:dyDescent="0.25">
      <c r="A203" s="18" t="s">
        <v>287</v>
      </c>
    </row>
    <row r="204" spans="1:1" x14ac:dyDescent="0.25">
      <c r="A204" s="18" t="s">
        <v>0</v>
      </c>
    </row>
    <row r="205" spans="1:1" ht="31.2" x14ac:dyDescent="0.25">
      <c r="A205" s="20" t="s">
        <v>1</v>
      </c>
    </row>
    <row r="206" spans="1:1" x14ac:dyDescent="0.25">
      <c r="A206" s="18" t="s">
        <v>296</v>
      </c>
    </row>
    <row r="207" spans="1:1" x14ac:dyDescent="0.25">
      <c r="A207" s="18" t="s">
        <v>297</v>
      </c>
    </row>
    <row r="208" spans="1:1" ht="31.2" x14ac:dyDescent="0.25">
      <c r="A208" s="20" t="s">
        <v>298</v>
      </c>
    </row>
    <row r="209" spans="1:1" x14ac:dyDescent="0.25">
      <c r="A209" s="18" t="s">
        <v>23</v>
      </c>
    </row>
    <row r="210" spans="1:1" x14ac:dyDescent="0.25">
      <c r="A210" s="18" t="s">
        <v>24</v>
      </c>
    </row>
    <row r="211" spans="1:1" x14ac:dyDescent="0.25">
      <c r="A211" s="18" t="s">
        <v>25</v>
      </c>
    </row>
    <row r="212" spans="1:1" x14ac:dyDescent="0.25">
      <c r="A212" s="18" t="s">
        <v>26</v>
      </c>
    </row>
    <row r="213" spans="1:1" x14ac:dyDescent="0.25">
      <c r="A213" s="18" t="s">
        <v>27</v>
      </c>
    </row>
    <row r="214" spans="1:1" x14ac:dyDescent="0.25">
      <c r="A214" s="18" t="s">
        <v>28</v>
      </c>
    </row>
    <row r="215" spans="1:1" x14ac:dyDescent="0.25">
      <c r="A215" s="18" t="s">
        <v>29</v>
      </c>
    </row>
    <row r="216" spans="1:1" x14ac:dyDescent="0.25">
      <c r="A216" s="18" t="s">
        <v>30</v>
      </c>
    </row>
    <row r="217" spans="1:1" x14ac:dyDescent="0.25">
      <c r="A217" s="18" t="s">
        <v>31</v>
      </c>
    </row>
    <row r="218" spans="1:1" x14ac:dyDescent="0.25">
      <c r="A218" s="18" t="s">
        <v>33</v>
      </c>
    </row>
    <row r="219" spans="1:1" x14ac:dyDescent="0.25">
      <c r="A219" s="18" t="s">
        <v>34</v>
      </c>
    </row>
    <row r="220" spans="1:1" x14ac:dyDescent="0.25">
      <c r="A220" s="18" t="s">
        <v>35</v>
      </c>
    </row>
    <row r="221" spans="1:1" x14ac:dyDescent="0.25">
      <c r="A221" s="18" t="s">
        <v>32</v>
      </c>
    </row>
  </sheetData>
  <sheetProtection sheet="1"/>
  <phoneticPr fontId="0" type="noConversion"/>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3"/>
  <sheetViews>
    <sheetView view="pageBreakPreview" topLeftCell="A16" zoomScale="60" zoomScaleNormal="85" workbookViewId="0">
      <selection activeCell="O31" sqref="O31"/>
    </sheetView>
  </sheetViews>
  <sheetFormatPr defaultColWidth="8.9140625" defaultRowHeight="15.9" customHeight="1" x14ac:dyDescent="0.25"/>
  <cols>
    <col min="1" max="2" width="3.33203125" style="18" customWidth="1"/>
    <col min="3" max="3" width="31.33203125" style="18" customWidth="1"/>
    <col min="4" max="4" width="2.33203125" style="18" customWidth="1"/>
    <col min="5" max="5" width="15.75" style="18" customWidth="1"/>
    <col min="6" max="6" width="2" style="18" customWidth="1"/>
    <col min="7" max="7" width="15.75" style="18" customWidth="1"/>
    <col min="8" max="8" width="1.9140625" style="18" customWidth="1"/>
    <col min="9" max="9" width="1.75" style="18" customWidth="1"/>
    <col min="10" max="10" width="15.75" style="18" customWidth="1"/>
    <col min="11" max="16384" width="8.9140625" style="18"/>
  </cols>
  <sheetData>
    <row r="1" spans="1:10" ht="15.9" customHeight="1" x14ac:dyDescent="0.25">
      <c r="A1" s="155"/>
      <c r="B1" s="155"/>
      <c r="C1" s="156" t="str">
        <f>inputPrYr!D2</f>
        <v>City of Osawatomie</v>
      </c>
      <c r="D1" s="155"/>
      <c r="E1" s="155"/>
      <c r="F1" s="155"/>
      <c r="G1" s="155"/>
      <c r="H1" s="155"/>
      <c r="I1" s="155"/>
      <c r="J1" s="155">
        <f>inputPrYr!C5</f>
        <v>2015</v>
      </c>
    </row>
    <row r="2" spans="1:10" ht="15.9" customHeight="1" x14ac:dyDescent="0.25">
      <c r="A2" s="155"/>
      <c r="B2" s="155"/>
      <c r="C2" s="155"/>
      <c r="D2" s="155"/>
      <c r="E2" s="155"/>
      <c r="F2" s="155"/>
      <c r="G2" s="155"/>
      <c r="H2" s="155"/>
      <c r="I2" s="155"/>
      <c r="J2" s="155"/>
    </row>
    <row r="3" spans="1:10" ht="15.6" x14ac:dyDescent="0.25">
      <c r="A3" s="1001" t="str">
        <f>CONCATENATE("Computation to Determine Limit for ",J1,"")</f>
        <v>Computation to Determine Limit for 2015</v>
      </c>
      <c r="B3" s="1002"/>
      <c r="C3" s="1002"/>
      <c r="D3" s="1002"/>
      <c r="E3" s="1002"/>
      <c r="F3" s="1002"/>
      <c r="G3" s="1002"/>
      <c r="H3" s="1002"/>
      <c r="I3" s="1002"/>
      <c r="J3" s="1002"/>
    </row>
    <row r="4" spans="1:10" ht="15.6" x14ac:dyDescent="0.25">
      <c r="A4" s="155"/>
      <c r="B4" s="155"/>
      <c r="C4" s="155"/>
      <c r="D4" s="155"/>
      <c r="E4" s="1002"/>
      <c r="F4" s="1002"/>
      <c r="G4" s="1002"/>
      <c r="H4" s="157"/>
      <c r="I4" s="155"/>
      <c r="J4" s="158" t="s">
        <v>178</v>
      </c>
    </row>
    <row r="5" spans="1:10" ht="15.6" x14ac:dyDescent="0.25">
      <c r="A5" s="159" t="s">
        <v>179</v>
      </c>
      <c r="B5" s="155" t="str">
        <f>CONCATENATE("Total tax levy amount in ",J1-1," budget")</f>
        <v>Total tax levy amount in 2014 budget</v>
      </c>
      <c r="C5" s="155"/>
      <c r="D5" s="155"/>
      <c r="E5" s="160"/>
      <c r="F5" s="160"/>
      <c r="G5" s="160"/>
      <c r="H5" s="161" t="s">
        <v>180</v>
      </c>
      <c r="I5" s="160" t="s">
        <v>181</v>
      </c>
      <c r="J5" s="162">
        <f>inputPrYr!E31</f>
        <v>1349898.0607740001</v>
      </c>
    </row>
    <row r="6" spans="1:10" ht="15.6" x14ac:dyDescent="0.25">
      <c r="A6" s="159" t="s">
        <v>182</v>
      </c>
      <c r="B6" s="155" t="str">
        <f>CONCATENATE("Debt service levy in ",J1-1," budget")</f>
        <v>Debt service levy in 2014 budget</v>
      </c>
      <c r="C6" s="155"/>
      <c r="D6" s="155"/>
      <c r="E6" s="160"/>
      <c r="F6" s="160"/>
      <c r="G6" s="160"/>
      <c r="H6" s="161" t="s">
        <v>183</v>
      </c>
      <c r="I6" s="160" t="s">
        <v>181</v>
      </c>
      <c r="J6" s="163">
        <f>inputPrYr!E18</f>
        <v>247628.82000000007</v>
      </c>
    </row>
    <row r="7" spans="1:10" ht="15.6" x14ac:dyDescent="0.25">
      <c r="A7" s="159" t="s">
        <v>206</v>
      </c>
      <c r="B7" s="155" t="s">
        <v>975</v>
      </c>
      <c r="C7" s="155"/>
      <c r="D7" s="155"/>
      <c r="E7" s="160"/>
      <c r="F7" s="160"/>
      <c r="G7" s="160"/>
      <c r="H7" s="160"/>
      <c r="I7" s="160" t="s">
        <v>181</v>
      </c>
      <c r="J7" s="165">
        <f>J5-J6</f>
        <v>1102269.2407740001</v>
      </c>
    </row>
    <row r="8" spans="1:10" ht="15.6" x14ac:dyDescent="0.25">
      <c r="A8" s="155"/>
      <c r="B8" s="155"/>
      <c r="C8" s="155"/>
      <c r="D8" s="155"/>
      <c r="E8" s="160"/>
      <c r="F8" s="160"/>
      <c r="G8" s="160"/>
      <c r="H8" s="160"/>
      <c r="I8" s="160"/>
      <c r="J8" s="160"/>
    </row>
    <row r="9" spans="1:10" ht="15.6" x14ac:dyDescent="0.25">
      <c r="A9" s="1002" t="str">
        <f>CONCATENATE("",J1-1," Valuation Information for Valuation Adjustments")</f>
        <v>2014 Valuation Information for Valuation Adjustments</v>
      </c>
      <c r="B9" s="983"/>
      <c r="C9" s="983"/>
      <c r="D9" s="983"/>
      <c r="E9" s="983"/>
      <c r="F9" s="983"/>
      <c r="G9" s="983"/>
      <c r="H9" s="983"/>
      <c r="I9" s="983"/>
      <c r="J9" s="983"/>
    </row>
    <row r="10" spans="1:10" ht="15.6" x14ac:dyDescent="0.25">
      <c r="A10" s="155"/>
      <c r="B10" s="155"/>
      <c r="C10" s="164"/>
      <c r="D10" s="155"/>
      <c r="E10" s="160"/>
      <c r="F10" s="160"/>
      <c r="G10" s="160"/>
      <c r="H10" s="160"/>
      <c r="I10" s="160"/>
      <c r="J10" s="160"/>
    </row>
    <row r="11" spans="1:10" ht="15.6" x14ac:dyDescent="0.25">
      <c r="A11" s="159" t="s">
        <v>184</v>
      </c>
      <c r="B11" s="155" t="str">
        <f>CONCATENATE("New improvements for ",J1-1,":")</f>
        <v>New improvements for 2014:</v>
      </c>
      <c r="C11" s="155"/>
      <c r="D11" s="155"/>
      <c r="E11" s="161"/>
      <c r="F11" s="161" t="s">
        <v>180</v>
      </c>
      <c r="G11" s="911">
        <f>inputOth!E10</f>
        <v>2788</v>
      </c>
      <c r="H11" s="166"/>
      <c r="I11" s="160"/>
      <c r="J11" s="160"/>
    </row>
    <row r="12" spans="1:10" ht="15.6" x14ac:dyDescent="0.25">
      <c r="A12" s="159"/>
      <c r="B12" s="167"/>
      <c r="C12" s="155"/>
      <c r="D12" s="155"/>
      <c r="E12" s="161"/>
      <c r="F12" s="161"/>
      <c r="G12" s="166"/>
      <c r="H12" s="166"/>
      <c r="I12" s="160"/>
      <c r="J12" s="160"/>
    </row>
    <row r="13" spans="1:10" ht="15.6" x14ac:dyDescent="0.25">
      <c r="A13" s="159" t="s">
        <v>185</v>
      </c>
      <c r="B13" s="155" t="str">
        <f>CONCATENATE("Increase in personal property for ",J1-1,":")</f>
        <v>Increase in personal property for 2014:</v>
      </c>
      <c r="C13" s="155"/>
      <c r="D13" s="155"/>
      <c r="E13" s="161"/>
      <c r="F13" s="161"/>
      <c r="G13" s="166"/>
      <c r="H13" s="166"/>
      <c r="I13" s="160"/>
      <c r="J13" s="160"/>
    </row>
    <row r="14" spans="1:10" ht="15.6" x14ac:dyDescent="0.25">
      <c r="A14" s="168"/>
      <c r="B14" s="155" t="s">
        <v>186</v>
      </c>
      <c r="C14" s="155" t="str">
        <f>CONCATENATE("Personal property ",J1-1,"")</f>
        <v>Personal property 2014</v>
      </c>
      <c r="D14" s="167" t="s">
        <v>180</v>
      </c>
      <c r="E14" s="911">
        <f>inputOth!E11</f>
        <v>243103</v>
      </c>
      <c r="F14" s="161"/>
      <c r="G14" s="160"/>
      <c r="H14" s="160"/>
      <c r="I14" s="166"/>
      <c r="J14" s="160"/>
    </row>
    <row r="15" spans="1:10" ht="15.6" x14ac:dyDescent="0.25">
      <c r="A15" s="167"/>
      <c r="B15" s="155" t="s">
        <v>187</v>
      </c>
      <c r="C15" s="155" t="str">
        <f>CONCATENATE("Personal property ",J1-2,"")</f>
        <v>Personal property 2013</v>
      </c>
      <c r="D15" s="167" t="s">
        <v>183</v>
      </c>
      <c r="E15" s="910">
        <f>inputOth!E17</f>
        <v>310528</v>
      </c>
      <c r="F15" s="161"/>
      <c r="G15" s="166"/>
      <c r="H15" s="166"/>
      <c r="I15" s="160"/>
      <c r="J15" s="160"/>
    </row>
    <row r="16" spans="1:10" ht="15.6" x14ac:dyDescent="0.25">
      <c r="A16" s="167"/>
      <c r="B16" s="155" t="s">
        <v>188</v>
      </c>
      <c r="C16" s="155" t="s">
        <v>976</v>
      </c>
      <c r="D16" s="155"/>
      <c r="E16" s="160"/>
      <c r="F16" s="160" t="s">
        <v>180</v>
      </c>
      <c r="G16" s="162">
        <f>IF(E14&gt;E15,E14-E15,0)</f>
        <v>0</v>
      </c>
      <c r="H16" s="166"/>
      <c r="I16" s="160"/>
      <c r="J16" s="160"/>
    </row>
    <row r="17" spans="1:10" ht="15.6" x14ac:dyDescent="0.25">
      <c r="A17" s="167"/>
      <c r="B17" s="167"/>
      <c r="C17" s="155"/>
      <c r="D17" s="155"/>
      <c r="E17" s="160"/>
      <c r="F17" s="160"/>
      <c r="G17" s="166" t="s">
        <v>201</v>
      </c>
      <c r="H17" s="166"/>
      <c r="I17" s="160"/>
      <c r="J17" s="160"/>
    </row>
    <row r="18" spans="1:10" ht="15.6" x14ac:dyDescent="0.25">
      <c r="A18" s="167" t="s">
        <v>189</v>
      </c>
      <c r="B18" s="155" t="str">
        <f>CONCATENATE("Valuation of annexed territory for ",J1-1,"")</f>
        <v>Valuation of annexed territory for 2014</v>
      </c>
      <c r="C18" s="155"/>
      <c r="D18" s="155"/>
      <c r="E18" s="166"/>
      <c r="F18" s="160"/>
      <c r="G18" s="160"/>
      <c r="H18" s="160"/>
      <c r="I18" s="160"/>
      <c r="J18" s="160"/>
    </row>
    <row r="19" spans="1:10" ht="15.6" x14ac:dyDescent="0.25">
      <c r="A19" s="167"/>
      <c r="B19" s="155" t="s">
        <v>190</v>
      </c>
      <c r="C19" s="155" t="s">
        <v>977</v>
      </c>
      <c r="D19" s="167" t="s">
        <v>180</v>
      </c>
      <c r="E19" s="911">
        <f>inputOth!E13</f>
        <v>0</v>
      </c>
      <c r="F19" s="160"/>
      <c r="G19" s="160"/>
      <c r="H19" s="160"/>
      <c r="I19" s="160"/>
      <c r="J19" s="160"/>
    </row>
    <row r="20" spans="1:10" ht="15.6" x14ac:dyDescent="0.25">
      <c r="A20" s="167"/>
      <c r="B20" s="155" t="s">
        <v>191</v>
      </c>
      <c r="C20" s="155" t="s">
        <v>978</v>
      </c>
      <c r="D20" s="167" t="s">
        <v>180</v>
      </c>
      <c r="E20" s="911">
        <f>inputOth!E14</f>
        <v>0</v>
      </c>
      <c r="F20" s="160"/>
      <c r="G20" s="166"/>
      <c r="H20" s="166"/>
      <c r="I20" s="160"/>
      <c r="J20" s="160"/>
    </row>
    <row r="21" spans="1:10" ht="15.6" x14ac:dyDescent="0.25">
      <c r="A21" s="167"/>
      <c r="B21" s="155" t="s">
        <v>192</v>
      </c>
      <c r="C21" s="155" t="s">
        <v>979</v>
      </c>
      <c r="D21" s="167" t="s">
        <v>183</v>
      </c>
      <c r="E21" s="911">
        <f>inputOth!E15</f>
        <v>0</v>
      </c>
      <c r="F21" s="160"/>
      <c r="G21" s="166"/>
      <c r="H21" s="166"/>
      <c r="I21" s="160"/>
      <c r="J21" s="160"/>
    </row>
    <row r="22" spans="1:10" ht="15.6" x14ac:dyDescent="0.25">
      <c r="A22" s="167"/>
      <c r="B22" s="155" t="s">
        <v>193</v>
      </c>
      <c r="C22" s="155" t="s">
        <v>980</v>
      </c>
      <c r="D22" s="167"/>
      <c r="E22" s="166"/>
      <c r="F22" s="160" t="s">
        <v>180</v>
      </c>
      <c r="G22" s="162">
        <f>E19+E20-E21</f>
        <v>0</v>
      </c>
      <c r="H22" s="166"/>
      <c r="I22" s="160"/>
      <c r="J22" s="160"/>
    </row>
    <row r="23" spans="1:10" ht="15.6" x14ac:dyDescent="0.25">
      <c r="A23" s="167"/>
      <c r="B23" s="167"/>
      <c r="C23" s="155"/>
      <c r="D23" s="167"/>
      <c r="E23" s="166"/>
      <c r="F23" s="160"/>
      <c r="G23" s="166"/>
      <c r="H23" s="166"/>
      <c r="I23" s="160"/>
      <c r="J23" s="160"/>
    </row>
    <row r="24" spans="1:10" ht="15.6" x14ac:dyDescent="0.25">
      <c r="A24" s="167" t="s">
        <v>194</v>
      </c>
      <c r="B24" s="155" t="str">
        <f>CONCATENATE("Valuation of property that has changed in use during ",J1-1,"")</f>
        <v>Valuation of property that has changed in use during 2014</v>
      </c>
      <c r="C24" s="155"/>
      <c r="D24" s="155"/>
      <c r="E24" s="160"/>
      <c r="F24" s="160"/>
      <c r="G24" s="78">
        <f>inputOth!E16</f>
        <v>129226</v>
      </c>
      <c r="H24" s="160"/>
      <c r="I24" s="160"/>
      <c r="J24" s="160"/>
    </row>
    <row r="25" spans="1:10" ht="15.6" x14ac:dyDescent="0.25">
      <c r="A25" s="155" t="s">
        <v>81</v>
      </c>
      <c r="B25" s="155"/>
      <c r="C25" s="155"/>
      <c r="D25" s="167"/>
      <c r="E25" s="166"/>
      <c r="F25" s="160"/>
      <c r="G25" s="169"/>
      <c r="H25" s="166"/>
      <c r="I25" s="160"/>
      <c r="J25" s="160"/>
    </row>
    <row r="26" spans="1:10" ht="15.6" x14ac:dyDescent="0.25">
      <c r="A26" s="167" t="s">
        <v>195</v>
      </c>
      <c r="B26" s="155" t="s">
        <v>981</v>
      </c>
      <c r="C26" s="155"/>
      <c r="D26" s="155"/>
      <c r="E26" s="160"/>
      <c r="F26" s="160"/>
      <c r="G26" s="162">
        <f>G11+G16+G22+G24</f>
        <v>132014</v>
      </c>
      <c r="H26" s="166"/>
      <c r="I26" s="160"/>
      <c r="J26" s="160"/>
    </row>
    <row r="27" spans="1:10" ht="15.6" x14ac:dyDescent="0.25">
      <c r="A27" s="167"/>
      <c r="B27" s="167"/>
      <c r="C27" s="155"/>
      <c r="D27" s="155"/>
      <c r="E27" s="160"/>
      <c r="F27" s="160"/>
      <c r="G27" s="166"/>
      <c r="H27" s="166"/>
      <c r="I27" s="160"/>
      <c r="J27" s="160"/>
    </row>
    <row r="28" spans="1:10" ht="15.6" x14ac:dyDescent="0.25">
      <c r="A28" s="167" t="s">
        <v>196</v>
      </c>
      <c r="B28" s="155" t="str">
        <f>CONCATENATE("Total estimated valuation July 1,",J1-1,"")</f>
        <v>Total estimated valuation July 1,2014</v>
      </c>
      <c r="C28" s="155"/>
      <c r="D28" s="155"/>
      <c r="E28" s="162">
        <f>inputOth!E9</f>
        <v>22268068</v>
      </c>
      <c r="F28" s="160"/>
      <c r="G28" s="160"/>
      <c r="H28" s="160"/>
      <c r="I28" s="161"/>
      <c r="J28" s="160"/>
    </row>
    <row r="29" spans="1:10" ht="15.6" x14ac:dyDescent="0.25">
      <c r="A29" s="167"/>
      <c r="B29" s="167"/>
      <c r="C29" s="155"/>
      <c r="D29" s="155"/>
      <c r="E29" s="166"/>
      <c r="F29" s="160"/>
      <c r="G29" s="160"/>
      <c r="H29" s="160"/>
      <c r="I29" s="161"/>
      <c r="J29" s="160"/>
    </row>
    <row r="30" spans="1:10" ht="15.6" x14ac:dyDescent="0.25">
      <c r="A30" s="167" t="s">
        <v>197</v>
      </c>
      <c r="B30" s="155" t="s">
        <v>982</v>
      </c>
      <c r="C30" s="155"/>
      <c r="D30" s="155"/>
      <c r="E30" s="160"/>
      <c r="F30" s="160"/>
      <c r="G30" s="162">
        <f>E28-G26</f>
        <v>22136054</v>
      </c>
      <c r="H30" s="166"/>
      <c r="I30" s="161"/>
      <c r="J30" s="160"/>
    </row>
    <row r="31" spans="1:10" ht="15.6" x14ac:dyDescent="0.25">
      <c r="A31" s="167"/>
      <c r="B31" s="167"/>
      <c r="C31" s="155"/>
      <c r="D31" s="155"/>
      <c r="E31" s="155"/>
      <c r="F31" s="155"/>
      <c r="G31" s="170"/>
      <c r="H31" s="171"/>
      <c r="I31" s="167"/>
      <c r="J31" s="155"/>
    </row>
    <row r="32" spans="1:10" ht="15.6" x14ac:dyDescent="0.25">
      <c r="A32" s="167" t="s">
        <v>198</v>
      </c>
      <c r="B32" s="155" t="s">
        <v>983</v>
      </c>
      <c r="C32" s="155"/>
      <c r="D32" s="155"/>
      <c r="E32" s="155"/>
      <c r="F32" s="155"/>
      <c r="G32" s="172">
        <f>IF(G30&gt;0,G26/G30,0)</f>
        <v>5.9637548769984026E-3</v>
      </c>
      <c r="H32" s="171"/>
      <c r="I32" s="155"/>
      <c r="J32" s="155"/>
    </row>
    <row r="33" spans="1:10" ht="15.6" x14ac:dyDescent="0.25">
      <c r="A33" s="167"/>
      <c r="B33" s="167"/>
      <c r="C33" s="155"/>
      <c r="D33" s="155"/>
      <c r="E33" s="155"/>
      <c r="F33" s="155"/>
      <c r="G33" s="171"/>
      <c r="H33" s="171"/>
      <c r="I33" s="155"/>
      <c r="J33" s="155"/>
    </row>
    <row r="34" spans="1:10" ht="15.6" x14ac:dyDescent="0.25">
      <c r="A34" s="167" t="s">
        <v>199</v>
      </c>
      <c r="B34" s="155" t="s">
        <v>984</v>
      </c>
      <c r="C34" s="155"/>
      <c r="D34" s="155"/>
      <c r="E34" s="155"/>
      <c r="F34" s="155"/>
      <c r="G34" s="171"/>
      <c r="H34" s="173" t="s">
        <v>180</v>
      </c>
      <c r="I34" s="155" t="s">
        <v>181</v>
      </c>
      <c r="J34" s="162">
        <f>ROUND(G32*J7,0)</f>
        <v>6574</v>
      </c>
    </row>
    <row r="35" spans="1:10" ht="15.6" x14ac:dyDescent="0.25">
      <c r="A35" s="167"/>
      <c r="B35" s="167"/>
      <c r="C35" s="155"/>
      <c r="D35" s="155"/>
      <c r="E35" s="155"/>
      <c r="F35" s="155"/>
      <c r="G35" s="171"/>
      <c r="H35" s="173"/>
      <c r="I35" s="155"/>
      <c r="J35" s="166"/>
    </row>
    <row r="36" spans="1:10" ht="16.2" thickBot="1" x14ac:dyDescent="0.3">
      <c r="A36" s="167" t="s">
        <v>200</v>
      </c>
      <c r="B36" s="155" t="str">
        <f>CONCATENATE(J1," budget tax levy, excluding debt service, prior to CPI adjustment (3 plus 12)")</f>
        <v>2015 budget tax levy, excluding debt service, prior to CPI adjustment (3 plus 12)</v>
      </c>
      <c r="C36" s="155"/>
      <c r="D36" s="155"/>
      <c r="E36" s="155"/>
      <c r="F36" s="155"/>
      <c r="G36" s="155"/>
      <c r="H36" s="155"/>
      <c r="I36" s="155" t="s">
        <v>181</v>
      </c>
      <c r="J36" s="174">
        <f>J7+J34</f>
        <v>1108843.2407740001</v>
      </c>
    </row>
    <row r="37" spans="1:10" ht="16.2" thickTop="1" x14ac:dyDescent="0.25">
      <c r="A37" s="155"/>
      <c r="B37" s="155"/>
      <c r="C37" s="155"/>
      <c r="D37" s="155"/>
      <c r="E37" s="155"/>
      <c r="F37" s="155"/>
      <c r="G37" s="155"/>
      <c r="H37" s="155"/>
      <c r="I37" s="155"/>
      <c r="J37" s="155"/>
    </row>
    <row r="38" spans="1:10" ht="15.6" x14ac:dyDescent="0.25">
      <c r="A38" s="167" t="s">
        <v>210</v>
      </c>
      <c r="B38" s="155" t="str">
        <f>CONCATENATE("Debt service in this ",J1," budget")</f>
        <v>Debt service in this 2015 budget</v>
      </c>
      <c r="C38" s="155"/>
      <c r="D38" s="155"/>
      <c r="E38" s="155"/>
      <c r="F38" s="155"/>
      <c r="G38" s="155"/>
      <c r="H38" s="155"/>
      <c r="I38" s="155"/>
      <c r="J38" s="175">
        <f>'GO B&amp;I Debt'!E63</f>
        <v>281704</v>
      </c>
    </row>
    <row r="39" spans="1:10" ht="15.6" x14ac:dyDescent="0.25">
      <c r="A39" s="167"/>
      <c r="B39" s="155"/>
      <c r="C39" s="155"/>
      <c r="D39" s="155"/>
      <c r="E39" s="155"/>
      <c r="F39" s="155"/>
      <c r="G39" s="155"/>
      <c r="H39" s="155"/>
      <c r="I39" s="155"/>
      <c r="J39" s="171"/>
    </row>
    <row r="40" spans="1:10" ht="16.2" thickBot="1" x14ac:dyDescent="0.3">
      <c r="A40" s="167" t="s">
        <v>211</v>
      </c>
      <c r="B40" s="155" t="str">
        <f>CONCATENATE(J1," budget tax levy, including debt service, prior to CPI adjustment (13 plus 14)")</f>
        <v>2015 budget tax levy, including debt service, prior to CPI adjustment (13 plus 14)</v>
      </c>
      <c r="C40" s="155"/>
      <c r="D40" s="155"/>
      <c r="E40" s="155"/>
      <c r="F40" s="155"/>
      <c r="G40" s="155"/>
      <c r="H40" s="155"/>
      <c r="I40" s="155"/>
      <c r="J40" s="174">
        <f>J36+J38</f>
        <v>1390547.2407740001</v>
      </c>
    </row>
    <row r="41" spans="1:10" ht="16.2" thickTop="1" x14ac:dyDescent="0.25">
      <c r="A41" s="913"/>
      <c r="B41" s="912"/>
      <c r="C41" s="912"/>
      <c r="D41" s="912"/>
      <c r="E41" s="912"/>
      <c r="F41" s="912"/>
      <c r="G41" s="912"/>
      <c r="H41" s="912"/>
      <c r="I41" s="912"/>
      <c r="J41" s="364"/>
    </row>
    <row r="42" spans="1:10" ht="15.6" x14ac:dyDescent="0.25">
      <c r="A42" s="915" t="s">
        <v>968</v>
      </c>
      <c r="B42" s="912" t="str">
        <f>CONCATENATE("Consumer Price Index for all urban consumers for calendar year ",J1-2)</f>
        <v>Consumer Price Index for all urban consumers for calendar year 2013</v>
      </c>
      <c r="C42" s="912"/>
      <c r="D42" s="912"/>
      <c r="E42" s="912"/>
      <c r="F42" s="912"/>
      <c r="G42" s="912"/>
      <c r="H42" s="912"/>
      <c r="I42" s="912"/>
      <c r="J42" s="916">
        <v>1.4999999999999999E-2</v>
      </c>
    </row>
    <row r="43" spans="1:10" ht="15.6" x14ac:dyDescent="0.25">
      <c r="A43" s="915"/>
      <c r="B43" s="912"/>
      <c r="C43" s="912"/>
      <c r="D43" s="912"/>
      <c r="E43" s="912"/>
      <c r="F43" s="912"/>
      <c r="G43" s="912"/>
      <c r="H43" s="912"/>
      <c r="I43" s="912"/>
      <c r="J43" s="917"/>
    </row>
    <row r="44" spans="1:10" ht="15.6" x14ac:dyDescent="0.25">
      <c r="A44" s="915" t="s">
        <v>969</v>
      </c>
      <c r="B44" s="912" t="s">
        <v>970</v>
      </c>
      <c r="C44" s="912"/>
      <c r="D44" s="912"/>
      <c r="E44" s="912"/>
      <c r="F44" s="912"/>
      <c r="G44" s="912"/>
      <c r="H44" s="912"/>
      <c r="I44" s="153" t="s">
        <v>181</v>
      </c>
      <c r="J44" s="911">
        <f>ROUND(J7*J42,0)</f>
        <v>16534</v>
      </c>
    </row>
    <row r="45" spans="1:10" ht="15.6" x14ac:dyDescent="0.25">
      <c r="A45" s="913"/>
      <c r="B45" s="912"/>
      <c r="C45" s="912"/>
      <c r="D45" s="912"/>
      <c r="E45" s="912"/>
      <c r="F45" s="912"/>
      <c r="G45" s="912"/>
      <c r="H45" s="912"/>
      <c r="I45" s="912"/>
      <c r="J45" s="364"/>
    </row>
    <row r="46" spans="1:10" ht="15.6" x14ac:dyDescent="0.25">
      <c r="A46" s="913" t="s">
        <v>971</v>
      </c>
      <c r="B46" s="912" t="str">
        <f>CONCATENATE("Maximum levy for budget year ",J1," including debt service, not requiring 'notice of vote publication.'")</f>
        <v>Maximum levy for budget year 2015 including debt service, not requiring 'notice of vote publication.'</v>
      </c>
      <c r="C46" s="912"/>
      <c r="D46" s="912"/>
      <c r="E46" s="912"/>
      <c r="F46" s="912"/>
      <c r="G46" s="912"/>
      <c r="H46" s="912"/>
      <c r="I46" s="912"/>
      <c r="J46" s="78"/>
    </row>
    <row r="47" spans="1:10" ht="18.600000000000001" thickBot="1" x14ac:dyDescent="0.3">
      <c r="A47" s="909"/>
      <c r="B47" s="153" t="s">
        <v>972</v>
      </c>
      <c r="C47" s="909"/>
      <c r="D47" s="909"/>
      <c r="E47" s="909"/>
      <c r="F47" s="909"/>
      <c r="G47" s="909"/>
      <c r="H47" s="909"/>
      <c r="I47" s="153" t="s">
        <v>181</v>
      </c>
      <c r="J47" s="914">
        <f>J40+J44</f>
        <v>1407081.2407740001</v>
      </c>
    </row>
    <row r="48" spans="1:10" ht="18.600000000000001" thickTop="1" x14ac:dyDescent="0.25">
      <c r="A48" s="909"/>
      <c r="B48" s="918"/>
      <c r="C48" s="909"/>
      <c r="D48" s="909"/>
      <c r="E48" s="909"/>
      <c r="F48" s="909"/>
      <c r="G48" s="909"/>
      <c r="H48" s="909"/>
      <c r="I48" s="153"/>
      <c r="J48" s="364"/>
    </row>
    <row r="49" spans="1:10" ht="18" x14ac:dyDescent="0.25">
      <c r="A49" s="909"/>
      <c r="B49" s="918"/>
      <c r="C49" s="909"/>
      <c r="D49" s="909"/>
      <c r="E49" s="909"/>
      <c r="F49" s="909"/>
      <c r="G49" s="909"/>
      <c r="H49" s="909"/>
      <c r="I49" s="153"/>
      <c r="J49" s="364"/>
    </row>
    <row r="50" spans="1:10" ht="18" x14ac:dyDescent="0.25">
      <c r="A50" s="1003" t="str">
        <f>CONCATENATE("If the ",J1," adopted budget includes a total property tax levy exceeding the dollar amount in line 18")</f>
        <v>If the 2015 adopted budget includes a total property tax levy exceeding the dollar amount in line 18</v>
      </c>
      <c r="B50" s="1003"/>
      <c r="C50" s="1003"/>
      <c r="D50" s="1003"/>
      <c r="E50" s="1003"/>
      <c r="F50" s="1003"/>
      <c r="G50" s="1003"/>
      <c r="H50" s="1003"/>
      <c r="I50" s="1003"/>
      <c r="J50" s="1003"/>
    </row>
    <row r="51" spans="1:10" ht="18" x14ac:dyDescent="0.25">
      <c r="A51" s="1003" t="s">
        <v>973</v>
      </c>
      <c r="B51" s="1003"/>
      <c r="C51" s="1003"/>
      <c r="D51" s="1003"/>
      <c r="E51" s="1003"/>
      <c r="F51" s="1003"/>
      <c r="G51" s="1003"/>
      <c r="H51" s="1003"/>
      <c r="I51" s="1003"/>
      <c r="J51" s="1003"/>
    </row>
    <row r="52" spans="1:10" ht="15.6" x14ac:dyDescent="0.25">
      <c r="A52" s="1000" t="s">
        <v>974</v>
      </c>
      <c r="B52" s="1000"/>
      <c r="C52" s="1000"/>
      <c r="D52" s="1000"/>
      <c r="E52" s="1000"/>
      <c r="F52" s="1000"/>
      <c r="G52" s="1000"/>
      <c r="H52" s="1000"/>
      <c r="I52" s="1000"/>
      <c r="J52" s="1000"/>
    </row>
    <row r="53" spans="1:10" ht="15.9" customHeight="1" x14ac:dyDescent="0.25">
      <c r="A53" s="1000" t="s">
        <v>1011</v>
      </c>
      <c r="B53" s="1000"/>
      <c r="C53" s="1000"/>
      <c r="D53" s="1000"/>
      <c r="E53" s="1000"/>
      <c r="F53" s="1000"/>
      <c r="G53" s="1000"/>
      <c r="H53" s="1000"/>
      <c r="I53" s="1000"/>
      <c r="J53" s="1000"/>
    </row>
  </sheetData>
  <sheetProtection sheet="1"/>
  <mergeCells count="7">
    <mergeCell ref="A53:J53"/>
    <mergeCell ref="A52:J52"/>
    <mergeCell ref="A3:J3"/>
    <mergeCell ref="E4:G4"/>
    <mergeCell ref="A51:J51"/>
    <mergeCell ref="A50:J50"/>
    <mergeCell ref="A9:J9"/>
  </mergeCells>
  <phoneticPr fontId="0" type="noConversion"/>
  <pageMargins left="0.5" right="0.5" top="1" bottom="0.5" header="0.5" footer="0.5"/>
  <pageSetup scale="82" orientation="portrait" blackAndWhite="1" r:id="rId1"/>
  <headerFooter alignWithMargins="0">
    <oddHeader xml:space="preserve">&amp;RState of Kansas
City
</oddHeader>
    <oddFooter>&amp;CPage No. 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view="pageBreakPreview" zoomScale="60" zoomScaleNormal="100" workbookViewId="0">
      <selection activeCell="J47" sqref="J47"/>
    </sheetView>
  </sheetViews>
  <sheetFormatPr defaultColWidth="8.9140625" defaultRowHeight="15.6" x14ac:dyDescent="0.25"/>
  <cols>
    <col min="1" max="1" width="8.9140625" style="30"/>
    <col min="2" max="2" width="17.9140625" style="30" customWidth="1"/>
    <col min="3" max="3" width="16.08203125" style="30" customWidth="1"/>
    <col min="4" max="6" width="12.75" style="30" customWidth="1"/>
    <col min="7" max="7" width="10.25" style="30" customWidth="1"/>
    <col min="8" max="16384" width="8.9140625" style="30"/>
  </cols>
  <sheetData>
    <row r="1" spans="1:8" x14ac:dyDescent="0.25">
      <c r="A1" s="32"/>
      <c r="B1" s="176" t="str">
        <f>inputPrYr!D2</f>
        <v>City of Osawatomie</v>
      </c>
      <c r="C1" s="176"/>
      <c r="D1" s="32"/>
      <c r="E1" s="32"/>
      <c r="F1" s="32"/>
      <c r="G1" s="32">
        <f>inputPrYr!C5</f>
        <v>2015</v>
      </c>
      <c r="H1" s="32"/>
    </row>
    <row r="2" spans="1:8" x14ac:dyDescent="0.25">
      <c r="A2" s="32"/>
      <c r="B2" s="32"/>
      <c r="C2" s="32"/>
      <c r="D2" s="32"/>
      <c r="E2" s="32"/>
      <c r="F2" s="32"/>
      <c r="G2" s="32"/>
      <c r="H2" s="32"/>
    </row>
    <row r="3" spans="1:8" x14ac:dyDescent="0.25">
      <c r="A3" s="32"/>
      <c r="B3" s="1004" t="s">
        <v>874</v>
      </c>
      <c r="C3" s="1004"/>
      <c r="D3" s="1004"/>
      <c r="E3" s="1004"/>
      <c r="F3" s="1004"/>
      <c r="G3" s="32"/>
      <c r="H3" s="32"/>
    </row>
    <row r="4" spans="1:8" x14ac:dyDescent="0.25">
      <c r="A4" s="32"/>
      <c r="B4" s="32"/>
      <c r="C4" s="177"/>
      <c r="D4" s="177"/>
      <c r="E4" s="177"/>
      <c r="F4" s="32"/>
      <c r="G4" s="32"/>
      <c r="H4" s="32"/>
    </row>
    <row r="5" spans="1:8" ht="21" customHeight="1" x14ac:dyDescent="0.25">
      <c r="A5" s="32"/>
      <c r="B5" s="178" t="s">
        <v>269</v>
      </c>
      <c r="C5" s="179" t="s">
        <v>875</v>
      </c>
      <c r="D5" s="1005" t="str">
        <f>CONCATENATE("Allocation for Year ",G1,"")</f>
        <v>Allocation for Year 2015</v>
      </c>
      <c r="E5" s="1006"/>
      <c r="F5" s="1007"/>
      <c r="G5" s="32"/>
      <c r="H5" s="32"/>
    </row>
    <row r="6" spans="1:8" x14ac:dyDescent="0.25">
      <c r="A6" s="32"/>
      <c r="B6" s="180" t="str">
        <f>CONCATENATE("for ",G1-1,"")</f>
        <v>for 2014</v>
      </c>
      <c r="C6" s="180" t="str">
        <f>CONCATENATE("Amount for ",G1-2,"")</f>
        <v>Amount for 2013</v>
      </c>
      <c r="D6" s="131" t="s">
        <v>174</v>
      </c>
      <c r="E6" s="131" t="s">
        <v>175</v>
      </c>
      <c r="F6" s="131" t="s">
        <v>173</v>
      </c>
      <c r="G6" s="741"/>
      <c r="H6" s="32"/>
    </row>
    <row r="7" spans="1:8" x14ac:dyDescent="0.25">
      <c r="A7" s="32"/>
      <c r="B7" s="68" t="str">
        <f>(inputPrYr!B17)</f>
        <v>General</v>
      </c>
      <c r="C7" s="134">
        <f>(inputPrYr!E17)</f>
        <v>542701.68999999994</v>
      </c>
      <c r="D7" s="134">
        <f>IF(inputPrYr!E17=0,0,D23-SUM(D8:D19))</f>
        <v>50442</v>
      </c>
      <c r="E7" s="134">
        <f>IF(inputPrYr!E17=0,0,E24-SUM(E8:E19))</f>
        <v>747</v>
      </c>
      <c r="F7" s="134">
        <f>IF(inputPrYr!E17=0,0,F25-SUM(F8:F19))</f>
        <v>506</v>
      </c>
      <c r="G7" s="742"/>
      <c r="H7" s="32"/>
    </row>
    <row r="8" spans="1:8" x14ac:dyDescent="0.25">
      <c r="A8" s="32"/>
      <c r="B8" s="68" t="str">
        <f>IF(inputPrYr!$B18&gt;"  ",(inputPrYr!$B18),"  ")</f>
        <v>Debt Service</v>
      </c>
      <c r="C8" s="134">
        <f>IF(inputPrYr!$E18&gt;0,(inputPrYr!$E18),"  ")</f>
        <v>247628.82000000007</v>
      </c>
      <c r="D8" s="134">
        <f>IF(inputPrYr!E18&gt;0,ROUND(C8*$D$27,0),"  ")</f>
        <v>23016</v>
      </c>
      <c r="E8" s="134">
        <f>IF(inputPrYr!E18&gt;0,ROUND(+C8*E$28,0)," ")</f>
        <v>341</v>
      </c>
      <c r="F8" s="134">
        <f>IF(inputPrYr!E18&gt;0,ROUND(C8*F$29,0)," ")</f>
        <v>231</v>
      </c>
      <c r="G8" s="742"/>
      <c r="H8" s="32"/>
    </row>
    <row r="9" spans="1:8" x14ac:dyDescent="0.25">
      <c r="A9" s="32"/>
      <c r="B9" s="68" t="str">
        <f>IF(inputPrYr!$B19&gt;"  ",(inputPrYr!$B19),"  ")</f>
        <v>Library</v>
      </c>
      <c r="C9" s="134" t="str">
        <f>IF(inputPrYr!$E19&gt;0,(inputPrYr!$E19),"  ")</f>
        <v xml:space="preserve">  </v>
      </c>
      <c r="D9" s="134" t="str">
        <f>IF(inputPrYr!E19&gt;0,ROUND(C9*$D$27,0),"  ")</f>
        <v xml:space="preserve">  </v>
      </c>
      <c r="E9" s="134" t="str">
        <f>IF(inputPrYr!E19&gt;0,ROUND(+C9*E$28,0)," ")</f>
        <v xml:space="preserve"> </v>
      </c>
      <c r="F9" s="134" t="str">
        <f>IF(inputPrYr!E19&gt;0,ROUND(C9*F$29,0)," ")</f>
        <v xml:space="preserve"> </v>
      </c>
      <c r="G9" s="742"/>
      <c r="H9" s="32"/>
    </row>
    <row r="10" spans="1:8" x14ac:dyDescent="0.25">
      <c r="A10" s="32"/>
      <c r="B10" s="68" t="str">
        <f>IF(inputPrYr!$B21&gt;"  ",(inputPrYr!$B21),"  ")</f>
        <v>Industrial</v>
      </c>
      <c r="C10" s="134" t="str">
        <f>IF(inputPrYr!$E21&gt;0,(inputPrYr!$E21),"  ")</f>
        <v xml:space="preserve">  </v>
      </c>
      <c r="D10" s="134" t="str">
        <f>IF(inputPrYr!E21&gt;0,ROUND(C10*$D$27,0),"  ")</f>
        <v xml:space="preserve">  </v>
      </c>
      <c r="E10" s="134" t="str">
        <f>IF(inputPrYr!E21&gt;0,ROUND(+C10*E$28,0)," ")</f>
        <v xml:space="preserve"> </v>
      </c>
      <c r="F10" s="134" t="str">
        <f>IF(inputPrYr!E21&gt;0,ROUND(+C10*F$29,0)," ")</f>
        <v xml:space="preserve"> </v>
      </c>
      <c r="G10" s="742"/>
      <c r="H10" s="32"/>
    </row>
    <row r="11" spans="1:8" x14ac:dyDescent="0.25">
      <c r="A11" s="32"/>
      <c r="B11" s="68" t="str">
        <f>IF(inputPrYr!$B22&gt;"  ",(inputPrYr!$B22),"  ")</f>
        <v>Employee Benefits</v>
      </c>
      <c r="C11" s="134">
        <f>IF(inputPrYr!$E22&gt;0,(inputPrYr!$E22),"  ")</f>
        <v>559567.55077400012</v>
      </c>
      <c r="D11" s="134">
        <f>IF(inputPrYr!E22&gt;0,ROUND(C11*$D$27,0),"  ")</f>
        <v>52009</v>
      </c>
      <c r="E11" s="134">
        <f>IF(inputPrYr!E22&gt;0,ROUND(+C11*E$28,0)," ")</f>
        <v>771</v>
      </c>
      <c r="F11" s="134">
        <f>IF(inputPrYr!E22&gt;0,ROUND(+C11*F$29,0)," ")</f>
        <v>521</v>
      </c>
      <c r="G11" s="742"/>
      <c r="H11" s="32"/>
    </row>
    <row r="12" spans="1:8" x14ac:dyDescent="0.25">
      <c r="A12" s="32"/>
      <c r="B12" s="68" t="str">
        <f>IF(inputPrYr!$B23&gt;"  ",(inputPrYr!$B23),"  ")</f>
        <v>Public Safety Equipment</v>
      </c>
      <c r="C12" s="134" t="str">
        <f>IF(inputPrYr!$E23&gt;0,(inputPrYr!$E23),"  ")</f>
        <v xml:space="preserve">  </v>
      </c>
      <c r="D12" s="134" t="str">
        <f>IF(inputPrYr!E23&gt;0,ROUND(C12*$D$27,0),"  ")</f>
        <v xml:space="preserve">  </v>
      </c>
      <c r="E12" s="134" t="str">
        <f>IF(inputPrYr!E23&gt;0,ROUND(+C12*E$28,0)," ")</f>
        <v xml:space="preserve"> </v>
      </c>
      <c r="F12" s="134" t="str">
        <f>IF(inputPrYr!E23&gt;0,ROUND(+C12*F$29,0)," ")</f>
        <v xml:space="preserve"> </v>
      </c>
      <c r="G12" s="742"/>
      <c r="H12" s="32"/>
    </row>
    <row r="13" spans="1:8" x14ac:dyDescent="0.25">
      <c r="A13" s="32"/>
      <c r="B13" s="68" t="str">
        <f>IF(inputPrYr!$B24&gt;"  ",(inputPrYr!$B24),"  ")</f>
        <v>Recreation Employee Benefits</v>
      </c>
      <c r="C13" s="134" t="str">
        <f>IF(inputPrYr!$E24&gt;0,(inputPrYr!$E24),"  ")</f>
        <v xml:space="preserve">  </v>
      </c>
      <c r="D13" s="134" t="str">
        <f>IF(inputPrYr!E24&gt;0,ROUND(C13*$D$27,0),"  ")</f>
        <v xml:space="preserve">  </v>
      </c>
      <c r="E13" s="134" t="str">
        <f>IF(inputPrYr!E24&gt;0,ROUND(+C13*E$28,0)," ")</f>
        <v xml:space="preserve"> </v>
      </c>
      <c r="F13" s="134" t="str">
        <f>IF(inputPrYr!E24&gt;0,ROUND(+C13*F$29,0)," ")</f>
        <v xml:space="preserve"> </v>
      </c>
      <c r="G13" s="742"/>
      <c r="H13" s="32"/>
    </row>
    <row r="14" spans="1:8" x14ac:dyDescent="0.25">
      <c r="A14" s="32"/>
      <c r="B14" s="68" t="str">
        <f>IF(inputPrYr!$B25&gt;"  ",(inputPrYr!$B25),"  ")</f>
        <v xml:space="preserve">  </v>
      </c>
      <c r="C14" s="134" t="str">
        <f>IF(inputPrYr!$E25&gt;0,(inputPrYr!$E25),"  ")</f>
        <v xml:space="preserve">  </v>
      </c>
      <c r="D14" s="134" t="str">
        <f>IF(inputPrYr!E25&gt;0,ROUND(C14*$D$27,0),"  ")</f>
        <v xml:space="preserve">  </v>
      </c>
      <c r="E14" s="134" t="str">
        <f>IF(inputPrYr!E25&gt;0,ROUND(+C14*E$28,0)," ")</f>
        <v xml:space="preserve"> </v>
      </c>
      <c r="F14" s="134" t="str">
        <f>IF(inputPrYr!E25&gt;0,ROUND(+C14*F$29,0)," ")</f>
        <v xml:space="preserve"> </v>
      </c>
      <c r="G14" s="742"/>
      <c r="H14" s="32"/>
    </row>
    <row r="15" spans="1:8" x14ac:dyDescent="0.25">
      <c r="A15" s="32"/>
      <c r="B15" s="68" t="str">
        <f>IF(inputPrYr!$B26&gt;"  ",(inputPrYr!$B26),"  ")</f>
        <v xml:space="preserve">  </v>
      </c>
      <c r="C15" s="134" t="str">
        <f>IF(inputPrYr!$E26&gt;0,(inputPrYr!$E26),"  ")</f>
        <v xml:space="preserve">  </v>
      </c>
      <c r="D15" s="134" t="str">
        <f>IF(inputPrYr!E26&gt;0,ROUND(C15*$D$27,0),"  ")</f>
        <v xml:space="preserve">  </v>
      </c>
      <c r="E15" s="134" t="str">
        <f>IF(inputPrYr!E26&gt;0,ROUND(+C15*E$28,0)," ")</f>
        <v xml:space="preserve"> </v>
      </c>
      <c r="F15" s="134" t="str">
        <f>IF(inputPrYr!E26&gt;0,ROUND(+C15*F$29,0)," ")</f>
        <v xml:space="preserve"> </v>
      </c>
      <c r="G15" s="742"/>
      <c r="H15" s="32"/>
    </row>
    <row r="16" spans="1:8" x14ac:dyDescent="0.25">
      <c r="A16" s="32"/>
      <c r="B16" s="68" t="str">
        <f>IF(inputPrYr!$B27&gt;"  ",(inputPrYr!$B27),"  ")</f>
        <v xml:space="preserve">  </v>
      </c>
      <c r="C16" s="134" t="str">
        <f>IF(inputPrYr!$E27&gt;0,(inputPrYr!$E27),"  ")</f>
        <v xml:space="preserve">  </v>
      </c>
      <c r="D16" s="134" t="str">
        <f>IF(inputPrYr!E27&gt;0,ROUND(C16*$D$27,0),"  ")</f>
        <v xml:space="preserve">  </v>
      </c>
      <c r="E16" s="134" t="str">
        <f>IF(inputPrYr!E27&gt;0,ROUND(+C16*E$28,0)," ")</f>
        <v xml:space="preserve"> </v>
      </c>
      <c r="F16" s="134" t="str">
        <f>IF(inputPrYr!E27&gt;0,ROUND(+C16*F$29,0)," ")</f>
        <v xml:space="preserve"> </v>
      </c>
      <c r="G16" s="742"/>
      <c r="H16" s="32"/>
    </row>
    <row r="17" spans="1:8" x14ac:dyDescent="0.25">
      <c r="A17" s="32"/>
      <c r="B17" s="68" t="str">
        <f>IF(inputPrYr!$B28&gt;"  ",(inputPrYr!$B28),"  ")</f>
        <v xml:space="preserve">  </v>
      </c>
      <c r="C17" s="134" t="str">
        <f>IF(inputPrYr!$E28&gt;0,(inputPrYr!$E28),"  ")</f>
        <v xml:space="preserve">  </v>
      </c>
      <c r="D17" s="134" t="str">
        <f>IF(inputPrYr!E28&gt;0,ROUND(C17*$D$27,0),"  ")</f>
        <v xml:space="preserve">  </v>
      </c>
      <c r="E17" s="134" t="str">
        <f>IF(inputPrYr!E28&gt;0,ROUND(+C17*E$28,0)," ")</f>
        <v xml:space="preserve"> </v>
      </c>
      <c r="F17" s="134" t="str">
        <f>IF(inputPrYr!E28&gt;0,ROUND(+C17*F$29,0)," ")</f>
        <v xml:space="preserve"> </v>
      </c>
      <c r="G17" s="742"/>
      <c r="H17" s="32"/>
    </row>
    <row r="18" spans="1:8" x14ac:dyDescent="0.25">
      <c r="A18" s="32"/>
      <c r="B18" s="68" t="str">
        <f>IF(inputPrYr!$B29&gt;"  ",(inputPrYr!$B29),"  ")</f>
        <v xml:space="preserve">  </v>
      </c>
      <c r="C18" s="134" t="str">
        <f>IF(inputPrYr!$E29&gt;0,(inputPrYr!$E29),"  ")</f>
        <v xml:space="preserve">  </v>
      </c>
      <c r="D18" s="134" t="str">
        <f>IF(inputPrYr!E29&gt;0,ROUND(C18*$D$27,0),"  ")</f>
        <v xml:space="preserve">  </v>
      </c>
      <c r="E18" s="134" t="str">
        <f>IF(inputPrYr!E29&gt;0,ROUND(+C18*E$28,0)," ")</f>
        <v xml:space="preserve"> </v>
      </c>
      <c r="F18" s="134" t="str">
        <f>IF(inputPrYr!E29&gt;0,ROUND(+C18*F$29,0)," ")</f>
        <v xml:space="preserve"> </v>
      </c>
      <c r="G18" s="742"/>
      <c r="H18" s="32"/>
    </row>
    <row r="19" spans="1:8" x14ac:dyDescent="0.25">
      <c r="A19" s="32"/>
      <c r="B19" s="68" t="str">
        <f>IF(inputPrYr!$B30&gt;"  ",(inputPrYr!$B30),"  ")</f>
        <v xml:space="preserve">  </v>
      </c>
      <c r="C19" s="134" t="str">
        <f>IF(inputPrYr!$E30&gt;0,(inputPrYr!$E30),"  ")</f>
        <v xml:space="preserve">  </v>
      </c>
      <c r="D19" s="134" t="str">
        <f>IF(inputPrYr!E30&gt;0,ROUND(C19*$D$27,0),"  ")</f>
        <v xml:space="preserve">  </v>
      </c>
      <c r="E19" s="134" t="str">
        <f>IF(inputPrYr!E30&gt;0,ROUND(+C19*E$28,0)," ")</f>
        <v xml:space="preserve"> </v>
      </c>
      <c r="F19" s="134" t="str">
        <f>IF(inputPrYr!E30&gt;0,ROUND(+C19*F$29,0)," ")</f>
        <v xml:space="preserve"> </v>
      </c>
      <c r="G19" s="742"/>
      <c r="H19" s="32"/>
    </row>
    <row r="20" spans="1:8" x14ac:dyDescent="0.25">
      <c r="A20" s="32"/>
      <c r="B20" s="68" t="str">
        <f>inputPrYr!B33</f>
        <v>Recreation</v>
      </c>
      <c r="C20" s="127">
        <f>inputPrYr!E33</f>
        <v>0</v>
      </c>
      <c r="D20" s="134" t="str">
        <f>IF(inputPrYr!E33&gt;0,ROUND(C20*$D$27,0),"  ")</f>
        <v xml:space="preserve">  </v>
      </c>
      <c r="E20" s="134" t="str">
        <f>IF(inputPrYr!E33&gt;0,ROUND(+C20*E$28,0)," ")</f>
        <v xml:space="preserve"> </v>
      </c>
      <c r="F20" s="134" t="str">
        <f>IF(inputPrYr!E33&gt;0,ROUND(+C20*F$29,0)," ")</f>
        <v xml:space="preserve"> </v>
      </c>
      <c r="G20" s="742"/>
      <c r="H20" s="32"/>
    </row>
    <row r="21" spans="1:8" ht="16.2" thickBot="1" x14ac:dyDescent="0.3">
      <c r="A21" s="32"/>
      <c r="B21" s="743" t="s">
        <v>99</v>
      </c>
      <c r="C21" s="141">
        <f>SUM(C7:C19)</f>
        <v>1349898.0607740001</v>
      </c>
      <c r="D21" s="181">
        <f>SUM(D7:D19)</f>
        <v>125467</v>
      </c>
      <c r="E21" s="181">
        <f>SUM(E7:E19)</f>
        <v>1859</v>
      </c>
      <c r="F21" s="181">
        <f>SUM(F7:F19)</f>
        <v>1258</v>
      </c>
      <c r="G21" s="32"/>
      <c r="H21" s="32"/>
    </row>
    <row r="22" spans="1:8" ht="16.2" thickTop="1" x14ac:dyDescent="0.25">
      <c r="A22" s="32"/>
      <c r="B22" s="32"/>
      <c r="C22" s="58"/>
      <c r="D22" s="58"/>
      <c r="E22" s="58"/>
      <c r="F22" s="58"/>
      <c r="G22" s="32"/>
      <c r="H22" s="32"/>
    </row>
    <row r="23" spans="1:8" x14ac:dyDescent="0.25">
      <c r="A23" s="32"/>
      <c r="B23" s="33" t="s">
        <v>100</v>
      </c>
      <c r="C23" s="182"/>
      <c r="D23" s="740">
        <f>(inputOth!E42)</f>
        <v>125467</v>
      </c>
      <c r="E23" s="182"/>
      <c r="F23" s="32"/>
      <c r="G23" s="32"/>
      <c r="H23" s="32"/>
    </row>
    <row r="24" spans="1:8" x14ac:dyDescent="0.25">
      <c r="A24" s="32"/>
      <c r="B24" s="33" t="s">
        <v>101</v>
      </c>
      <c r="C24" s="32"/>
      <c r="D24" s="32"/>
      <c r="E24" s="740">
        <f>(inputOth!E43)</f>
        <v>1859</v>
      </c>
      <c r="F24" s="32"/>
      <c r="G24" s="32"/>
      <c r="H24" s="32"/>
    </row>
    <row r="25" spans="1:8" x14ac:dyDescent="0.25">
      <c r="A25" s="32"/>
      <c r="B25" s="33" t="s">
        <v>176</v>
      </c>
      <c r="C25" s="32"/>
      <c r="D25" s="32"/>
      <c r="E25" s="32"/>
      <c r="F25" s="740">
        <f>inputOth!E44</f>
        <v>1258</v>
      </c>
      <c r="G25" s="32"/>
      <c r="H25" s="32"/>
    </row>
    <row r="26" spans="1:8" x14ac:dyDescent="0.25">
      <c r="A26" s="32"/>
      <c r="B26" s="33"/>
      <c r="C26" s="32"/>
      <c r="D26" s="32"/>
      <c r="E26" s="32"/>
      <c r="F26" s="58"/>
      <c r="G26" s="364"/>
      <c r="H26" s="32"/>
    </row>
    <row r="27" spans="1:8" x14ac:dyDescent="0.25">
      <c r="A27" s="32"/>
      <c r="B27" s="33" t="s">
        <v>102</v>
      </c>
      <c r="C27" s="32"/>
      <c r="D27" s="183">
        <f>IF(C21=0,0,D23/C21)</f>
        <v>9.2945536885992816E-2</v>
      </c>
      <c r="E27" s="32"/>
      <c r="F27" s="32"/>
      <c r="G27" s="32"/>
      <c r="H27" s="32"/>
    </row>
    <row r="28" spans="1:8" x14ac:dyDescent="0.25">
      <c r="A28" s="32"/>
      <c r="B28" s="32"/>
      <c r="C28" s="33" t="s">
        <v>103</v>
      </c>
      <c r="D28" s="32"/>
      <c r="E28" s="183">
        <f>IF(C21=0,0,E24/C21)</f>
        <v>1.377141025696483E-3</v>
      </c>
      <c r="F28" s="32"/>
      <c r="G28" s="32"/>
      <c r="H28" s="32"/>
    </row>
    <row r="29" spans="1:8" x14ac:dyDescent="0.25">
      <c r="A29" s="32"/>
      <c r="B29" s="32"/>
      <c r="C29" s="32"/>
      <c r="D29" s="33" t="s">
        <v>177</v>
      </c>
      <c r="E29" s="32"/>
      <c r="F29" s="183">
        <f>IF(C21=0,0,F25/C21)</f>
        <v>9.3192222179998697E-4</v>
      </c>
      <c r="G29" s="32"/>
      <c r="H29" s="32"/>
    </row>
    <row r="30" spans="1:8" x14ac:dyDescent="0.25">
      <c r="A30" s="32"/>
      <c r="B30" s="32"/>
      <c r="C30" s="32"/>
      <c r="D30" s="32"/>
      <c r="E30" s="32"/>
      <c r="F30" s="32"/>
      <c r="G30" s="32"/>
      <c r="H30" s="32"/>
    </row>
    <row r="31" spans="1:8" x14ac:dyDescent="0.25">
      <c r="A31" s="32"/>
      <c r="B31" s="49"/>
      <c r="C31" s="49"/>
      <c r="D31" s="49"/>
      <c r="E31" s="49"/>
      <c r="F31" s="49"/>
      <c r="G31" s="49"/>
      <c r="H31" s="32"/>
    </row>
  </sheetData>
  <sheetProtection sheet="1"/>
  <mergeCells count="2">
    <mergeCell ref="B3:F3"/>
    <mergeCell ref="D5:F5"/>
  </mergeCells>
  <phoneticPr fontId="0" type="noConversion"/>
  <pageMargins left="0.83" right="0.5" top="1" bottom="0.5" header="0.5" footer="0.5"/>
  <pageSetup scale="76" orientation="portrait" blackAndWhite="1" horizontalDpi="120" verticalDpi="144" r:id="rId1"/>
  <headerFooter alignWithMargins="0">
    <oddHeader xml:space="preserve">&amp;RState of Kansas
City
</oddHeader>
    <oddFooter>&amp;CPage No. 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4"/>
  <sheetViews>
    <sheetView view="pageBreakPreview" zoomScale="55" zoomScaleNormal="100" zoomScaleSheetLayoutView="55" workbookViewId="0">
      <selection activeCell="J108" sqref="J108"/>
    </sheetView>
  </sheetViews>
  <sheetFormatPr defaultColWidth="8.9140625" defaultRowHeight="15.6" x14ac:dyDescent="0.25"/>
  <cols>
    <col min="1" max="2" width="17.75" style="18" customWidth="1"/>
    <col min="3" max="6" width="12.75" style="18" customWidth="1"/>
    <col min="7" max="16384" width="8.9140625" style="18"/>
  </cols>
  <sheetData>
    <row r="1" spans="1:6" x14ac:dyDescent="0.25">
      <c r="A1" s="156" t="str">
        <f>inputPrYr!D2</f>
        <v>City of Osawatomie</v>
      </c>
      <c r="B1" s="156"/>
      <c r="C1" s="155"/>
      <c r="D1" s="155"/>
      <c r="E1" s="155"/>
      <c r="F1" s="155">
        <f>inputPrYr!$C$5</f>
        <v>2015</v>
      </c>
    </row>
    <row r="2" spans="1:6" x14ac:dyDescent="0.25">
      <c r="A2" s="155"/>
      <c r="B2" s="155"/>
      <c r="C2" s="155"/>
      <c r="D2" s="155"/>
      <c r="E2" s="155"/>
      <c r="F2" s="155"/>
    </row>
    <row r="3" spans="1:6" x14ac:dyDescent="0.25">
      <c r="A3" s="1008" t="s">
        <v>217</v>
      </c>
      <c r="B3" s="1008"/>
      <c r="C3" s="1008"/>
      <c r="D3" s="1008"/>
      <c r="E3" s="1008"/>
      <c r="F3" s="1008"/>
    </row>
    <row r="4" spans="1:6" x14ac:dyDescent="0.25">
      <c r="A4" s="184"/>
      <c r="B4" s="184"/>
      <c r="C4" s="184"/>
      <c r="D4" s="184"/>
      <c r="E4" s="184"/>
      <c r="F4" s="184"/>
    </row>
    <row r="5" spans="1:6" x14ac:dyDescent="0.25">
      <c r="A5" s="185" t="s">
        <v>618</v>
      </c>
      <c r="B5" s="185" t="s">
        <v>619</v>
      </c>
      <c r="C5" s="185" t="s">
        <v>125</v>
      </c>
      <c r="D5" s="185" t="s">
        <v>222</v>
      </c>
      <c r="E5" s="185" t="s">
        <v>223</v>
      </c>
      <c r="F5" s="185" t="s">
        <v>261</v>
      </c>
    </row>
    <row r="6" spans="1:6" x14ac:dyDescent="0.25">
      <c r="A6" s="186" t="s">
        <v>620</v>
      </c>
      <c r="B6" s="186" t="s">
        <v>621</v>
      </c>
      <c r="C6" s="186" t="s">
        <v>262</v>
      </c>
      <c r="D6" s="186" t="s">
        <v>262</v>
      </c>
      <c r="E6" s="186" t="s">
        <v>262</v>
      </c>
      <c r="F6" s="186" t="s">
        <v>263</v>
      </c>
    </row>
    <row r="7" spans="1:6" ht="15" customHeight="1" x14ac:dyDescent="0.25">
      <c r="A7" s="187" t="s">
        <v>264</v>
      </c>
      <c r="B7" s="187" t="s">
        <v>265</v>
      </c>
      <c r="C7" s="188">
        <f>F1-2</f>
        <v>2013</v>
      </c>
      <c r="D7" s="188">
        <f>F1-1</f>
        <v>2014</v>
      </c>
      <c r="E7" s="188">
        <f>F1</f>
        <v>2015</v>
      </c>
      <c r="F7" s="187" t="s">
        <v>266</v>
      </c>
    </row>
    <row r="8" spans="1:6" ht="14.25" customHeight="1" x14ac:dyDescent="0.25">
      <c r="A8" s="189" t="s">
        <v>1027</v>
      </c>
      <c r="B8" s="189" t="s">
        <v>74</v>
      </c>
      <c r="C8" s="190">
        <v>128346</v>
      </c>
      <c r="D8" s="190">
        <v>40000</v>
      </c>
      <c r="E8" s="190">
        <v>41000</v>
      </c>
      <c r="F8" s="191" t="s">
        <v>1088</v>
      </c>
    </row>
    <row r="9" spans="1:6" ht="15" customHeight="1" x14ac:dyDescent="0.25">
      <c r="A9" s="192" t="s">
        <v>1027</v>
      </c>
      <c r="B9" s="192" t="s">
        <v>1083</v>
      </c>
      <c r="C9" s="193">
        <v>24545</v>
      </c>
      <c r="D9" s="193">
        <v>36529</v>
      </c>
      <c r="E9" s="193">
        <v>31560</v>
      </c>
      <c r="F9" s="191" t="s">
        <v>1091</v>
      </c>
    </row>
    <row r="10" spans="1:6" ht="15" customHeight="1" x14ac:dyDescent="0.25">
      <c r="A10" s="192" t="s">
        <v>1027</v>
      </c>
      <c r="B10" s="192" t="s">
        <v>1085</v>
      </c>
      <c r="C10" s="193">
        <v>59827</v>
      </c>
      <c r="D10" s="193">
        <v>59827</v>
      </c>
      <c r="E10" s="193">
        <v>59827</v>
      </c>
      <c r="F10" s="191" t="s">
        <v>1090</v>
      </c>
    </row>
    <row r="11" spans="1:6" ht="15" customHeight="1" x14ac:dyDescent="0.25">
      <c r="A11" s="192" t="s">
        <v>1027</v>
      </c>
      <c r="B11" s="189" t="s">
        <v>1084</v>
      </c>
      <c r="C11" s="193">
        <v>4000</v>
      </c>
      <c r="D11" s="193"/>
      <c r="E11" s="193"/>
      <c r="F11" s="191" t="s">
        <v>1088</v>
      </c>
    </row>
    <row r="12" spans="1:6" ht="15" customHeight="1" x14ac:dyDescent="0.25">
      <c r="A12" s="192" t="s">
        <v>1028</v>
      </c>
      <c r="B12" s="189" t="s">
        <v>74</v>
      </c>
      <c r="C12" s="193">
        <v>295353</v>
      </c>
      <c r="D12" s="193">
        <v>90000</v>
      </c>
      <c r="E12" s="193">
        <v>86000</v>
      </c>
      <c r="F12" s="191" t="s">
        <v>1088</v>
      </c>
    </row>
    <row r="13" spans="1:6" ht="15" customHeight="1" x14ac:dyDescent="0.25">
      <c r="A13" s="192" t="s">
        <v>1028</v>
      </c>
      <c r="B13" s="192" t="s">
        <v>1083</v>
      </c>
      <c r="C13" s="193">
        <v>43381</v>
      </c>
      <c r="D13" s="193">
        <v>56156</v>
      </c>
      <c r="E13" s="193">
        <v>54689</v>
      </c>
      <c r="F13" s="191" t="s">
        <v>1091</v>
      </c>
    </row>
    <row r="14" spans="1:6" ht="15" customHeight="1" x14ac:dyDescent="0.25">
      <c r="A14" s="192" t="s">
        <v>1028</v>
      </c>
      <c r="B14" s="192" t="s">
        <v>1080</v>
      </c>
      <c r="C14" s="193">
        <v>175000</v>
      </c>
      <c r="D14" s="193">
        <v>175000</v>
      </c>
      <c r="E14" s="193">
        <v>180000</v>
      </c>
      <c r="F14" s="191" t="s">
        <v>1088</v>
      </c>
    </row>
    <row r="15" spans="1:6" ht="15" customHeight="1" x14ac:dyDescent="0.25">
      <c r="A15" s="192" t="s">
        <v>1028</v>
      </c>
      <c r="B15" s="192" t="s">
        <v>1081</v>
      </c>
      <c r="C15" s="193">
        <v>98250</v>
      </c>
      <c r="D15" s="193">
        <v>70000</v>
      </c>
      <c r="E15" s="193">
        <v>70000</v>
      </c>
      <c r="F15" s="191" t="s">
        <v>1088</v>
      </c>
    </row>
    <row r="16" spans="1:6" ht="15" customHeight="1" x14ac:dyDescent="0.25">
      <c r="A16" s="192" t="s">
        <v>1028</v>
      </c>
      <c r="B16" s="192" t="s">
        <v>1026</v>
      </c>
      <c r="C16" s="193">
        <v>12000</v>
      </c>
      <c r="D16" s="193">
        <v>12000</v>
      </c>
      <c r="E16" s="193">
        <v>12000</v>
      </c>
      <c r="F16" s="191" t="s">
        <v>1088</v>
      </c>
    </row>
    <row r="17" spans="1:6" ht="15" customHeight="1" x14ac:dyDescent="0.25">
      <c r="A17" s="192" t="s">
        <v>1028</v>
      </c>
      <c r="B17" s="192" t="s">
        <v>1082</v>
      </c>
      <c r="C17" s="193">
        <v>118000</v>
      </c>
      <c r="D17" s="193">
        <v>135000</v>
      </c>
      <c r="E17" s="193">
        <v>120000</v>
      </c>
      <c r="F17" s="191" t="s">
        <v>1088</v>
      </c>
    </row>
    <row r="18" spans="1:6" ht="15" customHeight="1" x14ac:dyDescent="0.25">
      <c r="A18" s="192" t="s">
        <v>632</v>
      </c>
      <c r="B18" s="192" t="s">
        <v>1080</v>
      </c>
      <c r="C18" s="193">
        <v>12355</v>
      </c>
      <c r="D18" s="193">
        <v>1000</v>
      </c>
      <c r="E18" s="193">
        <v>1000</v>
      </c>
      <c r="F18" s="191" t="s">
        <v>1087</v>
      </c>
    </row>
    <row r="19" spans="1:6" ht="15" customHeight="1" x14ac:dyDescent="0.25">
      <c r="A19" s="192" t="s">
        <v>1029</v>
      </c>
      <c r="B19" s="189" t="s">
        <v>74</v>
      </c>
      <c r="C19" s="193">
        <v>126346</v>
      </c>
      <c r="D19" s="193">
        <v>41000</v>
      </c>
      <c r="E19" s="193">
        <v>39000</v>
      </c>
      <c r="F19" s="191" t="s">
        <v>1088</v>
      </c>
    </row>
    <row r="20" spans="1:6" ht="15" customHeight="1" x14ac:dyDescent="0.25">
      <c r="A20" s="192" t="s">
        <v>1029</v>
      </c>
      <c r="B20" s="192" t="s">
        <v>1083</v>
      </c>
      <c r="C20" s="193">
        <v>15067</v>
      </c>
      <c r="D20" s="193">
        <v>22349</v>
      </c>
      <c r="E20" s="193">
        <v>13467</v>
      </c>
      <c r="F20" s="191" t="s">
        <v>1091</v>
      </c>
    </row>
    <row r="21" spans="1:6" ht="15" customHeight="1" x14ac:dyDescent="0.25">
      <c r="A21" s="192" t="s">
        <v>1029</v>
      </c>
      <c r="B21" s="192" t="s">
        <v>1085</v>
      </c>
      <c r="C21" s="193">
        <v>434000</v>
      </c>
      <c r="D21" s="193">
        <v>435000</v>
      </c>
      <c r="E21" s="193">
        <v>434200</v>
      </c>
      <c r="F21" s="191" t="s">
        <v>1090</v>
      </c>
    </row>
    <row r="22" spans="1:6" ht="15" customHeight="1" x14ac:dyDescent="0.25">
      <c r="A22" s="192" t="s">
        <v>1029</v>
      </c>
      <c r="B22" s="189" t="s">
        <v>1084</v>
      </c>
      <c r="C22" s="193">
        <v>4000</v>
      </c>
      <c r="D22" s="193"/>
      <c r="E22" s="193"/>
      <c r="F22" s="191" t="s">
        <v>1088</v>
      </c>
    </row>
    <row r="23" spans="1:6" ht="15" customHeight="1" x14ac:dyDescent="0.25">
      <c r="A23" s="192" t="s">
        <v>1029</v>
      </c>
      <c r="B23" s="189" t="s">
        <v>1240</v>
      </c>
      <c r="C23" s="193"/>
      <c r="D23" s="193">
        <v>41745</v>
      </c>
      <c r="E23" s="193"/>
      <c r="F23" s="191" t="s">
        <v>1088</v>
      </c>
    </row>
    <row r="24" spans="1:6" ht="15" customHeight="1" x14ac:dyDescent="0.25">
      <c r="A24" s="192" t="s">
        <v>1078</v>
      </c>
      <c r="B24" s="192" t="s">
        <v>1083</v>
      </c>
      <c r="C24" s="193">
        <v>1457</v>
      </c>
      <c r="D24" s="193">
        <v>250</v>
      </c>
      <c r="E24" s="193">
        <v>250</v>
      </c>
      <c r="F24" s="191" t="s">
        <v>1091</v>
      </c>
    </row>
    <row r="25" spans="1:6" ht="15" customHeight="1" x14ac:dyDescent="0.25">
      <c r="A25" s="192" t="s">
        <v>1079</v>
      </c>
      <c r="B25" s="192" t="s">
        <v>1092</v>
      </c>
      <c r="C25" s="193"/>
      <c r="D25" s="193">
        <v>19159</v>
      </c>
      <c r="E25" s="193"/>
      <c r="F25" s="191" t="s">
        <v>1090</v>
      </c>
    </row>
    <row r="26" spans="1:6" ht="15" customHeight="1" x14ac:dyDescent="0.25">
      <c r="A26" s="192" t="s">
        <v>1086</v>
      </c>
      <c r="B26" s="192" t="s">
        <v>1089</v>
      </c>
      <c r="C26" s="193">
        <v>3831</v>
      </c>
      <c r="D26" s="193"/>
      <c r="E26" s="193"/>
      <c r="F26" s="191" t="s">
        <v>1087</v>
      </c>
    </row>
    <row r="27" spans="1:6" ht="15" customHeight="1" x14ac:dyDescent="0.25">
      <c r="A27" s="192" t="s">
        <v>1086</v>
      </c>
      <c r="B27" s="192" t="s">
        <v>1028</v>
      </c>
      <c r="C27" s="193">
        <v>160970</v>
      </c>
      <c r="D27" s="193"/>
      <c r="E27" s="193"/>
      <c r="F27" s="191" t="s">
        <v>1088</v>
      </c>
    </row>
    <row r="28" spans="1:6" ht="15" customHeight="1" x14ac:dyDescent="0.25">
      <c r="A28" s="79"/>
      <c r="B28" s="194" t="s">
        <v>92</v>
      </c>
      <c r="C28" s="195">
        <f>SUM(C8:C27)</f>
        <v>1716728</v>
      </c>
      <c r="D28" s="195">
        <f>SUM(D8:D27)</f>
        <v>1235015</v>
      </c>
      <c r="E28" s="195">
        <f>SUM(E8:E27)</f>
        <v>1142993</v>
      </c>
      <c r="F28" s="196"/>
    </row>
    <row r="29" spans="1:6" ht="15" customHeight="1" x14ac:dyDescent="0.25">
      <c r="A29" s="79"/>
      <c r="B29" s="197" t="s">
        <v>267</v>
      </c>
      <c r="C29" s="139"/>
      <c r="D29" s="198"/>
      <c r="E29" s="198"/>
      <c r="F29" s="196"/>
    </row>
    <row r="30" spans="1:6" ht="15" customHeight="1" x14ac:dyDescent="0.25">
      <c r="A30" s="79"/>
      <c r="B30" s="194" t="s">
        <v>268</v>
      </c>
      <c r="C30" s="195">
        <f>C28</f>
        <v>1716728</v>
      </c>
      <c r="D30" s="195">
        <f>SUM(D28-D29)</f>
        <v>1235015</v>
      </c>
      <c r="E30" s="195">
        <f>SUM(E28-E29)</f>
        <v>1142993</v>
      </c>
      <c r="F30" s="196"/>
    </row>
    <row r="31" spans="1:6" ht="15" customHeight="1" x14ac:dyDescent="0.25">
      <c r="A31" s="79"/>
      <c r="B31" s="79"/>
      <c r="C31" s="79"/>
      <c r="D31" s="79"/>
      <c r="E31" s="79"/>
      <c r="F31" s="79"/>
    </row>
    <row r="32" spans="1:6" ht="15" customHeight="1" x14ac:dyDescent="0.25">
      <c r="A32" s="79"/>
      <c r="B32" s="79"/>
      <c r="C32" s="79"/>
      <c r="D32" s="79"/>
      <c r="E32" s="79"/>
      <c r="F32" s="79"/>
    </row>
    <row r="33" spans="1:6" ht="15" customHeight="1" x14ac:dyDescent="0.25">
      <c r="A33" s="357" t="s">
        <v>617</v>
      </c>
      <c r="B33" s="358" t="str">
        <f>CONCATENATE("Adjustments are required only if the transfer is being made in ",D7," and/or ",E7," from a non-budgeted fund.")</f>
        <v>Adjustments are required only if the transfer is being made in 2014 and/or 2015 from a non-budgeted fund.</v>
      </c>
      <c r="C33" s="79"/>
      <c r="D33" s="79"/>
      <c r="E33" s="79"/>
      <c r="F33" s="79"/>
    </row>
    <row r="34" spans="1:6" ht="15" customHeight="1" x14ac:dyDescent="0.25"/>
  </sheetData>
  <sheetProtection sheet="1" objects="1" scenarios="1"/>
  <mergeCells count="1">
    <mergeCell ref="A3:F3"/>
  </mergeCells>
  <phoneticPr fontId="9" type="noConversion"/>
  <pageMargins left="0.75" right="0.75" top="1" bottom="1" header="0.5" footer="0.5"/>
  <pageSetup scale="95" orientation="landscape" blackAndWhite="1" r:id="rId1"/>
  <headerFooter alignWithMargins="0">
    <oddHeader>&amp;RState of Kansas
City</oddHeader>
    <oddFooter>&amp;CPage No. 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8"/>
  <sheetViews>
    <sheetView view="pageBreakPreview" zoomScale="60" zoomScaleNormal="100" workbookViewId="0">
      <selection activeCell="J108" sqref="J108"/>
    </sheetView>
  </sheetViews>
  <sheetFormatPr defaultColWidth="8.9140625" defaultRowHeight="15" x14ac:dyDescent="0.25"/>
  <cols>
    <col min="1" max="1" width="70.58203125" style="494" customWidth="1"/>
    <col min="2" max="16384" width="8.9140625" style="494"/>
  </cols>
  <sheetData>
    <row r="1" spans="1:1" ht="17.399999999999999" x14ac:dyDescent="0.25">
      <c r="A1" s="495" t="s">
        <v>346</v>
      </c>
    </row>
    <row r="2" spans="1:1" ht="17.399999999999999" x14ac:dyDescent="0.25">
      <c r="A2" s="495"/>
    </row>
    <row r="3" spans="1:1" ht="17.399999999999999" x14ac:dyDescent="0.25">
      <c r="A3" s="495"/>
    </row>
    <row r="4" spans="1:1" ht="51.75" customHeight="1" x14ac:dyDescent="0.25">
      <c r="A4" s="505" t="s">
        <v>747</v>
      </c>
    </row>
    <row r="5" spans="1:1" ht="17.399999999999999" x14ac:dyDescent="0.25">
      <c r="A5" s="495"/>
    </row>
    <row r="6" spans="1:1" ht="15.6" x14ac:dyDescent="0.25">
      <c r="A6" s="496"/>
    </row>
    <row r="7" spans="1:1" ht="46.8" x14ac:dyDescent="0.25">
      <c r="A7" s="497" t="s">
        <v>347</v>
      </c>
    </row>
    <row r="8" spans="1:1" ht="15.6" x14ac:dyDescent="0.25">
      <c r="A8" s="496"/>
    </row>
    <row r="9" spans="1:1" ht="15.6" x14ac:dyDescent="0.25">
      <c r="A9" s="496"/>
    </row>
    <row r="10" spans="1:1" ht="62.4" x14ac:dyDescent="0.25">
      <c r="A10" s="497" t="s">
        <v>348</v>
      </c>
    </row>
    <row r="11" spans="1:1" ht="15.6" x14ac:dyDescent="0.25">
      <c r="A11" s="498"/>
    </row>
    <row r="12" spans="1:1" ht="15.6" x14ac:dyDescent="0.25">
      <c r="A12" s="496"/>
    </row>
    <row r="13" spans="1:1" ht="46.8" x14ac:dyDescent="0.25">
      <c r="A13" s="497" t="s">
        <v>349</v>
      </c>
    </row>
    <row r="14" spans="1:1" ht="15.6" x14ac:dyDescent="0.25">
      <c r="A14" s="498"/>
    </row>
    <row r="15" spans="1:1" ht="15.6" x14ac:dyDescent="0.25">
      <c r="A15" s="496"/>
    </row>
    <row r="16" spans="1:1" ht="46.8" x14ac:dyDescent="0.25">
      <c r="A16" s="497" t="s">
        <v>350</v>
      </c>
    </row>
    <row r="17" spans="1:1" ht="15.6" x14ac:dyDescent="0.25">
      <c r="A17" s="498"/>
    </row>
    <row r="18" spans="1:1" ht="15.6" x14ac:dyDescent="0.25">
      <c r="A18" s="498"/>
    </row>
    <row r="19" spans="1:1" ht="46.8" x14ac:dyDescent="0.25">
      <c r="A19" s="497" t="s">
        <v>351</v>
      </c>
    </row>
    <row r="20" spans="1:1" ht="15.6" x14ac:dyDescent="0.25">
      <c r="A20" s="498"/>
    </row>
    <row r="21" spans="1:1" ht="15.6" x14ac:dyDescent="0.25">
      <c r="A21" s="498"/>
    </row>
    <row r="22" spans="1:1" ht="46.8" x14ac:dyDescent="0.25">
      <c r="A22" s="497" t="s">
        <v>352</v>
      </c>
    </row>
    <row r="23" spans="1:1" ht="15.6" x14ac:dyDescent="0.25">
      <c r="A23" s="498"/>
    </row>
    <row r="24" spans="1:1" ht="15.6" x14ac:dyDescent="0.25">
      <c r="A24" s="498"/>
    </row>
    <row r="25" spans="1:1" ht="31.2" x14ac:dyDescent="0.25">
      <c r="A25" s="497" t="s">
        <v>353</v>
      </c>
    </row>
    <row r="26" spans="1:1" ht="15.6" x14ac:dyDescent="0.25">
      <c r="A26" s="496"/>
    </row>
    <row r="27" spans="1:1" ht="15.6" x14ac:dyDescent="0.25">
      <c r="A27" s="496"/>
    </row>
    <row r="28" spans="1:1" ht="55.2" x14ac:dyDescent="0.25">
      <c r="A28" s="499" t="s">
        <v>354</v>
      </c>
    </row>
    <row r="29" spans="1:1" x14ac:dyDescent="0.25">
      <c r="A29" s="500"/>
    </row>
    <row r="30" spans="1:1" x14ac:dyDescent="0.25">
      <c r="A30" s="500"/>
    </row>
    <row r="31" spans="1:1" ht="46.8" x14ac:dyDescent="0.25">
      <c r="A31" s="497" t="s">
        <v>355</v>
      </c>
    </row>
    <row r="32" spans="1:1" ht="15.6" x14ac:dyDescent="0.25">
      <c r="A32" s="496"/>
    </row>
    <row r="33" spans="1:1" ht="15.6" x14ac:dyDescent="0.25">
      <c r="A33" s="496"/>
    </row>
    <row r="34" spans="1:1" ht="66.75" customHeight="1" x14ac:dyDescent="0.3">
      <c r="A34" s="504" t="s">
        <v>748</v>
      </c>
    </row>
    <row r="35" spans="1:1" ht="15.6" x14ac:dyDescent="0.25">
      <c r="A35" s="496"/>
    </row>
    <row r="36" spans="1:1" ht="15.6" x14ac:dyDescent="0.25">
      <c r="A36" s="496"/>
    </row>
    <row r="37" spans="1:1" ht="62.4" x14ac:dyDescent="0.25">
      <c r="A37" s="501" t="s">
        <v>356</v>
      </c>
    </row>
    <row r="38" spans="1:1" ht="15.6" x14ac:dyDescent="0.25">
      <c r="A38" s="498"/>
    </row>
    <row r="39" spans="1:1" ht="15.6" x14ac:dyDescent="0.25">
      <c r="A39" s="496"/>
    </row>
    <row r="40" spans="1:1" ht="62.4" x14ac:dyDescent="0.25">
      <c r="A40" s="497" t="s">
        <v>357</v>
      </c>
    </row>
    <row r="41" spans="1:1" ht="15.6" x14ac:dyDescent="0.25">
      <c r="A41" s="498"/>
    </row>
    <row r="42" spans="1:1" ht="15.6" x14ac:dyDescent="0.25">
      <c r="A42" s="498"/>
    </row>
    <row r="43" spans="1:1" ht="82.5" customHeight="1" x14ac:dyDescent="0.3">
      <c r="A43" s="493" t="s">
        <v>749</v>
      </c>
    </row>
    <row r="44" spans="1:1" ht="15.6" x14ac:dyDescent="0.25">
      <c r="A44" s="498"/>
    </row>
    <row r="45" spans="1:1" ht="15.6" x14ac:dyDescent="0.25">
      <c r="A45" s="498"/>
    </row>
    <row r="46" spans="1:1" ht="69" customHeight="1" x14ac:dyDescent="0.3">
      <c r="A46" s="493" t="s">
        <v>750</v>
      </c>
    </row>
    <row r="47" spans="1:1" ht="15.6" x14ac:dyDescent="0.25">
      <c r="A47" s="498"/>
    </row>
    <row r="48" spans="1:1" ht="15.6" x14ac:dyDescent="0.25">
      <c r="A48" s="498"/>
    </row>
    <row r="49" spans="1:1" ht="69" customHeight="1" x14ac:dyDescent="0.3">
      <c r="A49" s="493" t="s">
        <v>751</v>
      </c>
    </row>
    <row r="50" spans="1:1" ht="15.75" customHeight="1" x14ac:dyDescent="0.25">
      <c r="A50" s="498"/>
    </row>
    <row r="51" spans="1:1" ht="21.75" customHeight="1" x14ac:dyDescent="0.25">
      <c r="A51" s="498"/>
    </row>
    <row r="52" spans="1:1" ht="66" customHeight="1" x14ac:dyDescent="0.3">
      <c r="A52" s="493" t="s">
        <v>866</v>
      </c>
    </row>
    <row r="53" spans="1:1" ht="15.6" x14ac:dyDescent="0.25">
      <c r="A53" s="498"/>
    </row>
    <row r="54" spans="1:1" ht="15.6" x14ac:dyDescent="0.25">
      <c r="A54" s="498"/>
    </row>
    <row r="55" spans="1:1" ht="62.4" x14ac:dyDescent="0.25">
      <c r="A55" s="497" t="s">
        <v>358</v>
      </c>
    </row>
    <row r="56" spans="1:1" ht="15.6" x14ac:dyDescent="0.25">
      <c r="A56" s="498"/>
    </row>
    <row r="57" spans="1:1" ht="15.6" x14ac:dyDescent="0.25">
      <c r="A57" s="498"/>
    </row>
    <row r="58" spans="1:1" ht="62.4" x14ac:dyDescent="0.25">
      <c r="A58" s="497" t="s">
        <v>359</v>
      </c>
    </row>
    <row r="59" spans="1:1" ht="15.6" x14ac:dyDescent="0.25">
      <c r="A59" s="498"/>
    </row>
    <row r="60" spans="1:1" ht="15.6" x14ac:dyDescent="0.25">
      <c r="A60" s="498"/>
    </row>
    <row r="61" spans="1:1" ht="46.8" x14ac:dyDescent="0.25">
      <c r="A61" s="497" t="s">
        <v>360</v>
      </c>
    </row>
    <row r="62" spans="1:1" ht="15.6" x14ac:dyDescent="0.25">
      <c r="A62" s="498"/>
    </row>
    <row r="63" spans="1:1" ht="15.6" x14ac:dyDescent="0.25">
      <c r="A63" s="498"/>
    </row>
    <row r="64" spans="1:1" ht="46.8" x14ac:dyDescent="0.25">
      <c r="A64" s="497" t="s">
        <v>361</v>
      </c>
    </row>
    <row r="65" spans="1:1" ht="15.6" x14ac:dyDescent="0.25">
      <c r="A65" s="498"/>
    </row>
    <row r="66" spans="1:1" ht="15.6" x14ac:dyDescent="0.25">
      <c r="A66" s="498"/>
    </row>
    <row r="67" spans="1:1" ht="78" x14ac:dyDescent="0.25">
      <c r="A67" s="497" t="s">
        <v>362</v>
      </c>
    </row>
    <row r="68" spans="1:1" x14ac:dyDescent="0.25">
      <c r="A68" s="502"/>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50</vt:i4>
      </vt:variant>
      <vt:variant>
        <vt:lpstr>Named Ranges</vt:lpstr>
      </vt:variant>
      <vt:variant>
        <vt:i4>25</vt:i4>
      </vt:variant>
    </vt:vector>
  </HeadingPairs>
  <TitlesOfParts>
    <vt:vector size="75" baseType="lpstr">
      <vt:lpstr>Instructions</vt:lpstr>
      <vt:lpstr>inputPrYr</vt:lpstr>
      <vt:lpstr>inputOth</vt:lpstr>
      <vt:lpstr>inputBudSum</vt:lpstr>
      <vt:lpstr>cert</vt:lpstr>
      <vt:lpstr>computation</vt:lpstr>
      <vt:lpstr>mvalloc</vt:lpstr>
      <vt:lpstr>transfers</vt:lpstr>
      <vt:lpstr>TransferStatutes</vt:lpstr>
      <vt:lpstr>debt</vt:lpstr>
      <vt:lpstr>lpform</vt:lpstr>
      <vt:lpstr>Library Grant</vt:lpstr>
      <vt:lpstr>general</vt:lpstr>
      <vt:lpstr>GenDetail</vt:lpstr>
      <vt:lpstr>GO B&amp;I Debt</vt:lpstr>
      <vt:lpstr>Library-Rec</vt:lpstr>
      <vt:lpstr>Ind-EBF</vt:lpstr>
      <vt:lpstr>Pub Saf-REBF</vt:lpstr>
      <vt:lpstr>levy page11</vt:lpstr>
      <vt:lpstr>levy page12</vt:lpstr>
      <vt:lpstr>levy page13</vt:lpstr>
      <vt:lpstr>Street-Refuse</vt:lpstr>
      <vt:lpstr>Golf-911</vt:lpstr>
      <vt:lpstr>Tourism</vt:lpstr>
      <vt:lpstr>no levy page17</vt:lpstr>
      <vt:lpstr>no levy page18</vt:lpstr>
      <vt:lpstr>no levy page19</vt:lpstr>
      <vt:lpstr>no levy page20</vt:lpstr>
      <vt:lpstr>no levy page21</vt:lpstr>
      <vt:lpstr>Water</vt:lpstr>
      <vt:lpstr>Electric</vt:lpstr>
      <vt:lpstr>Sewer</vt:lpstr>
      <vt:lpstr>Special Parks &amp; Recreation</vt:lpstr>
      <vt:lpstr>NonBudA</vt:lpstr>
      <vt:lpstr>NonBudB</vt:lpstr>
      <vt:lpstr>NonBudC</vt:lpstr>
      <vt:lpstr>NonBudD</vt:lpstr>
      <vt:lpstr>NonBudFunds</vt:lpstr>
      <vt:lpstr>summ</vt:lpstr>
      <vt:lpstr>nhood</vt:lpstr>
      <vt:lpstr>Pub. Notice Option 1</vt:lpstr>
      <vt:lpstr>Pub. Notice Option 2</vt:lpstr>
      <vt:lpstr>Tab A</vt:lpstr>
      <vt:lpstr>Tab B</vt:lpstr>
      <vt:lpstr>Tab C</vt:lpstr>
      <vt:lpstr>Tab D</vt:lpstr>
      <vt:lpstr>Tab E</vt:lpstr>
      <vt:lpstr>Mill Rate Computation</vt:lpstr>
      <vt:lpstr>Helpful Links</vt:lpstr>
      <vt:lpstr>legend</vt:lpstr>
      <vt:lpstr>Electric!Print_Area</vt:lpstr>
      <vt:lpstr>general!Print_Area</vt:lpstr>
      <vt:lpstr>'GO B&amp;I Debt'!Print_Area</vt:lpstr>
      <vt:lpstr>'Golf-911'!Print_Area</vt:lpstr>
      <vt:lpstr>'Ind-EBF'!Print_Area</vt:lpstr>
      <vt:lpstr>inputPrYr!Print_Area</vt:lpstr>
      <vt:lpstr>'levy page11'!Print_Area</vt:lpstr>
      <vt:lpstr>'levy page12'!Print_Area</vt:lpstr>
      <vt:lpstr>'levy page13'!Print_Area</vt:lpstr>
      <vt:lpstr>'Library Grant'!Print_Area</vt:lpstr>
      <vt:lpstr>'Library-Rec'!Print_Area</vt:lpstr>
      <vt:lpstr>lpform!Print_Area</vt:lpstr>
      <vt:lpstr>'Mill Rate Computation'!Print_Area</vt:lpstr>
      <vt:lpstr>NonBudA!Print_Area</vt:lpstr>
      <vt:lpstr>NonBudB!Print_Area</vt:lpstr>
      <vt:lpstr>NonBudC!Print_Area</vt:lpstr>
      <vt:lpstr>'Pub Saf-REBF'!Print_Area</vt:lpstr>
      <vt:lpstr>'Pub. Notice Option 1'!Print_Area</vt:lpstr>
      <vt:lpstr>'Pub. Notice Option 2'!Print_Area</vt:lpstr>
      <vt:lpstr>Sewer!Print_Area</vt:lpstr>
      <vt:lpstr>'Special Parks &amp; Recreation'!Print_Area</vt:lpstr>
      <vt:lpstr>'Street-Refuse'!Print_Area</vt:lpstr>
      <vt:lpstr>summ!Print_Area</vt:lpstr>
      <vt:lpstr>Tourism!Print_Area</vt:lpstr>
      <vt:lpstr>Water!Print_Area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City Budget Form - Short</dc:title>
  <dc:creator>Barbara Butts</dc:creator>
  <cp:lastModifiedBy>Janet L. White</cp:lastModifiedBy>
  <cp:lastPrinted>2014-10-14T20:30:50Z</cp:lastPrinted>
  <dcterms:created xsi:type="dcterms:W3CDTF">1999-08-03T13:11:47Z</dcterms:created>
  <dcterms:modified xsi:type="dcterms:W3CDTF">2014-10-14T20:30:54Z</dcterms:modified>
</cp:coreProperties>
</file>