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2" yWindow="36" windowWidth="9636" windowHeight="1116" tabRatio="909" firstSheet="3" activeTab="3"/>
  </bookViews>
  <sheets>
    <sheet name="inputPrYr" sheetId="1" r:id="rId1"/>
    <sheet name="inputOth" sheetId="2" r:id="rId2"/>
    <sheet name="inputBudSum" sheetId="3" r:id="rId3"/>
    <sheet name="cert" sheetId="4" r:id="rId4"/>
    <sheet name="signed cert" sheetId="5" r:id="rId5"/>
    <sheet name="computation" sheetId="6" r:id="rId6"/>
    <sheet name="mvalloc" sheetId="7" r:id="rId7"/>
    <sheet name="transfers" sheetId="8" r:id="rId8"/>
    <sheet name="debt" sheetId="9" r:id="rId9"/>
    <sheet name="lpform" sheetId="10" r:id="rId10"/>
    <sheet name="Library Grant" sheetId="11" r:id="rId11"/>
    <sheet name="general" sheetId="12" r:id="rId12"/>
    <sheet name="GenDetail" sheetId="13" r:id="rId13"/>
    <sheet name="DebtSvs-library" sheetId="14" r:id="rId14"/>
    <sheet name="Empl Ben" sheetId="15" r:id="rId15"/>
    <sheet name="Sp Hiway &amp; Electric" sheetId="16" r:id="rId16"/>
    <sheet name="Water &amp; Sewer" sheetId="17" r:id="rId17"/>
    <sheet name="NonBudA" sheetId="18" r:id="rId18"/>
    <sheet name="NonBudB" sheetId="19" r:id="rId19"/>
    <sheet name="summ" sheetId="20" r:id="rId20"/>
    <sheet name="Publication" sheetId="21" r:id="rId21"/>
  </sheets>
  <definedNames>
    <definedName name="_xlnm.Print_Area" localSheetId="13">'DebtSvs-library'!$B$1:$E$81</definedName>
    <definedName name="_xlnm.Print_Area" localSheetId="14">'Empl Ben'!$A$1:$E$81</definedName>
    <definedName name="_xlnm.Print_Area" localSheetId="11">'general'!$B$1:$E$120</definedName>
    <definedName name="_xlnm.Print_Area" localSheetId="0">'inputPrYr'!$A$1:$E$125</definedName>
    <definedName name="_xlnm.Print_Area" localSheetId="10">'Library Grant'!$A$1:$J$40</definedName>
    <definedName name="_xlnm.Print_Area" localSheetId="9">'lpform'!$B$1:$I$38</definedName>
    <definedName name="_xlnm.Print_Area" localSheetId="19">'summ'!$A$1:$H$46</definedName>
  </definedNames>
  <calcPr fullCalcOnLoad="1"/>
</workbook>
</file>

<file path=xl/sharedStrings.xml><?xml version="1.0" encoding="utf-8"?>
<sst xmlns="http://schemas.openxmlformats.org/spreadsheetml/2006/main" count="956" uniqueCount="475">
  <si>
    <t>Outstanding Indebtedness, January 1:</t>
  </si>
  <si>
    <t>From the League of Municipalities' Budget Tips (Special City and County Highway Fund):</t>
  </si>
  <si>
    <t>Attest:_____________________,</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</si>
  <si>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</si>
  <si>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</si>
  <si>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</si>
  <si>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</si>
  <si>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</si>
  <si>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</si>
  <si>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</si>
  <si>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Enter City Name (City of)</t>
  </si>
  <si>
    <t>Enter County Name followed by "County"</t>
  </si>
  <si>
    <t>Cash Balance Jan 1</t>
  </si>
  <si>
    <t>***If you are merely leasing/renting with no intent to purchase, do not list--such transactions are not lease-purchases.</t>
  </si>
  <si>
    <t>Debt Service</t>
  </si>
  <si>
    <t xml:space="preserve">Ad Valorem Tax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</si>
  <si>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</si>
  <si>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</si>
  <si>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</si>
  <si>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</si>
  <si>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</si>
  <si>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</si>
  <si>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</si>
  <si>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</si>
  <si>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</si>
  <si>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</si>
  <si>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</si>
  <si>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</si>
  <si>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</si>
  <si>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</si>
  <si>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</si>
  <si>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</si>
  <si>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</si>
  <si>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</si>
  <si>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</si>
  <si>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</si>
  <si>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</si>
  <si>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</si>
  <si>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</si>
  <si>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</si>
  <si>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</si>
  <si>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</si>
  <si>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</si>
  <si>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</si>
  <si>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</si>
  <si>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</si>
  <si>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</si>
  <si>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</si>
  <si>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</si>
  <si>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</si>
  <si>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</si>
  <si>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</si>
  <si>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</si>
  <si>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</si>
  <si>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</si>
  <si>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</si>
  <si>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</si>
  <si>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</si>
  <si>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</si>
  <si>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</si>
  <si>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</si>
  <si>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</si>
  <si>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Commodities</t>
  </si>
  <si>
    <t xml:space="preserve">  Capital Outlay</t>
  </si>
  <si>
    <t>Total Expenditures</t>
  </si>
  <si>
    <t>Tax Required</t>
  </si>
  <si>
    <t>%</t>
  </si>
  <si>
    <t>Page No.</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</si>
  <si>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</si>
  <si>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</si>
  <si>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</si>
  <si>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</si>
  <si>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</si>
  <si>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</si>
  <si>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</si>
  <si>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</si>
  <si>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</si>
  <si>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</si>
  <si>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</si>
  <si>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</si>
  <si>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</si>
  <si>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</si>
  <si>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</si>
  <si>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</si>
  <si>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</si>
  <si>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</si>
  <si>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</si>
  <si>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</si>
  <si>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</si>
  <si>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</si>
  <si>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</si>
  <si>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</si>
  <si>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</si>
  <si>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</si>
  <si>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</si>
  <si>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</si>
  <si>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</si>
  <si>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</si>
  <si>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</si>
  <si>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</si>
  <si>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</si>
  <si>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</si>
  <si>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</si>
  <si>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</si>
  <si>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</si>
  <si>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</si>
  <si>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</si>
  <si>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</si>
  <si>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</si>
  <si>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</si>
  <si>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</si>
  <si>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</si>
  <si>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</si>
  <si>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</si>
  <si>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</si>
  <si>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</si>
  <si>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</si>
  <si>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</si>
  <si>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</si>
  <si>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</si>
  <si>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</si>
  <si>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</si>
  <si>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</si>
  <si>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</si>
  <si>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</si>
  <si>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</si>
  <si>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</si>
  <si>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</si>
  <si>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</si>
  <si>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</si>
  <si>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</si>
  <si>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</si>
  <si>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</si>
  <si>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</si>
  <si>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</si>
  <si>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</si>
  <si>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</si>
  <si>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</si>
  <si>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</si>
  <si>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</si>
  <si>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</si>
  <si>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</si>
  <si>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</si>
  <si>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</si>
  <si>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</si>
  <si>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</si>
  <si>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</si>
  <si>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</si>
  <si>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</si>
  <si>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</si>
  <si>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</si>
  <si>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</si>
  <si>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</si>
  <si>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</si>
  <si>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</si>
  <si>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</si>
  <si>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</si>
  <si>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</si>
  <si>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</si>
  <si>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</si>
  <si>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</si>
  <si>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</si>
  <si>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</si>
  <si>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</si>
  <si>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</si>
  <si>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</si>
  <si>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</si>
  <si>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NON-BUDGETED FUNDS (A)</t>
  </si>
  <si>
    <t>(1) Fund Name:</t>
  </si>
  <si>
    <t>(2) Fund Name:</t>
  </si>
  <si>
    <t>(3) Fund Name:</t>
  </si>
  <si>
    <t>(4) Fund Name:</t>
  </si>
  <si>
    <t>(5) Fund Name:</t>
  </si>
  <si>
    <t xml:space="preserve">Unencumbered </t>
  </si>
  <si>
    <t>Cash Balance Dec 31</t>
  </si>
  <si>
    <t>NON-BUDGETED FUNDS (B)</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</si>
  <si>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</si>
  <si>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</si>
  <si>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</si>
  <si>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</si>
  <si>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</si>
  <si>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</si>
  <si>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</si>
  <si>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</si>
  <si>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</si>
  <si>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</si>
  <si>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</si>
  <si>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</si>
  <si>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</si>
  <si>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</si>
  <si>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</si>
  <si>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</si>
  <si>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</si>
  <si>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</si>
  <si>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</si>
  <si>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</si>
  <si>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</si>
  <si>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</si>
  <si>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</si>
  <si>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</si>
  <si>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</si>
  <si>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</si>
  <si>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</si>
  <si>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</si>
  <si>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</si>
  <si>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</si>
  <si>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</si>
  <si>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Non-Budgeted Funds-B</t>
  </si>
  <si>
    <t>Non-Budgeted Funds-A</t>
  </si>
  <si>
    <t>Estimate</t>
  </si>
  <si>
    <t>Single Non Tax Levy:</t>
  </si>
  <si>
    <t>Non-Budgeted (A):</t>
  </si>
  <si>
    <t>Non-Budgeted (B):</t>
  </si>
  <si>
    <t>Non-Budgeted (C):</t>
  </si>
  <si>
    <t>Non-Budgeted (D):</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</si>
  <si>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</si>
  <si>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</si>
  <si>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Note:  All amounts are to be entered in as whole numbers only.</t>
  </si>
  <si>
    <t xml:space="preserve">The input for the following comes directly from </t>
  </si>
  <si>
    <t>Budget Summary</t>
  </si>
  <si>
    <t>**</t>
  </si>
  <si>
    <t>**Note: These two block figures should agree.</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</si>
  <si>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</si>
  <si>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</si>
  <si>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</si>
  <si>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</si>
  <si>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</si>
  <si>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 xml:space="preserve">           General Fund - Detail Page 1</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</si>
  <si>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</si>
  <si>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</si>
  <si>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</si>
  <si>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</si>
  <si>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</si>
  <si>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</si>
  <si>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</si>
  <si>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</si>
  <si>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</si>
  <si>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What should I do?</t>
  </si>
  <si>
    <t>answering objections of taxpayers relating to the proposed use of all funds and the amount of ad valorem tax.</t>
  </si>
  <si>
    <t>*Note:</t>
  </si>
  <si>
    <t>Expenditure</t>
  </si>
  <si>
    <t>Receipt</t>
  </si>
  <si>
    <t xml:space="preserve">Fund Transferred </t>
  </si>
  <si>
    <t>Fund Transferred</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</si>
  <si>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</si>
  <si>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</si>
  <si>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</si>
  <si>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</si>
  <si>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</si>
  <si>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</si>
  <si>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</si>
  <si>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Official Title:</t>
  </si>
  <si>
    <t>City Clerk, City Treasurer, Mayor</t>
  </si>
  <si>
    <t>Compensating Use Tax</t>
  </si>
  <si>
    <t>Local Sales Tax</t>
  </si>
  <si>
    <t>Franchise Tax</t>
  </si>
  <si>
    <t>Desired Carryover Amount:</t>
  </si>
  <si>
    <t>Estimated Mill Rate Impact:</t>
  </si>
  <si>
    <t xml:space="preserve">Totals </t>
  </si>
  <si>
    <t>Does miscellaneous exceed 10% Total Rec</t>
  </si>
  <si>
    <t>Does miscellaneous exceed 10% Total Exp</t>
  </si>
  <si>
    <t>Does miscellanous exceed 10% Total Exp</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</si>
  <si>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</si>
  <si>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</si>
  <si>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</si>
  <si>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</si>
  <si>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</si>
  <si>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</si>
  <si>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</si>
  <si>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</si>
  <si>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</si>
  <si>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</si>
  <si>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</si>
  <si>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</si>
  <si>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</si>
  <si>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</si>
  <si>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</si>
  <si>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</si>
  <si>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</si>
  <si>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</si>
  <si>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</si>
  <si>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</si>
  <si>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</si>
  <si>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</si>
  <si>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</si>
  <si>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</si>
  <si>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</si>
  <si>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</si>
  <si>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</si>
  <si>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</si>
  <si>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</si>
  <si>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</si>
  <si>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</si>
  <si>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</si>
  <si>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</si>
  <si>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</si>
  <si>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</si>
  <si>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</si>
  <si>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</si>
  <si>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</si>
  <si>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</si>
  <si>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</si>
  <si>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</si>
  <si>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</si>
  <si>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</si>
  <si>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</si>
  <si>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</si>
  <si>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</si>
  <si>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</si>
  <si>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</si>
  <si>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</si>
  <si>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</si>
  <si>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</si>
  <si>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</si>
  <si>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</si>
  <si>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</si>
  <si>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</si>
  <si>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</si>
  <si>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</si>
  <si>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</si>
  <si>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</si>
  <si>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</si>
  <si>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</si>
  <si>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</si>
  <si>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</si>
  <si>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</si>
  <si>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</si>
  <si>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</si>
  <si>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</si>
  <si>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</si>
  <si>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</si>
  <si>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</si>
  <si>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</si>
  <si>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</si>
  <si>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</si>
  <si>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</si>
  <si>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</si>
  <si>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</si>
  <si>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</si>
  <si>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</si>
  <si>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</si>
  <si>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</si>
  <si>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</si>
  <si>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</si>
  <si>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</si>
  <si>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</si>
  <si>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</si>
  <si>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</si>
  <si>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 xml:space="preserve">peter.haxton@library.ks.gov </t>
  </si>
  <si>
    <t xml:space="preserve">Ad Valorem </t>
  </si>
  <si>
    <t xml:space="preserve">Recreational Vehicle Tax </t>
  </si>
  <si>
    <t xml:space="preserve">16/20M Vehicle Tax </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</si>
  <si>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</si>
  <si>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</si>
  <si>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</si>
  <si>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</si>
  <si>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</si>
  <si>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</si>
  <si>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</si>
  <si>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</si>
  <si>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</si>
  <si>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</si>
  <si>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</si>
  <si>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</si>
  <si>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</si>
  <si>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</si>
  <si>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</si>
  <si>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</si>
  <si>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</si>
  <si>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</si>
  <si>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</si>
  <si>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In no event will published notice of the vote be required if the total budget year tax levy is $1,000 or less.</t>
  </si>
  <si>
    <t>Employee Benefit</t>
  </si>
  <si>
    <t>12-16,102</t>
  </si>
  <si>
    <t>Electric Utility</t>
  </si>
  <si>
    <t>Water Utility</t>
  </si>
  <si>
    <t>Sewer Utility</t>
  </si>
  <si>
    <t>Fire Eq Replacement</t>
  </si>
  <si>
    <t>Equipment Reserve</t>
  </si>
  <si>
    <t>Capital Improvements</t>
  </si>
  <si>
    <t>Water Utility Reserve</t>
  </si>
  <si>
    <t>Sewer Replacement</t>
  </si>
  <si>
    <t>Utility Replacement</t>
  </si>
  <si>
    <t>Sales Tax</t>
  </si>
  <si>
    <t>City of Moran</t>
  </si>
  <si>
    <t>City Clerk</t>
  </si>
  <si>
    <t>August 4, 2014</t>
  </si>
  <si>
    <t>Moran City Hall</t>
  </si>
  <si>
    <t>7:00 PM</t>
  </si>
  <si>
    <t>Philip A. Jarred, CPA</t>
  </si>
  <si>
    <t>Jarred, Gilmore &amp; Phillips, PA</t>
  </si>
  <si>
    <t>1815 S Santa Fe</t>
  </si>
  <si>
    <t>Chanute Ks   66720</t>
  </si>
  <si>
    <t>pjarred@jgppa.com</t>
  </si>
  <si>
    <t>Kansas Water Pollution Control</t>
  </si>
  <si>
    <t>Revolving Loan-Wastewater</t>
  </si>
  <si>
    <t>Treatment</t>
  </si>
  <si>
    <t>Kansas Public Water Supply</t>
  </si>
  <si>
    <t xml:space="preserve">  Revolving Loan</t>
  </si>
  <si>
    <t>3/1, 9/1</t>
  </si>
  <si>
    <t>2/1, 8/1</t>
  </si>
  <si>
    <t>None</t>
  </si>
  <si>
    <t>Licenses and Permits</t>
  </si>
  <si>
    <t>STEP Grant</t>
  </si>
  <si>
    <t>Fines, Forfeitures, and Penalties</t>
  </si>
  <si>
    <t>Charges for Services</t>
  </si>
  <si>
    <t>Reimbursed Expenses</t>
  </si>
  <si>
    <t>Operating Transfers from:</t>
  </si>
  <si>
    <t xml:space="preserve">    Electric Utility Fund</t>
  </si>
  <si>
    <t>General Government</t>
  </si>
  <si>
    <t xml:space="preserve">  Personal Services</t>
  </si>
  <si>
    <t xml:space="preserve">  Contractual Services</t>
  </si>
  <si>
    <t>Streets</t>
  </si>
  <si>
    <t>Refuse Removal</t>
  </si>
  <si>
    <t>Fire</t>
  </si>
  <si>
    <t>Police</t>
  </si>
  <si>
    <t>Parks</t>
  </si>
  <si>
    <t>Culture and Recreation</t>
  </si>
  <si>
    <t xml:space="preserve">   Appropriation to Library Board</t>
  </si>
  <si>
    <t>Operating Transfers to:</t>
  </si>
  <si>
    <t xml:space="preserve">    Fire Equipment Replacement Fund</t>
  </si>
  <si>
    <t xml:space="preserve">    Equipment Reserve Fund - Police Car</t>
  </si>
  <si>
    <t xml:space="preserve">General </t>
  </si>
  <si>
    <t>Fire Equipment Repl</t>
  </si>
  <si>
    <t>KSA 12-1,117</t>
  </si>
  <si>
    <t xml:space="preserve">Capital Improvement </t>
  </si>
  <si>
    <t>KSA 12-1,118</t>
  </si>
  <si>
    <t>KSA 12-825d</t>
  </si>
  <si>
    <t xml:space="preserve">Sewer Replacement </t>
  </si>
  <si>
    <t>Fire Contracts:</t>
  </si>
  <si>
    <t xml:space="preserve">    Marmaton</t>
  </si>
  <si>
    <t xml:space="preserve">    Osage</t>
  </si>
  <si>
    <t>Watercraft Tax</t>
  </si>
  <si>
    <t>Employee Benfits</t>
  </si>
  <si>
    <t xml:space="preserve">   Personal Services</t>
  </si>
  <si>
    <t xml:space="preserve">   Contractual Services</t>
  </si>
  <si>
    <t xml:space="preserve">   Commodities</t>
  </si>
  <si>
    <t xml:space="preserve">    Charges for Services</t>
  </si>
  <si>
    <t xml:space="preserve">    Connection Fees</t>
  </si>
  <si>
    <t xml:space="preserve">    Reimbursed Expenses</t>
  </si>
  <si>
    <t>Transmission and Distribution</t>
  </si>
  <si>
    <t xml:space="preserve">    Personal Services</t>
  </si>
  <si>
    <t xml:space="preserve">    Contractual Services</t>
  </si>
  <si>
    <t xml:space="preserve">    Commodities</t>
  </si>
  <si>
    <t xml:space="preserve">    Capital Outlay</t>
  </si>
  <si>
    <t xml:space="preserve">Operating Transfers To </t>
  </si>
  <si>
    <t xml:space="preserve">     Fire Equipment Replacement Fund</t>
  </si>
  <si>
    <t xml:space="preserve">     Equipment Reserve Fund</t>
  </si>
  <si>
    <t xml:space="preserve">     Capital Improvement Fund</t>
  </si>
  <si>
    <t xml:space="preserve">     Utility Replacement Fund</t>
  </si>
  <si>
    <t xml:space="preserve">     General Fund</t>
  </si>
  <si>
    <t xml:space="preserve">    Late Charges</t>
  </si>
  <si>
    <t>Revolving Loan Principal and Interest</t>
  </si>
  <si>
    <t xml:space="preserve">     Water Utility Reserve</t>
  </si>
  <si>
    <t>Operating Transfer to:</t>
  </si>
  <si>
    <t xml:space="preserve">     Reimbursed Expenses</t>
  </si>
  <si>
    <t xml:space="preserve">Commercial and General </t>
  </si>
  <si>
    <t xml:space="preserve">Operating Transfer to </t>
  </si>
  <si>
    <t xml:space="preserve">     Sewer Replacement Fund</t>
  </si>
  <si>
    <t>Operating Transfers</t>
  </si>
  <si>
    <t xml:space="preserve">   General Fund</t>
  </si>
  <si>
    <t xml:space="preserve">   Electric Utility  Fd</t>
  </si>
  <si>
    <t>Operating Transfer</t>
  </si>
  <si>
    <t xml:space="preserve">   Electric Utility Fd</t>
  </si>
  <si>
    <t xml:space="preserve">   General Fd</t>
  </si>
  <si>
    <t xml:space="preserve">   Sewer Utility Fd</t>
  </si>
  <si>
    <t>Capital Outlay</t>
  </si>
  <si>
    <t xml:space="preserve">   Water Utility</t>
  </si>
  <si>
    <t>Loan Proceeds</t>
  </si>
  <si>
    <t>CDBG Grant</t>
  </si>
  <si>
    <t>Sales Tax Collections</t>
  </si>
  <si>
    <t>Sales Tax Paid</t>
  </si>
  <si>
    <t>Allen County</t>
  </si>
  <si>
    <t xml:space="preserve">    Capital Improvement Fund-Library Bldg</t>
  </si>
  <si>
    <t>Lori S. Evans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</si>
</sst>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81">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8"/>
      <name val="Times New Roman"/>
      <family val="1"/>
    </font>
    <font>
      <sz val="12"/>
      <color indexed="10"/>
      <name val="Courier"/>
      <family val="3"/>
    </font>
    <font>
      <i/>
      <sz val="12"/>
      <name val="Times New Roman"/>
      <family val="1"/>
    </font>
    <font>
      <b/>
      <sz val="12"/>
      <color indexed="10"/>
      <name val="Times New Roman"/>
      <family val="1"/>
    </font>
    <font>
      <b/>
      <u val="single"/>
      <sz val="8"/>
      <color indexed="10"/>
      <name val="Times New Roman"/>
      <family val="1"/>
    </font>
    <font>
      <sz val="12"/>
      <name val="Courier New"/>
      <family val="3"/>
    </font>
    <font>
      <b/>
      <u val="single"/>
      <sz val="8"/>
      <name val="Times New Roman"/>
      <family val="1"/>
    </font>
    <font>
      <sz val="9"/>
      <color indexed="10"/>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
      <b/>
      <sz val="10"/>
      <color rgb="FFFF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FFFF00"/>
        <bgColor indexed="64"/>
      </patternFill>
    </fill>
    <fill>
      <patternFill patternType="solid">
        <fgColor rgb="FFFFFF9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thin"/>
      <right style="thin"/>
      <top style="medium"/>
      <bottom style="thin"/>
    </border>
  </borders>
  <cellStyleXfs count="5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58">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569"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568" applyFont="1" applyFill="1" applyProtection="1">
      <alignment/>
      <protection/>
    </xf>
    <xf numFmtId="0" fontId="5" fillId="36" borderId="0" xfId="0" applyFont="1" applyFill="1" applyAlignment="1" applyProtection="1">
      <alignment/>
      <protection/>
    </xf>
    <xf numFmtId="0" fontId="5" fillId="0" borderId="0" xfId="0" applyFont="1" applyAlignment="1">
      <alignment vertical="center"/>
    </xf>
    <xf numFmtId="0" fontId="5" fillId="36" borderId="0" xfId="0" applyFont="1" applyFill="1" applyAlignment="1">
      <alignment vertical="center"/>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5" fillId="39" borderId="12"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37" fontId="5" fillId="39"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6"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7" borderId="0" xfId="0" applyNumberFormat="1" applyFont="1" applyFill="1" applyAlignment="1" applyProtection="1">
      <alignment horizontal="center" vertical="center"/>
      <protection/>
    </xf>
    <xf numFmtId="0" fontId="5" fillId="37"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9" borderId="11" xfId="0" applyNumberFormat="1" applyFont="1" applyFill="1" applyBorder="1" applyAlignment="1" applyProtection="1">
      <alignment horizontal="left" vertical="center"/>
      <protection/>
    </xf>
    <xf numFmtId="0" fontId="5" fillId="39" borderId="11" xfId="0" applyFont="1" applyFill="1" applyBorder="1" applyAlignment="1" applyProtection="1">
      <alignment vertical="center"/>
      <protection/>
    </xf>
    <xf numFmtId="37" fontId="5" fillId="39" borderId="17" xfId="0" applyNumberFormat="1" applyFont="1" applyFill="1" applyBorder="1" applyAlignment="1" applyProtection="1">
      <alignment horizontal="left" vertical="center"/>
      <protection/>
    </xf>
    <xf numFmtId="0" fontId="5" fillId="39" borderId="17"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7" borderId="0" xfId="0" applyNumberFormat="1" applyFont="1" applyFill="1" applyAlignment="1" applyProtection="1">
      <alignment horizontal="left" vertical="center"/>
      <protection/>
    </xf>
    <xf numFmtId="0" fontId="6" fillId="39"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7" borderId="11" xfId="0" applyFont="1" applyFill="1" applyBorder="1" applyAlignment="1" applyProtection="1">
      <alignment vertical="center"/>
      <protection/>
    </xf>
    <xf numFmtId="0" fontId="5" fillId="34" borderId="16"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7" borderId="17"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7"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7"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7"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7" borderId="0" xfId="0" applyNumberFormat="1" applyFont="1" applyFill="1" applyAlignment="1" applyProtection="1">
      <alignment horizontal="lef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6" xfId="0" applyFill="1" applyBorder="1" applyAlignment="1">
      <alignment vertical="center"/>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9" borderId="12" xfId="0" applyFont="1" applyFill="1" applyBorder="1" applyAlignment="1">
      <alignment horizontal="center" vertical="center"/>
    </xf>
    <xf numFmtId="0" fontId="5" fillId="39" borderId="14" xfId="0" applyFont="1" applyFill="1" applyBorder="1" applyAlignment="1">
      <alignment horizontal="center" vertical="center"/>
    </xf>
    <xf numFmtId="0" fontId="17" fillId="34" borderId="0" xfId="0" applyFont="1" applyFill="1" applyAlignment="1">
      <alignment vertical="center"/>
    </xf>
    <xf numFmtId="0" fontId="19"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7" xfId="0" applyNumberFormat="1" applyFont="1" applyFill="1" applyBorder="1" applyAlignment="1" applyProtection="1">
      <alignment horizontal="right" vertical="center"/>
      <protection/>
    </xf>
    <xf numFmtId="3" fontId="5" fillId="34" borderId="17"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7"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569"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0"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8"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5"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22" fillId="40" borderId="0" xfId="0" applyNumberFormat="1" applyFont="1" applyFill="1" applyAlignment="1">
      <alignment horizontal="center" vertical="center"/>
    </xf>
    <xf numFmtId="0" fontId="5" fillId="33" borderId="11"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23" fillId="0" borderId="0" xfId="533">
      <alignment/>
      <protection/>
    </xf>
    <xf numFmtId="0" fontId="5" fillId="0" borderId="0" xfId="533" applyFont="1" applyAlignment="1">
      <alignment horizontal="left" vertical="center"/>
      <protection/>
    </xf>
    <xf numFmtId="189" fontId="13" fillId="0" borderId="0" xfId="533" applyNumberFormat="1" applyFont="1" applyAlignment="1">
      <alignment horizontal="left" vertical="center"/>
      <protection/>
    </xf>
    <xf numFmtId="49" fontId="5" fillId="0" borderId="0" xfId="533" applyNumberFormat="1" applyFont="1" applyAlignment="1">
      <alignment horizontal="left" vertical="center"/>
      <protection/>
    </xf>
    <xf numFmtId="0" fontId="13" fillId="0" borderId="0" xfId="533" applyFont="1" applyAlignment="1">
      <alignment horizontal="left" vertical="center"/>
      <protection/>
    </xf>
    <xf numFmtId="190" fontId="13" fillId="0" borderId="0" xfId="533" applyNumberFormat="1" applyFont="1" applyAlignment="1">
      <alignment horizontal="left" vertical="center"/>
      <protection/>
    </xf>
    <xf numFmtId="0" fontId="7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49" fontId="5" fillId="33" borderId="10" xfId="0" applyNumberFormat="1" applyFont="1" applyFill="1" applyBorder="1" applyAlignment="1" applyProtection="1">
      <alignment horizontal="center" vertical="center"/>
      <protection locked="0"/>
    </xf>
    <xf numFmtId="0" fontId="5" fillId="34" borderId="0" xfId="116" applyFont="1" applyFill="1" applyAlignment="1" applyProtection="1">
      <alignment horizontal="right" vertical="center"/>
      <protection/>
    </xf>
    <xf numFmtId="0" fontId="0" fillId="0" borderId="0" xfId="111">
      <alignment/>
      <protection/>
    </xf>
    <xf numFmtId="0" fontId="5" fillId="34" borderId="0" xfId="111" applyFont="1" applyFill="1" applyAlignment="1" applyProtection="1">
      <alignment vertical="center"/>
      <protection/>
    </xf>
    <xf numFmtId="0" fontId="5" fillId="0" borderId="0" xfId="111" applyFont="1" applyAlignment="1" applyProtection="1">
      <alignment vertical="center"/>
      <protection locked="0"/>
    </xf>
    <xf numFmtId="37" fontId="5" fillId="34" borderId="0" xfId="111" applyNumberFormat="1" applyFont="1" applyFill="1" applyAlignment="1" applyProtection="1">
      <alignment horizontal="left" vertical="center"/>
      <protection/>
    </xf>
    <xf numFmtId="0" fontId="4" fillId="34" borderId="0" xfId="111" applyFont="1" applyFill="1" applyAlignment="1" applyProtection="1">
      <alignment vertical="center"/>
      <protection/>
    </xf>
    <xf numFmtId="3" fontId="5" fillId="33" borderId="10" xfId="111" applyNumberFormat="1" applyFont="1" applyFill="1" applyBorder="1" applyAlignment="1" applyProtection="1">
      <alignment vertical="center"/>
      <protection locked="0"/>
    </xf>
    <xf numFmtId="3" fontId="5" fillId="35" borderId="10" xfId="111" applyNumberFormat="1" applyFont="1" applyFill="1" applyBorder="1" applyAlignment="1" applyProtection="1">
      <alignment vertical="center"/>
      <protection/>
    </xf>
    <xf numFmtId="0" fontId="5" fillId="34" borderId="0" xfId="111" applyFont="1" applyFill="1" applyAlignment="1" applyProtection="1">
      <alignment vertical="center"/>
      <protection locked="0"/>
    </xf>
    <xf numFmtId="0" fontId="0" fillId="0" borderId="0" xfId="111" applyAlignment="1">
      <alignment vertical="center"/>
      <protection/>
    </xf>
    <xf numFmtId="1" fontId="5" fillId="34" borderId="0" xfId="111" applyNumberFormat="1" applyFont="1" applyFill="1" applyBorder="1" applyAlignment="1" applyProtection="1">
      <alignment horizontal="right" vertical="center"/>
      <protection/>
    </xf>
    <xf numFmtId="37" fontId="5" fillId="34" borderId="0" xfId="111" applyNumberFormat="1" applyFont="1" applyFill="1" applyAlignment="1" applyProtection="1" quotePrefix="1">
      <alignment horizontal="right" vertical="center"/>
      <protection/>
    </xf>
    <xf numFmtId="37" fontId="5" fillId="34" borderId="20" xfId="111" applyNumberFormat="1" applyFont="1" applyFill="1" applyBorder="1" applyAlignment="1" applyProtection="1">
      <alignment horizontal="left" vertical="center"/>
      <protection/>
    </xf>
    <xf numFmtId="3" fontId="5" fillId="34" borderId="10" xfId="111" applyNumberFormat="1" applyFont="1" applyFill="1" applyBorder="1" applyAlignment="1" applyProtection="1">
      <alignment vertical="center"/>
      <protection/>
    </xf>
    <xf numFmtId="37" fontId="5" fillId="34" borderId="20" xfId="111" applyNumberFormat="1" applyFont="1" applyFill="1" applyBorder="1" applyAlignment="1" applyProtection="1">
      <alignment vertical="center"/>
      <protection/>
    </xf>
    <xf numFmtId="0" fontId="5" fillId="34" borderId="20" xfId="111" applyFont="1" applyFill="1" applyBorder="1" applyAlignment="1" applyProtection="1">
      <alignment vertical="center"/>
      <protection/>
    </xf>
    <xf numFmtId="37" fontId="5" fillId="34" borderId="0" xfId="111" applyNumberFormat="1" applyFont="1" applyFill="1" applyAlignment="1" applyProtection="1">
      <alignment vertical="center"/>
      <protection/>
    </xf>
    <xf numFmtId="0" fontId="5" fillId="34" borderId="0" xfId="111" applyFont="1" applyFill="1" applyAlignment="1" applyProtection="1">
      <alignment horizontal="right" vertical="center"/>
      <protection/>
    </xf>
    <xf numFmtId="37" fontId="5" fillId="34" borderId="0" xfId="111" applyNumberFormat="1" applyFont="1" applyFill="1" applyAlignment="1" applyProtection="1">
      <alignment horizontal="right" vertical="center"/>
      <protection/>
    </xf>
    <xf numFmtId="37" fontId="5" fillId="34" borderId="0" xfId="111" applyNumberFormat="1" applyFont="1" applyFill="1" applyAlignment="1" applyProtection="1">
      <alignment horizontal="fill" vertical="center"/>
      <protection/>
    </xf>
    <xf numFmtId="37" fontId="5" fillId="34" borderId="25" xfId="111" applyNumberFormat="1" applyFont="1" applyFill="1" applyBorder="1" applyAlignment="1" applyProtection="1">
      <alignment horizontal="left" vertical="center"/>
      <protection/>
    </xf>
    <xf numFmtId="37" fontId="4" fillId="34" borderId="20" xfId="111" applyNumberFormat="1" applyFont="1" applyFill="1" applyBorder="1" applyAlignment="1" applyProtection="1">
      <alignment horizontal="left" vertical="center"/>
      <protection/>
    </xf>
    <xf numFmtId="0" fontId="17" fillId="0" borderId="0" xfId="111" applyFont="1" applyAlignment="1" applyProtection="1">
      <alignment vertical="center"/>
      <protection/>
    </xf>
    <xf numFmtId="0" fontId="15" fillId="34" borderId="0" xfId="111" applyFont="1" applyFill="1" applyAlignment="1" applyProtection="1">
      <alignment horizontal="center" vertical="center"/>
      <protection/>
    </xf>
    <xf numFmtId="37" fontId="5" fillId="33" borderId="20" xfId="111" applyNumberFormat="1" applyFont="1" applyFill="1" applyBorder="1" applyAlignment="1" applyProtection="1">
      <alignment horizontal="left" vertical="center"/>
      <protection locked="0"/>
    </xf>
    <xf numFmtId="3" fontId="4" fillId="35" borderId="10" xfId="111" applyNumberFormat="1" applyFont="1" applyFill="1" applyBorder="1" applyAlignment="1" applyProtection="1">
      <alignment vertical="center"/>
      <protection/>
    </xf>
    <xf numFmtId="0" fontId="5" fillId="34" borderId="20" xfId="111" applyFont="1" applyFill="1" applyBorder="1" applyAlignment="1" applyProtection="1">
      <alignment vertical="center"/>
      <protection locked="0"/>
    </xf>
    <xf numFmtId="3" fontId="5" fillId="34" borderId="10" xfId="111" applyNumberFormat="1" applyFont="1" applyFill="1" applyBorder="1" applyAlignment="1" applyProtection="1">
      <alignment horizontal="fill" vertical="center"/>
      <protection/>
    </xf>
    <xf numFmtId="37" fontId="5" fillId="33" borderId="0" xfId="111" applyNumberFormat="1" applyFont="1" applyFill="1" applyAlignment="1" applyProtection="1">
      <alignment horizontal="left" vertical="center"/>
      <protection locked="0"/>
    </xf>
    <xf numFmtId="0" fontId="5" fillId="33" borderId="20" xfId="111" applyFont="1" applyFill="1" applyBorder="1" applyAlignment="1" applyProtection="1">
      <alignment horizontal="left" vertical="center"/>
      <protection locked="0"/>
    </xf>
    <xf numFmtId="3" fontId="4" fillId="34" borderId="10" xfId="111" applyNumberFormat="1" applyFont="1" applyFill="1" applyBorder="1" applyAlignment="1" applyProtection="1">
      <alignment vertical="center"/>
      <protection/>
    </xf>
    <xf numFmtId="0" fontId="5" fillId="42" borderId="26" xfId="111" applyFont="1" applyFill="1" applyBorder="1" applyAlignment="1" applyProtection="1">
      <alignment vertical="center"/>
      <protection locked="0"/>
    </xf>
    <xf numFmtId="0" fontId="5" fillId="42" borderId="21" xfId="111" applyFont="1" applyFill="1" applyBorder="1" applyAlignment="1" applyProtection="1">
      <alignment vertical="center"/>
      <protection locked="0"/>
    </xf>
    <xf numFmtId="195" fontId="13" fillId="42" borderId="26" xfId="111" applyNumberFormat="1" applyFont="1" applyFill="1" applyBorder="1" applyAlignment="1" applyProtection="1">
      <alignment vertical="center"/>
      <protection locked="0"/>
    </xf>
    <xf numFmtId="195" fontId="13" fillId="42" borderId="25" xfId="111" applyNumberFormat="1" applyFont="1" applyFill="1" applyBorder="1" applyAlignment="1" applyProtection="1">
      <alignment horizontal="center" vertical="center"/>
      <protection locked="0"/>
    </xf>
    <xf numFmtId="195" fontId="13" fillId="42" borderId="26" xfId="111" applyNumberFormat="1" applyFont="1" applyFill="1" applyBorder="1" applyAlignment="1" applyProtection="1">
      <alignment horizontal="center" vertical="center"/>
      <protection locked="0"/>
    </xf>
    <xf numFmtId="0" fontId="13" fillId="42" borderId="0" xfId="111" applyFont="1" applyFill="1" applyBorder="1" applyAlignment="1" applyProtection="1">
      <alignment vertical="center"/>
      <protection locked="0"/>
    </xf>
    <xf numFmtId="0" fontId="13" fillId="42" borderId="0" xfId="111" applyFont="1" applyFill="1" applyBorder="1" applyAlignment="1" applyProtection="1">
      <alignment horizontal="left" vertical="center"/>
      <protection locked="0"/>
    </xf>
    <xf numFmtId="37" fontId="5" fillId="33" borderId="20" xfId="111" applyNumberFormat="1" applyFont="1" applyFill="1" applyBorder="1" applyAlignment="1" applyProtection="1">
      <alignment horizontal="right" vertical="center"/>
      <protection locked="0"/>
    </xf>
    <xf numFmtId="3" fontId="4" fillId="35" borderId="20" xfId="111" applyNumberFormat="1" applyFont="1" applyFill="1" applyBorder="1" applyAlignment="1" applyProtection="1">
      <alignment vertical="center"/>
      <protection/>
    </xf>
    <xf numFmtId="3" fontId="5" fillId="34" borderId="20" xfId="111" applyNumberFormat="1" applyFont="1" applyFill="1" applyBorder="1" applyAlignment="1" applyProtection="1">
      <alignment vertical="center"/>
      <protection/>
    </xf>
    <xf numFmtId="37" fontId="5" fillId="33" borderId="20" xfId="111" applyNumberFormat="1" applyFont="1" applyFill="1" applyBorder="1" applyAlignment="1" applyProtection="1">
      <alignment vertical="center"/>
      <protection locked="0"/>
    </xf>
    <xf numFmtId="3" fontId="5" fillId="33" borderId="20" xfId="111" applyNumberFormat="1" applyFont="1" applyFill="1" applyBorder="1" applyAlignment="1" applyProtection="1">
      <alignment vertical="center"/>
      <protection locked="0"/>
    </xf>
    <xf numFmtId="3" fontId="4" fillId="34" borderId="20" xfId="111" applyNumberFormat="1" applyFont="1" applyFill="1" applyBorder="1" applyAlignment="1" applyProtection="1">
      <alignment vertical="center"/>
      <protection/>
    </xf>
    <xf numFmtId="3" fontId="5" fillId="35" borderId="20" xfId="111" applyNumberFormat="1" applyFont="1" applyFill="1" applyBorder="1" applyAlignment="1" applyProtection="1">
      <alignment vertical="center"/>
      <protection/>
    </xf>
    <xf numFmtId="37" fontId="4" fillId="34" borderId="11" xfId="111" applyNumberFormat="1" applyFont="1" applyFill="1" applyBorder="1" applyAlignment="1" applyProtection="1">
      <alignment vertical="center"/>
      <protection/>
    </xf>
    <xf numFmtId="37" fontId="4" fillId="34" borderId="0" xfId="111" applyNumberFormat="1" applyFont="1" applyFill="1" applyBorder="1" applyAlignment="1" applyProtection="1">
      <alignment vertical="center"/>
      <protection/>
    </xf>
    <xf numFmtId="0" fontId="9" fillId="39" borderId="10" xfId="0" applyFont="1" applyFill="1" applyBorder="1" applyAlignment="1" applyProtection="1">
      <alignment vertical="center" shrinkToFit="1"/>
      <protection/>
    </xf>
    <xf numFmtId="37" fontId="5" fillId="34" borderId="13" xfId="111" applyNumberFormat="1" applyFont="1" applyFill="1" applyBorder="1" applyAlignment="1" applyProtection="1">
      <alignment horizontal="center" vertical="center"/>
      <protection/>
    </xf>
    <xf numFmtId="37" fontId="5" fillId="34" borderId="14" xfId="111" applyNumberFormat="1" applyFont="1" applyFill="1" applyBorder="1" applyAlignment="1" applyProtection="1">
      <alignment horizontal="center" vertical="center"/>
      <protection/>
    </xf>
    <xf numFmtId="0" fontId="25" fillId="0" borderId="0" xfId="0" applyFont="1" applyAlignment="1" applyProtection="1">
      <alignment vertical="center"/>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111" applyNumberFormat="1" applyFont="1" applyFill="1" applyBorder="1" applyAlignment="1" applyProtection="1">
      <alignment horizontal="right" vertical="center"/>
      <protection locked="0"/>
    </xf>
    <xf numFmtId="0" fontId="5" fillId="0" borderId="0" xfId="111" applyFont="1" applyFill="1" applyBorder="1" applyProtection="1">
      <alignment/>
      <protection/>
    </xf>
    <xf numFmtId="0" fontId="72" fillId="0" borderId="0" xfId="0" applyFont="1" applyAlignment="1">
      <alignment vertical="center"/>
    </xf>
    <xf numFmtId="0" fontId="73" fillId="0" borderId="0" xfId="0" applyFont="1" applyAlignment="1" applyProtection="1">
      <alignment horizontal="center" vertical="center"/>
      <protection locked="0"/>
    </xf>
    <xf numFmtId="0" fontId="74" fillId="34" borderId="0" xfId="0" applyFont="1" applyFill="1" applyAlignment="1" applyProtection="1">
      <alignment horizontal="center" vertical="center"/>
      <protection/>
    </xf>
    <xf numFmtId="37" fontId="5" fillId="34" borderId="27" xfId="0" applyNumberFormat="1" applyFont="1" applyFill="1" applyBorder="1" applyAlignment="1" applyProtection="1">
      <alignment vertical="center"/>
      <protection/>
    </xf>
    <xf numFmtId="0" fontId="5" fillId="34" borderId="27"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95" applyNumberFormat="1" applyFont="1" applyFill="1" applyBorder="1" applyAlignment="1" applyProtection="1">
      <alignment horizontal="left" vertical="center"/>
      <protection locked="0"/>
    </xf>
    <xf numFmtId="0" fontId="5" fillId="33" borderId="20" xfId="116" applyNumberFormat="1" applyFont="1" applyFill="1" applyBorder="1" applyAlignment="1" applyProtection="1">
      <alignment horizontal="left" vertical="center"/>
      <protection locked="0"/>
    </xf>
    <xf numFmtId="0" fontId="5" fillId="42" borderId="0" xfId="111" applyFont="1" applyFill="1" applyBorder="1" applyAlignment="1" applyProtection="1">
      <alignment vertical="center"/>
      <protection locked="0"/>
    </xf>
    <xf numFmtId="0" fontId="5" fillId="42" borderId="0" xfId="111" applyFont="1" applyFill="1" applyBorder="1" applyAlignment="1" applyProtection="1">
      <alignment vertical="center"/>
      <protection/>
    </xf>
    <xf numFmtId="0" fontId="26" fillId="42" borderId="0" xfId="111" applyFont="1" applyFill="1" applyBorder="1" applyAlignment="1" applyProtection="1">
      <alignment vertical="center"/>
      <protection locked="0"/>
    </xf>
    <xf numFmtId="195" fontId="26" fillId="43" borderId="10" xfId="111" applyNumberFormat="1" applyFont="1" applyFill="1" applyBorder="1" applyAlignment="1" applyProtection="1">
      <alignment horizontal="center" vertical="center"/>
      <protection locked="0"/>
    </xf>
    <xf numFmtId="0" fontId="5" fillId="42" borderId="26" xfId="111" applyFont="1" applyFill="1" applyBorder="1" applyAlignment="1" applyProtection="1">
      <alignment vertical="center"/>
      <protection/>
    </xf>
    <xf numFmtId="0" fontId="5" fillId="42" borderId="21" xfId="111" applyFont="1" applyFill="1" applyBorder="1" applyAlignment="1" applyProtection="1">
      <alignment vertical="center"/>
      <protection/>
    </xf>
    <xf numFmtId="195" fontId="26" fillId="42" borderId="26" xfId="111" applyNumberFormat="1" applyFont="1" applyFill="1" applyBorder="1" applyAlignment="1" applyProtection="1">
      <alignment horizontal="center" vertical="center"/>
      <protection/>
    </xf>
    <xf numFmtId="0" fontId="26" fillId="42" borderId="0" xfId="111" applyFont="1" applyFill="1" applyBorder="1" applyAlignment="1" applyProtection="1">
      <alignment horizontal="left" vertical="center"/>
      <protection/>
    </xf>
    <xf numFmtId="0" fontId="26" fillId="42" borderId="21" xfId="111" applyFont="1" applyFill="1" applyBorder="1" applyAlignment="1" applyProtection="1">
      <alignment vertical="center"/>
      <protection/>
    </xf>
    <xf numFmtId="0" fontId="26" fillId="42" borderId="0" xfId="111" applyFont="1" applyFill="1" applyBorder="1" applyAlignment="1" applyProtection="1">
      <alignment vertical="center"/>
      <protection/>
    </xf>
    <xf numFmtId="195" fontId="26" fillId="42" borderId="25" xfId="111" applyNumberFormat="1" applyFont="1" applyFill="1" applyBorder="1" applyAlignment="1" applyProtection="1">
      <alignment horizontal="center" vertical="center"/>
      <protection/>
    </xf>
    <xf numFmtId="195" fontId="26" fillId="42" borderId="26" xfId="111" applyNumberFormat="1" applyFont="1" applyFill="1" applyBorder="1" applyAlignment="1" applyProtection="1">
      <alignment vertical="center"/>
      <protection/>
    </xf>
    <xf numFmtId="0" fontId="28" fillId="44" borderId="11" xfId="111" applyFont="1" applyFill="1" applyBorder="1" applyAlignment="1" applyProtection="1">
      <alignment vertical="center"/>
      <protection/>
    </xf>
    <xf numFmtId="0" fontId="26" fillId="44" borderId="16" xfId="111" applyFont="1" applyFill="1" applyBorder="1" applyAlignment="1" applyProtection="1">
      <alignment vertical="center"/>
      <protection/>
    </xf>
    <xf numFmtId="0" fontId="5" fillId="44" borderId="16" xfId="111" applyFont="1" applyFill="1" applyBorder="1" applyAlignment="1" applyProtection="1">
      <alignment vertical="center"/>
      <protection/>
    </xf>
    <xf numFmtId="0" fontId="26" fillId="42" borderId="26" xfId="111" applyFont="1" applyFill="1" applyBorder="1" applyAlignment="1" applyProtection="1">
      <alignment horizontal="left" vertical="center"/>
      <protection/>
    </xf>
    <xf numFmtId="195" fontId="28" fillId="44" borderId="25" xfId="111" applyNumberFormat="1" applyFont="1" applyFill="1" applyBorder="1" applyAlignment="1" applyProtection="1">
      <alignment horizontal="center" vertical="center"/>
      <protection/>
    </xf>
    <xf numFmtId="195" fontId="28" fillId="44" borderId="16" xfId="111" applyNumberFormat="1" applyFont="1" applyFill="1" applyBorder="1" applyAlignment="1" applyProtection="1">
      <alignment horizontal="center" vertical="center"/>
      <protection locked="0"/>
    </xf>
    <xf numFmtId="188" fontId="26" fillId="42" borderId="18" xfId="111" applyNumberFormat="1" applyFont="1" applyFill="1" applyBorder="1" applyAlignment="1" applyProtection="1">
      <alignment horizontal="center" vertical="center"/>
      <protection locked="0"/>
    </xf>
    <xf numFmtId="0" fontId="26" fillId="42" borderId="26" xfId="111"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28" xfId="0" applyNumberFormat="1" applyFont="1" applyFill="1" applyBorder="1" applyAlignment="1" applyProtection="1">
      <alignment horizontal="center" vertical="center"/>
      <protection/>
    </xf>
    <xf numFmtId="188" fontId="5" fillId="34" borderId="28"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95" applyNumberFormat="1" applyFont="1" applyFill="1" applyBorder="1" applyAlignment="1" applyProtection="1">
      <alignment horizontal="center"/>
      <protection/>
    </xf>
    <xf numFmtId="37" fontId="5" fillId="34" borderId="14" xfId="95" applyNumberFormat="1" applyFont="1" applyFill="1" applyBorder="1" applyAlignment="1" applyProtection="1">
      <alignment horizontal="center"/>
      <protection/>
    </xf>
    <xf numFmtId="3" fontId="5" fillId="45" borderId="15"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5" fillId="34" borderId="0" xfId="70" applyNumberFormat="1" applyFont="1" applyFill="1" applyBorder="1" applyAlignment="1" applyProtection="1">
      <alignment horizontal="right" vertical="center"/>
      <protection/>
    </xf>
    <xf numFmtId="0" fontId="5" fillId="34" borderId="13" xfId="0" applyFont="1" applyFill="1" applyBorder="1" applyAlignment="1" applyProtection="1">
      <alignment/>
      <protection/>
    </xf>
    <xf numFmtId="0" fontId="5" fillId="42"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75" fillId="0" borderId="0" xfId="0" applyFont="1" applyAlignment="1">
      <alignment/>
    </xf>
    <xf numFmtId="49" fontId="5" fillId="0" borderId="0" xfId="533" applyNumberFormat="1" applyFont="1" applyFill="1" applyAlignment="1" applyProtection="1">
      <alignment horizontal="left" vertical="center"/>
      <protection locked="0"/>
    </xf>
    <xf numFmtId="0" fontId="76" fillId="0" borderId="0" xfId="533" applyFont="1">
      <alignment/>
      <protection/>
    </xf>
    <xf numFmtId="189" fontId="77" fillId="0" borderId="0" xfId="533" applyNumberFormat="1" applyFont="1" applyAlignment="1">
      <alignment horizontal="left" vertical="center"/>
      <protection/>
    </xf>
    <xf numFmtId="0" fontId="77" fillId="0" borderId="0" xfId="533" applyNumberFormat="1" applyFont="1" applyAlignment="1">
      <alignment horizontal="left" vertical="center"/>
      <protection/>
    </xf>
    <xf numFmtId="1" fontId="77" fillId="0" borderId="0" xfId="533" applyNumberFormat="1" applyFont="1" applyAlignment="1">
      <alignment horizontal="left" vertical="center"/>
      <protection/>
    </xf>
    <xf numFmtId="0" fontId="78" fillId="0" borderId="0" xfId="533" applyFont="1" applyAlignment="1">
      <alignment horizontal="left" vertical="center"/>
      <protection/>
    </xf>
    <xf numFmtId="49" fontId="5" fillId="34" borderId="0" xfId="0" applyNumberFormat="1" applyFont="1" applyFill="1" applyAlignment="1" applyProtection="1">
      <alignment horizontal="left" vertical="center"/>
      <protection/>
    </xf>
    <xf numFmtId="0" fontId="28" fillId="44" borderId="26" xfId="111" applyFont="1" applyFill="1" applyBorder="1" applyAlignment="1" applyProtection="1">
      <alignment vertical="center"/>
      <protection locked="0"/>
    </xf>
    <xf numFmtId="0" fontId="5" fillId="44" borderId="0" xfId="111" applyFont="1" applyFill="1" applyBorder="1" applyAlignment="1" applyProtection="1">
      <alignment vertical="center"/>
      <protection locked="0"/>
    </xf>
    <xf numFmtId="0" fontId="26" fillId="44" borderId="0" xfId="111"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26" fillId="42" borderId="25" xfId="0" applyFont="1" applyFill="1" applyBorder="1" applyAlignment="1" applyProtection="1">
      <alignment vertical="center"/>
      <protection locked="0"/>
    </xf>
    <xf numFmtId="0" fontId="26" fillId="42" borderId="11" xfId="0" applyFont="1" applyFill="1" applyBorder="1" applyAlignment="1" applyProtection="1">
      <alignment vertical="center"/>
      <protection locked="0"/>
    </xf>
    <xf numFmtId="0" fontId="5" fillId="42" borderId="11" xfId="0" applyFont="1" applyFill="1" applyBorder="1" applyAlignment="1" applyProtection="1">
      <alignment vertical="center"/>
      <protection locked="0"/>
    </xf>
    <xf numFmtId="0" fontId="5" fillId="44" borderId="16" xfId="0" applyFont="1" applyFill="1" applyBorder="1" applyAlignment="1" applyProtection="1">
      <alignment vertical="center"/>
      <protection locked="0"/>
    </xf>
    <xf numFmtId="188" fontId="26" fillId="42" borderId="26"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7" fillId="42" borderId="0" xfId="0"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8" fontId="26" fillId="44" borderId="25" xfId="0" applyNumberFormat="1" applyFont="1" applyFill="1" applyBorder="1" applyAlignment="1" applyProtection="1">
      <alignment horizontal="center" vertical="center"/>
      <protection/>
    </xf>
    <xf numFmtId="188" fontId="26" fillId="42" borderId="20" xfId="0" applyNumberFormat="1" applyFont="1" applyFill="1" applyBorder="1" applyAlignment="1" applyProtection="1">
      <alignment horizontal="center" vertical="center"/>
      <protection/>
    </xf>
    <xf numFmtId="188" fontId="26" fillId="44" borderId="20" xfId="0" applyNumberFormat="1" applyFont="1" applyFill="1" applyBorder="1" applyAlignment="1" applyProtection="1">
      <alignment horizontal="center" vertical="center"/>
      <protection/>
    </xf>
    <xf numFmtId="0" fontId="26" fillId="42" borderId="11" xfId="0" applyFont="1" applyFill="1" applyBorder="1" applyAlignment="1" applyProtection="1">
      <alignment horizontal="left" vertical="center"/>
      <protection/>
    </xf>
    <xf numFmtId="0" fontId="27" fillId="42" borderId="11"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0" fontId="72" fillId="0" borderId="0" xfId="0" applyFont="1" applyAlignment="1" applyProtection="1">
      <alignment/>
      <protection locked="0"/>
    </xf>
    <xf numFmtId="195" fontId="13" fillId="44" borderId="25" xfId="111" applyNumberFormat="1" applyFont="1" applyFill="1" applyBorder="1" applyAlignment="1" applyProtection="1">
      <alignment horizontal="center" vertical="center"/>
      <protection locked="0"/>
    </xf>
    <xf numFmtId="0" fontId="13" fillId="44" borderId="11" xfId="111" applyFont="1" applyFill="1" applyBorder="1" applyAlignment="1" applyProtection="1">
      <alignment vertical="center"/>
      <protection locked="0"/>
    </xf>
    <xf numFmtId="0" fontId="5" fillId="44" borderId="16" xfId="111" applyFont="1" applyFill="1" applyBorder="1" applyAlignment="1" applyProtection="1">
      <alignment vertical="center"/>
      <protection locked="0"/>
    </xf>
    <xf numFmtId="0" fontId="5" fillId="42" borderId="21" xfId="0" applyFont="1" applyFill="1" applyBorder="1" applyAlignment="1" applyProtection="1">
      <alignment vertical="center"/>
      <protection locked="0"/>
    </xf>
    <xf numFmtId="3" fontId="5" fillId="40" borderId="15" xfId="111"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26" fillId="42" borderId="26" xfId="0" applyFont="1" applyFill="1" applyBorder="1" applyAlignment="1" applyProtection="1">
      <alignment vertical="center"/>
      <protection/>
    </xf>
    <xf numFmtId="0" fontId="5" fillId="42" borderId="0" xfId="0" applyFont="1" applyFill="1" applyBorder="1" applyAlignment="1" applyProtection="1">
      <alignment vertical="center"/>
      <protection/>
    </xf>
    <xf numFmtId="0" fontId="26" fillId="42" borderId="0" xfId="0" applyFont="1" applyFill="1" applyBorder="1" applyAlignment="1" applyProtection="1">
      <alignment vertical="center"/>
      <protection/>
    </xf>
    <xf numFmtId="195" fontId="26" fillId="42" borderId="21" xfId="0" applyNumberFormat="1" applyFont="1" applyFill="1" applyBorder="1" applyAlignment="1" applyProtection="1">
      <alignment horizontal="center" vertical="center"/>
      <protection/>
    </xf>
    <xf numFmtId="0" fontId="26" fillId="42" borderId="26" xfId="0" applyFont="1" applyFill="1" applyBorder="1" applyAlignment="1" applyProtection="1">
      <alignment horizontal="left" vertical="center"/>
      <protection/>
    </xf>
    <xf numFmtId="195" fontId="26" fillId="43" borderId="10" xfId="0" applyNumberFormat="1" applyFont="1" applyFill="1" applyBorder="1" applyAlignment="1" applyProtection="1">
      <alignment horizontal="center" vertical="center"/>
      <protection locked="0"/>
    </xf>
    <xf numFmtId="188" fontId="28" fillId="42" borderId="18" xfId="0" applyNumberFormat="1" applyFont="1" applyFill="1" applyBorder="1" applyAlignment="1" applyProtection="1">
      <alignment horizontal="center" vertical="center"/>
      <protection/>
    </xf>
    <xf numFmtId="0" fontId="28" fillId="44" borderId="26" xfId="0" applyFont="1" applyFill="1" applyBorder="1" applyAlignment="1" applyProtection="1">
      <alignment vertical="center"/>
      <protection/>
    </xf>
    <xf numFmtId="0" fontId="5" fillId="44" borderId="0" xfId="0" applyFont="1" applyFill="1" applyBorder="1" applyAlignment="1" applyProtection="1">
      <alignment vertical="center"/>
      <protection/>
    </xf>
    <xf numFmtId="0" fontId="26" fillId="44" borderId="0" xfId="0" applyFont="1" applyFill="1" applyBorder="1" applyAlignment="1" applyProtection="1">
      <alignment vertical="center"/>
      <protection/>
    </xf>
    <xf numFmtId="195" fontId="28" fillId="44" borderId="18" xfId="0" applyNumberFormat="1" applyFont="1" applyFill="1" applyBorder="1" applyAlignment="1" applyProtection="1">
      <alignment horizontal="center" vertical="center"/>
      <protection/>
    </xf>
    <xf numFmtId="37" fontId="26" fillId="34" borderId="25" xfId="0" applyNumberFormat="1" applyFont="1" applyFill="1" applyBorder="1" applyAlignment="1" applyProtection="1">
      <alignment horizontal="left" vertical="center"/>
      <protection/>
    </xf>
    <xf numFmtId="0" fontId="30" fillId="42" borderId="11" xfId="0" applyFont="1" applyFill="1" applyBorder="1" applyAlignment="1">
      <alignment horizontal="left" vertical="center"/>
    </xf>
    <xf numFmtId="195" fontId="28" fillId="44" borderId="16" xfId="0" applyNumberFormat="1" applyFont="1" applyFill="1" applyBorder="1" applyAlignment="1" applyProtection="1">
      <alignment horizontal="center" vertical="center"/>
      <protection locked="0"/>
    </xf>
    <xf numFmtId="0" fontId="5" fillId="42" borderId="26" xfId="0" applyFont="1" applyFill="1" applyBorder="1" applyAlignment="1" applyProtection="1">
      <alignment vertical="center"/>
      <protection/>
    </xf>
    <xf numFmtId="0" fontId="5" fillId="42" borderId="21" xfId="0" applyFont="1" applyFill="1" applyBorder="1" applyAlignment="1" applyProtection="1">
      <alignment/>
      <protection locked="0"/>
    </xf>
    <xf numFmtId="195" fontId="26" fillId="42" borderId="26" xfId="0" applyNumberFormat="1" applyFont="1" applyFill="1" applyBorder="1" applyAlignment="1" applyProtection="1">
      <alignment horizontal="center" vertical="center"/>
      <protection/>
    </xf>
    <xf numFmtId="0" fontId="26" fillId="42" borderId="21" xfId="0" applyFont="1" applyFill="1" applyBorder="1" applyAlignment="1" applyProtection="1">
      <alignment vertical="center"/>
      <protection/>
    </xf>
    <xf numFmtId="195" fontId="26" fillId="42" borderId="25" xfId="0" applyNumberFormat="1" applyFont="1" applyFill="1" applyBorder="1" applyAlignment="1" applyProtection="1">
      <alignment horizontal="center" vertical="center"/>
      <protection/>
    </xf>
    <xf numFmtId="0" fontId="29" fillId="0" borderId="0" xfId="0" applyFont="1" applyAlignment="1" applyProtection="1">
      <alignment horizontal="right" vertical="center"/>
      <protection/>
    </xf>
    <xf numFmtId="195" fontId="13" fillId="42" borderId="26" xfId="0" applyNumberFormat="1" applyFont="1" applyFill="1" applyBorder="1" applyAlignment="1" applyProtection="1">
      <alignment horizontal="center" vertical="center"/>
      <protection/>
    </xf>
    <xf numFmtId="0" fontId="5" fillId="42" borderId="21" xfId="0" applyFont="1" applyFill="1" applyBorder="1" applyAlignment="1" applyProtection="1">
      <alignment vertical="center"/>
      <protection/>
    </xf>
    <xf numFmtId="195" fontId="13" fillId="42" borderId="26" xfId="0" applyNumberFormat="1" applyFont="1" applyFill="1" applyBorder="1" applyAlignment="1" applyProtection="1">
      <alignment vertical="center"/>
      <protection/>
    </xf>
    <xf numFmtId="0" fontId="13" fillId="42" borderId="0" xfId="0" applyFont="1" applyFill="1" applyBorder="1" applyAlignment="1" applyProtection="1">
      <alignment vertical="center"/>
      <protection/>
    </xf>
    <xf numFmtId="195" fontId="13" fillId="42" borderId="25" xfId="0" applyNumberFormat="1" applyFont="1" applyFill="1" applyBorder="1" applyAlignment="1" applyProtection="1">
      <alignment horizontal="center" vertical="center"/>
      <protection/>
    </xf>
    <xf numFmtId="195" fontId="13" fillId="44" borderId="25" xfId="0" applyNumberFormat="1" applyFont="1" applyFill="1" applyBorder="1" applyAlignment="1" applyProtection="1">
      <alignment horizontal="center" vertical="center"/>
      <protection/>
    </xf>
    <xf numFmtId="0" fontId="13" fillId="44" borderId="11" xfId="0" applyFont="1" applyFill="1" applyBorder="1" applyAlignment="1" applyProtection="1">
      <alignment vertical="center"/>
      <protection/>
    </xf>
    <xf numFmtId="0" fontId="5" fillId="44" borderId="16" xfId="0" applyFont="1" applyFill="1" applyBorder="1" applyAlignment="1" applyProtection="1">
      <alignment vertical="center"/>
      <protection/>
    </xf>
    <xf numFmtId="0" fontId="5" fillId="44" borderId="16" xfId="0" applyFont="1" applyFill="1" applyBorder="1" applyAlignment="1" applyProtection="1">
      <alignment/>
      <protection locked="0"/>
    </xf>
    <xf numFmtId="0" fontId="72" fillId="0" borderId="0" xfId="0" applyFont="1" applyAlignment="1">
      <alignment/>
    </xf>
    <xf numFmtId="0" fontId="5" fillId="42" borderId="0" xfId="95" applyFont="1" applyFill="1">
      <alignment/>
      <protection/>
    </xf>
    <xf numFmtId="0" fontId="0" fillId="0" borderId="0" xfId="95">
      <alignment/>
      <protection/>
    </xf>
    <xf numFmtId="0" fontId="5" fillId="42" borderId="0" xfId="95" applyFont="1" applyFill="1" applyAlignment="1">
      <alignment vertical="center"/>
      <protection/>
    </xf>
    <xf numFmtId="37" fontId="5" fillId="42" borderId="0" xfId="95" applyNumberFormat="1" applyFont="1" applyFill="1" applyAlignment="1">
      <alignment vertical="center"/>
      <protection/>
    </xf>
    <xf numFmtId="0" fontId="5" fillId="42" borderId="11" xfId="95" applyFont="1" applyFill="1" applyBorder="1" applyAlignment="1">
      <alignment vertical="center"/>
      <protection/>
    </xf>
    <xf numFmtId="0" fontId="5" fillId="42" borderId="0" xfId="95" applyFont="1" applyFill="1" applyAlignment="1">
      <alignment horizontal="center" vertical="center"/>
      <protection/>
    </xf>
    <xf numFmtId="0" fontId="6" fillId="42" borderId="0" xfId="95" applyFont="1" applyFill="1" applyAlignment="1">
      <alignment horizontal="center" vertical="center"/>
      <protection/>
    </xf>
    <xf numFmtId="195" fontId="5" fillId="42" borderId="0" xfId="95" applyNumberFormat="1" applyFont="1" applyFill="1" applyAlignment="1">
      <alignment vertical="center"/>
      <protection/>
    </xf>
    <xf numFmtId="195" fontId="5" fillId="42" borderId="19" xfId="95" applyNumberFormat="1" applyFont="1" applyFill="1" applyBorder="1" applyAlignment="1">
      <alignment vertical="center"/>
      <protection/>
    </xf>
    <xf numFmtId="195" fontId="5" fillId="42" borderId="0" xfId="95" applyNumberFormat="1" applyFont="1" applyFill="1" applyBorder="1" applyAlignment="1">
      <alignment vertical="center"/>
      <protection/>
    </xf>
    <xf numFmtId="0" fontId="73" fillId="44" borderId="0" xfId="95" applyFont="1" applyFill="1" applyAlignment="1">
      <alignment vertical="center"/>
      <protection/>
    </xf>
    <xf numFmtId="0" fontId="73" fillId="42" borderId="0" xfId="95" applyFont="1" applyFill="1" applyAlignment="1">
      <alignment horizontal="center" vertical="center"/>
      <protection/>
    </xf>
    <xf numFmtId="188" fontId="5" fillId="42" borderId="0" xfId="95" applyNumberFormat="1" applyFont="1" applyFill="1" applyAlignment="1">
      <alignment horizontal="center" vertical="center"/>
      <protection/>
    </xf>
    <xf numFmtId="199" fontId="73" fillId="42" borderId="0" xfId="95" applyNumberFormat="1" applyFont="1" applyFill="1" applyAlignment="1">
      <alignment horizontal="center" vertical="center"/>
      <protection/>
    </xf>
    <xf numFmtId="0" fontId="73" fillId="44" borderId="0" xfId="95" applyFont="1" applyFill="1" applyAlignment="1">
      <alignment horizontal="center" vertical="center"/>
      <protection/>
    </xf>
    <xf numFmtId="0" fontId="79" fillId="44" borderId="0" xfId="95" applyFont="1" applyFill="1" applyAlignment="1">
      <alignment horizontal="center" vertical="center"/>
      <protection/>
    </xf>
    <xf numFmtId="0" fontId="5" fillId="42" borderId="0" xfId="95" applyFont="1" applyFill="1" applyAlignment="1">
      <alignment horizontal="right" vertical="center"/>
      <protection/>
    </xf>
    <xf numFmtId="0" fontId="5" fillId="42" borderId="0" xfId="95" applyFont="1" applyFill="1" applyAlignment="1">
      <alignment horizontal="left" vertical="center"/>
      <protection/>
    </xf>
    <xf numFmtId="0" fontId="5" fillId="42" borderId="0" xfId="89" applyFont="1" applyFill="1">
      <alignment/>
      <protection/>
    </xf>
    <xf numFmtId="0" fontId="0" fillId="42" borderId="0" xfId="95" applyFill="1">
      <alignment/>
      <protection/>
    </xf>
    <xf numFmtId="0" fontId="4" fillId="42" borderId="0" xfId="89" applyFont="1" applyFill="1">
      <alignment/>
      <protection/>
    </xf>
    <xf numFmtId="0" fontId="0" fillId="42" borderId="0" xfId="89" applyFill="1">
      <alignment/>
      <protection/>
    </xf>
    <xf numFmtId="0" fontId="11" fillId="0" borderId="0" xfId="70" applyAlignment="1" applyProtection="1">
      <alignment/>
      <protection/>
    </xf>
    <xf numFmtId="195" fontId="26" fillId="42" borderId="26" xfId="0" applyNumberFormat="1" applyFont="1" applyFill="1" applyBorder="1" applyAlignment="1" applyProtection="1">
      <alignment vertical="center"/>
      <protection/>
    </xf>
    <xf numFmtId="195" fontId="26" fillId="44" borderId="25" xfId="0" applyNumberFormat="1" applyFont="1" applyFill="1" applyBorder="1" applyAlignment="1" applyProtection="1">
      <alignment horizontal="center" vertical="center"/>
      <protection/>
    </xf>
    <xf numFmtId="0" fontId="26" fillId="44" borderId="11" xfId="0" applyFont="1" applyFill="1" applyBorder="1" applyAlignment="1" applyProtection="1">
      <alignment vertical="center"/>
      <protection/>
    </xf>
    <xf numFmtId="0" fontId="26" fillId="44" borderId="16"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2" borderId="0" xfId="95"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27" xfId="0" applyNumberFormat="1" applyFont="1" applyFill="1" applyBorder="1" applyAlignment="1" applyProtection="1">
      <alignment horizontal="right" vertical="center"/>
      <protection/>
    </xf>
    <xf numFmtId="0" fontId="5" fillId="34" borderId="27" xfId="0" applyFont="1" applyFill="1" applyBorder="1" applyAlignment="1" applyProtection="1">
      <alignment horizontal="right" vertical="center"/>
      <protection/>
    </xf>
    <xf numFmtId="3" fontId="5" fillId="45" borderId="14" xfId="0" applyNumberFormat="1" applyFont="1" applyFill="1" applyBorder="1" applyAlignment="1" applyProtection="1">
      <alignment horizontal="right" vertical="center"/>
      <protection/>
    </xf>
    <xf numFmtId="188" fontId="5" fillId="45" borderId="14" xfId="0" applyNumberFormat="1" applyFont="1" applyFill="1" applyBorder="1" applyAlignment="1" applyProtection="1">
      <alignment horizontal="right" vertical="center"/>
      <protection/>
    </xf>
    <xf numFmtId="198" fontId="5" fillId="34" borderId="0" xfId="553" applyNumberFormat="1" applyFont="1" applyFill="1" applyAlignment="1" applyProtection="1">
      <alignment horizontal="center" vertical="center"/>
      <protection/>
    </xf>
    <xf numFmtId="0" fontId="29" fillId="0" borderId="0" xfId="0" applyFont="1" applyAlignment="1" applyProtection="1">
      <alignment vertical="center"/>
      <protection/>
    </xf>
    <xf numFmtId="0" fontId="11" fillId="32" borderId="0" xfId="70" applyFill="1" applyAlignment="1" applyProtection="1">
      <alignment/>
      <protection/>
    </xf>
    <xf numFmtId="0" fontId="54" fillId="32" borderId="0" xfId="437" applyFill="1">
      <alignment/>
      <protection/>
    </xf>
    <xf numFmtId="0" fontId="80" fillId="42" borderId="18" xfId="0" applyFont="1" applyFill="1" applyBorder="1" applyAlignment="1">
      <alignment horizontal="center" vertical="center"/>
    </xf>
    <xf numFmtId="0" fontId="4" fillId="42" borderId="17" xfId="0" applyFont="1" applyFill="1" applyBorder="1" applyAlignment="1">
      <alignment horizontal="centerContinuous" vertical="center"/>
    </xf>
    <xf numFmtId="0" fontId="80" fillId="42" borderId="18" xfId="0" applyFont="1" applyFill="1" applyBorder="1" applyAlignment="1">
      <alignment horizontal="center" vertical="center"/>
    </xf>
    <xf numFmtId="0" fontId="4" fillId="42" borderId="17" xfId="0" applyFont="1" applyFill="1" applyBorder="1" applyAlignment="1">
      <alignment horizontal="centerContinuous" vertical="center"/>
    </xf>
    <xf numFmtId="0" fontId="80" fillId="42" borderId="18" xfId="0" applyFont="1" applyFill="1" applyBorder="1" applyAlignment="1">
      <alignment horizontal="center" vertical="center"/>
    </xf>
    <xf numFmtId="0" fontId="4" fillId="42" borderId="17" xfId="0" applyFont="1" applyFill="1" applyBorder="1" applyAlignment="1">
      <alignment horizontal="centerContinuous" vertical="center"/>
    </xf>
    <xf numFmtId="3" fontId="5" fillId="42" borderId="10" xfId="0" applyNumberFormat="1" applyFont="1" applyFill="1" applyBorder="1" applyAlignment="1" applyProtection="1">
      <alignment vertical="center"/>
      <protection/>
    </xf>
    <xf numFmtId="3" fontId="5" fillId="34" borderId="0" xfId="111" applyNumberFormat="1" applyFont="1" applyFill="1" applyAlignment="1" applyProtection="1">
      <alignment horizontal="right" vertical="center"/>
      <protection/>
    </xf>
    <xf numFmtId="3" fontId="5" fillId="34" borderId="10" xfId="111" applyNumberFormat="1" applyFont="1" applyFill="1" applyBorder="1" applyAlignment="1" applyProtection="1">
      <alignment horizontal="right" vertical="center"/>
      <protection/>
    </xf>
    <xf numFmtId="0" fontId="5" fillId="34" borderId="0" xfId="111" applyFont="1" applyFill="1" applyAlignment="1" applyProtection="1">
      <alignment horizontal="left" vertical="center"/>
      <protection/>
    </xf>
    <xf numFmtId="3" fontId="5" fillId="35" borderId="12" xfId="0" applyNumberFormat="1" applyFont="1" applyFill="1" applyBorder="1" applyAlignment="1" applyProtection="1">
      <alignment vertical="center"/>
      <protection/>
    </xf>
    <xf numFmtId="37" fontId="15" fillId="34" borderId="19" xfId="0" applyNumberFormat="1" applyFont="1" applyFill="1" applyBorder="1" applyAlignment="1" applyProtection="1">
      <alignment horizontal="center" vertical="center"/>
      <protection/>
    </xf>
    <xf numFmtId="37" fontId="5" fillId="33" borderId="20" xfId="0" applyNumberFormat="1" applyFont="1" applyFill="1" applyBorder="1" applyAlignment="1" applyProtection="1">
      <alignment horizontal="left" vertical="center"/>
      <protection locked="0"/>
    </xf>
    <xf numFmtId="0" fontId="5" fillId="33" borderId="18" xfId="0" applyFont="1" applyFill="1" applyBorder="1" applyAlignment="1" applyProtection="1">
      <alignment vertical="center"/>
      <protection/>
    </xf>
    <xf numFmtId="49" fontId="5" fillId="33" borderId="20" xfId="533" applyNumberFormat="1" applyFont="1" applyFill="1" applyBorder="1" applyAlignment="1" applyProtection="1">
      <alignment horizontal="left" vertical="center"/>
      <protection locked="0"/>
    </xf>
    <xf numFmtId="49" fontId="5" fillId="33" borderId="18" xfId="533" applyNumberFormat="1" applyFont="1" applyFill="1" applyBorder="1" applyAlignment="1" applyProtection="1">
      <alignment horizontal="left" vertical="center"/>
      <protection locked="0"/>
    </xf>
    <xf numFmtId="49" fontId="5" fillId="33" borderId="10" xfId="533" applyNumberFormat="1" applyFont="1" applyFill="1" applyBorder="1" applyAlignment="1" applyProtection="1">
      <alignment horizontal="left" vertical="center"/>
      <protection locked="0"/>
    </xf>
    <xf numFmtId="0" fontId="5" fillId="33" borderId="20" xfId="533" applyFont="1" applyFill="1" applyBorder="1" applyAlignment="1" applyProtection="1">
      <alignment horizontal="left" vertical="center"/>
      <protection locked="0"/>
    </xf>
    <xf numFmtId="0" fontId="5" fillId="33" borderId="17" xfId="533" applyFont="1" applyFill="1" applyBorder="1" applyAlignment="1" applyProtection="1">
      <alignment horizontal="left" vertical="center"/>
      <protection locked="0"/>
    </xf>
    <xf numFmtId="0" fontId="23" fillId="33" borderId="18" xfId="533" applyFill="1" applyBorder="1" applyAlignment="1" applyProtection="1">
      <alignment horizontal="left" vertical="center"/>
      <protection locked="0"/>
    </xf>
    <xf numFmtId="0" fontId="7" fillId="34" borderId="0" xfId="89" applyFont="1" applyFill="1" applyAlignment="1" applyProtection="1">
      <alignment horizontal="center" vertical="center"/>
      <protection/>
    </xf>
    <xf numFmtId="3" fontId="5" fillId="34" borderId="0" xfId="89" applyNumberFormat="1" applyFont="1" applyFill="1" applyAlignment="1" applyProtection="1">
      <alignment vertical="center"/>
      <protection/>
    </xf>
    <xf numFmtId="3" fontId="5" fillId="34" borderId="11" xfId="89" applyNumberFormat="1" applyFont="1" applyFill="1" applyBorder="1" applyAlignment="1" applyProtection="1">
      <alignment vertical="center"/>
      <protection/>
    </xf>
    <xf numFmtId="3" fontId="5" fillId="34" borderId="0" xfId="89" applyNumberFormat="1" applyFont="1" applyFill="1" applyBorder="1" applyAlignment="1" applyProtection="1">
      <alignment vertical="center"/>
      <protection/>
    </xf>
    <xf numFmtId="0" fontId="5" fillId="34" borderId="0" xfId="89" applyFont="1" applyFill="1" applyAlignment="1" applyProtection="1">
      <alignment horizontal="left" vertical="center"/>
      <protection/>
    </xf>
    <xf numFmtId="0" fontId="5" fillId="42" borderId="0" xfId="89" applyFont="1" applyFill="1" applyAlignment="1" applyProtection="1">
      <alignment vertical="center"/>
      <protection/>
    </xf>
    <xf numFmtId="0" fontId="5" fillId="34" borderId="0" xfId="89" applyFont="1" applyFill="1" applyAlignment="1" applyProtection="1" quotePrefix="1">
      <alignment vertical="center"/>
      <protection/>
    </xf>
    <xf numFmtId="3" fontId="5" fillId="34" borderId="23" xfId="89" applyNumberFormat="1" applyFont="1" applyFill="1" applyBorder="1" applyAlignment="1" applyProtection="1">
      <alignment vertical="center"/>
      <protection/>
    </xf>
    <xf numFmtId="0" fontId="5" fillId="34" borderId="0" xfId="89" applyFont="1" applyFill="1" applyAlignment="1" applyProtection="1" quotePrefix="1">
      <alignment horizontal="left" vertical="center"/>
      <protection/>
    </xf>
    <xf numFmtId="10" fontId="5" fillId="34" borderId="11" xfId="89" applyNumberFormat="1" applyFont="1" applyFill="1" applyBorder="1" applyAlignment="1" applyProtection="1">
      <alignment vertical="center"/>
      <protection/>
    </xf>
    <xf numFmtId="10" fontId="5" fillId="34" borderId="0" xfId="89" applyNumberFormat="1" applyFont="1" applyFill="1" applyBorder="1" applyAlignment="1" applyProtection="1">
      <alignment vertical="center"/>
      <protection/>
    </xf>
    <xf numFmtId="0" fontId="7" fillId="34" borderId="0" xfId="89" applyFont="1" applyFill="1" applyAlignment="1" applyProtection="1">
      <alignment horizontal="left" vertical="center"/>
      <protection/>
    </xf>
    <xf numFmtId="37" fontId="5" fillId="44" borderId="10" xfId="0" applyNumberFormat="1" applyFont="1" applyFill="1" applyBorder="1" applyAlignment="1" applyProtection="1">
      <alignment horizontal="left" vertical="center"/>
      <protection/>
    </xf>
    <xf numFmtId="0" fontId="28" fillId="42" borderId="10" xfId="230" applyFont="1" applyFill="1" applyBorder="1" applyAlignment="1">
      <alignment horizontal="left" vertical="center"/>
      <protection/>
    </xf>
    <xf numFmtId="0" fontId="28" fillId="42" borderId="10" xfId="230" applyFont="1" applyFill="1" applyBorder="1" applyAlignment="1">
      <alignment horizontal="left" vertical="center"/>
      <protection/>
    </xf>
    <xf numFmtId="0" fontId="28" fillId="42" borderId="10" xfId="230" applyFont="1" applyFill="1" applyBorder="1" applyAlignment="1">
      <alignment horizontal="left" vertical="center"/>
      <protection/>
    </xf>
    <xf numFmtId="0" fontId="28" fillId="42" borderId="10" xfId="230" applyFont="1" applyFill="1" applyBorder="1" applyAlignment="1">
      <alignment horizontal="left" vertical="center"/>
      <protection/>
    </xf>
    <xf numFmtId="0" fontId="28" fillId="42" borderId="10" xfId="230" applyFont="1" applyFill="1" applyBorder="1" applyAlignment="1">
      <alignment horizontal="left" vertical="center"/>
      <protection/>
    </xf>
    <xf numFmtId="174" fontId="5" fillId="33" borderId="10" xfId="0" applyNumberFormat="1" applyFont="1" applyFill="1" applyBorder="1" applyAlignment="1" applyProtection="1">
      <alignment horizontal="center"/>
      <protection locked="0"/>
    </xf>
    <xf numFmtId="194"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protection locked="0"/>
    </xf>
    <xf numFmtId="0" fontId="5" fillId="33" borderId="10" xfId="0" applyFont="1" applyFill="1" applyBorder="1" applyAlignment="1" applyProtection="1">
      <alignment horizontal="left"/>
      <protection locked="0"/>
    </xf>
    <xf numFmtId="0" fontId="5" fillId="33" borderId="10" xfId="0" applyFont="1" applyFill="1" applyBorder="1" applyAlignment="1" applyProtection="1">
      <alignment horizontal="left"/>
      <protection locked="0"/>
    </xf>
    <xf numFmtId="0" fontId="5" fillId="33" borderId="0" xfId="0" applyFont="1" applyFill="1" applyAlignment="1" applyProtection="1">
      <alignment horizontal="left"/>
      <protection locked="0"/>
    </xf>
    <xf numFmtId="0" fontId="5" fillId="33" borderId="14" xfId="0" applyFont="1" applyFill="1" applyBorder="1" applyAlignment="1" applyProtection="1">
      <alignment horizontal="center"/>
      <protection locked="0"/>
    </xf>
    <xf numFmtId="3" fontId="5" fillId="33" borderId="14" xfId="42" applyNumberFormat="1" applyFont="1" applyFill="1" applyBorder="1" applyAlignment="1" applyProtection="1">
      <alignment horizontal="right" vertical="center"/>
      <protection locked="0"/>
    </xf>
    <xf numFmtId="0" fontId="5" fillId="33" borderId="10" xfId="0" applyFont="1" applyFill="1" applyBorder="1" applyAlignment="1" applyProtection="1">
      <alignment horizontal="center"/>
      <protection locked="0"/>
    </xf>
    <xf numFmtId="3" fontId="5" fillId="33" borderId="10" xfId="42" applyNumberFormat="1" applyFont="1" applyFill="1" applyBorder="1" applyAlignment="1" applyProtection="1">
      <alignment horizontal="right" vertical="center"/>
      <protection locked="0"/>
    </xf>
    <xf numFmtId="0" fontId="5" fillId="33" borderId="20" xfId="0" applyFont="1" applyFill="1" applyBorder="1" applyAlignment="1" applyProtection="1">
      <alignment/>
      <protection locked="0"/>
    </xf>
    <xf numFmtId="0" fontId="13" fillId="33" borderId="10" xfId="0" applyFont="1" applyFill="1" applyBorder="1" applyAlignment="1" applyProtection="1">
      <alignment/>
      <protection locked="0"/>
    </xf>
    <xf numFmtId="0" fontId="13" fillId="33" borderId="22" xfId="0" applyFont="1" applyFill="1" applyBorder="1" applyAlignment="1" applyProtection="1">
      <alignment/>
      <protection locked="0"/>
    </xf>
    <xf numFmtId="195" fontId="5" fillId="0" borderId="0" xfId="111" applyNumberFormat="1" applyFont="1" applyFill="1" applyBorder="1" applyAlignment="1" applyProtection="1">
      <alignment horizontal="center"/>
      <protection/>
    </xf>
    <xf numFmtId="0" fontId="5" fillId="0" borderId="0" xfId="0" applyFont="1" applyFill="1" applyBorder="1" applyAlignment="1">
      <alignment vertical="center"/>
    </xf>
    <xf numFmtId="195" fontId="5" fillId="0" borderId="0" xfId="0" applyNumberFormat="1" applyFont="1" applyFill="1" applyBorder="1" applyAlignment="1">
      <alignment horizontal="center" vertical="center"/>
    </xf>
    <xf numFmtId="178" fontId="5" fillId="0" borderId="0" xfId="111" applyNumberFormat="1" applyFont="1" applyFill="1" applyBorder="1" applyAlignment="1" applyProtection="1">
      <alignment horizontal="center"/>
      <protection/>
    </xf>
    <xf numFmtId="188" fontId="5" fillId="0" borderId="0" xfId="111" applyNumberFormat="1" applyFont="1" applyFill="1" applyBorder="1" applyAlignment="1" applyProtection="1">
      <alignment horizontal="center"/>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19"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9" borderId="0" xfId="0" applyFont="1" applyFill="1" applyBorder="1" applyAlignment="1">
      <alignment horizontal="center" vertical="center"/>
    </xf>
    <xf numFmtId="0" fontId="1" fillId="39" borderId="0" xfId="0" applyFont="1" applyFill="1" applyBorder="1" applyAlignment="1">
      <alignment horizontal="center" vertical="center"/>
    </xf>
    <xf numFmtId="0" fontId="5" fillId="0" borderId="0" xfId="533" applyFont="1" applyAlignment="1">
      <alignment horizontal="left" vertical="center" wrapText="1"/>
      <protection/>
    </xf>
    <xf numFmtId="0" fontId="23" fillId="0" borderId="0" xfId="533" applyAlignment="1">
      <alignment horizontal="left" vertical="center" wrapText="1"/>
      <protection/>
    </xf>
    <xf numFmtId="0" fontId="14" fillId="0" borderId="0" xfId="533"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9"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5" fillId="34" borderId="0" xfId="90" applyFont="1" applyFill="1" applyAlignment="1">
      <alignment horizontal="center" vertical="center"/>
      <protection/>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0" fontId="7" fillId="34" borderId="0" xfId="89"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95" applyFont="1" applyFill="1" applyAlignment="1">
      <alignment horizontal="center" vertical="center"/>
      <protection/>
    </xf>
    <xf numFmtId="0" fontId="14" fillId="42" borderId="0" xfId="95" applyFont="1" applyFill="1" applyAlignment="1">
      <alignment horizontal="center" vertical="center"/>
      <protection/>
    </xf>
    <xf numFmtId="0" fontId="5" fillId="42" borderId="0" xfId="95" applyFont="1" applyFill="1" applyAlignment="1">
      <alignment vertical="center" wrapText="1"/>
      <protection/>
    </xf>
    <xf numFmtId="0" fontId="14" fillId="42" borderId="0" xfId="554" applyFont="1" applyFill="1" applyAlignment="1">
      <alignment horizontal="center"/>
      <protection/>
    </xf>
    <xf numFmtId="0" fontId="0" fillId="42" borderId="0" xfId="95" applyFill="1" applyAlignment="1">
      <alignment horizontal="center"/>
      <protection/>
    </xf>
    <xf numFmtId="0" fontId="27" fillId="42" borderId="24" xfId="111" applyFont="1" applyFill="1" applyBorder="1" applyAlignment="1" applyProtection="1">
      <alignment horizontal="center" vertical="center"/>
      <protection/>
    </xf>
    <xf numFmtId="0" fontId="27" fillId="42" borderId="19" xfId="111" applyFont="1" applyFill="1" applyBorder="1" applyAlignment="1" applyProtection="1">
      <alignment horizontal="center" vertical="center"/>
      <protection/>
    </xf>
    <xf numFmtId="0" fontId="0" fillId="0" borderId="22" xfId="111" applyBorder="1" applyAlignment="1" applyProtection="1">
      <alignment vertical="center"/>
      <protection/>
    </xf>
    <xf numFmtId="3" fontId="5" fillId="34" borderId="19" xfId="116" applyNumberFormat="1" applyFont="1" applyFill="1" applyBorder="1" applyAlignment="1" applyProtection="1">
      <alignment horizontal="right" vertical="center"/>
      <protection/>
    </xf>
    <xf numFmtId="0" fontId="0" fillId="0" borderId="22" xfId="116" applyBorder="1" applyAlignment="1">
      <alignment horizontal="right" vertical="center"/>
      <protection/>
    </xf>
    <xf numFmtId="0" fontId="5" fillId="34" borderId="0" xfId="116" applyFont="1" applyFill="1" applyAlignment="1" applyProtection="1">
      <alignment horizontal="right" vertical="center"/>
      <protection/>
    </xf>
    <xf numFmtId="0" fontId="5" fillId="0" borderId="21" xfId="116"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27" fillId="42"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24" fillId="42" borderId="24" xfId="111" applyFont="1" applyFill="1" applyBorder="1" applyAlignment="1" applyProtection="1">
      <alignment horizontal="center" vertical="center"/>
      <protection locked="0"/>
    </xf>
    <xf numFmtId="0" fontId="27" fillId="42" borderId="24" xfId="0" applyFont="1" applyFill="1" applyBorder="1" applyAlignment="1" applyProtection="1">
      <alignment horizontal="center" vertical="center"/>
      <protection/>
    </xf>
    <xf numFmtId="0" fontId="30" fillId="0" borderId="19" xfId="0" applyFont="1" applyBorder="1" applyAlignment="1">
      <alignment horizontal="center" vertical="center"/>
    </xf>
    <xf numFmtId="0" fontId="0" fillId="0" borderId="22" xfId="0" applyBorder="1" applyAlignment="1">
      <alignment/>
    </xf>
    <xf numFmtId="0" fontId="5" fillId="34" borderId="0" xfId="70" applyNumberFormat="1" applyFont="1" applyFill="1" applyBorder="1" applyAlignment="1" applyProtection="1">
      <alignment horizontal="right" vertical="center"/>
      <protection/>
    </xf>
    <xf numFmtId="0" fontId="5" fillId="0" borderId="0" xfId="70" applyFont="1" applyAlignment="1" applyProtection="1">
      <alignment horizontal="right" vertical="center"/>
      <protection/>
    </xf>
    <xf numFmtId="0" fontId="0" fillId="0" borderId="19" xfId="0" applyBorder="1" applyAlignment="1">
      <alignment horizontal="center" vertical="center"/>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42" borderId="0" xfId="138"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14" fillId="0" borderId="0" xfId="111" applyFont="1" applyFill="1" applyBorder="1" applyAlignment="1" applyProtection="1">
      <alignment horizontal="center"/>
      <protection/>
    </xf>
    <xf numFmtId="0" fontId="0" fillId="0" borderId="0" xfId="111" applyFill="1" applyBorder="1" applyAlignment="1" applyProtection="1">
      <alignment horizontal="center"/>
      <protection/>
    </xf>
    <xf numFmtId="37" fontId="5" fillId="42" borderId="0" xfId="0" applyNumberFormat="1" applyFont="1" applyFill="1" applyAlignment="1" applyProtection="1">
      <alignment horizontal="center" vertical="center"/>
      <protection/>
    </xf>
  </cellXfs>
  <cellStyles count="5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2 2 2" xfId="187"/>
    <cellStyle name="Normal 2 10 11 3" xfId="188"/>
    <cellStyle name="Normal 2 10 11 4" xfId="189"/>
    <cellStyle name="Normal 2 10 11 5" xfId="190"/>
    <cellStyle name="Normal 2 10 12" xfId="191"/>
    <cellStyle name="Normal 2 10 2" xfId="192"/>
    <cellStyle name="Normal 2 10 2 2" xfId="193"/>
    <cellStyle name="Normal 2 10 3" xfId="194"/>
    <cellStyle name="Normal 2 10 3 2" xfId="195"/>
    <cellStyle name="Normal 2 10 4" xfId="196"/>
    <cellStyle name="Normal 2 10 4 2" xfId="197"/>
    <cellStyle name="Normal 2 10 5" xfId="198"/>
    <cellStyle name="Normal 2 10 5 2" xfId="199"/>
    <cellStyle name="Normal 2 10 6" xfId="200"/>
    <cellStyle name="Normal 2 10 6 2" xfId="201"/>
    <cellStyle name="Normal 2 10 7" xfId="202"/>
    <cellStyle name="Normal 2 10 7 2" xfId="203"/>
    <cellStyle name="Normal 2 10 8" xfId="204"/>
    <cellStyle name="Normal 2 10 8 2" xfId="205"/>
    <cellStyle name="Normal 2 10 9" xfId="206"/>
    <cellStyle name="Normal 2 11" xfId="207"/>
    <cellStyle name="Normal 2 11 10" xfId="208"/>
    <cellStyle name="Normal 2 11 11" xfId="209"/>
    <cellStyle name="Normal 2 11 2" xfId="210"/>
    <cellStyle name="Normal 2 11 2 2" xfId="211"/>
    <cellStyle name="Normal 2 11 3" xfId="212"/>
    <cellStyle name="Normal 2 11 3 2" xfId="213"/>
    <cellStyle name="Normal 2 11 4" xfId="214"/>
    <cellStyle name="Normal 2 11 4 2" xfId="215"/>
    <cellStyle name="Normal 2 11 5" xfId="216"/>
    <cellStyle name="Normal 2 11 5 2" xfId="217"/>
    <cellStyle name="Normal 2 11 6" xfId="218"/>
    <cellStyle name="Normal 2 11 6 2" xfId="219"/>
    <cellStyle name="Normal 2 11 7" xfId="220"/>
    <cellStyle name="Normal 2 11 7 2" xfId="221"/>
    <cellStyle name="Normal 2 11 8" xfId="222"/>
    <cellStyle name="Normal 2 11 8 2" xfId="223"/>
    <cellStyle name="Normal 2 11 9" xfId="224"/>
    <cellStyle name="Normal 2 12" xfId="225"/>
    <cellStyle name="Normal 2 13" xfId="226"/>
    <cellStyle name="Normal 2 14" xfId="227"/>
    <cellStyle name="Normal 2 15" xfId="228"/>
    <cellStyle name="Normal 2 16" xfId="229"/>
    <cellStyle name="Normal 2 17" xfId="230"/>
    <cellStyle name="Normal 2 17 2" xfId="231"/>
    <cellStyle name="Normal 2 17 3" xfId="232"/>
    <cellStyle name="Normal 2 2" xfId="233"/>
    <cellStyle name="Normal 2 2 10" xfId="234"/>
    <cellStyle name="Normal 2 2 10 2" xfId="235"/>
    <cellStyle name="Normal 2 2 11" xfId="236"/>
    <cellStyle name="Normal 2 2 11 2" xfId="237"/>
    <cellStyle name="Normal 2 2 12" xfId="238"/>
    <cellStyle name="Normal 2 2 12 2" xfId="239"/>
    <cellStyle name="Normal 2 2 12 2 2" xfId="240"/>
    <cellStyle name="Normal 2 2 12 2 3" xfId="241"/>
    <cellStyle name="Normal 2 2 12 2 4" xfId="242"/>
    <cellStyle name="Normal 2 2 12 3" xfId="243"/>
    <cellStyle name="Normal 2 2 12 4" xfId="244"/>
    <cellStyle name="Normal 2 2 13" xfId="245"/>
    <cellStyle name="Normal 2 2 13 2" xfId="246"/>
    <cellStyle name="Normal 2 2 13 2 2" xfId="247"/>
    <cellStyle name="Normal 2 2 13 2 3" xfId="248"/>
    <cellStyle name="Normal 2 2 13 2 4" xfId="249"/>
    <cellStyle name="Normal 2 2 13 3" xfId="250"/>
    <cellStyle name="Normal 2 2 13 4" xfId="251"/>
    <cellStyle name="Normal 2 2 14" xfId="252"/>
    <cellStyle name="Normal 2 2 14 2" xfId="253"/>
    <cellStyle name="Normal 2 2 15" xfId="254"/>
    <cellStyle name="Normal 2 2 15 2" xfId="255"/>
    <cellStyle name="Normal 2 2 16" xfId="256"/>
    <cellStyle name="Normal 2 2 16 2" xfId="257"/>
    <cellStyle name="Normal 2 2 16 3" xfId="258"/>
    <cellStyle name="Normal 2 2 17" xfId="259"/>
    <cellStyle name="Normal 2 2 18" xfId="260"/>
    <cellStyle name="Normal 2 2 19" xfId="261"/>
    <cellStyle name="Normal 2 2 2" xfId="262"/>
    <cellStyle name="Normal 2 2 2 2" xfId="263"/>
    <cellStyle name="Normal 2 2 2 2 2" xfId="264"/>
    <cellStyle name="Normal 2 2 2 2 3" xfId="265"/>
    <cellStyle name="Normal 2 2 2 2 3 2" xfId="266"/>
    <cellStyle name="Normal 2 2 2 2 3 3" xfId="267"/>
    <cellStyle name="Normal 2 2 2 3" xfId="268"/>
    <cellStyle name="Normal 2 2 2 3 2" xfId="269"/>
    <cellStyle name="Normal 2 2 2 3 3" xfId="270"/>
    <cellStyle name="Normal 2 2 2 3 4" xfId="271"/>
    <cellStyle name="Normal 2 2 2 4" xfId="272"/>
    <cellStyle name="Normal 2 2 2 4 2" xfId="273"/>
    <cellStyle name="Normal 2 2 2 5" xfId="274"/>
    <cellStyle name="Normal 2 2 2 5 2" xfId="275"/>
    <cellStyle name="Normal 2 2 2 5 3" xfId="276"/>
    <cellStyle name="Normal 2 2 2 5 4" xfId="277"/>
    <cellStyle name="Normal 2 2 2 6" xfId="278"/>
    <cellStyle name="Normal 2 2 2 6 2" xfId="279"/>
    <cellStyle name="Normal 2 2 2 7" xfId="280"/>
    <cellStyle name="Normal 2 2 2 7 2" xfId="281"/>
    <cellStyle name="Normal 2 2 2 7 3" xfId="282"/>
    <cellStyle name="Normal 2 2 2 8" xfId="283"/>
    <cellStyle name="Normal 2 2 20" xfId="284"/>
    <cellStyle name="Normal 2 2 21" xfId="285"/>
    <cellStyle name="Normal 2 2 22" xfId="286"/>
    <cellStyle name="Normal 2 2 3" xfId="287"/>
    <cellStyle name="Normal 2 2 3 2" xfId="288"/>
    <cellStyle name="Normal 2 2 4" xfId="289"/>
    <cellStyle name="Normal 2 2 4 2" xfId="290"/>
    <cellStyle name="Normal 2 2 5" xfId="291"/>
    <cellStyle name="Normal 2 2 5 2" xfId="292"/>
    <cellStyle name="Normal 2 2 6" xfId="293"/>
    <cellStyle name="Normal 2 2 6 2" xfId="294"/>
    <cellStyle name="Normal 2 2 7" xfId="295"/>
    <cellStyle name="Normal 2 2 7 2" xfId="296"/>
    <cellStyle name="Normal 2 2 8" xfId="297"/>
    <cellStyle name="Normal 2 2 8 2" xfId="298"/>
    <cellStyle name="Normal 2 2 9" xfId="299"/>
    <cellStyle name="Normal 2 2 9 2" xfId="300"/>
    <cellStyle name="Normal 2 3" xfId="301"/>
    <cellStyle name="Normal 2 3 10" xfId="302"/>
    <cellStyle name="Normal 2 3 11" xfId="303"/>
    <cellStyle name="Normal 2 3 12" xfId="304"/>
    <cellStyle name="Normal 2 3 13" xfId="305"/>
    <cellStyle name="Normal 2 3 14" xfId="306"/>
    <cellStyle name="Normal 2 3 15" xfId="307"/>
    <cellStyle name="Normal 2 3 2" xfId="308"/>
    <cellStyle name="Normal 2 3 2 2" xfId="309"/>
    <cellStyle name="Normal 2 3 2 2 2" xfId="310"/>
    <cellStyle name="Normal 2 3 2 2 3" xfId="311"/>
    <cellStyle name="Normal 2 3 2 3" xfId="312"/>
    <cellStyle name="Normal 2 3 2 4" xfId="313"/>
    <cellStyle name="Normal 2 3 2 5" xfId="314"/>
    <cellStyle name="Normal 2 3 3" xfId="315"/>
    <cellStyle name="Normal 2 3 3 2" xfId="316"/>
    <cellStyle name="Normal 2 3 3 3" xfId="317"/>
    <cellStyle name="Normal 2 3 4" xfId="318"/>
    <cellStyle name="Normal 2 3 5" xfId="319"/>
    <cellStyle name="Normal 2 3 6" xfId="320"/>
    <cellStyle name="Normal 2 3 7" xfId="321"/>
    <cellStyle name="Normal 2 3 8" xfId="322"/>
    <cellStyle name="Normal 2 3 9" xfId="323"/>
    <cellStyle name="Normal 2 4" xfId="324"/>
    <cellStyle name="Normal 2 4 10" xfId="325"/>
    <cellStyle name="Normal 2 4 11" xfId="326"/>
    <cellStyle name="Normal 2 4 12" xfId="327"/>
    <cellStyle name="Normal 2 4 12 2" xfId="328"/>
    <cellStyle name="Normal 2 4 12 3" xfId="329"/>
    <cellStyle name="Normal 2 4 13" xfId="330"/>
    <cellStyle name="Normal 2 4 13 2" xfId="331"/>
    <cellStyle name="Normal 2 4 13 3" xfId="332"/>
    <cellStyle name="Normal 2 4 2" xfId="333"/>
    <cellStyle name="Normal 2 4 2 2" xfId="334"/>
    <cellStyle name="Normal 2 4 2 2 2" xfId="335"/>
    <cellStyle name="Normal 2 4 2 2 3" xfId="336"/>
    <cellStyle name="Normal 2 4 2 3" xfId="337"/>
    <cellStyle name="Normal 2 4 2 4" xfId="338"/>
    <cellStyle name="Normal 2 4 2 5" xfId="339"/>
    <cellStyle name="Normal 2 4 3" xfId="340"/>
    <cellStyle name="Normal 2 4 3 2" xfId="341"/>
    <cellStyle name="Normal 2 4 3 3" xfId="342"/>
    <cellStyle name="Normal 2 4 4" xfId="343"/>
    <cellStyle name="Normal 2 4 5" xfId="344"/>
    <cellStyle name="Normal 2 4 6" xfId="345"/>
    <cellStyle name="Normal 2 4 7" xfId="346"/>
    <cellStyle name="Normal 2 4 8" xfId="347"/>
    <cellStyle name="Normal 2 4 9" xfId="348"/>
    <cellStyle name="Normal 2 5" xfId="349"/>
    <cellStyle name="Normal 2 5 10" xfId="350"/>
    <cellStyle name="Normal 2 5 11" xfId="351"/>
    <cellStyle name="Normal 2 5 12" xfId="352"/>
    <cellStyle name="Normal 2 5 12 2" xfId="353"/>
    <cellStyle name="Normal 2 5 12 3" xfId="354"/>
    <cellStyle name="Normal 2 5 2" xfId="355"/>
    <cellStyle name="Normal 2 5 2 2" xfId="356"/>
    <cellStyle name="Normal 2 5 3" xfId="357"/>
    <cellStyle name="Normal 2 5 3 2" xfId="358"/>
    <cellStyle name="Normal 2 5 4" xfId="359"/>
    <cellStyle name="Normal 2 5 5" xfId="360"/>
    <cellStyle name="Normal 2 5 6" xfId="361"/>
    <cellStyle name="Normal 2 5 7" xfId="362"/>
    <cellStyle name="Normal 2 5 8" xfId="363"/>
    <cellStyle name="Normal 2 5 9" xfId="364"/>
    <cellStyle name="Normal 2 6" xfId="365"/>
    <cellStyle name="Normal 2 6 10" xfId="366"/>
    <cellStyle name="Normal 2 6 11" xfId="367"/>
    <cellStyle name="Normal 2 6 12" xfId="368"/>
    <cellStyle name="Normal 2 6 2" xfId="369"/>
    <cellStyle name="Normal 2 6 2 2" xfId="370"/>
    <cellStyle name="Normal 2 6 3" xfId="371"/>
    <cellStyle name="Normal 2 6 3 2" xfId="372"/>
    <cellStyle name="Normal 2 6 4" xfId="373"/>
    <cellStyle name="Normal 2 6 5" xfId="374"/>
    <cellStyle name="Normal 2 6 6" xfId="375"/>
    <cellStyle name="Normal 2 6 7" xfId="376"/>
    <cellStyle name="Normal 2 6 8" xfId="377"/>
    <cellStyle name="Normal 2 6 9" xfId="378"/>
    <cellStyle name="Normal 2 7" xfId="379"/>
    <cellStyle name="Normal 2 7 10" xfId="380"/>
    <cellStyle name="Normal 2 7 11" xfId="381"/>
    <cellStyle name="Normal 2 7 2" xfId="382"/>
    <cellStyle name="Normal 2 7 2 2" xfId="383"/>
    <cellStyle name="Normal 2 7 2 3" xfId="384"/>
    <cellStyle name="Normal 2 7 3" xfId="385"/>
    <cellStyle name="Normal 2 7 3 2" xfId="386"/>
    <cellStyle name="Normal 2 7 4" xfId="387"/>
    <cellStyle name="Normal 2 7 4 2" xfId="388"/>
    <cellStyle name="Normal 2 7 5" xfId="389"/>
    <cellStyle name="Normal 2 7 5 2" xfId="390"/>
    <cellStyle name="Normal 2 7 6" xfId="391"/>
    <cellStyle name="Normal 2 7 6 2" xfId="392"/>
    <cellStyle name="Normal 2 7 7" xfId="393"/>
    <cellStyle name="Normal 2 7 7 2" xfId="394"/>
    <cellStyle name="Normal 2 7 8" xfId="395"/>
    <cellStyle name="Normal 2 7 8 2" xfId="396"/>
    <cellStyle name="Normal 2 7 9" xfId="397"/>
    <cellStyle name="Normal 2 8" xfId="398"/>
    <cellStyle name="Normal 2 8 10" xfId="399"/>
    <cellStyle name="Normal 2 8 11" xfId="400"/>
    <cellStyle name="Normal 2 8 2" xfId="401"/>
    <cellStyle name="Normal 2 8 2 2" xfId="402"/>
    <cellStyle name="Normal 2 8 3" xfId="403"/>
    <cellStyle name="Normal 2 8 3 2" xfId="404"/>
    <cellStyle name="Normal 2 8 4" xfId="405"/>
    <cellStyle name="Normal 2 8 4 2" xfId="406"/>
    <cellStyle name="Normal 2 8 5" xfId="407"/>
    <cellStyle name="Normal 2 8 5 2" xfId="408"/>
    <cellStyle name="Normal 2 8 6" xfId="409"/>
    <cellStyle name="Normal 2 8 6 2" xfId="410"/>
    <cellStyle name="Normal 2 8 7" xfId="411"/>
    <cellStyle name="Normal 2 8 7 2" xfId="412"/>
    <cellStyle name="Normal 2 8 8" xfId="413"/>
    <cellStyle name="Normal 2 8 8 2" xfId="414"/>
    <cellStyle name="Normal 2 8 9" xfId="415"/>
    <cellStyle name="Normal 2 9" xfId="416"/>
    <cellStyle name="Normal 2 9 10" xfId="417"/>
    <cellStyle name="Normal 2 9 11" xfId="418"/>
    <cellStyle name="Normal 2 9 2" xfId="419"/>
    <cellStyle name="Normal 2 9 2 2" xfId="420"/>
    <cellStyle name="Normal 2 9 3" xfId="421"/>
    <cellStyle name="Normal 2 9 3 2" xfId="422"/>
    <cellStyle name="Normal 2 9 4" xfId="423"/>
    <cellStyle name="Normal 2 9 4 2" xfId="424"/>
    <cellStyle name="Normal 2 9 5" xfId="425"/>
    <cellStyle name="Normal 2 9 5 2" xfId="426"/>
    <cellStyle name="Normal 2 9 6" xfId="427"/>
    <cellStyle name="Normal 2 9 6 2" xfId="428"/>
    <cellStyle name="Normal 2 9 7" xfId="429"/>
    <cellStyle name="Normal 2 9 7 2" xfId="430"/>
    <cellStyle name="Normal 2 9 8" xfId="431"/>
    <cellStyle name="Normal 2 9 8 2" xfId="432"/>
    <cellStyle name="Normal 2 9 9" xfId="433"/>
    <cellStyle name="Normal 20" xfId="434"/>
    <cellStyle name="Normal 20 2" xfId="435"/>
    <cellStyle name="Normal 20 3" xfId="436"/>
    <cellStyle name="Normal 21" xfId="437"/>
    <cellStyle name="Normal 21 2" xfId="438"/>
    <cellStyle name="Normal 21 2 2" xfId="439"/>
    <cellStyle name="Normal 21 2 3" xfId="440"/>
    <cellStyle name="Normal 21 3" xfId="441"/>
    <cellStyle name="Normal 21 4" xfId="442"/>
    <cellStyle name="Normal 21 5" xfId="443"/>
    <cellStyle name="Normal 22" xfId="444"/>
    <cellStyle name="Normal 22 2" xfId="445"/>
    <cellStyle name="Normal 22 3" xfId="446"/>
    <cellStyle name="Normal 23" xfId="447"/>
    <cellStyle name="Normal 23 2" xfId="448"/>
    <cellStyle name="Normal 23 3" xfId="449"/>
    <cellStyle name="Normal 24" xfId="450"/>
    <cellStyle name="Normal 24 2" xfId="451"/>
    <cellStyle name="Normal 24 3" xfId="452"/>
    <cellStyle name="Normal 25" xfId="453"/>
    <cellStyle name="Normal 25 2" xfId="454"/>
    <cellStyle name="Normal 25 3" xfId="455"/>
    <cellStyle name="Normal 26" xfId="456"/>
    <cellStyle name="Normal 27" xfId="457"/>
    <cellStyle name="Normal 3" xfId="458"/>
    <cellStyle name="Normal 3 10" xfId="459"/>
    <cellStyle name="Normal 3 10 2" xfId="460"/>
    <cellStyle name="Normal 3 11" xfId="461"/>
    <cellStyle name="Normal 3 12" xfId="462"/>
    <cellStyle name="Normal 3 13" xfId="463"/>
    <cellStyle name="Normal 3 14" xfId="464"/>
    <cellStyle name="Normal 3 15" xfId="465"/>
    <cellStyle name="Normal 3 2" xfId="466"/>
    <cellStyle name="Normal 3 2 2" xfId="467"/>
    <cellStyle name="Normal 3 2 2 2" xfId="468"/>
    <cellStyle name="Normal 3 2 2 3" xfId="469"/>
    <cellStyle name="Normal 3 2 3" xfId="470"/>
    <cellStyle name="Normal 3 2 4" xfId="471"/>
    <cellStyle name="Normal 3 2 5" xfId="472"/>
    <cellStyle name="Normal 3 3" xfId="473"/>
    <cellStyle name="Normal 3 3 2" xfId="474"/>
    <cellStyle name="Normal 3 3 2 2" xfId="475"/>
    <cellStyle name="Normal 3 3 2 3" xfId="476"/>
    <cellStyle name="Normal 3 3 3" xfId="477"/>
    <cellStyle name="Normal 3 3 4" xfId="478"/>
    <cellStyle name="Normal 3 4" xfId="479"/>
    <cellStyle name="Normal 3 5" xfId="480"/>
    <cellStyle name="Normal 3 6" xfId="481"/>
    <cellStyle name="Normal 3 7" xfId="482"/>
    <cellStyle name="Normal 3 7 2" xfId="483"/>
    <cellStyle name="Normal 3 7 3" xfId="484"/>
    <cellStyle name="Normal 3 8" xfId="485"/>
    <cellStyle name="Normal 3 8 2" xfId="486"/>
    <cellStyle name="Normal 3 8 3" xfId="487"/>
    <cellStyle name="Normal 3 9" xfId="488"/>
    <cellStyle name="Normal 3 9 2" xfId="489"/>
    <cellStyle name="Normal 3 9 3" xfId="490"/>
    <cellStyle name="Normal 4" xfId="491"/>
    <cellStyle name="Normal 4 10" xfId="492"/>
    <cellStyle name="Normal 4 11" xfId="493"/>
    <cellStyle name="Normal 4 12" xfId="494"/>
    <cellStyle name="Normal 4 13" xfId="495"/>
    <cellStyle name="Normal 4 2" xfId="496"/>
    <cellStyle name="Normal 4 2 2" xfId="497"/>
    <cellStyle name="Normal 4 2 2 2" xfId="498"/>
    <cellStyle name="Normal 4 2 2 3" xfId="499"/>
    <cellStyle name="Normal 4 2 2 3 2" xfId="500"/>
    <cellStyle name="Normal 4 2 3" xfId="501"/>
    <cellStyle name="Normal 4 2 4" xfId="502"/>
    <cellStyle name="Normal 4 2 5" xfId="503"/>
    <cellStyle name="Normal 4 3" xfId="504"/>
    <cellStyle name="Normal 4 3 2" xfId="505"/>
    <cellStyle name="Normal 4 3 3" xfId="506"/>
    <cellStyle name="Normal 4 4" xfId="507"/>
    <cellStyle name="Normal 4 5" xfId="508"/>
    <cellStyle name="Normal 4 5 2" xfId="509"/>
    <cellStyle name="Normal 4 5 3" xfId="510"/>
    <cellStyle name="Normal 4 6" xfId="511"/>
    <cellStyle name="Normal 4 6 2" xfId="512"/>
    <cellStyle name="Normal 4 6 3" xfId="513"/>
    <cellStyle name="Normal 4 7" xfId="514"/>
    <cellStyle name="Normal 4 8" xfId="515"/>
    <cellStyle name="Normal 4 9" xfId="516"/>
    <cellStyle name="Normal 5" xfId="517"/>
    <cellStyle name="Normal 5 2" xfId="518"/>
    <cellStyle name="Normal 5 3" xfId="519"/>
    <cellStyle name="Normal 5 3 2" xfId="520"/>
    <cellStyle name="Normal 5 3 3" xfId="521"/>
    <cellStyle name="Normal 5 4" xfId="522"/>
    <cellStyle name="Normal 5 5" xfId="523"/>
    <cellStyle name="Normal 5 5 2" xfId="524"/>
    <cellStyle name="Normal 5 5 3" xfId="525"/>
    <cellStyle name="Normal 5 6" xfId="526"/>
    <cellStyle name="Normal 6" xfId="527"/>
    <cellStyle name="Normal 6 2" xfId="528"/>
    <cellStyle name="Normal 6 3" xfId="529"/>
    <cellStyle name="Normal 6 4" xfId="530"/>
    <cellStyle name="Normal 6 5" xfId="531"/>
    <cellStyle name="Normal 7" xfId="532"/>
    <cellStyle name="Normal 7 2" xfId="533"/>
    <cellStyle name="Normal 7 2 2" xfId="534"/>
    <cellStyle name="Normal 7 2 2 2" xfId="535"/>
    <cellStyle name="Normal 7 2 2 3" xfId="536"/>
    <cellStyle name="Normal 7 2 3" xfId="537"/>
    <cellStyle name="Normal 7 2 4" xfId="538"/>
    <cellStyle name="Normal 7 2 4 2" xfId="539"/>
    <cellStyle name="Normal 7 2 4 3" xfId="540"/>
    <cellStyle name="Normal 7 2 5" xfId="541"/>
    <cellStyle name="Normal 7 3" xfId="542"/>
    <cellStyle name="Normal 7 4" xfId="543"/>
    <cellStyle name="Normal 7 4 2" xfId="544"/>
    <cellStyle name="Normal 7 4 3" xfId="545"/>
    <cellStyle name="Normal 7 5" xfId="546"/>
    <cellStyle name="Normal 7 5 2" xfId="547"/>
    <cellStyle name="Normal 7 5 3" xfId="548"/>
    <cellStyle name="Normal 7 5 4" xfId="549"/>
    <cellStyle name="Normal 7 5 5" xfId="550"/>
    <cellStyle name="Normal 7 6" xfId="551"/>
    <cellStyle name="Normal 7 7" xfId="552"/>
    <cellStyle name="Normal 8" xfId="553"/>
    <cellStyle name="Normal 8 2" xfId="554"/>
    <cellStyle name="Normal 8 3" xfId="555"/>
    <cellStyle name="Normal 9" xfId="556"/>
    <cellStyle name="Normal 9 2" xfId="557"/>
    <cellStyle name="Normal 9 2 2" xfId="558"/>
    <cellStyle name="Normal 9 2 3" xfId="559"/>
    <cellStyle name="Normal 9 3" xfId="560"/>
    <cellStyle name="Normal 9 4" xfId="561"/>
    <cellStyle name="Normal 9 5" xfId="562"/>
    <cellStyle name="Normal 9 5 2" xfId="563"/>
    <cellStyle name="Normal 9 5 3" xfId="564"/>
    <cellStyle name="Normal 9 6" xfId="565"/>
    <cellStyle name="Normal 9 6 2" xfId="566"/>
    <cellStyle name="Normal 9 6 3" xfId="567"/>
    <cellStyle name="Normal_debt" xfId="568"/>
    <cellStyle name="Normal_lpform" xfId="569"/>
    <cellStyle name="Note" xfId="570"/>
    <cellStyle name="Output" xfId="571"/>
    <cellStyle name="Percent" xfId="572"/>
    <cellStyle name="Title" xfId="573"/>
    <cellStyle name="Total" xfId="574"/>
    <cellStyle name="Warning Text" xfId="575"/>
  </cellStyles>
  <dxfs count="93">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762000</xdr:colOff>
      <xdr:row>51</xdr:row>
      <xdr:rowOff>133350</xdr:rowOff>
    </xdr:to>
    <xdr:pic>
      <xdr:nvPicPr>
        <xdr:cNvPr id="1" name="Picture 3"/>
        <xdr:cNvPicPr preferRelativeResize="1">
          <a:picLocks noChangeAspect="1"/>
        </xdr:cNvPicPr>
      </xdr:nvPicPr>
      <xdr:blipFill>
        <a:blip r:embed="rId1"/>
        <a:stretch>
          <a:fillRect/>
        </a:stretch>
      </xdr:blipFill>
      <xdr:spPr>
        <a:xfrm>
          <a:off x="0" y="0"/>
          <a:ext cx="7467600" cy="9848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180975</xdr:colOff>
      <xdr:row>43</xdr:row>
      <xdr:rowOff>95250</xdr:rowOff>
    </xdr:to>
    <xdr:pic>
      <xdr:nvPicPr>
        <xdr:cNvPr id="1" name="Picture 2"/>
        <xdr:cNvPicPr preferRelativeResize="1">
          <a:picLocks noChangeAspect="1"/>
        </xdr:cNvPicPr>
      </xdr:nvPicPr>
      <xdr:blipFill>
        <a:blip r:embed="rId1"/>
        <a:stretch>
          <a:fillRect/>
        </a:stretch>
      </xdr:blipFill>
      <xdr:spPr>
        <a:xfrm>
          <a:off x="0" y="0"/>
          <a:ext cx="6877050" cy="828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1">
      <selection activeCell="D4" sqref="D4"/>
    </sheetView>
  </sheetViews>
  <sheetFormatPr defaultColWidth="8.796875" defaultRowHeight="15"/>
  <cols>
    <col min="1" max="1" width="15.69921875" style="30" customWidth="1"/>
    <col min="2" max="2" width="20.69921875" style="30" customWidth="1"/>
    <col min="3" max="3" width="9.69921875" style="30" customWidth="1"/>
    <col min="4" max="4" width="15.19921875" style="30" customWidth="1"/>
    <col min="5" max="5" width="15.69921875" style="30" customWidth="1"/>
    <col min="6" max="6" width="1.796875" style="30" customWidth="1"/>
    <col min="7" max="7" width="18.69921875" style="30" customWidth="1"/>
    <col min="8" max="16384" width="8.796875" style="30" customWidth="1"/>
  </cols>
  <sheetData>
    <row r="1" spans="1:5" ht="15">
      <c r="A1" s="588" t="s">
        <v>16</v>
      </c>
      <c r="B1" s="589"/>
      <c r="C1" s="589"/>
      <c r="D1" s="589"/>
      <c r="E1" s="589"/>
    </row>
    <row r="2" spans="1:5" ht="15">
      <c r="A2" s="31" t="s">
        <v>10</v>
      </c>
      <c r="B2" s="32"/>
      <c r="C2" s="32"/>
      <c r="D2" s="542" t="s">
        <v>384</v>
      </c>
      <c r="E2" s="543"/>
    </row>
    <row r="3" spans="1:5" ht="15">
      <c r="A3" s="31" t="s">
        <v>11</v>
      </c>
      <c r="B3" s="32"/>
      <c r="C3" s="32"/>
      <c r="D3" s="542" t="s">
        <v>472</v>
      </c>
      <c r="E3" s="543"/>
    </row>
    <row r="4" spans="1:5" ht="15">
      <c r="A4" s="33"/>
      <c r="B4" s="32"/>
      <c r="C4" s="32"/>
      <c r="D4" s="34"/>
      <c r="E4" s="32"/>
    </row>
    <row r="5" spans="1:5" ht="15">
      <c r="A5" s="31" t="s">
        <v>182</v>
      </c>
      <c r="B5" s="32"/>
      <c r="C5" s="35">
        <v>2015</v>
      </c>
      <c r="D5" s="34"/>
      <c r="E5" s="32"/>
    </row>
    <row r="6" spans="1:5" ht="15">
      <c r="A6" s="32"/>
      <c r="B6" s="32"/>
      <c r="C6" s="32"/>
      <c r="D6" s="32"/>
      <c r="E6" s="32"/>
    </row>
    <row r="7" spans="1:5" ht="15">
      <c r="A7" s="36" t="s">
        <v>223</v>
      </c>
      <c r="B7" s="37"/>
      <c r="C7" s="37"/>
      <c r="D7" s="37"/>
      <c r="E7" s="37"/>
    </row>
    <row r="8" spans="1:8" ht="15">
      <c r="A8" s="36" t="s">
        <v>222</v>
      </c>
      <c r="B8" s="37"/>
      <c r="C8" s="37"/>
      <c r="D8" s="37"/>
      <c r="E8" s="37"/>
      <c r="F8" s="32"/>
      <c r="G8" s="590" t="s">
        <v>266</v>
      </c>
      <c r="H8" s="591"/>
    </row>
    <row r="9" spans="1:8" ht="15">
      <c r="A9" s="36"/>
      <c r="B9" s="37"/>
      <c r="C9" s="37"/>
      <c r="D9" s="37"/>
      <c r="E9" s="37"/>
      <c r="F9" s="32"/>
      <c r="G9" s="592"/>
      <c r="H9" s="591"/>
    </row>
    <row r="10" spans="1:8" ht="15">
      <c r="A10" s="586" t="s">
        <v>217</v>
      </c>
      <c r="B10" s="587"/>
      <c r="C10" s="587"/>
      <c r="D10" s="587"/>
      <c r="E10" s="587"/>
      <c r="F10" s="32"/>
      <c r="G10" s="592"/>
      <c r="H10" s="591"/>
    </row>
    <row r="11" spans="1:8" ht="15">
      <c r="A11" s="32"/>
      <c r="B11" s="32"/>
      <c r="C11" s="32"/>
      <c r="D11" s="32"/>
      <c r="E11" s="32"/>
      <c r="F11" s="32"/>
      <c r="G11" s="592"/>
      <c r="H11" s="591"/>
    </row>
    <row r="12" spans="1:8" ht="15">
      <c r="A12" s="38" t="s">
        <v>218</v>
      </c>
      <c r="B12" s="39"/>
      <c r="C12" s="32"/>
      <c r="D12" s="32"/>
      <c r="E12" s="32"/>
      <c r="F12" s="32"/>
      <c r="G12" s="592"/>
      <c r="H12" s="591"/>
    </row>
    <row r="13" spans="1:8" ht="15">
      <c r="A13" s="40" t="str">
        <f>CONCATENATE("the ",C5-1," Budget, Certificate Page:")</f>
        <v>the 2014 Budget, Certificate Page:</v>
      </c>
      <c r="B13" s="41"/>
      <c r="C13" s="32"/>
      <c r="D13" s="32"/>
      <c r="E13" s="32"/>
      <c r="F13" s="32"/>
      <c r="G13" s="592"/>
      <c r="H13" s="591"/>
    </row>
    <row r="14" spans="1:8" ht="15">
      <c r="A14" s="40" t="s">
        <v>225</v>
      </c>
      <c r="B14" s="41"/>
      <c r="C14" s="32"/>
      <c r="D14" s="32"/>
      <c r="E14" s="32"/>
      <c r="F14" s="32"/>
      <c r="G14" s="57"/>
      <c r="H14" s="414"/>
    </row>
    <row r="15" spans="1:8" ht="15">
      <c r="A15" s="32"/>
      <c r="B15" s="32"/>
      <c r="C15" s="32"/>
      <c r="D15" s="42">
        <f>C5-1</f>
        <v>2014</v>
      </c>
      <c r="E15" s="42">
        <f>C5-2</f>
        <v>2013</v>
      </c>
      <c r="G15" s="177" t="s">
        <v>267</v>
      </c>
      <c r="H15" s="137" t="s">
        <v>66</v>
      </c>
    </row>
    <row r="16" spans="1:8" ht="15">
      <c r="A16" s="33" t="s">
        <v>17</v>
      </c>
      <c r="B16" s="32"/>
      <c r="C16" s="43" t="s">
        <v>18</v>
      </c>
      <c r="D16" s="44" t="s">
        <v>224</v>
      </c>
      <c r="E16" s="44" t="s">
        <v>15</v>
      </c>
      <c r="G16" s="178" t="str">
        <f>CONCATENATE("",E15," Ad Valorem Tax")</f>
        <v>2013 Ad Valorem Tax</v>
      </c>
      <c r="H16" s="415">
        <v>0</v>
      </c>
    </row>
    <row r="17" spans="1:7" ht="15">
      <c r="A17" s="32"/>
      <c r="B17" s="45" t="s">
        <v>19</v>
      </c>
      <c r="C17" s="137" t="s">
        <v>158</v>
      </c>
      <c r="D17" s="47">
        <v>270695</v>
      </c>
      <c r="E17" s="47">
        <v>25610</v>
      </c>
      <c r="G17" s="204">
        <f>IF(H16&gt;0,ROUND(E17-(E17*H16),0),0)</f>
        <v>0</v>
      </c>
    </row>
    <row r="18" spans="1:7" ht="15">
      <c r="A18" s="32"/>
      <c r="B18" s="45" t="s">
        <v>14</v>
      </c>
      <c r="C18" s="137" t="s">
        <v>183</v>
      </c>
      <c r="D18" s="48"/>
      <c r="E18" s="48"/>
      <c r="G18" s="204">
        <f>IF(H16&gt;0,ROUND(E18-(E18*H16),0),0)</f>
        <v>0</v>
      </c>
    </row>
    <row r="19" spans="1:7" ht="15">
      <c r="A19" s="32"/>
      <c r="B19" s="45" t="s">
        <v>268</v>
      </c>
      <c r="C19" s="137" t="s">
        <v>269</v>
      </c>
      <c r="D19" s="48">
        <v>4149</v>
      </c>
      <c r="E19" s="48">
        <v>3104</v>
      </c>
      <c r="G19" s="204">
        <f>IF(H16&gt;0,ROUND(E19-(E19*H16),0),0)</f>
        <v>0</v>
      </c>
    </row>
    <row r="20" spans="1:5" ht="15">
      <c r="A20" s="33" t="s">
        <v>20</v>
      </c>
      <c r="B20" s="32"/>
      <c r="C20" s="32"/>
      <c r="D20" s="32"/>
      <c r="E20" s="49"/>
    </row>
    <row r="21" spans="1:7" ht="15">
      <c r="A21" s="32"/>
      <c r="B21" s="50" t="s">
        <v>372</v>
      </c>
      <c r="C21" s="315" t="s">
        <v>373</v>
      </c>
      <c r="D21" s="48">
        <v>44600</v>
      </c>
      <c r="E21" s="48">
        <v>18960</v>
      </c>
      <c r="G21" s="204">
        <f>IF(H16&gt;0,ROUND(E21-(E21*H16),0),0)</f>
        <v>0</v>
      </c>
    </row>
    <row r="22" spans="1:7" ht="15">
      <c r="A22" s="32"/>
      <c r="B22" s="50"/>
      <c r="C22" s="315"/>
      <c r="D22" s="48"/>
      <c r="E22" s="48"/>
      <c r="G22" s="204">
        <f>IF(H16&gt;0,ROUND(E22-(E22*H16),0),0)</f>
        <v>0</v>
      </c>
    </row>
    <row r="23" spans="1:7" ht="15">
      <c r="A23" s="32"/>
      <c r="B23" s="50"/>
      <c r="C23" s="315"/>
      <c r="D23" s="48"/>
      <c r="E23" s="48"/>
      <c r="G23" s="204">
        <f>IF(H16&gt;0,ROUND(E23-(E23*H16),0),0)</f>
        <v>0</v>
      </c>
    </row>
    <row r="24" spans="1:7" ht="15">
      <c r="A24" s="32"/>
      <c r="B24" s="50"/>
      <c r="C24" s="315"/>
      <c r="D24" s="48"/>
      <c r="E24" s="48"/>
      <c r="G24" s="204">
        <f>IF(H16&gt;0,ROUND(E24-(E24*H16),0),0)</f>
        <v>0</v>
      </c>
    </row>
    <row r="25" spans="1:7" ht="15">
      <c r="A25" s="32"/>
      <c r="B25" s="50"/>
      <c r="C25" s="315"/>
      <c r="D25" s="48"/>
      <c r="E25" s="48"/>
      <c r="G25" s="204">
        <f>IF(H16&gt;0,ROUND(E25-(E25*H16),0),0)</f>
        <v>0</v>
      </c>
    </row>
    <row r="26" spans="1:7" ht="15">
      <c r="A26" s="32"/>
      <c r="B26" s="50"/>
      <c r="C26" s="315"/>
      <c r="D26" s="48"/>
      <c r="E26" s="48"/>
      <c r="G26" s="204">
        <f>IF(H16&gt;0,ROUND(E26-(E26*H16),0),0)</f>
        <v>0</v>
      </c>
    </row>
    <row r="27" spans="1:7" ht="15">
      <c r="A27" s="32"/>
      <c r="B27" s="50"/>
      <c r="C27" s="315"/>
      <c r="D27" s="48"/>
      <c r="E27" s="48"/>
      <c r="G27" s="204">
        <f>IF(H16&gt;0,ROUND(E27-(E27*H16),0),0)</f>
        <v>0</v>
      </c>
    </row>
    <row r="28" spans="1:7" ht="15">
      <c r="A28" s="32"/>
      <c r="B28" s="50"/>
      <c r="C28" s="315"/>
      <c r="D28" s="48"/>
      <c r="E28" s="48"/>
      <c r="G28" s="204">
        <f>IF(H16&gt;0,ROUND(E28-(E28*H16),0),0)</f>
        <v>0</v>
      </c>
    </row>
    <row r="29" spans="1:7" ht="15">
      <c r="A29" s="32"/>
      <c r="B29" s="50"/>
      <c r="C29" s="315"/>
      <c r="D29" s="48"/>
      <c r="E29" s="48"/>
      <c r="G29" s="204">
        <f>IF(H16&gt;0,ROUND(E29-(E29*H16),0),0)</f>
        <v>0</v>
      </c>
    </row>
    <row r="30" spans="1:7" ht="15">
      <c r="A30" s="32"/>
      <c r="B30" s="50"/>
      <c r="C30" s="315"/>
      <c r="D30" s="48"/>
      <c r="E30" s="48"/>
      <c r="G30" s="204">
        <f>IF(H16&gt;0,ROUND(E30-(E30*H16),0),0)</f>
        <v>0</v>
      </c>
    </row>
    <row r="31" spans="1:5" ht="15">
      <c r="A31" s="51" t="str">
        <f>CONCATENATE("Total Tax Levy Funds for ",C5-1," Budgeted Year")</f>
        <v>Total Tax Levy Funds for 2014 Budgeted Year</v>
      </c>
      <c r="B31" s="52"/>
      <c r="C31" s="53"/>
      <c r="D31" s="54"/>
      <c r="E31" s="55">
        <f>SUM(E17:E30)</f>
        <v>47674</v>
      </c>
    </row>
    <row r="32" spans="1:5" ht="15">
      <c r="A32" s="56"/>
      <c r="B32" s="57"/>
      <c r="C32" s="57"/>
      <c r="D32" s="58"/>
      <c r="E32" s="49"/>
    </row>
    <row r="33" spans="1:5" ht="15">
      <c r="A33" s="33" t="s">
        <v>188</v>
      </c>
      <c r="B33" s="32"/>
      <c r="C33" s="32"/>
      <c r="D33" s="32"/>
      <c r="E33" s="32"/>
    </row>
    <row r="34" spans="1:5" ht="15">
      <c r="A34" s="32"/>
      <c r="B34" s="46" t="s">
        <v>146</v>
      </c>
      <c r="C34" s="32"/>
      <c r="D34" s="48">
        <v>30967</v>
      </c>
      <c r="E34" s="32"/>
    </row>
    <row r="35" spans="1:5" ht="15">
      <c r="A35" s="32"/>
      <c r="B35" s="50" t="s">
        <v>374</v>
      </c>
      <c r="C35" s="32"/>
      <c r="D35" s="48">
        <v>865888</v>
      </c>
      <c r="E35" s="32"/>
    </row>
    <row r="36" spans="1:5" ht="15">
      <c r="A36" s="32"/>
      <c r="B36" s="50" t="s">
        <v>375</v>
      </c>
      <c r="C36" s="32"/>
      <c r="D36" s="48">
        <v>242173</v>
      </c>
      <c r="E36" s="32"/>
    </row>
    <row r="37" spans="1:5" ht="15">
      <c r="A37" s="32"/>
      <c r="B37" s="50" t="s">
        <v>376</v>
      </c>
      <c r="C37" s="32"/>
      <c r="D37" s="48">
        <v>113600</v>
      </c>
      <c r="E37" s="32"/>
    </row>
    <row r="38" spans="1:5" ht="15">
      <c r="A38" s="32"/>
      <c r="B38" s="50"/>
      <c r="C38" s="32"/>
      <c r="D38" s="48"/>
      <c r="E38" s="32"/>
    </row>
    <row r="39" spans="1:5" ht="15">
      <c r="A39" s="32"/>
      <c r="B39" s="50"/>
      <c r="C39" s="32"/>
      <c r="D39" s="48"/>
      <c r="E39" s="32"/>
    </row>
    <row r="40" spans="1:5" ht="15">
      <c r="A40" s="32"/>
      <c r="B40" s="50"/>
      <c r="C40" s="32"/>
      <c r="D40" s="48"/>
      <c r="E40" s="32"/>
    </row>
    <row r="41" spans="1:5" ht="15">
      <c r="A41" s="32"/>
      <c r="B41" s="50"/>
      <c r="C41" s="32"/>
      <c r="D41" s="48"/>
      <c r="E41" s="32"/>
    </row>
    <row r="42" spans="1:5" ht="15">
      <c r="A42" s="32"/>
      <c r="B42" s="50"/>
      <c r="C42" s="32"/>
      <c r="D42" s="48"/>
      <c r="E42" s="32"/>
    </row>
    <row r="43" spans="1:5" ht="15">
      <c r="A43" s="32"/>
      <c r="B43" s="50"/>
      <c r="C43" s="32"/>
      <c r="D43" s="48"/>
      <c r="E43" s="32"/>
    </row>
    <row r="44" spans="1:5" ht="15">
      <c r="A44" s="32"/>
      <c r="B44" s="59"/>
      <c r="C44" s="32"/>
      <c r="D44" s="48"/>
      <c r="E44" s="32"/>
    </row>
    <row r="45" spans="1:5" ht="15">
      <c r="A45" s="32"/>
      <c r="B45" s="59"/>
      <c r="C45" s="32"/>
      <c r="D45" s="48"/>
      <c r="E45" s="32"/>
    </row>
    <row r="46" spans="1:5" ht="15">
      <c r="A46" s="32"/>
      <c r="B46" s="59"/>
      <c r="C46" s="32"/>
      <c r="D46" s="48"/>
      <c r="E46" s="32"/>
    </row>
    <row r="47" spans="1:5" ht="15">
      <c r="A47" s="32"/>
      <c r="B47" s="59"/>
      <c r="C47" s="32"/>
      <c r="D47" s="48"/>
      <c r="E47" s="32"/>
    </row>
    <row r="48" spans="1:5" ht="15">
      <c r="A48" s="32"/>
      <c r="B48" s="59"/>
      <c r="C48" s="32"/>
      <c r="D48" s="48"/>
      <c r="E48" s="32"/>
    </row>
    <row r="49" spans="1:5" ht="15">
      <c r="A49" s="32"/>
      <c r="B49" s="59"/>
      <c r="C49" s="32"/>
      <c r="D49" s="48"/>
      <c r="E49" s="32"/>
    </row>
    <row r="50" spans="1:5" ht="15">
      <c r="A50" s="32" t="s">
        <v>210</v>
      </c>
      <c r="B50" s="60"/>
      <c r="C50" s="32"/>
      <c r="D50" s="32"/>
      <c r="E50" s="32"/>
    </row>
    <row r="51" spans="1:5" ht="15">
      <c r="A51" s="32">
        <v>1</v>
      </c>
      <c r="B51" s="59"/>
      <c r="C51" s="32"/>
      <c r="D51" s="48"/>
      <c r="E51" s="32"/>
    </row>
    <row r="52" spans="1:5" ht="15">
      <c r="A52" s="32">
        <v>2</v>
      </c>
      <c r="B52" s="59"/>
      <c r="C52" s="32"/>
      <c r="D52" s="48"/>
      <c r="E52" s="32"/>
    </row>
    <row r="53" spans="1:5" ht="15">
      <c r="A53" s="32">
        <v>3</v>
      </c>
      <c r="B53" s="59"/>
      <c r="C53" s="32"/>
      <c r="D53" s="48"/>
      <c r="E53" s="32"/>
    </row>
    <row r="54" spans="1:5" ht="15">
      <c r="A54" s="32">
        <v>4</v>
      </c>
      <c r="B54" s="59"/>
      <c r="C54" s="32"/>
      <c r="D54" s="48"/>
      <c r="E54" s="32"/>
    </row>
    <row r="55" spans="1:5" ht="15">
      <c r="A55" s="51" t="str">
        <f>CONCATENATE("Total Expenditures for ",C5-1," Budgeted Year")</f>
        <v>Total Expenditures for 2014 Budgeted Year</v>
      </c>
      <c r="B55" s="61"/>
      <c r="C55" s="62"/>
      <c r="D55" s="63">
        <f>SUM(D17:D19,D21:D30,D34:D49,D51:D54)</f>
        <v>1572072</v>
      </c>
      <c r="E55" s="32"/>
    </row>
    <row r="56" spans="1:5" ht="15">
      <c r="A56" s="32" t="s">
        <v>211</v>
      </c>
      <c r="B56" s="64"/>
      <c r="C56" s="32"/>
      <c r="D56" s="32"/>
      <c r="E56" s="32"/>
    </row>
    <row r="57" spans="1:5" ht="15">
      <c r="A57" s="32">
        <v>1</v>
      </c>
      <c r="B57" s="59" t="s">
        <v>377</v>
      </c>
      <c r="C57" s="32"/>
      <c r="D57" s="32"/>
      <c r="E57" s="32"/>
    </row>
    <row r="58" spans="1:5" ht="15">
      <c r="A58" s="32">
        <v>2</v>
      </c>
      <c r="B58" s="59" t="s">
        <v>378</v>
      </c>
      <c r="C58" s="32"/>
      <c r="D58" s="32"/>
      <c r="E58" s="32"/>
    </row>
    <row r="59" spans="1:5" ht="15">
      <c r="A59" s="32">
        <v>3</v>
      </c>
      <c r="B59" s="59" t="s">
        <v>379</v>
      </c>
      <c r="C59" s="32"/>
      <c r="D59" s="32"/>
      <c r="E59" s="32"/>
    </row>
    <row r="60" spans="1:5" ht="15">
      <c r="A60" s="32">
        <v>4</v>
      </c>
      <c r="B60" s="59" t="s">
        <v>380</v>
      </c>
      <c r="C60" s="32"/>
      <c r="D60" s="32"/>
      <c r="E60" s="32"/>
    </row>
    <row r="61" spans="1:5" ht="15">
      <c r="A61" s="32">
        <v>5</v>
      </c>
      <c r="B61" s="59" t="s">
        <v>381</v>
      </c>
      <c r="C61" s="32"/>
      <c r="D61" s="32"/>
      <c r="E61" s="32"/>
    </row>
    <row r="62" spans="1:5" ht="15">
      <c r="A62" s="32" t="s">
        <v>212</v>
      </c>
      <c r="B62" s="60"/>
      <c r="C62" s="32"/>
      <c r="D62" s="32"/>
      <c r="E62" s="32"/>
    </row>
    <row r="63" spans="1:5" ht="15">
      <c r="A63" s="32">
        <v>1</v>
      </c>
      <c r="B63" s="59" t="s">
        <v>382</v>
      </c>
      <c r="C63" s="32"/>
      <c r="D63" s="32"/>
      <c r="E63" s="32"/>
    </row>
    <row r="64" spans="1:5" ht="15">
      <c r="A64" s="32">
        <v>2</v>
      </c>
      <c r="B64" s="59" t="s">
        <v>383</v>
      </c>
      <c r="C64" s="32"/>
      <c r="D64" s="32"/>
      <c r="E64" s="32"/>
    </row>
    <row r="65" spans="1:5" ht="15">
      <c r="A65" s="32">
        <v>3</v>
      </c>
      <c r="B65" s="59"/>
      <c r="C65" s="32"/>
      <c r="D65" s="32"/>
      <c r="E65" s="32"/>
    </row>
    <row r="66" spans="1:5" ht="15">
      <c r="A66" s="32">
        <v>4</v>
      </c>
      <c r="B66" s="59"/>
      <c r="C66" s="32"/>
      <c r="D66" s="32"/>
      <c r="E66" s="32"/>
    </row>
    <row r="67" spans="1:5" ht="15">
      <c r="A67" s="32">
        <v>5</v>
      </c>
      <c r="B67" s="59"/>
      <c r="C67" s="32"/>
      <c r="D67" s="32"/>
      <c r="E67" s="32"/>
    </row>
    <row r="68" spans="1:5" ht="15">
      <c r="A68" s="32" t="s">
        <v>213</v>
      </c>
      <c r="B68" s="60"/>
      <c r="C68" s="32"/>
      <c r="D68" s="32"/>
      <c r="E68" s="32"/>
    </row>
    <row r="69" spans="1:5" ht="15">
      <c r="A69" s="32">
        <v>1</v>
      </c>
      <c r="B69" s="59"/>
      <c r="C69" s="32"/>
      <c r="D69" s="32"/>
      <c r="E69" s="32"/>
    </row>
    <row r="70" spans="1:5" ht="15">
      <c r="A70" s="32">
        <v>2</v>
      </c>
      <c r="B70" s="59"/>
      <c r="C70" s="32"/>
      <c r="D70" s="32"/>
      <c r="E70" s="32"/>
    </row>
    <row r="71" spans="1:5" ht="15">
      <c r="A71" s="32">
        <v>3</v>
      </c>
      <c r="B71" s="59"/>
      <c r="C71" s="32"/>
      <c r="D71" s="32"/>
      <c r="E71" s="32"/>
    </row>
    <row r="72" spans="1:5" ht="15">
      <c r="A72" s="32">
        <v>4</v>
      </c>
      <c r="B72" s="59"/>
      <c r="C72" s="32"/>
      <c r="D72" s="32"/>
      <c r="E72" s="32"/>
    </row>
    <row r="73" spans="1:5" ht="15">
      <c r="A73" s="32">
        <v>5</v>
      </c>
      <c r="B73" s="59"/>
      <c r="C73" s="32"/>
      <c r="D73" s="32"/>
      <c r="E73" s="32"/>
    </row>
    <row r="74" spans="1:5" ht="15">
      <c r="A74" s="32" t="s">
        <v>214</v>
      </c>
      <c r="B74" s="60"/>
      <c r="C74" s="32"/>
      <c r="D74" s="32"/>
      <c r="E74" s="32"/>
    </row>
    <row r="75" spans="1:5" ht="15">
      <c r="A75" s="32">
        <v>1</v>
      </c>
      <c r="B75" s="59"/>
      <c r="C75" s="32"/>
      <c r="D75" s="32"/>
      <c r="E75" s="32"/>
    </row>
    <row r="76" spans="1:5" ht="15">
      <c r="A76" s="32">
        <v>2</v>
      </c>
      <c r="B76" s="59"/>
      <c r="C76" s="32"/>
      <c r="D76" s="32"/>
      <c r="E76" s="32"/>
    </row>
    <row r="77" spans="1:5" ht="15">
      <c r="A77" s="32">
        <v>3</v>
      </c>
      <c r="B77" s="59"/>
      <c r="C77" s="32"/>
      <c r="D77" s="32"/>
      <c r="E77" s="32"/>
    </row>
    <row r="78" spans="1:5" ht="15">
      <c r="A78" s="32">
        <v>4</v>
      </c>
      <c r="B78" s="59"/>
      <c r="C78" s="32"/>
      <c r="D78" s="32"/>
      <c r="E78" s="32"/>
    </row>
    <row r="79" spans="1:5" ht="15">
      <c r="A79" s="32">
        <v>5</v>
      </c>
      <c r="B79" s="59"/>
      <c r="C79" s="32"/>
      <c r="D79" s="32"/>
      <c r="E79" s="32"/>
    </row>
    <row r="80" spans="1:5" ht="15">
      <c r="A80" s="56"/>
      <c r="B80" s="57"/>
      <c r="C80" s="57"/>
      <c r="D80" s="57"/>
      <c r="E80" s="65"/>
    </row>
    <row r="81" spans="1:5" ht="15">
      <c r="A81" s="32"/>
      <c r="B81" s="32"/>
      <c r="C81" s="32"/>
      <c r="D81" s="32"/>
      <c r="E81" s="32"/>
    </row>
    <row r="82" spans="1:5" ht="15">
      <c r="A82" s="32"/>
      <c r="B82" s="32"/>
      <c r="C82" s="32"/>
      <c r="D82" s="66" t="str">
        <f>CONCATENATE("",C5-3," Tax Rate")</f>
        <v>2012 Tax Rate</v>
      </c>
      <c r="E82" s="32"/>
    </row>
    <row r="83" spans="1:5" ht="15">
      <c r="A83" s="40" t="str">
        <f>CONCATENATE("From the ",C5-1," Budget, Budget Summary Page")</f>
        <v>From the 2014 Budget, Budget Summary Page</v>
      </c>
      <c r="B83" s="41"/>
      <c r="C83" s="32"/>
      <c r="D83" s="67" t="str">
        <f>CONCATENATE("(",C5-2," Column)")</f>
        <v>(2013 Column)</v>
      </c>
      <c r="E83" s="32"/>
    </row>
    <row r="84" spans="1:5" ht="15">
      <c r="A84" s="32"/>
      <c r="B84" s="68" t="str">
        <f>B17</f>
        <v>General</v>
      </c>
      <c r="C84" s="32"/>
      <c r="D84" s="59">
        <v>14.286</v>
      </c>
      <c r="E84" s="32"/>
    </row>
    <row r="85" spans="1:5" ht="15">
      <c r="A85" s="32"/>
      <c r="B85" s="68" t="str">
        <f>B18</f>
        <v>Debt Service</v>
      </c>
      <c r="C85" s="32"/>
      <c r="D85" s="59"/>
      <c r="E85" s="32"/>
    </row>
    <row r="86" spans="1:5" ht="15">
      <c r="A86" s="32"/>
      <c r="B86" s="68" t="str">
        <f>B19</f>
        <v>Library</v>
      </c>
      <c r="C86" s="32"/>
      <c r="D86" s="59">
        <v>2</v>
      </c>
      <c r="E86" s="32"/>
    </row>
    <row r="87" spans="1:5" ht="15">
      <c r="A87" s="32"/>
      <c r="B87" s="68" t="str">
        <f aca="true" t="shared" si="0" ref="B87:B96">B21</f>
        <v>Employee Benefit</v>
      </c>
      <c r="C87" s="32"/>
      <c r="D87" s="59">
        <v>14.428</v>
      </c>
      <c r="E87" s="32"/>
    </row>
    <row r="88" spans="1:5" ht="15">
      <c r="A88" s="32"/>
      <c r="B88" s="68">
        <f t="shared" si="0"/>
        <v>0</v>
      </c>
      <c r="C88" s="32"/>
      <c r="D88" s="59"/>
      <c r="E88" s="32"/>
    </row>
    <row r="89" spans="1:5" ht="15">
      <c r="A89" s="32"/>
      <c r="B89" s="68">
        <f t="shared" si="0"/>
        <v>0</v>
      </c>
      <c r="C89" s="32"/>
      <c r="D89" s="59"/>
      <c r="E89" s="32"/>
    </row>
    <row r="90" spans="1:5" ht="15">
      <c r="A90" s="32"/>
      <c r="B90" s="68">
        <f t="shared" si="0"/>
        <v>0</v>
      </c>
      <c r="C90" s="32"/>
      <c r="D90" s="59"/>
      <c r="E90" s="32"/>
    </row>
    <row r="91" spans="1:5" ht="15">
      <c r="A91" s="32"/>
      <c r="B91" s="68">
        <f t="shared" si="0"/>
        <v>0</v>
      </c>
      <c r="C91" s="32"/>
      <c r="D91" s="59"/>
      <c r="E91" s="32"/>
    </row>
    <row r="92" spans="1:5" ht="15">
      <c r="A92" s="32"/>
      <c r="B92" s="68">
        <f t="shared" si="0"/>
        <v>0</v>
      </c>
      <c r="C92" s="32"/>
      <c r="D92" s="59"/>
      <c r="E92" s="32"/>
    </row>
    <row r="93" spans="1:5" ht="15">
      <c r="A93" s="32"/>
      <c r="B93" s="68">
        <f t="shared" si="0"/>
        <v>0</v>
      </c>
      <c r="C93" s="32"/>
      <c r="D93" s="59"/>
      <c r="E93" s="32"/>
    </row>
    <row r="94" spans="1:5" ht="15">
      <c r="A94" s="32"/>
      <c r="B94" s="68">
        <f t="shared" si="0"/>
        <v>0</v>
      </c>
      <c r="C94" s="32"/>
      <c r="D94" s="59"/>
      <c r="E94" s="32"/>
    </row>
    <row r="95" spans="1:5" ht="15">
      <c r="A95" s="32"/>
      <c r="B95" s="68">
        <f t="shared" si="0"/>
        <v>0</v>
      </c>
      <c r="C95" s="32"/>
      <c r="D95" s="59"/>
      <c r="E95" s="32"/>
    </row>
    <row r="96" spans="1:5" ht="15">
      <c r="A96" s="32"/>
      <c r="B96" s="68">
        <f t="shared" si="0"/>
        <v>0</v>
      </c>
      <c r="C96" s="134"/>
      <c r="D96" s="59"/>
      <c r="E96" s="32"/>
    </row>
    <row r="97" spans="1:5" ht="15">
      <c r="A97" s="51" t="s">
        <v>21</v>
      </c>
      <c r="B97" s="52"/>
      <c r="C97" s="62"/>
      <c r="D97" s="69">
        <f>SUM(D84:D96)</f>
        <v>30.714000000000002</v>
      </c>
      <c r="E97" s="32"/>
    </row>
    <row r="98" spans="1:5" ht="15">
      <c r="A98" s="32"/>
      <c r="B98" s="32"/>
      <c r="C98" s="32"/>
      <c r="D98" s="32"/>
      <c r="E98" s="32"/>
    </row>
    <row r="99" spans="1:5" ht="15">
      <c r="A99" s="70" t="str">
        <f>CONCATENATE("Total Tax Levied (",C5-2," budget column)")</f>
        <v>Total Tax Levied (2013 budget column)</v>
      </c>
      <c r="B99" s="71"/>
      <c r="C99" s="52"/>
      <c r="D99" s="62"/>
      <c r="E99" s="48">
        <v>48048</v>
      </c>
    </row>
    <row r="100" spans="1:5" ht="15">
      <c r="A100" s="72" t="str">
        <f>CONCATENATE("Assessed Valuation  (",C5-2," budget column)")</f>
        <v>Assessed Valuation  (2013 budget column)</v>
      </c>
      <c r="B100" s="73"/>
      <c r="C100" s="53"/>
      <c r="D100" s="74"/>
      <c r="E100" s="48">
        <v>1564336</v>
      </c>
    </row>
    <row r="101" spans="1:5" ht="15">
      <c r="A101" s="56"/>
      <c r="B101" s="57"/>
      <c r="C101" s="57"/>
      <c r="D101" s="57"/>
      <c r="E101" s="65"/>
    </row>
    <row r="102" spans="1:5" ht="15">
      <c r="A102" s="75" t="str">
        <f>CONCATENATE("From the ",C5-1," Budget, Budget Summary Page")</f>
        <v>From the 2014 Budget, Budget Summary Page</v>
      </c>
      <c r="B102" s="76"/>
      <c r="C102" s="32"/>
      <c r="D102" s="77"/>
      <c r="E102" s="78"/>
    </row>
    <row r="103" spans="1:5" ht="15">
      <c r="A103" s="39" t="s">
        <v>0</v>
      </c>
      <c r="B103" s="39"/>
      <c r="C103" s="79"/>
      <c r="D103" s="80">
        <f>C5-3</f>
        <v>2012</v>
      </c>
      <c r="E103" s="81">
        <f>C5-2</f>
        <v>2013</v>
      </c>
    </row>
    <row r="104" spans="1:5" ht="15">
      <c r="A104" s="82" t="s">
        <v>184</v>
      </c>
      <c r="B104" s="82"/>
      <c r="C104" s="83"/>
      <c r="D104" s="84"/>
      <c r="E104" s="84"/>
    </row>
    <row r="105" spans="1:5" ht="15">
      <c r="A105" s="85" t="s">
        <v>185</v>
      </c>
      <c r="B105" s="85"/>
      <c r="C105" s="86"/>
      <c r="D105" s="84"/>
      <c r="E105" s="84"/>
    </row>
    <row r="106" spans="1:5" ht="15">
      <c r="A106" s="85" t="s">
        <v>186</v>
      </c>
      <c r="B106" s="85"/>
      <c r="C106" s="86"/>
      <c r="D106" s="84">
        <v>377150</v>
      </c>
      <c r="E106" s="84">
        <v>594280</v>
      </c>
    </row>
    <row r="107" spans="1:5" ht="15">
      <c r="A107" s="85" t="s">
        <v>187</v>
      </c>
      <c r="B107" s="85"/>
      <c r="C107" s="86"/>
      <c r="D107" s="84"/>
      <c r="E107" s="84"/>
    </row>
    <row r="108" spans="1:5" ht="15">
      <c r="A108" s="87"/>
      <c r="B108" s="87"/>
      <c r="C108" s="87"/>
      <c r="D108" s="87"/>
      <c r="E108" s="87"/>
    </row>
    <row r="109" spans="1:5" ht="15">
      <c r="A109" s="87"/>
      <c r="B109" s="87"/>
      <c r="C109" s="87"/>
      <c r="D109" s="87"/>
      <c r="E109" s="87"/>
    </row>
    <row r="110" spans="1:5" ht="15">
      <c r="A110" s="87"/>
      <c r="B110" s="87"/>
      <c r="C110" s="87"/>
      <c r="D110" s="87"/>
      <c r="E110" s="87"/>
    </row>
    <row r="111" spans="1:5" ht="15">
      <c r="A111" s="87"/>
      <c r="B111" s="87"/>
      <c r="C111" s="87"/>
      <c r="D111" s="87"/>
      <c r="E111" s="87"/>
    </row>
    <row r="112" spans="1:5" ht="15">
      <c r="A112" s="87"/>
      <c r="B112" s="87"/>
      <c r="C112" s="87"/>
      <c r="D112" s="87"/>
      <c r="E112" s="87"/>
    </row>
    <row r="113" spans="1:5" ht="15">
      <c r="A113" s="87"/>
      <c r="B113" s="87"/>
      <c r="C113" s="87"/>
      <c r="D113" s="87"/>
      <c r="E113" s="87"/>
    </row>
    <row r="114" s="87" customFormat="1" ht="15"/>
    <row r="115" spans="1:5" ht="15">
      <c r="A115" s="87"/>
      <c r="B115" s="87"/>
      <c r="C115" s="87"/>
      <c r="D115" s="87"/>
      <c r="E115" s="87"/>
    </row>
    <row r="116" spans="1:5" ht="15">
      <c r="A116" s="87"/>
      <c r="B116" s="87"/>
      <c r="C116" s="87"/>
      <c r="D116" s="87"/>
      <c r="E116" s="87"/>
    </row>
    <row r="117" spans="1:5" ht="15">
      <c r="A117" s="87"/>
      <c r="B117" s="87"/>
      <c r="C117" s="87"/>
      <c r="D117" s="87"/>
      <c r="E117" s="87"/>
    </row>
    <row r="118" spans="1:5" ht="15">
      <c r="A118" s="87"/>
      <c r="B118" s="87"/>
      <c r="C118" s="87"/>
      <c r="D118" s="87"/>
      <c r="E118" s="87"/>
    </row>
    <row r="119" spans="1:5" ht="15">
      <c r="A119" s="87"/>
      <c r="B119" s="87"/>
      <c r="C119" s="87"/>
      <c r="D119" s="87"/>
      <c r="E119" s="87"/>
    </row>
    <row r="120" spans="1:5" ht="15">
      <c r="A120" s="87"/>
      <c r="B120" s="87"/>
      <c r="C120" s="87"/>
      <c r="D120" s="87"/>
      <c r="E120" s="87"/>
    </row>
    <row r="121" spans="1:5" ht="15">
      <c r="A121" s="87"/>
      <c r="B121" s="87"/>
      <c r="C121" s="87"/>
      <c r="D121" s="87"/>
      <c r="E121" s="87"/>
    </row>
    <row r="122" spans="1:5" ht="15">
      <c r="A122" s="87"/>
      <c r="B122" s="87"/>
      <c r="C122" s="87"/>
      <c r="D122" s="87"/>
      <c r="E122" s="87"/>
    </row>
    <row r="123" spans="1:5" ht="15">
      <c r="A123" s="87"/>
      <c r="B123" s="87"/>
      <c r="C123" s="87"/>
      <c r="D123" s="87"/>
      <c r="E123" s="87"/>
    </row>
    <row r="124" spans="1:5" ht="15">
      <c r="A124" s="87"/>
      <c r="B124" s="87"/>
      <c r="C124" s="87"/>
      <c r="D124" s="87"/>
      <c r="E124" s="87"/>
    </row>
    <row r="125" spans="1:5" ht="15">
      <c r="A125" s="87"/>
      <c r="B125" s="87"/>
      <c r="C125" s="87"/>
      <c r="D125" s="87"/>
      <c r="E125" s="87"/>
    </row>
  </sheetData>
  <sheetProtection sheet="1"/>
  <mergeCells count="3">
    <mergeCell ref="A10:E10"/>
    <mergeCell ref="A1:E1"/>
    <mergeCell ref="G8:H13"/>
  </mergeCells>
  <printOptions/>
  <pageMargins left="0.5" right="0.5" top="1" bottom="0.5" header="0.5" footer="0.25"/>
  <pageSetup blackAndWhite="1" fitToHeight="2" fitToWidth="1" horizontalDpi="600" verticalDpi="600" orientation="portrait" scale="70" r:id="rId1"/>
</worksheet>
</file>

<file path=xl/worksheets/sheet10.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B11" sqref="B11"/>
    </sheetView>
  </sheetViews>
  <sheetFormatPr defaultColWidth="8.796875" defaultRowHeight="15"/>
  <cols>
    <col min="1" max="1" width="4.796875" style="2" customWidth="1"/>
    <col min="2" max="2" width="23.59765625" style="2" customWidth="1"/>
    <col min="3" max="5" width="9.69921875" style="2" customWidth="1"/>
    <col min="6" max="6" width="18.296875" style="2" customWidth="1"/>
    <col min="7" max="9" width="15.69921875" style="2" customWidth="1"/>
    <col min="10" max="16384" width="8.796875" style="2" customWidth="1"/>
  </cols>
  <sheetData>
    <row r="1" spans="2:9" ht="15">
      <c r="B1" s="10" t="str">
        <f>inputPrYr!$D$2</f>
        <v>City of Moran</v>
      </c>
      <c r="C1" s="5"/>
      <c r="D1" s="5"/>
      <c r="E1" s="5"/>
      <c r="F1" s="5"/>
      <c r="G1" s="5"/>
      <c r="H1" s="5"/>
      <c r="I1" s="20">
        <f>inputPrYr!C5</f>
        <v>2015</v>
      </c>
    </row>
    <row r="2" spans="2:9" ht="15">
      <c r="B2" s="10"/>
      <c r="C2" s="5"/>
      <c r="D2" s="5"/>
      <c r="E2" s="5"/>
      <c r="F2" s="5"/>
      <c r="G2" s="5"/>
      <c r="H2" s="5"/>
      <c r="I2" s="7"/>
    </row>
    <row r="3" spans="2:9" ht="15">
      <c r="B3" s="5"/>
      <c r="C3" s="5"/>
      <c r="D3" s="5"/>
      <c r="E3" s="5"/>
      <c r="F3" s="5"/>
      <c r="G3" s="5"/>
      <c r="H3" s="5"/>
      <c r="I3" s="6"/>
    </row>
    <row r="4" spans="2:9" ht="15">
      <c r="B4" s="11" t="s">
        <v>108</v>
      </c>
      <c r="C4" s="8"/>
      <c r="D4" s="8"/>
      <c r="E4" s="8"/>
      <c r="F4" s="8"/>
      <c r="G4" s="8"/>
      <c r="H4" s="8"/>
      <c r="I4" s="8"/>
    </row>
    <row r="5" spans="2:9" ht="15">
      <c r="B5" s="4"/>
      <c r="C5" s="16"/>
      <c r="D5" s="16"/>
      <c r="E5" s="16"/>
      <c r="F5" s="16"/>
      <c r="G5" s="16"/>
      <c r="H5" s="16"/>
      <c r="I5" s="16"/>
    </row>
    <row r="6" spans="2:9" ht="15">
      <c r="B6" s="9"/>
      <c r="C6" s="9"/>
      <c r="D6" s="9"/>
      <c r="E6" s="9"/>
      <c r="F6" s="12" t="s">
        <v>21</v>
      </c>
      <c r="G6" s="9"/>
      <c r="H6" s="9"/>
      <c r="I6" s="9"/>
    </row>
    <row r="7" spans="2:9" ht="15">
      <c r="B7" s="413"/>
      <c r="C7" s="13"/>
      <c r="D7" s="13" t="s">
        <v>97</v>
      </c>
      <c r="E7" s="13" t="s">
        <v>98</v>
      </c>
      <c r="F7" s="13" t="s">
        <v>42</v>
      </c>
      <c r="G7" s="13" t="s">
        <v>100</v>
      </c>
      <c r="H7" s="13" t="s">
        <v>101</v>
      </c>
      <c r="I7" s="13" t="s">
        <v>101</v>
      </c>
    </row>
    <row r="8" spans="2:9" ht="15">
      <c r="B8" s="13" t="s">
        <v>265</v>
      </c>
      <c r="C8" s="13" t="s">
        <v>102</v>
      </c>
      <c r="D8" s="13" t="s">
        <v>103</v>
      </c>
      <c r="E8" s="13" t="s">
        <v>87</v>
      </c>
      <c r="F8" s="13" t="s">
        <v>104</v>
      </c>
      <c r="G8" s="13" t="s">
        <v>148</v>
      </c>
      <c r="H8" s="13" t="s">
        <v>105</v>
      </c>
      <c r="I8" s="13" t="s">
        <v>105</v>
      </c>
    </row>
    <row r="9" spans="2:9" ht="15">
      <c r="B9" s="14" t="s">
        <v>264</v>
      </c>
      <c r="C9" s="14" t="s">
        <v>84</v>
      </c>
      <c r="D9" s="18" t="s">
        <v>106</v>
      </c>
      <c r="E9" s="14" t="s">
        <v>66</v>
      </c>
      <c r="F9" s="18" t="s">
        <v>160</v>
      </c>
      <c r="G9" s="15" t="str">
        <f>CONCATENATE("Jan 1,",I1-1,"")</f>
        <v>Jan 1,2014</v>
      </c>
      <c r="H9" s="14">
        <f>I1-1</f>
        <v>2014</v>
      </c>
      <c r="I9" s="14">
        <f>I1</f>
        <v>2015</v>
      </c>
    </row>
    <row r="10" spans="2:9" ht="15">
      <c r="B10" s="3" t="s">
        <v>401</v>
      </c>
      <c r="C10" s="25"/>
      <c r="D10" s="23"/>
      <c r="E10" s="21"/>
      <c r="F10" s="22"/>
      <c r="G10" s="22"/>
      <c r="H10" s="22"/>
      <c r="I10" s="22"/>
    </row>
    <row r="11" spans="2:9" ht="15">
      <c r="B11" s="3"/>
      <c r="C11" s="25"/>
      <c r="D11" s="23"/>
      <c r="E11" s="21"/>
      <c r="F11" s="22"/>
      <c r="G11" s="22"/>
      <c r="H11" s="22"/>
      <c r="I11" s="22"/>
    </row>
    <row r="12" spans="2:9" ht="15">
      <c r="B12" s="3"/>
      <c r="C12" s="25"/>
      <c r="D12" s="23"/>
      <c r="E12" s="21"/>
      <c r="F12" s="22"/>
      <c r="G12" s="22"/>
      <c r="H12" s="22"/>
      <c r="I12" s="22"/>
    </row>
    <row r="13" spans="2:9" ht="15">
      <c r="B13" s="3"/>
      <c r="C13" s="25"/>
      <c r="D13" s="23"/>
      <c r="E13" s="21"/>
      <c r="F13" s="22"/>
      <c r="G13" s="22"/>
      <c r="H13" s="22"/>
      <c r="I13" s="22"/>
    </row>
    <row r="14" spans="2:9" ht="15">
      <c r="B14" s="3"/>
      <c r="C14" s="25"/>
      <c r="D14" s="23"/>
      <c r="E14" s="21"/>
      <c r="F14" s="22"/>
      <c r="G14" s="22"/>
      <c r="H14" s="22"/>
      <c r="I14" s="22"/>
    </row>
    <row r="15" spans="2:9" ht="15">
      <c r="B15" s="3"/>
      <c r="C15" s="25"/>
      <c r="D15" s="23"/>
      <c r="E15" s="21"/>
      <c r="F15" s="22"/>
      <c r="G15" s="22"/>
      <c r="H15" s="22"/>
      <c r="I15" s="22"/>
    </row>
    <row r="16" spans="2:9" ht="15">
      <c r="B16" s="3"/>
      <c r="C16" s="25"/>
      <c r="D16" s="23"/>
      <c r="E16" s="21"/>
      <c r="F16" s="22"/>
      <c r="G16" s="22"/>
      <c r="H16" s="22"/>
      <c r="I16" s="22"/>
    </row>
    <row r="17" spans="2:9" ht="15">
      <c r="B17" s="3"/>
      <c r="C17" s="25"/>
      <c r="D17" s="23"/>
      <c r="E17" s="21"/>
      <c r="F17" s="22"/>
      <c r="G17" s="22"/>
      <c r="H17" s="22"/>
      <c r="I17" s="22"/>
    </row>
    <row r="18" spans="2:9" ht="15">
      <c r="B18" s="3"/>
      <c r="C18" s="25"/>
      <c r="D18" s="23"/>
      <c r="E18" s="21"/>
      <c r="F18" s="22"/>
      <c r="G18" s="22"/>
      <c r="H18" s="22"/>
      <c r="I18" s="22"/>
    </row>
    <row r="19" spans="2:9" ht="15">
      <c r="B19" s="3"/>
      <c r="C19" s="25"/>
      <c r="D19" s="23"/>
      <c r="E19" s="21"/>
      <c r="F19" s="22"/>
      <c r="G19" s="22"/>
      <c r="H19" s="22"/>
      <c r="I19" s="22"/>
    </row>
    <row r="20" spans="2:9" ht="15">
      <c r="B20" s="3"/>
      <c r="C20" s="25"/>
      <c r="D20" s="23"/>
      <c r="E20" s="21"/>
      <c r="F20" s="22"/>
      <c r="G20" s="22"/>
      <c r="H20" s="22"/>
      <c r="I20" s="22"/>
    </row>
    <row r="21" spans="2:9" ht="15">
      <c r="B21" s="3"/>
      <c r="C21" s="25"/>
      <c r="D21" s="23"/>
      <c r="E21" s="21"/>
      <c r="F21" s="22"/>
      <c r="G21" s="22"/>
      <c r="H21" s="22"/>
      <c r="I21" s="22"/>
    </row>
    <row r="22" spans="2:9" ht="15">
      <c r="B22" s="3"/>
      <c r="C22" s="25"/>
      <c r="D22" s="23"/>
      <c r="E22" s="21"/>
      <c r="F22" s="22"/>
      <c r="G22" s="22"/>
      <c r="H22" s="22"/>
      <c r="I22" s="22"/>
    </row>
    <row r="23" spans="2:9" ht="15">
      <c r="B23" s="3"/>
      <c r="C23" s="25"/>
      <c r="D23" s="23"/>
      <c r="E23" s="21"/>
      <c r="F23" s="22"/>
      <c r="G23" s="22"/>
      <c r="H23" s="22"/>
      <c r="I23" s="22"/>
    </row>
    <row r="24" spans="2:9" ht="15">
      <c r="B24" s="3"/>
      <c r="C24" s="25"/>
      <c r="D24" s="23"/>
      <c r="E24" s="21"/>
      <c r="F24" s="22"/>
      <c r="G24" s="22"/>
      <c r="H24" s="22"/>
      <c r="I24" s="22"/>
    </row>
    <row r="25" spans="2:9" ht="15">
      <c r="B25" s="3"/>
      <c r="C25" s="25"/>
      <c r="D25" s="23"/>
      <c r="E25" s="21"/>
      <c r="F25" s="22"/>
      <c r="G25" s="22"/>
      <c r="H25" s="22"/>
      <c r="I25" s="22"/>
    </row>
    <row r="26" spans="2:9" ht="15">
      <c r="B26" s="3"/>
      <c r="C26" s="25"/>
      <c r="D26" s="23"/>
      <c r="E26" s="21"/>
      <c r="F26" s="22"/>
      <c r="G26" s="22"/>
      <c r="H26" s="22"/>
      <c r="I26" s="22"/>
    </row>
    <row r="27" spans="2:9" ht="15">
      <c r="B27" s="3"/>
      <c r="C27" s="25"/>
      <c r="D27" s="23"/>
      <c r="E27" s="21"/>
      <c r="F27" s="22"/>
      <c r="G27" s="22"/>
      <c r="H27" s="22"/>
      <c r="I27" s="22"/>
    </row>
    <row r="28" spans="2:9" ht="15.75" thickBot="1">
      <c r="B28" s="17"/>
      <c r="C28" s="19"/>
      <c r="D28" s="19"/>
      <c r="E28" s="19"/>
      <c r="F28" s="513" t="s">
        <v>37</v>
      </c>
      <c r="G28" s="24">
        <f>SUM(G10:G27)</f>
        <v>0</v>
      </c>
      <c r="H28" s="24">
        <f>SUM(H10:H27)</f>
        <v>0</v>
      </c>
      <c r="I28" s="24">
        <f>SUM(I10:I27)</f>
        <v>0</v>
      </c>
    </row>
    <row r="29" spans="2:9" ht="15.75" thickTop="1">
      <c r="B29" s="5"/>
      <c r="C29" s="5"/>
      <c r="D29" s="5"/>
      <c r="E29" s="5"/>
      <c r="F29" s="5"/>
      <c r="G29" s="5"/>
      <c r="H29" s="10"/>
      <c r="I29" s="10"/>
    </row>
    <row r="30" spans="2:9" ht="15">
      <c r="B30" s="26" t="s">
        <v>13</v>
      </c>
      <c r="C30" s="27"/>
      <c r="D30" s="27"/>
      <c r="E30" s="27"/>
      <c r="F30" s="27"/>
      <c r="G30" s="27"/>
      <c r="H30" s="10"/>
      <c r="I30" s="10"/>
    </row>
  </sheetData>
  <sheetProtection sheet="1"/>
  <printOptions/>
  <pageMargins left="0.25" right="0.25" top="1" bottom="0.5" header="0.5" footer="0.5"/>
  <pageSetup blackAndWhite="1" fitToHeight="1" fitToWidth="1" horizontalDpi="600" verticalDpi="600" orientation="landscape" scale="85" r:id="rId1"/>
  <headerFooter alignWithMargins="0">
    <oddHeader>&amp;RState of Kansas
City</oddHeader>
    <oddFooter>&amp;CPage No. 6</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U71" sqref="U71"/>
    </sheetView>
  </sheetViews>
  <sheetFormatPr defaultColWidth="8.796875" defaultRowHeight="15"/>
  <cols>
    <col min="1" max="1" width="2.59765625" style="483" customWidth="1"/>
    <col min="2" max="4" width="8.796875" style="483" customWidth="1"/>
    <col min="5" max="5" width="9.69921875" style="483" customWidth="1"/>
    <col min="6" max="6" width="8.796875" style="483" customWidth="1"/>
    <col min="7" max="7" width="9.69921875" style="483" customWidth="1"/>
    <col min="8" max="16384" width="8.796875" style="483" customWidth="1"/>
  </cols>
  <sheetData>
    <row r="1" spans="2:9" ht="15">
      <c r="B1" s="482"/>
      <c r="C1" s="482"/>
      <c r="D1" s="482"/>
      <c r="E1" s="482"/>
      <c r="F1" s="482"/>
      <c r="G1" s="482"/>
      <c r="H1" s="482"/>
      <c r="I1" s="482"/>
    </row>
    <row r="2" spans="2:9" ht="15">
      <c r="B2" s="624" t="s">
        <v>288</v>
      </c>
      <c r="C2" s="624"/>
      <c r="D2" s="624"/>
      <c r="E2" s="624"/>
      <c r="F2" s="624"/>
      <c r="G2" s="624"/>
      <c r="H2" s="624"/>
      <c r="I2" s="624"/>
    </row>
    <row r="3" spans="2:9" ht="15">
      <c r="B3" s="624" t="s">
        <v>289</v>
      </c>
      <c r="C3" s="624"/>
      <c r="D3" s="624"/>
      <c r="E3" s="624"/>
      <c r="F3" s="624"/>
      <c r="G3" s="624"/>
      <c r="H3" s="624"/>
      <c r="I3" s="624"/>
    </row>
    <row r="4" spans="2:9" ht="15">
      <c r="B4" s="484"/>
      <c r="C4" s="484"/>
      <c r="D4" s="484"/>
      <c r="E4" s="484"/>
      <c r="F4" s="484"/>
      <c r="G4" s="484"/>
      <c r="H4" s="484"/>
      <c r="I4" s="484"/>
    </row>
    <row r="5" spans="2:9" ht="15">
      <c r="B5" s="625" t="str">
        <f>CONCATENATE("Budgeted Year: ",inputPrYr!C5,"")</f>
        <v>Budgeted Year: 2015</v>
      </c>
      <c r="C5" s="625"/>
      <c r="D5" s="625"/>
      <c r="E5" s="625"/>
      <c r="F5" s="625"/>
      <c r="G5" s="625"/>
      <c r="H5" s="625"/>
      <c r="I5" s="625"/>
    </row>
    <row r="6" spans="2:9" ht="15">
      <c r="B6" s="485"/>
      <c r="C6" s="484"/>
      <c r="D6" s="484"/>
      <c r="E6" s="484"/>
      <c r="F6" s="484"/>
      <c r="G6" s="484"/>
      <c r="H6" s="484"/>
      <c r="I6" s="484"/>
    </row>
    <row r="7" spans="2:9" ht="15">
      <c r="B7" s="485" t="str">
        <f>CONCATENATE("Library found in: ",inputPrYr!D2,"")</f>
        <v>Library found in: City of Moran</v>
      </c>
      <c r="C7" s="484"/>
      <c r="D7" s="484"/>
      <c r="E7" s="484"/>
      <c r="F7" s="484"/>
      <c r="G7" s="484"/>
      <c r="H7" s="484"/>
      <c r="I7" s="484"/>
    </row>
    <row r="8" spans="2:9" ht="15">
      <c r="B8" s="485" t="str">
        <f>inputPrYr!D3</f>
        <v>Allen County</v>
      </c>
      <c r="C8" s="484"/>
      <c r="D8" s="484"/>
      <c r="E8" s="484"/>
      <c r="F8" s="484"/>
      <c r="G8" s="484"/>
      <c r="H8" s="484"/>
      <c r="I8" s="484"/>
    </row>
    <row r="9" spans="2:9" ht="15">
      <c r="B9" s="484"/>
      <c r="C9" s="484"/>
      <c r="D9" s="484"/>
      <c r="E9" s="484"/>
      <c r="F9" s="484"/>
      <c r="G9" s="484"/>
      <c r="H9" s="484"/>
      <c r="I9" s="484"/>
    </row>
    <row r="10" spans="2:9" ht="39" customHeight="1">
      <c r="B10" s="626" t="s">
        <v>290</v>
      </c>
      <c r="C10" s="626"/>
      <c r="D10" s="626"/>
      <c r="E10" s="626"/>
      <c r="F10" s="626"/>
      <c r="G10" s="626"/>
      <c r="H10" s="626"/>
      <c r="I10" s="626"/>
    </row>
    <row r="11" spans="2:9" ht="15">
      <c r="B11" s="484"/>
      <c r="C11" s="484"/>
      <c r="D11" s="484"/>
      <c r="E11" s="484"/>
      <c r="F11" s="484"/>
      <c r="G11" s="484"/>
      <c r="H11" s="484"/>
      <c r="I11" s="484"/>
    </row>
    <row r="12" spans="2:9" ht="15">
      <c r="B12" s="486" t="s">
        <v>291</v>
      </c>
      <c r="C12" s="484"/>
      <c r="D12" s="484"/>
      <c r="E12" s="484"/>
      <c r="F12" s="484"/>
      <c r="G12" s="484"/>
      <c r="H12" s="484"/>
      <c r="I12" s="484"/>
    </row>
    <row r="13" spans="2:9" ht="15">
      <c r="B13" s="484"/>
      <c r="C13" s="484"/>
      <c r="D13" s="484"/>
      <c r="E13" s="487" t="s">
        <v>292</v>
      </c>
      <c r="F13" s="484"/>
      <c r="G13" s="487" t="s">
        <v>293</v>
      </c>
      <c r="H13" s="484"/>
      <c r="I13" s="484"/>
    </row>
    <row r="14" spans="2:9" ht="15">
      <c r="B14" s="484"/>
      <c r="C14" s="484"/>
      <c r="D14" s="484"/>
      <c r="E14" s="488">
        <f>inputPrYr!C5-1</f>
        <v>2014</v>
      </c>
      <c r="F14" s="484"/>
      <c r="G14" s="488">
        <f>inputPrYr!C5</f>
        <v>2015</v>
      </c>
      <c r="H14" s="484"/>
      <c r="I14" s="484"/>
    </row>
    <row r="15" spans="2:9" ht="15">
      <c r="B15" s="485" t="s">
        <v>349</v>
      </c>
      <c r="C15" s="484"/>
      <c r="D15" s="484"/>
      <c r="E15" s="489">
        <f>'DebtSvs-library'!D47</f>
        <v>3011</v>
      </c>
      <c r="F15" s="484"/>
      <c r="G15" s="489">
        <f>'DebtSvs-library'!E80</f>
        <v>3005</v>
      </c>
      <c r="H15" s="484"/>
      <c r="I15" s="484"/>
    </row>
    <row r="16" spans="2:9" ht="15">
      <c r="B16" s="485" t="s">
        <v>51</v>
      </c>
      <c r="C16" s="484"/>
      <c r="D16" s="484"/>
      <c r="E16" s="489">
        <f>'DebtSvs-library'!D48</f>
        <v>93</v>
      </c>
      <c r="F16" s="484"/>
      <c r="G16" s="489">
        <f>'DebtSvs-library'!E48</f>
        <v>176</v>
      </c>
      <c r="H16" s="484"/>
      <c r="I16" s="484"/>
    </row>
    <row r="17" spans="2:9" ht="15">
      <c r="B17" s="485" t="s">
        <v>52</v>
      </c>
      <c r="C17" s="484"/>
      <c r="D17" s="484"/>
      <c r="E17" s="489">
        <f>'DebtSvs-library'!D49</f>
        <v>977</v>
      </c>
      <c r="F17" s="484"/>
      <c r="G17" s="489">
        <f>'DebtSvs-library'!E49</f>
        <v>916</v>
      </c>
      <c r="H17" s="484"/>
      <c r="I17" s="484"/>
    </row>
    <row r="18" spans="2:9" ht="15">
      <c r="B18" s="485" t="s">
        <v>350</v>
      </c>
      <c r="C18" s="484"/>
      <c r="D18" s="484"/>
      <c r="E18" s="489">
        <f>'DebtSvs-library'!D50</f>
        <v>7</v>
      </c>
      <c r="F18" s="484"/>
      <c r="G18" s="489">
        <f>'DebtSvs-library'!E50</f>
        <v>6</v>
      </c>
      <c r="H18" s="484"/>
      <c r="I18" s="484"/>
    </row>
    <row r="19" spans="2:9" ht="15">
      <c r="B19" s="485" t="s">
        <v>351</v>
      </c>
      <c r="C19" s="484"/>
      <c r="D19" s="484"/>
      <c r="E19" s="489">
        <f>'DebtSvs-library'!D51</f>
        <v>51</v>
      </c>
      <c r="F19" s="484"/>
      <c r="G19" s="489">
        <f>'DebtSvs-library'!E51</f>
        <v>37</v>
      </c>
      <c r="H19" s="484"/>
      <c r="I19" s="484"/>
    </row>
    <row r="20" spans="2:9" ht="15">
      <c r="B20" s="484" t="s">
        <v>179</v>
      </c>
      <c r="C20" s="484"/>
      <c r="D20" s="484"/>
      <c r="E20" s="489">
        <v>0</v>
      </c>
      <c r="F20" s="484"/>
      <c r="G20" s="489">
        <v>0</v>
      </c>
      <c r="H20" s="484"/>
      <c r="I20" s="484"/>
    </row>
    <row r="21" spans="2:9" ht="15">
      <c r="B21" s="484"/>
      <c r="C21" s="484"/>
      <c r="D21" s="484"/>
      <c r="E21" s="489">
        <v>0</v>
      </c>
      <c r="F21" s="484"/>
      <c r="G21" s="489">
        <v>0</v>
      </c>
      <c r="H21" s="484"/>
      <c r="I21" s="484"/>
    </row>
    <row r="22" spans="2:9" ht="15">
      <c r="B22" s="484" t="s">
        <v>294</v>
      </c>
      <c r="C22" s="484"/>
      <c r="D22" s="484"/>
      <c r="E22" s="490">
        <f>SUM(E15:E21)</f>
        <v>4139</v>
      </c>
      <c r="F22" s="484"/>
      <c r="G22" s="490">
        <f>SUM(G15:G21)</f>
        <v>4140</v>
      </c>
      <c r="H22" s="484"/>
      <c r="I22" s="484"/>
    </row>
    <row r="23" spans="2:9" ht="15">
      <c r="B23" s="484" t="s">
        <v>295</v>
      </c>
      <c r="C23" s="484"/>
      <c r="D23" s="484"/>
      <c r="E23" s="514">
        <f>G22-E22</f>
        <v>1</v>
      </c>
      <c r="F23" s="484"/>
      <c r="G23" s="491"/>
      <c r="H23" s="484"/>
      <c r="I23" s="484"/>
    </row>
    <row r="24" spans="2:9" ht="15">
      <c r="B24" s="484" t="s">
        <v>296</v>
      </c>
      <c r="C24" s="484"/>
      <c r="D24" s="492" t="str">
        <f>IF((G22-E22)&gt;0,"Qualify","Not Qualify")</f>
        <v>Qualify</v>
      </c>
      <c r="E24" s="484"/>
      <c r="F24" s="484"/>
      <c r="G24" s="484"/>
      <c r="H24" s="484"/>
      <c r="I24" s="484"/>
    </row>
    <row r="25" spans="2:9" ht="15">
      <c r="B25" s="484"/>
      <c r="C25" s="484"/>
      <c r="D25" s="484"/>
      <c r="E25" s="484"/>
      <c r="F25" s="484"/>
      <c r="G25" s="484"/>
      <c r="H25" s="484"/>
      <c r="I25" s="484"/>
    </row>
    <row r="26" spans="2:9" ht="15">
      <c r="B26" s="486" t="s">
        <v>297</v>
      </c>
      <c r="C26" s="484"/>
      <c r="D26" s="484"/>
      <c r="E26" s="484"/>
      <c r="F26" s="484"/>
      <c r="G26" s="484"/>
      <c r="H26" s="484"/>
      <c r="I26" s="484"/>
    </row>
    <row r="27" spans="2:9" ht="15">
      <c r="B27" s="484" t="s">
        <v>298</v>
      </c>
      <c r="C27" s="484"/>
      <c r="D27" s="484"/>
      <c r="E27" s="489">
        <f>summ!D33</f>
        <v>1558115</v>
      </c>
      <c r="F27" s="484"/>
      <c r="G27" s="489">
        <f>summ!F33</f>
        <v>1502728</v>
      </c>
      <c r="H27" s="484"/>
      <c r="I27" s="484"/>
    </row>
    <row r="28" spans="2:9" ht="15">
      <c r="B28" s="484" t="s">
        <v>299</v>
      </c>
      <c r="C28" s="484"/>
      <c r="D28" s="484"/>
      <c r="E28" s="493" t="str">
        <f>IF(G27-E27&gt;=0,"No","Yes")</f>
        <v>Yes</v>
      </c>
      <c r="F28" s="484"/>
      <c r="G28" s="484"/>
      <c r="H28" s="484"/>
      <c r="I28" s="484"/>
    </row>
    <row r="29" spans="2:9" ht="15">
      <c r="B29" s="484" t="s">
        <v>300</v>
      </c>
      <c r="C29" s="484"/>
      <c r="D29" s="484"/>
      <c r="E29" s="487">
        <f>summ!E17</f>
        <v>1.992</v>
      </c>
      <c r="F29" s="484"/>
      <c r="G29" s="494">
        <f>summ!H17</f>
        <v>2</v>
      </c>
      <c r="H29" s="484"/>
      <c r="I29" s="484"/>
    </row>
    <row r="30" spans="2:9" ht="15">
      <c r="B30" s="484" t="s">
        <v>301</v>
      </c>
      <c r="C30" s="484"/>
      <c r="D30" s="484"/>
      <c r="E30" s="495">
        <f>G29-E29</f>
        <v>0.008000000000000007</v>
      </c>
      <c r="F30" s="484"/>
      <c r="G30" s="484"/>
      <c r="H30" s="484"/>
      <c r="I30" s="484"/>
    </row>
    <row r="31" spans="2:9" ht="15">
      <c r="B31" s="484" t="s">
        <v>296</v>
      </c>
      <c r="C31" s="484"/>
      <c r="D31" s="496" t="str">
        <f>IF(E30&gt;=0,"Qualify","Not Qualify")</f>
        <v>Qualify</v>
      </c>
      <c r="E31" s="484"/>
      <c r="F31" s="484"/>
      <c r="G31" s="484"/>
      <c r="H31" s="484"/>
      <c r="I31" s="484"/>
    </row>
    <row r="32" spans="2:9" ht="15">
      <c r="B32" s="484"/>
      <c r="C32" s="484"/>
      <c r="D32" s="484"/>
      <c r="E32" s="484"/>
      <c r="F32" s="484"/>
      <c r="G32" s="484"/>
      <c r="H32" s="484"/>
      <c r="I32" s="484"/>
    </row>
    <row r="33" spans="2:9" ht="15">
      <c r="B33" s="484" t="s">
        <v>302</v>
      </c>
      <c r="C33" s="484"/>
      <c r="D33" s="484"/>
      <c r="E33" s="484"/>
      <c r="F33" s="497" t="str">
        <f>IF(D24="Not Qualify",IF(D31="Not Qualify",IF(D31="Not Qualify","Not Qualify","Qualify"),"Qualify"),"Qualify")</f>
        <v>Qualify</v>
      </c>
      <c r="G33" s="484"/>
      <c r="H33" s="484"/>
      <c r="I33" s="484"/>
    </row>
    <row r="34" spans="2:9" ht="15">
      <c r="B34" s="484"/>
      <c r="C34" s="484"/>
      <c r="D34" s="484"/>
      <c r="E34" s="484"/>
      <c r="F34" s="484"/>
      <c r="G34" s="484"/>
      <c r="H34" s="484"/>
      <c r="I34" s="484"/>
    </row>
    <row r="35" spans="2:9" ht="15">
      <c r="B35" s="484"/>
      <c r="C35" s="484"/>
      <c r="D35" s="484"/>
      <c r="E35" s="484"/>
      <c r="F35" s="484"/>
      <c r="G35" s="484"/>
      <c r="H35" s="484"/>
      <c r="I35" s="484"/>
    </row>
    <row r="36" spans="2:9" ht="37.5" customHeight="1">
      <c r="B36" s="626" t="s">
        <v>303</v>
      </c>
      <c r="C36" s="626"/>
      <c r="D36" s="626"/>
      <c r="E36" s="626"/>
      <c r="F36" s="626"/>
      <c r="G36" s="626"/>
      <c r="H36" s="626"/>
      <c r="I36" s="626"/>
    </row>
    <row r="37" spans="2:9" ht="15">
      <c r="B37" s="484"/>
      <c r="C37" s="484"/>
      <c r="D37" s="484"/>
      <c r="E37" s="484"/>
      <c r="F37" s="484"/>
      <c r="G37" s="484"/>
      <c r="H37" s="484"/>
      <c r="I37" s="484"/>
    </row>
    <row r="38" spans="2:9" ht="15">
      <c r="B38" s="484"/>
      <c r="C38" s="484"/>
      <c r="D38" s="484"/>
      <c r="E38" s="484"/>
      <c r="F38" s="484"/>
      <c r="G38" s="484"/>
      <c r="H38" s="484"/>
      <c r="I38" s="484"/>
    </row>
    <row r="39" spans="2:9" ht="15">
      <c r="B39" s="484"/>
      <c r="C39" s="484"/>
      <c r="D39" s="484"/>
      <c r="E39" s="484"/>
      <c r="F39" s="484"/>
      <c r="G39" s="484"/>
      <c r="H39" s="484"/>
      <c r="I39" s="484"/>
    </row>
    <row r="40" spans="2:9" ht="15">
      <c r="B40" s="484"/>
      <c r="C40" s="484"/>
      <c r="D40" s="484"/>
      <c r="E40" s="498" t="s">
        <v>60</v>
      </c>
      <c r="F40" s="499">
        <v>7</v>
      </c>
      <c r="G40" s="484"/>
      <c r="H40" s="484"/>
      <c r="I40" s="484"/>
    </row>
    <row r="41" spans="2:9" ht="15">
      <c r="B41" s="484"/>
      <c r="C41" s="484"/>
      <c r="D41" s="484"/>
      <c r="E41" s="484"/>
      <c r="F41" s="484"/>
      <c r="G41" s="484"/>
      <c r="H41" s="484"/>
      <c r="I41" s="484"/>
    </row>
    <row r="42" spans="2:9" ht="15">
      <c r="B42" s="484"/>
      <c r="C42" s="484"/>
      <c r="D42" s="484"/>
      <c r="E42" s="484"/>
      <c r="F42" s="484"/>
      <c r="G42" s="484"/>
      <c r="H42" s="484"/>
      <c r="I42" s="484"/>
    </row>
    <row r="43" spans="2:9" ht="15">
      <c r="B43" s="627" t="s">
        <v>304</v>
      </c>
      <c r="C43" s="628"/>
      <c r="D43" s="628"/>
      <c r="E43" s="628"/>
      <c r="F43" s="628"/>
      <c r="G43" s="628"/>
      <c r="H43" s="628"/>
      <c r="I43" s="628"/>
    </row>
    <row r="44" spans="2:9" ht="15">
      <c r="B44" s="484"/>
      <c r="C44" s="484"/>
      <c r="D44" s="484"/>
      <c r="E44" s="484"/>
      <c r="F44" s="484"/>
      <c r="G44" s="484"/>
      <c r="H44" s="484"/>
      <c r="I44" s="484"/>
    </row>
    <row r="45" spans="2:9" ht="15">
      <c r="B45" s="500" t="s">
        <v>305</v>
      </c>
      <c r="C45" s="484"/>
      <c r="D45" s="484"/>
      <c r="E45" s="484"/>
      <c r="F45" s="484"/>
      <c r="G45" s="484"/>
      <c r="H45" s="484"/>
      <c r="I45" s="484"/>
    </row>
    <row r="46" spans="2:9" ht="15">
      <c r="B46" s="500" t="str">
        <f>CONCATENATE("sources in your ",G14," library fund is not equal to or greater than the amount from the same")</f>
        <v>sources in your 2015 library fund is not equal to or greater than the amount from the same</v>
      </c>
      <c r="C46" s="484"/>
      <c r="D46" s="484"/>
      <c r="E46" s="484"/>
      <c r="F46" s="484"/>
      <c r="G46" s="484"/>
      <c r="H46" s="484"/>
      <c r="I46" s="484"/>
    </row>
    <row r="47" spans="2:9" ht="15">
      <c r="B47" s="500" t="str">
        <f>CONCATENATE("sources in ",E14,".")</f>
        <v>sources in 2014.</v>
      </c>
      <c r="C47" s="482"/>
      <c r="D47" s="482"/>
      <c r="E47" s="482"/>
      <c r="F47" s="482"/>
      <c r="G47" s="482"/>
      <c r="H47" s="482"/>
      <c r="I47" s="482"/>
    </row>
    <row r="48" spans="2:9" ht="15">
      <c r="B48" s="482"/>
      <c r="C48" s="482"/>
      <c r="D48" s="482"/>
      <c r="E48" s="482"/>
      <c r="F48" s="482"/>
      <c r="G48" s="482"/>
      <c r="H48" s="482"/>
      <c r="I48" s="482"/>
    </row>
    <row r="49" spans="2:9" ht="15">
      <c r="B49" s="500" t="s">
        <v>306</v>
      </c>
      <c r="C49" s="500"/>
      <c r="D49" s="501"/>
      <c r="E49" s="501"/>
      <c r="F49" s="501"/>
      <c r="G49" s="501"/>
      <c r="H49" s="501"/>
      <c r="I49" s="501"/>
    </row>
    <row r="50" spans="2:9" ht="15">
      <c r="B50" s="500" t="s">
        <v>307</v>
      </c>
      <c r="C50" s="500"/>
      <c r="D50" s="501"/>
      <c r="E50" s="501"/>
      <c r="F50" s="501"/>
      <c r="G50" s="501"/>
      <c r="H50" s="501"/>
      <c r="I50" s="501"/>
    </row>
    <row r="51" spans="2:9" ht="15">
      <c r="B51" s="500" t="s">
        <v>308</v>
      </c>
      <c r="C51" s="500"/>
      <c r="D51" s="501"/>
      <c r="E51" s="501"/>
      <c r="F51" s="501"/>
      <c r="G51" s="501"/>
      <c r="H51" s="501"/>
      <c r="I51" s="501"/>
    </row>
    <row r="52" spans="2:9" ht="15">
      <c r="B52" s="501"/>
      <c r="C52" s="501"/>
      <c r="D52" s="501"/>
      <c r="E52" s="501"/>
      <c r="F52" s="501"/>
      <c r="G52" s="501"/>
      <c r="H52" s="501"/>
      <c r="I52" s="501"/>
    </row>
    <row r="53" spans="2:9" ht="15">
      <c r="B53" s="502" t="s">
        <v>309</v>
      </c>
      <c r="C53" s="501"/>
      <c r="D53" s="501"/>
      <c r="E53" s="501"/>
      <c r="F53" s="501"/>
      <c r="G53" s="501"/>
      <c r="H53" s="501"/>
      <c r="I53" s="501"/>
    </row>
    <row r="54" spans="2:9" ht="15">
      <c r="B54" s="501"/>
      <c r="C54" s="501"/>
      <c r="D54" s="501"/>
      <c r="E54" s="501"/>
      <c r="F54" s="501"/>
      <c r="G54" s="501"/>
      <c r="H54" s="501"/>
      <c r="I54" s="501"/>
    </row>
    <row r="55" spans="2:9" ht="15">
      <c r="B55" s="500" t="s">
        <v>310</v>
      </c>
      <c r="C55" s="501"/>
      <c r="D55" s="501"/>
      <c r="E55" s="501"/>
      <c r="F55" s="501"/>
      <c r="G55" s="501"/>
      <c r="H55" s="501"/>
      <c r="I55" s="501"/>
    </row>
    <row r="56" spans="2:9" ht="15">
      <c r="B56" s="500" t="s">
        <v>311</v>
      </c>
      <c r="C56" s="501"/>
      <c r="D56" s="501"/>
      <c r="E56" s="501"/>
      <c r="F56" s="501"/>
      <c r="G56" s="501"/>
      <c r="H56" s="501"/>
      <c r="I56" s="501"/>
    </row>
    <row r="57" spans="2:9" ht="15">
      <c r="B57" s="501"/>
      <c r="C57" s="501"/>
      <c r="D57" s="501"/>
      <c r="E57" s="501"/>
      <c r="F57" s="501"/>
      <c r="G57" s="501"/>
      <c r="H57" s="501"/>
      <c r="I57" s="501"/>
    </row>
    <row r="58" spans="2:9" ht="15">
      <c r="B58" s="502" t="s">
        <v>312</v>
      </c>
      <c r="C58" s="500"/>
      <c r="D58" s="500"/>
      <c r="E58" s="500"/>
      <c r="F58" s="500"/>
      <c r="G58" s="501"/>
      <c r="H58" s="501"/>
      <c r="I58" s="501"/>
    </row>
    <row r="59" spans="2:9" ht="15">
      <c r="B59" s="500"/>
      <c r="C59" s="500"/>
      <c r="D59" s="500"/>
      <c r="E59" s="500"/>
      <c r="F59" s="500"/>
      <c r="G59" s="501"/>
      <c r="H59" s="501"/>
      <c r="I59" s="501"/>
    </row>
    <row r="60" spans="2:9" ht="15">
      <c r="B60" s="500" t="s">
        <v>313</v>
      </c>
      <c r="C60" s="500"/>
      <c r="D60" s="500"/>
      <c r="E60" s="500"/>
      <c r="F60" s="500"/>
      <c r="G60" s="501"/>
      <c r="H60" s="501"/>
      <c r="I60" s="501"/>
    </row>
    <row r="61" spans="2:9" ht="15">
      <c r="B61" s="500" t="s">
        <v>314</v>
      </c>
      <c r="C61" s="500"/>
      <c r="D61" s="500"/>
      <c r="E61" s="500"/>
      <c r="F61" s="500"/>
      <c r="G61" s="501"/>
      <c r="H61" s="501"/>
      <c r="I61" s="501"/>
    </row>
    <row r="62" spans="2:9" ht="15">
      <c r="B62" s="500" t="s">
        <v>315</v>
      </c>
      <c r="C62" s="500"/>
      <c r="D62" s="500"/>
      <c r="E62" s="500"/>
      <c r="F62" s="500"/>
      <c r="G62" s="501"/>
      <c r="H62" s="501"/>
      <c r="I62" s="501"/>
    </row>
    <row r="63" spans="2:9" ht="15">
      <c r="B63" s="500" t="s">
        <v>316</v>
      </c>
      <c r="C63" s="500"/>
      <c r="D63" s="500"/>
      <c r="E63" s="500"/>
      <c r="F63" s="500"/>
      <c r="G63" s="501"/>
      <c r="H63" s="501"/>
      <c r="I63" s="501"/>
    </row>
    <row r="64" spans="2:9" ht="15">
      <c r="B64" s="503"/>
      <c r="C64" s="503"/>
      <c r="D64" s="503"/>
      <c r="E64" s="503"/>
      <c r="F64" s="503"/>
      <c r="G64" s="501"/>
      <c r="H64" s="501"/>
      <c r="I64" s="501"/>
    </row>
    <row r="65" spans="2:9" ht="15">
      <c r="B65" s="500" t="s">
        <v>317</v>
      </c>
      <c r="C65" s="503"/>
      <c r="D65" s="503"/>
      <c r="E65" s="503"/>
      <c r="F65" s="503"/>
      <c r="G65" s="501"/>
      <c r="H65" s="501"/>
      <c r="I65" s="501"/>
    </row>
    <row r="66" spans="2:9" ht="15">
      <c r="B66" s="500" t="s">
        <v>318</v>
      </c>
      <c r="C66" s="503"/>
      <c r="D66" s="503"/>
      <c r="E66" s="503"/>
      <c r="F66" s="503"/>
      <c r="G66" s="501"/>
      <c r="H66" s="501"/>
      <c r="I66" s="501"/>
    </row>
    <row r="67" spans="2:9" ht="15">
      <c r="B67" s="503"/>
      <c r="C67" s="503"/>
      <c r="D67" s="503"/>
      <c r="E67" s="503"/>
      <c r="F67" s="503"/>
      <c r="G67" s="501"/>
      <c r="H67" s="501"/>
      <c r="I67" s="501"/>
    </row>
    <row r="68" spans="2:9" ht="15">
      <c r="B68" s="500" t="s">
        <v>319</v>
      </c>
      <c r="C68" s="503"/>
      <c r="D68" s="503"/>
      <c r="E68" s="503"/>
      <c r="F68" s="503"/>
      <c r="G68" s="501"/>
      <c r="H68" s="501"/>
      <c r="I68" s="501"/>
    </row>
    <row r="69" spans="2:9" ht="15">
      <c r="B69" s="500" t="s">
        <v>320</v>
      </c>
      <c r="C69" s="503"/>
      <c r="D69" s="503"/>
      <c r="E69" s="503"/>
      <c r="F69" s="503"/>
      <c r="G69" s="501"/>
      <c r="H69" s="501"/>
      <c r="I69" s="501"/>
    </row>
    <row r="70" spans="2:9" ht="15">
      <c r="B70" s="503"/>
      <c r="C70" s="503"/>
      <c r="D70" s="503"/>
      <c r="E70" s="503"/>
      <c r="F70" s="503"/>
      <c r="G70" s="501"/>
      <c r="H70" s="501"/>
      <c r="I70" s="501"/>
    </row>
    <row r="71" spans="2:9" ht="15">
      <c r="B71" s="502" t="s">
        <v>321</v>
      </c>
      <c r="C71" s="503"/>
      <c r="D71" s="503"/>
      <c r="E71" s="503"/>
      <c r="F71" s="503"/>
      <c r="G71" s="501"/>
      <c r="H71" s="501"/>
      <c r="I71" s="501"/>
    </row>
    <row r="72" spans="2:9" ht="15">
      <c r="B72" s="503"/>
      <c r="C72" s="503"/>
      <c r="D72" s="503"/>
      <c r="E72" s="503"/>
      <c r="F72" s="503"/>
      <c r="G72" s="501"/>
      <c r="H72" s="501"/>
      <c r="I72" s="501"/>
    </row>
    <row r="73" spans="2:9" ht="15">
      <c r="B73" s="500" t="s">
        <v>322</v>
      </c>
      <c r="C73" s="503"/>
      <c r="D73" s="503"/>
      <c r="E73" s="503"/>
      <c r="F73" s="503"/>
      <c r="G73" s="501"/>
      <c r="H73" s="501"/>
      <c r="I73" s="501"/>
    </row>
    <row r="74" spans="2:9" ht="15">
      <c r="B74" s="500" t="s">
        <v>323</v>
      </c>
      <c r="C74" s="503"/>
      <c r="D74" s="503"/>
      <c r="E74" s="503"/>
      <c r="F74" s="503"/>
      <c r="G74" s="501"/>
      <c r="H74" s="501"/>
      <c r="I74" s="501"/>
    </row>
    <row r="75" spans="2:9" ht="15">
      <c r="B75" s="503"/>
      <c r="C75" s="503"/>
      <c r="D75" s="503"/>
      <c r="E75" s="503"/>
      <c r="F75" s="503"/>
      <c r="G75" s="501"/>
      <c r="H75" s="501"/>
      <c r="I75" s="501"/>
    </row>
    <row r="76" spans="2:9" ht="15">
      <c r="B76" s="502" t="s">
        <v>324</v>
      </c>
      <c r="C76" s="503"/>
      <c r="D76" s="503"/>
      <c r="E76" s="503"/>
      <c r="F76" s="503"/>
      <c r="G76" s="501"/>
      <c r="H76" s="501"/>
      <c r="I76" s="501"/>
    </row>
    <row r="77" spans="2:9" ht="15">
      <c r="B77" s="503"/>
      <c r="C77" s="503"/>
      <c r="D77" s="503"/>
      <c r="E77" s="503"/>
      <c r="F77" s="503"/>
      <c r="G77" s="501"/>
      <c r="H77" s="501"/>
      <c r="I77" s="501"/>
    </row>
    <row r="78" spans="2:9" ht="15">
      <c r="B78" s="500" t="str">
        <f>CONCATENATE("If the ",G14," municipal budget has not been published and has not been submitted to the County")</f>
        <v>If the 2015 municipal budget has not been published and has not been submitted to the County</v>
      </c>
      <c r="C78" s="503"/>
      <c r="D78" s="503"/>
      <c r="E78" s="503"/>
      <c r="F78" s="503"/>
      <c r="G78" s="501"/>
      <c r="H78" s="501"/>
      <c r="I78" s="501"/>
    </row>
    <row r="79" spans="2:9" ht="15">
      <c r="B79" s="500" t="s">
        <v>325</v>
      </c>
      <c r="C79" s="503"/>
      <c r="D79" s="503"/>
      <c r="E79" s="503"/>
      <c r="F79" s="503"/>
      <c r="G79" s="501"/>
      <c r="H79" s="501"/>
      <c r="I79" s="501"/>
    </row>
    <row r="80" spans="2:9" ht="15">
      <c r="B80" s="503"/>
      <c r="C80" s="503"/>
      <c r="D80" s="503"/>
      <c r="E80" s="503"/>
      <c r="F80" s="503"/>
      <c r="G80" s="501"/>
      <c r="H80" s="501"/>
      <c r="I80" s="501"/>
    </row>
    <row r="81" spans="2:9" ht="15">
      <c r="B81" s="502" t="s">
        <v>237</v>
      </c>
      <c r="C81" s="503"/>
      <c r="D81" s="503"/>
      <c r="E81" s="503"/>
      <c r="F81" s="503"/>
      <c r="G81" s="501"/>
      <c r="H81" s="501"/>
      <c r="I81" s="501"/>
    </row>
    <row r="82" spans="2:9" ht="15">
      <c r="B82" s="503"/>
      <c r="C82" s="503"/>
      <c r="D82" s="503"/>
      <c r="E82" s="503"/>
      <c r="F82" s="503"/>
      <c r="G82" s="501"/>
      <c r="H82" s="501"/>
      <c r="I82" s="501"/>
    </row>
    <row r="83" spans="2:9" ht="15">
      <c r="B83" s="500" t="s">
        <v>326</v>
      </c>
      <c r="C83" s="503"/>
      <c r="D83" s="503"/>
      <c r="E83" s="503"/>
      <c r="F83" s="503"/>
      <c r="G83" s="501"/>
      <c r="H83" s="501"/>
      <c r="I83" s="501"/>
    </row>
    <row r="84" spans="2:9" ht="15">
      <c r="B84" s="500" t="str">
        <f>CONCATENATE("Budget Year ",G14," is equal to or greater than that for Current Year Estimate ",E14,".")</f>
        <v>Budget Year 2015 is equal to or greater than that for Current Year Estimate 2014.</v>
      </c>
      <c r="C84" s="503"/>
      <c r="D84" s="503"/>
      <c r="E84" s="503"/>
      <c r="F84" s="503"/>
      <c r="G84" s="501"/>
      <c r="H84" s="501"/>
      <c r="I84" s="501"/>
    </row>
    <row r="85" spans="2:9" ht="15">
      <c r="B85" s="503"/>
      <c r="C85" s="503"/>
      <c r="D85" s="503"/>
      <c r="E85" s="503"/>
      <c r="F85" s="503"/>
      <c r="G85" s="501"/>
      <c r="H85" s="501"/>
      <c r="I85" s="501"/>
    </row>
    <row r="86" spans="2:9" ht="15">
      <c r="B86" s="500" t="s">
        <v>327</v>
      </c>
      <c r="C86" s="503"/>
      <c r="D86" s="503"/>
      <c r="E86" s="503"/>
      <c r="F86" s="503"/>
      <c r="G86" s="501"/>
      <c r="H86" s="501"/>
      <c r="I86" s="501"/>
    </row>
    <row r="87" spans="2:9" ht="15">
      <c r="B87" s="500" t="s">
        <v>328</v>
      </c>
      <c r="C87" s="503"/>
      <c r="D87" s="503"/>
      <c r="E87" s="503"/>
      <c r="F87" s="503"/>
      <c r="G87" s="501"/>
      <c r="H87" s="501"/>
      <c r="I87" s="501"/>
    </row>
    <row r="88" spans="2:9" ht="15">
      <c r="B88" s="500" t="s">
        <v>329</v>
      </c>
      <c r="C88" s="503"/>
      <c r="D88" s="503"/>
      <c r="E88" s="503"/>
      <c r="F88" s="503"/>
      <c r="G88" s="501"/>
      <c r="H88" s="501"/>
      <c r="I88" s="501"/>
    </row>
    <row r="89" spans="2:9" ht="15">
      <c r="B89" s="500" t="str">
        <f>CONCATENATE("purpose for the previous (",E14,") year.")</f>
        <v>purpose for the previous (2014) year.</v>
      </c>
      <c r="C89" s="503"/>
      <c r="D89" s="503"/>
      <c r="E89" s="503"/>
      <c r="F89" s="503"/>
      <c r="G89" s="501"/>
      <c r="H89" s="501"/>
      <c r="I89" s="501"/>
    </row>
    <row r="90" spans="2:9" ht="15">
      <c r="B90" s="503"/>
      <c r="C90" s="503"/>
      <c r="D90" s="503"/>
      <c r="E90" s="503"/>
      <c r="F90" s="503"/>
      <c r="G90" s="501"/>
      <c r="H90" s="501"/>
      <c r="I90" s="501"/>
    </row>
    <row r="91" spans="2:9" ht="15">
      <c r="B91" s="500" t="str">
        <f>CONCATENATE("Next, look to see if delinquent tax for ",G14," is budgeted. Often this line is budgeted at $0 or left")</f>
        <v>Next, look to see if delinquent tax for 2015 is budgeted. Often this line is budgeted at $0 or left</v>
      </c>
      <c r="C91" s="503"/>
      <c r="D91" s="503"/>
      <c r="E91" s="503"/>
      <c r="F91" s="503"/>
      <c r="G91" s="501"/>
      <c r="H91" s="501"/>
      <c r="I91" s="501"/>
    </row>
    <row r="92" spans="2:9" ht="15">
      <c r="B92" s="500" t="s">
        <v>330</v>
      </c>
      <c r="C92" s="503"/>
      <c r="D92" s="503"/>
      <c r="E92" s="503"/>
      <c r="F92" s="503"/>
      <c r="G92" s="501"/>
      <c r="H92" s="501"/>
      <c r="I92" s="501"/>
    </row>
    <row r="93" spans="2:9" ht="15">
      <c r="B93" s="500" t="s">
        <v>331</v>
      </c>
      <c r="C93" s="503"/>
      <c r="D93" s="503"/>
      <c r="E93" s="503"/>
      <c r="F93" s="503"/>
      <c r="G93" s="501"/>
      <c r="H93" s="501"/>
      <c r="I93" s="501"/>
    </row>
    <row r="94" spans="2:9" ht="15">
      <c r="B94" s="500" t="s">
        <v>332</v>
      </c>
      <c r="C94" s="503"/>
      <c r="D94" s="503"/>
      <c r="E94" s="503"/>
      <c r="F94" s="503"/>
      <c r="G94" s="501"/>
      <c r="H94" s="501"/>
      <c r="I94" s="501"/>
    </row>
    <row r="95" spans="2:9" ht="15">
      <c r="B95" s="503"/>
      <c r="C95" s="503"/>
      <c r="D95" s="503"/>
      <c r="E95" s="503"/>
      <c r="F95" s="503"/>
      <c r="G95" s="501"/>
      <c r="H95" s="501"/>
      <c r="I95" s="501"/>
    </row>
    <row r="96" spans="2:9" ht="15">
      <c r="B96" s="502" t="s">
        <v>333</v>
      </c>
      <c r="C96" s="503"/>
      <c r="D96" s="503"/>
      <c r="E96" s="503"/>
      <c r="F96" s="503"/>
      <c r="G96" s="501"/>
      <c r="H96" s="501"/>
      <c r="I96" s="501"/>
    </row>
    <row r="97" spans="2:9" ht="15">
      <c r="B97" s="503"/>
      <c r="C97" s="503"/>
      <c r="D97" s="503"/>
      <c r="E97" s="503"/>
      <c r="F97" s="503"/>
      <c r="G97" s="501"/>
      <c r="H97" s="501"/>
      <c r="I97" s="501"/>
    </row>
    <row r="98" spans="2:9" ht="15">
      <c r="B98" s="500" t="s">
        <v>334</v>
      </c>
      <c r="C98" s="503"/>
      <c r="D98" s="503"/>
      <c r="E98" s="503"/>
      <c r="F98" s="503"/>
      <c r="G98" s="501"/>
      <c r="H98" s="501"/>
      <c r="I98" s="501"/>
    </row>
    <row r="99" spans="2:9" ht="15">
      <c r="B99" s="500" t="s">
        <v>335</v>
      </c>
      <c r="C99" s="503"/>
      <c r="D99" s="503"/>
      <c r="E99" s="503"/>
      <c r="F99" s="503"/>
      <c r="G99" s="501"/>
      <c r="H99" s="501"/>
      <c r="I99" s="501"/>
    </row>
    <row r="100" spans="2:9" ht="15">
      <c r="B100" s="503"/>
      <c r="C100" s="503"/>
      <c r="D100" s="503"/>
      <c r="E100" s="503"/>
      <c r="F100" s="503"/>
      <c r="G100" s="501"/>
      <c r="H100" s="501"/>
      <c r="I100" s="501"/>
    </row>
    <row r="101" spans="2:9" ht="15">
      <c r="B101" s="500" t="s">
        <v>336</v>
      </c>
      <c r="C101" s="503"/>
      <c r="D101" s="503"/>
      <c r="E101" s="503"/>
      <c r="F101" s="503"/>
      <c r="G101" s="501"/>
      <c r="H101" s="501"/>
      <c r="I101" s="501"/>
    </row>
    <row r="102" spans="2:9" ht="15">
      <c r="B102" s="500" t="s">
        <v>337</v>
      </c>
      <c r="C102" s="503"/>
      <c r="D102" s="503"/>
      <c r="E102" s="503"/>
      <c r="F102" s="503"/>
      <c r="G102" s="501"/>
      <c r="H102" s="501"/>
      <c r="I102" s="501"/>
    </row>
    <row r="103" spans="2:9" ht="15">
      <c r="B103" s="500" t="s">
        <v>338</v>
      </c>
      <c r="C103" s="503"/>
      <c r="D103" s="503"/>
      <c r="E103" s="503"/>
      <c r="F103" s="503"/>
      <c r="G103" s="501"/>
      <c r="H103" s="501"/>
      <c r="I103" s="501"/>
    </row>
    <row r="104" spans="2:9" ht="15">
      <c r="B104" s="500" t="s">
        <v>339</v>
      </c>
      <c r="C104" s="503"/>
      <c r="D104" s="503"/>
      <c r="E104" s="503"/>
      <c r="F104" s="503"/>
      <c r="G104" s="501"/>
      <c r="H104" s="501"/>
      <c r="I104" s="501"/>
    </row>
    <row r="105" spans="2:9" ht="15">
      <c r="B105" s="528" t="s">
        <v>348</v>
      </c>
      <c r="C105" s="529"/>
      <c r="D105" s="529"/>
      <c r="E105" s="529"/>
      <c r="F105" s="529"/>
      <c r="G105" s="501"/>
      <c r="H105" s="501"/>
      <c r="I105" s="501"/>
    </row>
    <row r="108" ht="15">
      <c r="G108" s="50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A75">
      <selection activeCell="E90" sqref="E90"/>
    </sheetView>
  </sheetViews>
  <sheetFormatPr defaultColWidth="8.796875" defaultRowHeight="15"/>
  <cols>
    <col min="1" max="1" width="2.3984375" style="30" customWidth="1"/>
    <col min="2" max="2" width="31.19921875" style="30" customWidth="1"/>
    <col min="3" max="4" width="15.69921875" style="30" customWidth="1"/>
    <col min="5" max="5" width="16.296875" style="30" customWidth="1"/>
    <col min="6" max="6" width="6.796875" style="30" customWidth="1"/>
    <col min="7" max="7" width="10.19921875" style="30" customWidth="1"/>
    <col min="8" max="8" width="8.796875" style="30" customWidth="1"/>
    <col min="9" max="9" width="5" style="30" customWidth="1"/>
    <col min="10" max="10" width="10" style="30" customWidth="1"/>
    <col min="11" max="16384" width="8.796875" style="30" customWidth="1"/>
  </cols>
  <sheetData>
    <row r="1" spans="2:5" ht="15">
      <c r="B1" s="175" t="str">
        <f>inputPrYr!D2</f>
        <v>City of Moran</v>
      </c>
      <c r="C1" s="32"/>
      <c r="D1" s="32"/>
      <c r="E1" s="224">
        <f>inputPrYr!C5</f>
        <v>2015</v>
      </c>
    </row>
    <row r="2" spans="2:5" ht="15">
      <c r="B2" s="32"/>
      <c r="C2" s="32"/>
      <c r="D2" s="32"/>
      <c r="E2" s="149"/>
    </row>
    <row r="3" spans="2:5" ht="15">
      <c r="B3" s="225"/>
      <c r="C3" s="32"/>
      <c r="D3" s="32"/>
      <c r="E3" s="117"/>
    </row>
    <row r="4" spans="2:5" ht="15">
      <c r="B4" s="321" t="s">
        <v>112</v>
      </c>
      <c r="C4" s="226"/>
      <c r="D4" s="226"/>
      <c r="E4" s="226"/>
    </row>
    <row r="5" spans="2:5" ht="15">
      <c r="B5" s="151" t="s">
        <v>49</v>
      </c>
      <c r="C5" s="515" t="s">
        <v>345</v>
      </c>
      <c r="D5" s="516" t="s">
        <v>346</v>
      </c>
      <c r="E5" s="125" t="s">
        <v>347</v>
      </c>
    </row>
    <row r="6" spans="2:5" ht="15">
      <c r="B6" s="377" t="str">
        <f>inputPrYr!B17</f>
        <v>General</v>
      </c>
      <c r="C6" s="201" t="str">
        <f>CONCATENATE("Actual for ",E1-2,"")</f>
        <v>Actual for 2013</v>
      </c>
      <c r="D6" s="201" t="str">
        <f>CONCATENATE("Estimate for ",E1-1,"")</f>
        <v>Estimate for 2014</v>
      </c>
      <c r="E6" s="186" t="str">
        <f>CONCATENATE("Year for ",E1,"")</f>
        <v>Year for 2015</v>
      </c>
    </row>
    <row r="7" spans="2:5" ht="15">
      <c r="B7" s="228" t="s">
        <v>155</v>
      </c>
      <c r="C7" s="229">
        <v>52711</v>
      </c>
      <c r="D7" s="230">
        <f>C112</f>
        <v>37392</v>
      </c>
      <c r="E7" s="204">
        <f>D112</f>
        <v>30267.70000000001</v>
      </c>
    </row>
    <row r="8" spans="2:5" ht="15">
      <c r="B8" s="231" t="s">
        <v>157</v>
      </c>
      <c r="C8" s="140"/>
      <c r="D8" s="140"/>
      <c r="E8" s="68"/>
    </row>
    <row r="9" spans="2:5" ht="15">
      <c r="B9" s="228" t="s">
        <v>50</v>
      </c>
      <c r="C9" s="232">
        <v>21428</v>
      </c>
      <c r="D9" s="230">
        <f>IF(inputPrYr!H16&gt;0,inputPrYr!G17,inputPrYr!E17)*0.97</f>
        <v>24841.7</v>
      </c>
      <c r="E9" s="234" t="s">
        <v>38</v>
      </c>
    </row>
    <row r="10" spans="2:5" ht="15">
      <c r="B10" s="228" t="s">
        <v>51</v>
      </c>
      <c r="C10" s="232">
        <v>654</v>
      </c>
      <c r="D10" s="232">
        <v>746</v>
      </c>
      <c r="E10" s="235">
        <v>746</v>
      </c>
    </row>
    <row r="11" spans="2:5" ht="15">
      <c r="B11" s="228" t="s">
        <v>52</v>
      </c>
      <c r="C11" s="232">
        <v>10285</v>
      </c>
      <c r="D11" s="232">
        <v>6982</v>
      </c>
      <c r="E11" s="204">
        <f>mvalloc!D7</f>
        <v>7556</v>
      </c>
    </row>
    <row r="12" spans="2:5" ht="15">
      <c r="B12" s="228" t="s">
        <v>53</v>
      </c>
      <c r="C12" s="232">
        <v>59</v>
      </c>
      <c r="D12" s="232">
        <v>52</v>
      </c>
      <c r="E12" s="204">
        <f>mvalloc!E7</f>
        <v>45</v>
      </c>
    </row>
    <row r="13" spans="2:5" ht="15">
      <c r="B13" s="228" t="s">
        <v>144</v>
      </c>
      <c r="C13" s="232">
        <v>660</v>
      </c>
      <c r="D13" s="232">
        <v>363</v>
      </c>
      <c r="E13" s="204">
        <f>mvalloc!F7</f>
        <v>308</v>
      </c>
    </row>
    <row r="14" spans="2:5" ht="15">
      <c r="B14" s="228" t="s">
        <v>145</v>
      </c>
      <c r="C14" s="232">
        <v>0</v>
      </c>
      <c r="D14" s="232">
        <v>0</v>
      </c>
      <c r="E14" s="204">
        <f>inputOth!E16</f>
        <v>0</v>
      </c>
    </row>
    <row r="15" spans="2:5" ht="15">
      <c r="B15" s="228" t="s">
        <v>179</v>
      </c>
      <c r="C15" s="232">
        <v>0</v>
      </c>
      <c r="D15" s="232">
        <v>0</v>
      </c>
      <c r="E15" s="204">
        <f>inputOth!E42</f>
        <v>0</v>
      </c>
    </row>
    <row r="16" spans="2:5" ht="15">
      <c r="B16" s="228" t="s">
        <v>180</v>
      </c>
      <c r="C16" s="232">
        <v>0</v>
      </c>
      <c r="D16" s="232">
        <v>0</v>
      </c>
      <c r="E16" s="204">
        <f>inputOth!E43</f>
        <v>0</v>
      </c>
    </row>
    <row r="17" spans="2:5" ht="15">
      <c r="B17" s="229" t="s">
        <v>432</v>
      </c>
      <c r="C17" s="232">
        <v>0</v>
      </c>
      <c r="D17" s="232">
        <v>0</v>
      </c>
      <c r="E17" s="235">
        <v>32</v>
      </c>
    </row>
    <row r="18" spans="2:5" ht="15">
      <c r="B18" s="229" t="s">
        <v>403</v>
      </c>
      <c r="C18" s="232">
        <v>804</v>
      </c>
      <c r="D18" s="232">
        <v>842</v>
      </c>
      <c r="E18" s="235">
        <v>842</v>
      </c>
    </row>
    <row r="19" spans="2:5" ht="15">
      <c r="B19" s="229" t="s">
        <v>56</v>
      </c>
      <c r="C19" s="232">
        <v>0</v>
      </c>
      <c r="D19" s="232">
        <v>0</v>
      </c>
      <c r="E19" s="235">
        <v>0</v>
      </c>
    </row>
    <row r="20" spans="2:5" ht="15">
      <c r="B20" s="229" t="s">
        <v>54</v>
      </c>
      <c r="C20" s="232">
        <v>0</v>
      </c>
      <c r="D20" s="232">
        <v>0</v>
      </c>
      <c r="E20" s="235">
        <v>0</v>
      </c>
    </row>
    <row r="21" spans="2:5" ht="15">
      <c r="B21" s="379" t="s">
        <v>253</v>
      </c>
      <c r="C21" s="232">
        <v>0</v>
      </c>
      <c r="D21" s="232">
        <v>0</v>
      </c>
      <c r="E21" s="235">
        <v>0</v>
      </c>
    </row>
    <row r="22" spans="2:5" ht="15">
      <c r="B22" s="378" t="s">
        <v>254</v>
      </c>
      <c r="C22" s="232">
        <v>48576</v>
      </c>
      <c r="D22" s="232">
        <v>61581</v>
      </c>
      <c r="E22" s="235">
        <v>55414</v>
      </c>
    </row>
    <row r="23" spans="2:5" ht="15">
      <c r="B23" s="378" t="s">
        <v>255</v>
      </c>
      <c r="C23" s="232">
        <v>300</v>
      </c>
      <c r="D23" s="232">
        <v>300</v>
      </c>
      <c r="E23" s="235">
        <v>300</v>
      </c>
    </row>
    <row r="24" spans="2:5" ht="15">
      <c r="B24" s="378" t="s">
        <v>402</v>
      </c>
      <c r="C24" s="232">
        <v>1218</v>
      </c>
      <c r="D24" s="232">
        <v>1348</v>
      </c>
      <c r="E24" s="235">
        <v>1348</v>
      </c>
    </row>
    <row r="25" spans="2:5" ht="15">
      <c r="B25" s="229" t="s">
        <v>404</v>
      </c>
      <c r="C25" s="232">
        <v>63463</v>
      </c>
      <c r="D25" s="232">
        <v>35780</v>
      </c>
      <c r="E25" s="235">
        <v>35780</v>
      </c>
    </row>
    <row r="26" spans="2:5" ht="15">
      <c r="B26" s="229" t="s">
        <v>405</v>
      </c>
      <c r="C26" s="232">
        <v>19381</v>
      </c>
      <c r="D26" s="232">
        <v>18797</v>
      </c>
      <c r="E26" s="235">
        <v>18797</v>
      </c>
    </row>
    <row r="27" spans="2:5" ht="15">
      <c r="B27" s="229" t="s">
        <v>406</v>
      </c>
      <c r="C27" s="232">
        <v>352</v>
      </c>
      <c r="D27" s="232">
        <v>1384</v>
      </c>
      <c r="E27" s="235">
        <v>0</v>
      </c>
    </row>
    <row r="28" spans="2:5" ht="15">
      <c r="B28" s="229" t="s">
        <v>429</v>
      </c>
      <c r="C28" s="232"/>
      <c r="D28" s="232"/>
      <c r="E28" s="235"/>
    </row>
    <row r="29" spans="2:5" ht="15">
      <c r="B29" s="229" t="s">
        <v>430</v>
      </c>
      <c r="C29" s="232">
        <v>0</v>
      </c>
      <c r="D29" s="232">
        <v>0</v>
      </c>
      <c r="E29" s="235">
        <v>7200</v>
      </c>
    </row>
    <row r="30" spans="2:5" ht="15">
      <c r="B30" s="229" t="s">
        <v>431</v>
      </c>
      <c r="C30" s="232">
        <v>0</v>
      </c>
      <c r="D30" s="232">
        <v>0</v>
      </c>
      <c r="E30" s="235">
        <v>4800</v>
      </c>
    </row>
    <row r="31" spans="2:5" ht="15">
      <c r="B31" s="229"/>
      <c r="C31" s="232"/>
      <c r="D31" s="232"/>
      <c r="E31" s="235"/>
    </row>
    <row r="32" spans="2:5" ht="15">
      <c r="B32" s="229"/>
      <c r="C32" s="232"/>
      <c r="D32" s="232"/>
      <c r="E32" s="235"/>
    </row>
    <row r="33" spans="2:5" ht="15">
      <c r="B33" s="229" t="s">
        <v>407</v>
      </c>
      <c r="C33" s="232"/>
      <c r="D33" s="232"/>
      <c r="E33" s="235"/>
    </row>
    <row r="34" spans="2:5" ht="15">
      <c r="B34" s="229" t="s">
        <v>408</v>
      </c>
      <c r="C34" s="232">
        <v>50000</v>
      </c>
      <c r="D34" s="232">
        <v>50000</v>
      </c>
      <c r="E34" s="235">
        <v>50000</v>
      </c>
    </row>
    <row r="35" spans="2:5" ht="15">
      <c r="B35" s="229"/>
      <c r="C35" s="232"/>
      <c r="D35" s="232"/>
      <c r="E35" s="235"/>
    </row>
    <row r="36" spans="2:5" ht="15">
      <c r="B36" s="229"/>
      <c r="C36" s="232"/>
      <c r="D36" s="232"/>
      <c r="E36" s="235"/>
    </row>
    <row r="37" spans="2:5" ht="15">
      <c r="B37" s="229"/>
      <c r="C37" s="232"/>
      <c r="D37" s="232"/>
      <c r="E37" s="235"/>
    </row>
    <row r="38" spans="2:5" ht="15">
      <c r="B38" s="229"/>
      <c r="C38" s="232"/>
      <c r="D38" s="232"/>
      <c r="E38" s="235"/>
    </row>
    <row r="39" spans="2:5" ht="15">
      <c r="B39" s="229"/>
      <c r="C39" s="232"/>
      <c r="D39" s="232"/>
      <c r="E39" s="235"/>
    </row>
    <row r="40" spans="2:5" ht="15">
      <c r="B40" s="229"/>
      <c r="C40" s="232"/>
      <c r="D40" s="232"/>
      <c r="E40" s="235"/>
    </row>
    <row r="41" spans="2:5" ht="15">
      <c r="B41" s="229"/>
      <c r="C41" s="232"/>
      <c r="D41" s="232"/>
      <c r="E41" s="235"/>
    </row>
    <row r="42" spans="2:5" ht="15">
      <c r="B42" s="229"/>
      <c r="C42" s="232"/>
      <c r="D42" s="232"/>
      <c r="E42" s="235"/>
    </row>
    <row r="43" spans="2:5" ht="15">
      <c r="B43" s="229"/>
      <c r="C43" s="232"/>
      <c r="D43" s="232"/>
      <c r="E43" s="235"/>
    </row>
    <row r="44" spans="2:5" ht="15">
      <c r="B44" s="229"/>
      <c r="C44" s="232"/>
      <c r="D44" s="232"/>
      <c r="E44" s="235"/>
    </row>
    <row r="45" spans="2:5" ht="15">
      <c r="B45" s="229"/>
      <c r="C45" s="232"/>
      <c r="D45" s="232"/>
      <c r="E45" s="235"/>
    </row>
    <row r="46" spans="2:5" ht="15">
      <c r="B46" s="229"/>
      <c r="C46" s="232"/>
      <c r="D46" s="232"/>
      <c r="E46" s="235"/>
    </row>
    <row r="47" spans="2:5" ht="15">
      <c r="B47" s="229"/>
      <c r="C47" s="232"/>
      <c r="D47" s="232"/>
      <c r="E47" s="235"/>
    </row>
    <row r="48" spans="2:5" ht="15">
      <c r="B48" s="229"/>
      <c r="C48" s="232"/>
      <c r="D48" s="232"/>
      <c r="E48" s="235"/>
    </row>
    <row r="49" spans="2:5" ht="15">
      <c r="B49" s="229"/>
      <c r="C49" s="232"/>
      <c r="D49" s="232"/>
      <c r="E49" s="235"/>
    </row>
    <row r="50" spans="2:5" ht="15">
      <c r="B50" s="229"/>
      <c r="C50" s="232"/>
      <c r="D50" s="232"/>
      <c r="E50" s="235"/>
    </row>
    <row r="51" spans="2:5" ht="15">
      <c r="B51" s="229"/>
      <c r="C51" s="232"/>
      <c r="D51" s="232"/>
      <c r="E51" s="235"/>
    </row>
    <row r="52" spans="2:5" ht="15">
      <c r="B52" s="229" t="s">
        <v>55</v>
      </c>
      <c r="C52" s="232"/>
      <c r="D52" s="232"/>
      <c r="E52" s="235"/>
    </row>
    <row r="53" spans="2:5" ht="15">
      <c r="B53" s="236" t="s">
        <v>57</v>
      </c>
      <c r="C53" s="232">
        <v>960</v>
      </c>
      <c r="D53" s="232">
        <v>560</v>
      </c>
      <c r="E53" s="235">
        <v>560</v>
      </c>
    </row>
    <row r="54" spans="2:5" ht="15">
      <c r="B54" s="140" t="s">
        <v>9</v>
      </c>
      <c r="C54" s="232">
        <v>7687</v>
      </c>
      <c r="D54" s="232">
        <v>5269</v>
      </c>
      <c r="E54" s="235">
        <v>5269</v>
      </c>
    </row>
    <row r="55" spans="2:5" ht="15">
      <c r="B55" s="228" t="s">
        <v>259</v>
      </c>
      <c r="C55" s="237">
        <f>IF(C56*0.1&lt;C54,"Exceed 10% Rule","")</f>
      </c>
      <c r="D55" s="237">
        <f>IF(D56*0.1&lt;D54,"Exceed 10% Rule","")</f>
      </c>
      <c r="E55" s="267">
        <f>IF(E56*0.1+E118&lt;E54,"Exceed 10% Rule","")</f>
      </c>
    </row>
    <row r="56" spans="2:5" ht="15">
      <c r="B56" s="239" t="s">
        <v>58</v>
      </c>
      <c r="C56" s="241">
        <f>SUM(C9:C54)</f>
        <v>225827</v>
      </c>
      <c r="D56" s="241">
        <f>SUM(D9:D54)</f>
        <v>208845.7</v>
      </c>
      <c r="E56" s="242">
        <f>SUM(E10:E54)</f>
        <v>188997</v>
      </c>
    </row>
    <row r="57" spans="2:5" ht="15">
      <c r="B57" s="239" t="s">
        <v>59</v>
      </c>
      <c r="C57" s="241">
        <f>C7+C56</f>
        <v>278538</v>
      </c>
      <c r="D57" s="241">
        <f>D7+D56</f>
        <v>246237.7</v>
      </c>
      <c r="E57" s="242">
        <f>E7+E56</f>
        <v>219264.7</v>
      </c>
    </row>
    <row r="58" spans="2:5" ht="15">
      <c r="B58" s="32"/>
      <c r="C58" s="32"/>
      <c r="D58" s="32"/>
      <c r="E58" s="32"/>
    </row>
    <row r="59" spans="2:5" ht="15">
      <c r="B59" s="117" t="s">
        <v>67</v>
      </c>
      <c r="C59" s="151">
        <f>IF(inputPrYr!D19&gt;0,8,7)</f>
        <v>8</v>
      </c>
      <c r="D59" s="152"/>
      <c r="E59" s="152"/>
    </row>
    <row r="60" spans="2:5" ht="15">
      <c r="B60" s="152"/>
      <c r="C60" s="152"/>
      <c r="D60" s="152"/>
      <c r="E60" s="152"/>
    </row>
    <row r="61" spans="2:5" ht="15">
      <c r="B61" s="175" t="str">
        <f>inputPrYr!D2</f>
        <v>City of Moran</v>
      </c>
      <c r="C61" s="32"/>
      <c r="D61" s="32"/>
      <c r="E61" s="149"/>
    </row>
    <row r="62" spans="2:5" ht="15">
      <c r="B62" s="32"/>
      <c r="C62" s="32"/>
      <c r="D62" s="32"/>
      <c r="E62" s="117"/>
    </row>
    <row r="63" spans="2:5" ht="15">
      <c r="B63" s="243" t="s">
        <v>111</v>
      </c>
      <c r="C63" s="197"/>
      <c r="D63" s="197"/>
      <c r="E63" s="197"/>
    </row>
    <row r="64" spans="2:5" ht="15">
      <c r="B64" s="32" t="s">
        <v>49</v>
      </c>
      <c r="C64" s="515" t="s">
        <v>345</v>
      </c>
      <c r="D64" s="516" t="s">
        <v>346</v>
      </c>
      <c r="E64" s="125" t="s">
        <v>347</v>
      </c>
    </row>
    <row r="65" spans="2:5" ht="15">
      <c r="B65" s="58" t="str">
        <f>inputPrYr!B17</f>
        <v>General</v>
      </c>
      <c r="C65" s="201" t="str">
        <f>CONCATENATE("Actual for ",E1-2,"")</f>
        <v>Actual for 2013</v>
      </c>
      <c r="D65" s="201" t="str">
        <f>CONCATENATE("Estimate for ",E1-1,"")</f>
        <v>Estimate for 2014</v>
      </c>
      <c r="E65" s="186" t="str">
        <f>CONCATENATE("Year for ",E1,"")</f>
        <v>Year for 2015</v>
      </c>
    </row>
    <row r="66" spans="2:5" ht="15">
      <c r="B66" s="244" t="s">
        <v>59</v>
      </c>
      <c r="C66" s="230">
        <f>C57</f>
        <v>278538</v>
      </c>
      <c r="D66" s="230">
        <f>D57</f>
        <v>246237.7</v>
      </c>
      <c r="E66" s="204">
        <f>E57</f>
        <v>219264.7</v>
      </c>
    </row>
    <row r="67" spans="2:5" ht="15">
      <c r="B67" s="231" t="s">
        <v>61</v>
      </c>
      <c r="C67" s="140"/>
      <c r="D67" s="140"/>
      <c r="E67" s="68"/>
    </row>
    <row r="68" spans="2:6" ht="15">
      <c r="B68" s="228" t="str">
        <f>GenDetail!A7</f>
        <v>General Government</v>
      </c>
      <c r="C68" s="245">
        <f>GenDetail!B15</f>
        <v>63993</v>
      </c>
      <c r="D68" s="245">
        <f>GenDetail!C15</f>
        <v>55912</v>
      </c>
      <c r="E68" s="63">
        <f>GenDetail!D15</f>
        <v>63226.1</v>
      </c>
      <c r="F68" s="246"/>
    </row>
    <row r="69" spans="2:6" ht="15">
      <c r="B69" s="228" t="str">
        <f>GenDetail!A16</f>
        <v>Streets</v>
      </c>
      <c r="C69" s="245">
        <f>GenDetail!B22</f>
        <v>15114</v>
      </c>
      <c r="D69" s="245">
        <f>GenDetail!C22</f>
        <v>8961</v>
      </c>
      <c r="E69" s="63">
        <f>GenDetail!D22</f>
        <v>10005.85</v>
      </c>
      <c r="F69" s="246"/>
    </row>
    <row r="70" spans="2:5" ht="15">
      <c r="B70" s="228" t="str">
        <f>GenDetail!A23</f>
        <v>Refuse Removal</v>
      </c>
      <c r="C70" s="245">
        <f>GenDetail!B29</f>
        <v>18002</v>
      </c>
      <c r="D70" s="245">
        <f>GenDetail!C29</f>
        <v>17622</v>
      </c>
      <c r="E70" s="63">
        <f>GenDetail!D29</f>
        <v>18500</v>
      </c>
    </row>
    <row r="71" spans="2:5" ht="15">
      <c r="B71" s="228" t="str">
        <f>GenDetail!A30</f>
        <v>Fire</v>
      </c>
      <c r="C71" s="245">
        <f>GenDetail!B35</f>
        <v>12693</v>
      </c>
      <c r="D71" s="245">
        <f>GenDetail!C35</f>
        <v>12913</v>
      </c>
      <c r="E71" s="63">
        <f>GenDetail!D35</f>
        <v>12963.05</v>
      </c>
    </row>
    <row r="72" spans="2:5" ht="15">
      <c r="B72" s="228" t="str">
        <f>GenDetail!A36</f>
        <v>Police</v>
      </c>
      <c r="C72" s="245">
        <f>GenDetail!B42</f>
        <v>95747</v>
      </c>
      <c r="D72" s="245">
        <f>GenDetail!C42</f>
        <v>82849</v>
      </c>
      <c r="E72" s="63">
        <f>GenDetail!D42</f>
        <v>89358.5</v>
      </c>
    </row>
    <row r="73" spans="2:5" ht="15">
      <c r="B73" s="228" t="str">
        <f>GenDetail!A43</f>
        <v>Parks</v>
      </c>
      <c r="C73" s="245">
        <f>GenDetail!B49</f>
        <v>21597</v>
      </c>
      <c r="D73" s="245">
        <f>GenDetail!C49</f>
        <v>23713</v>
      </c>
      <c r="E73" s="63">
        <f>GenDetail!D49</f>
        <v>26107.1</v>
      </c>
    </row>
    <row r="74" spans="2:5" ht="15">
      <c r="B74" s="228" t="str">
        <f>GenDetail!A50</f>
        <v>Culture and Recreation</v>
      </c>
      <c r="C74" s="245">
        <f>GenDetail!B56</f>
        <v>4800</v>
      </c>
      <c r="D74" s="245">
        <f>GenDetail!C56</f>
        <v>4800</v>
      </c>
      <c r="E74" s="63">
        <f>GenDetail!D56</f>
        <v>4800</v>
      </c>
    </row>
    <row r="75" spans="2:5" ht="15">
      <c r="B75" s="228"/>
      <c r="C75" s="245"/>
      <c r="D75" s="245"/>
      <c r="E75" s="63"/>
    </row>
    <row r="76" spans="2:5" ht="15">
      <c r="B76" s="228"/>
      <c r="C76" s="245"/>
      <c r="D76" s="245"/>
      <c r="E76" s="63"/>
    </row>
    <row r="77" spans="2:5" ht="15">
      <c r="B77" s="228"/>
      <c r="C77" s="245"/>
      <c r="D77" s="245"/>
      <c r="E77" s="63"/>
    </row>
    <row r="78" spans="2:5" ht="15">
      <c r="B78" s="228"/>
      <c r="C78" s="245"/>
      <c r="D78" s="245"/>
      <c r="E78" s="63"/>
    </row>
    <row r="79" spans="2:5" ht="15">
      <c r="B79" s="228"/>
      <c r="C79" s="245"/>
      <c r="D79" s="245"/>
      <c r="E79" s="63"/>
    </row>
    <row r="80" spans="2:5" ht="15">
      <c r="B80" s="228"/>
      <c r="C80" s="245"/>
      <c r="D80" s="245"/>
      <c r="E80" s="63"/>
    </row>
    <row r="81" spans="2:5" ht="15">
      <c r="B81" s="228"/>
      <c r="C81" s="245"/>
      <c r="D81" s="245"/>
      <c r="E81" s="63"/>
    </row>
    <row r="82" spans="2:5" ht="15">
      <c r="B82" s="228"/>
      <c r="C82" s="245"/>
      <c r="D82" s="245"/>
      <c r="E82" s="63"/>
    </row>
    <row r="83" spans="2:5" ht="15">
      <c r="B83" s="228"/>
      <c r="C83" s="245"/>
      <c r="D83" s="245"/>
      <c r="E83" s="63"/>
    </row>
    <row r="84" spans="2:5" ht="15">
      <c r="B84" s="247" t="s">
        <v>248</v>
      </c>
      <c r="C84" s="313">
        <f>SUM(C68:C83)</f>
        <v>231946</v>
      </c>
      <c r="D84" s="313">
        <f>SUM(D68:D83)</f>
        <v>206770</v>
      </c>
      <c r="E84" s="261">
        <f>SUM(E68:E83)</f>
        <v>224960.6</v>
      </c>
    </row>
    <row r="85" spans="2:5" ht="15">
      <c r="B85" s="236"/>
      <c r="C85" s="232"/>
      <c r="D85" s="232"/>
      <c r="E85" s="235"/>
    </row>
    <row r="86" spans="2:5" ht="15">
      <c r="B86" s="236" t="s">
        <v>419</v>
      </c>
      <c r="C86" s="232"/>
      <c r="D86" s="232"/>
      <c r="E86" s="235"/>
    </row>
    <row r="87" spans="2:5" ht="15">
      <c r="B87" s="236" t="s">
        <v>420</v>
      </c>
      <c r="C87" s="232">
        <v>5000</v>
      </c>
      <c r="D87" s="232">
        <v>5000</v>
      </c>
      <c r="E87" s="235">
        <v>17000</v>
      </c>
    </row>
    <row r="88" spans="2:5" ht="15">
      <c r="B88" s="236" t="s">
        <v>421</v>
      </c>
      <c r="C88" s="232">
        <v>4200</v>
      </c>
      <c r="D88" s="232">
        <v>4200</v>
      </c>
      <c r="E88" s="235">
        <v>4200</v>
      </c>
    </row>
    <row r="89" spans="2:5" ht="15">
      <c r="B89" s="236" t="s">
        <v>473</v>
      </c>
      <c r="C89" s="232">
        <v>0</v>
      </c>
      <c r="D89" s="232">
        <v>0</v>
      </c>
      <c r="E89" s="235">
        <v>10000</v>
      </c>
    </row>
    <row r="90" spans="2:5" ht="15">
      <c r="B90" s="236"/>
      <c r="C90" s="232"/>
      <c r="D90" s="232"/>
      <c r="E90" s="235"/>
    </row>
    <row r="91" spans="2:5" ht="15">
      <c r="B91" s="248"/>
      <c r="C91" s="232"/>
      <c r="D91" s="232"/>
      <c r="E91" s="235"/>
    </row>
    <row r="92" spans="2:5" ht="15">
      <c r="B92" s="248"/>
      <c r="C92" s="232"/>
      <c r="D92" s="232"/>
      <c r="E92" s="235"/>
    </row>
    <row r="93" spans="2:5" ht="15">
      <c r="B93" s="248"/>
      <c r="C93" s="232"/>
      <c r="D93" s="232"/>
      <c r="E93" s="235"/>
    </row>
    <row r="94" spans="2:5" ht="15">
      <c r="B94" s="248"/>
      <c r="C94" s="232"/>
      <c r="D94" s="232"/>
      <c r="E94" s="235"/>
    </row>
    <row r="95" spans="2:5" ht="15">
      <c r="B95" s="248"/>
      <c r="C95" s="232"/>
      <c r="D95" s="232"/>
      <c r="E95" s="235"/>
    </row>
    <row r="96" spans="2:5" ht="15">
      <c r="B96" s="248"/>
      <c r="C96" s="232"/>
      <c r="D96" s="232"/>
      <c r="E96" s="235"/>
    </row>
    <row r="97" spans="2:5" ht="15">
      <c r="B97" s="248"/>
      <c r="C97" s="232"/>
      <c r="D97" s="232"/>
      <c r="E97" s="235"/>
    </row>
    <row r="98" spans="2:5" ht="15">
      <c r="B98" s="248"/>
      <c r="C98" s="232"/>
      <c r="D98" s="232"/>
      <c r="E98" s="235"/>
    </row>
    <row r="99" spans="2:5" ht="15">
      <c r="B99" s="248"/>
      <c r="C99" s="232"/>
      <c r="D99" s="232"/>
      <c r="E99" s="235"/>
    </row>
    <row r="100" spans="2:5" ht="15">
      <c r="B100" s="248"/>
      <c r="C100" s="232"/>
      <c r="D100" s="232"/>
      <c r="E100" s="235"/>
    </row>
    <row r="101" spans="2:5" ht="15">
      <c r="B101" s="248"/>
      <c r="C101" s="232"/>
      <c r="D101" s="232"/>
      <c r="E101" s="235"/>
    </row>
    <row r="102" spans="2:10" ht="15">
      <c r="B102" s="248"/>
      <c r="C102" s="232"/>
      <c r="D102" s="232"/>
      <c r="E102" s="235"/>
      <c r="G102" s="629" t="str">
        <f>CONCATENATE("Desired Carryover Into ",E1+1,"")</f>
        <v>Desired Carryover Into 2016</v>
      </c>
      <c r="H102" s="630"/>
      <c r="I102" s="630"/>
      <c r="J102" s="631"/>
    </row>
    <row r="103" spans="2:10" ht="15">
      <c r="B103" s="248"/>
      <c r="C103" s="232"/>
      <c r="D103" s="232"/>
      <c r="E103" s="235"/>
      <c r="G103" s="384"/>
      <c r="H103" s="381"/>
      <c r="I103" s="381"/>
      <c r="J103" s="385"/>
    </row>
    <row r="104" spans="2:10" ht="15">
      <c r="B104" s="248"/>
      <c r="C104" s="232"/>
      <c r="D104" s="232"/>
      <c r="E104" s="235"/>
      <c r="G104" s="395" t="s">
        <v>256</v>
      </c>
      <c r="H104" s="389"/>
      <c r="I104" s="389"/>
      <c r="J104" s="383">
        <v>0</v>
      </c>
    </row>
    <row r="105" spans="2:10" ht="15">
      <c r="B105" s="248"/>
      <c r="C105" s="232"/>
      <c r="D105" s="232"/>
      <c r="E105" s="235"/>
      <c r="G105" s="399" t="s">
        <v>257</v>
      </c>
      <c r="H105" s="380"/>
      <c r="I105" s="382"/>
      <c r="J105" s="398">
        <f>IF(J104=0,"",ROUND((J104+E118-G117)/inputOth!E7*1000,3)-general!G122)</f>
      </c>
    </row>
    <row r="106" spans="2:10" ht="15">
      <c r="B106" s="248"/>
      <c r="C106" s="232"/>
      <c r="D106" s="232"/>
      <c r="E106" s="235"/>
      <c r="G106" s="426" t="str">
        <f>CONCATENATE("",E1," Total Expenditures Must Be:")</f>
        <v>2015 Total Expenditures Must Be:</v>
      </c>
      <c r="H106" s="427"/>
      <c r="I106" s="428"/>
      <c r="J106" s="397">
        <f>IF(J104&gt;0,IF(E115&lt;E57,IF(J104=G117,E115,((J104-G117)*(1-D117))+E57),E115+(J104-G117)),0)</f>
        <v>0</v>
      </c>
    </row>
    <row r="107" spans="2:10" ht="15">
      <c r="B107" s="248"/>
      <c r="C107" s="232"/>
      <c r="D107" s="232"/>
      <c r="E107" s="235"/>
      <c r="G107" s="430" t="s">
        <v>285</v>
      </c>
      <c r="H107" s="431"/>
      <c r="I107" s="432"/>
      <c r="J107" s="465">
        <f>IF(J104&gt;0,J106-E115,0)</f>
        <v>0</v>
      </c>
    </row>
    <row r="108" spans="2:5" ht="15">
      <c r="B108" s="249" t="s">
        <v>8</v>
      </c>
      <c r="C108" s="232"/>
      <c r="D108" s="232"/>
      <c r="E108" s="250"/>
    </row>
    <row r="109" spans="2:10" ht="15">
      <c r="B109" s="249" t="s">
        <v>9</v>
      </c>
      <c r="C109" s="232"/>
      <c r="D109" s="232"/>
      <c r="E109" s="235"/>
      <c r="G109" s="629" t="str">
        <f>CONCATENATE("Projected Carryover Into ",E1+1,"")</f>
        <v>Projected Carryover Into 2016</v>
      </c>
      <c r="H109" s="638"/>
      <c r="I109" s="638"/>
      <c r="J109" s="639"/>
    </row>
    <row r="110" spans="2:10" ht="15">
      <c r="B110" s="249" t="s">
        <v>260</v>
      </c>
      <c r="C110" s="237">
        <f>IF(C111*0.1&lt;C109,"Exceed 10% Rule","")</f>
      </c>
      <c r="D110" s="237">
        <f>IF(D111*0.1&lt;D109,"Exceed 10% Rule","")</f>
      </c>
      <c r="E110" s="267">
        <f>IF(E111*0.1&lt;E109,"Exceed 10% Rule","")</f>
      </c>
      <c r="G110" s="384"/>
      <c r="H110" s="381"/>
      <c r="I110" s="381"/>
      <c r="J110" s="385"/>
    </row>
    <row r="111" spans="2:10" ht="15">
      <c r="B111" s="239" t="s">
        <v>64</v>
      </c>
      <c r="C111" s="241">
        <f>SUM(C84:C109)</f>
        <v>241146</v>
      </c>
      <c r="D111" s="241">
        <f>SUM(D84:D109)</f>
        <v>215970</v>
      </c>
      <c r="E111" s="242">
        <f>SUM(E84:E109)</f>
        <v>256160.6</v>
      </c>
      <c r="G111" s="386">
        <f>D112</f>
        <v>30267.70000000001</v>
      </c>
      <c r="H111" s="387" t="str">
        <f>CONCATENATE("",E1-1," Ending Cash Balance (est.)")</f>
        <v>2014 Ending Cash Balance (est.)</v>
      </c>
      <c r="I111" s="388"/>
      <c r="J111" s="385"/>
    </row>
    <row r="112" spans="2:10" ht="15">
      <c r="B112" s="131" t="s">
        <v>156</v>
      </c>
      <c r="C112" s="245">
        <f>C57-C111</f>
        <v>37392</v>
      </c>
      <c r="D112" s="245">
        <f>D57-D111</f>
        <v>30267.70000000001</v>
      </c>
      <c r="E112" s="234" t="s">
        <v>38</v>
      </c>
      <c r="G112" s="386">
        <f>E56</f>
        <v>188997</v>
      </c>
      <c r="H112" s="389" t="str">
        <f>CONCATENATE("",E1," Non-AV Receipts (est.)")</f>
        <v>2015 Non-AV Receipts (est.)</v>
      </c>
      <c r="I112" s="388"/>
      <c r="J112" s="385"/>
    </row>
    <row r="113" spans="2:11" ht="15">
      <c r="B113" s="151" t="str">
        <f>CONCATENATE("",E1-2,"/",E1-1,"/",E1," Budget Authority Amount:")</f>
        <v>2013/2014/2015 Budget Authority Amount:</v>
      </c>
      <c r="C113" s="518">
        <f>inputOth!B60</f>
        <v>261135</v>
      </c>
      <c r="D113" s="518">
        <f>inputPrYr!D17</f>
        <v>270695</v>
      </c>
      <c r="E113" s="536">
        <f>E111</f>
        <v>256160.6</v>
      </c>
      <c r="F113" s="251"/>
      <c r="G113" s="390">
        <f>IF(E117&gt;0,E116,E118)</f>
        <v>36895.899999999994</v>
      </c>
      <c r="H113" s="389" t="str">
        <f>CONCATENATE("",E1," Ad Valorem Tax (est.)")</f>
        <v>2015 Ad Valorem Tax (est.)</v>
      </c>
      <c r="I113" s="388"/>
      <c r="J113" s="385"/>
      <c r="K113" s="444" t="str">
        <f>IF(G113=E118,"","Note: Does not include Delinquent Taxes")</f>
        <v>Note: Does not include Delinquent Taxes</v>
      </c>
    </row>
    <row r="114" spans="2:10" ht="15">
      <c r="B114" s="117"/>
      <c r="C114" s="632" t="s">
        <v>246</v>
      </c>
      <c r="D114" s="633"/>
      <c r="E114" s="235"/>
      <c r="F114" s="366">
        <f>IF(E111/0.95-E111&lt;E114,"Exceeds 5%","")</f>
      </c>
      <c r="G114" s="386">
        <f>SUM(G111:G113)</f>
        <v>256160.6</v>
      </c>
      <c r="H114" s="389" t="str">
        <f>CONCATENATE("Total ",E1," Resources Available")</f>
        <v>Total 2015 Resources Available</v>
      </c>
      <c r="I114" s="388"/>
      <c r="J114" s="385"/>
    </row>
    <row r="115" spans="2:10" ht="15">
      <c r="B115" s="373" t="str">
        <f>CONCATENATE(C132,"     ",D132)</f>
        <v>     </v>
      </c>
      <c r="C115" s="634" t="s">
        <v>247</v>
      </c>
      <c r="D115" s="635"/>
      <c r="E115" s="204">
        <f>E111+E114</f>
        <v>256160.6</v>
      </c>
      <c r="G115" s="391"/>
      <c r="H115" s="389"/>
      <c r="I115" s="389"/>
      <c r="J115" s="385"/>
    </row>
    <row r="116" spans="2:10" ht="15">
      <c r="B116" s="373" t="str">
        <f>CONCATENATE(C133,"     ",D133)</f>
        <v>     </v>
      </c>
      <c r="C116" s="252"/>
      <c r="D116" s="149" t="s">
        <v>65</v>
      </c>
      <c r="E116" s="63">
        <f>IF(E115-E57&gt;0,E115-E57,0)</f>
        <v>36895.899999999994</v>
      </c>
      <c r="G116" s="390">
        <f>C111*0.05+C111</f>
        <v>253203.3</v>
      </c>
      <c r="H116" s="389" t="str">
        <f>CONCATENATE("Less ",E1-2," Expenditures + 5%")</f>
        <v>Less 2013 Expenditures + 5%</v>
      </c>
      <c r="I116" s="388"/>
      <c r="J116" s="385"/>
    </row>
    <row r="117" spans="2:10" ht="15">
      <c r="B117" s="149"/>
      <c r="C117" s="316" t="s">
        <v>245</v>
      </c>
      <c r="D117" s="526">
        <f>inputOth!$E$47</f>
        <v>0.03</v>
      </c>
      <c r="E117" s="204">
        <f>ROUND(IF(D117&gt;0,(E116*D117),0),0)</f>
        <v>1107</v>
      </c>
      <c r="G117" s="396">
        <f>G114-G116</f>
        <v>2957.3000000000175</v>
      </c>
      <c r="H117" s="392" t="str">
        <f>CONCATENATE("Projected ",E1+1," Carryover (est.)")</f>
        <v>Projected 2016 Carryover (est.)</v>
      </c>
      <c r="I117" s="393"/>
      <c r="J117" s="394"/>
    </row>
    <row r="118" spans="2:5" ht="15.75" thickBot="1">
      <c r="B118" s="32"/>
      <c r="C118" s="636" t="str">
        <f>CONCATENATE("Amount of  ",$E$1-1," Ad Valorem Tax")</f>
        <v>Amount of  2014 Ad Valorem Tax</v>
      </c>
      <c r="D118" s="637"/>
      <c r="E118" s="450">
        <f>E116+E117</f>
        <v>38002.899999999994</v>
      </c>
    </row>
    <row r="119" spans="2:10" ht="15.75" thickTop="1">
      <c r="B119" s="32"/>
      <c r="C119" s="32"/>
      <c r="D119" s="32"/>
      <c r="E119" s="32"/>
      <c r="G119" s="640" t="s">
        <v>286</v>
      </c>
      <c r="H119" s="641"/>
      <c r="I119" s="641"/>
      <c r="J119" s="642"/>
    </row>
    <row r="120" spans="2:10" ht="15">
      <c r="B120" s="117" t="s">
        <v>67</v>
      </c>
      <c r="C120" s="151" t="str">
        <f>CONCATENATE("",C59,"a")</f>
        <v>8a</v>
      </c>
      <c r="D120" s="152"/>
      <c r="E120" s="152"/>
      <c r="G120" s="434"/>
      <c r="H120" s="435"/>
      <c r="I120" s="436"/>
      <c r="J120" s="437"/>
    </row>
    <row r="121" spans="7:10" ht="15">
      <c r="G121" s="438">
        <f>summ!H15</f>
        <v>25.289</v>
      </c>
      <c r="H121" s="435" t="str">
        <f>CONCATENATE("",E1," Fund Mill Rate")</f>
        <v>2015 Fund Mill Rate</v>
      </c>
      <c r="I121" s="436"/>
      <c r="J121" s="437"/>
    </row>
    <row r="122" spans="2:10" ht="15">
      <c r="B122" s="87"/>
      <c r="G122" s="439">
        <f>summ!E15</f>
        <v>16.437</v>
      </c>
      <c r="H122" s="435" t="str">
        <f>CONCATENATE("",E1-1," Fund Mill Rate")</f>
        <v>2014 Fund Mill Rate</v>
      </c>
      <c r="I122" s="436"/>
      <c r="J122" s="437"/>
    </row>
    <row r="123" spans="7:10" ht="15">
      <c r="G123" s="440">
        <f>summ!H28</f>
        <v>33.427</v>
      </c>
      <c r="H123" s="435" t="str">
        <f>CONCATENATE("Total ",E1," Mill Rate")</f>
        <v>Total 2015 Mill Rate</v>
      </c>
      <c r="I123" s="436"/>
      <c r="J123" s="437"/>
    </row>
    <row r="124" spans="7:10" ht="15">
      <c r="G124" s="439">
        <f>summ!E28</f>
        <v>30.598000000000003</v>
      </c>
      <c r="H124" s="441" t="str">
        <f>CONCATENATE("Total ",E1-1," Mill Rate")</f>
        <v>Total 2014 Mill Rate</v>
      </c>
      <c r="I124" s="442"/>
      <c r="J124" s="443"/>
    </row>
    <row r="125" spans="2:3" ht="15">
      <c r="B125" s="28"/>
      <c r="C125" s="28"/>
    </row>
    <row r="126" spans="7:9" ht="15">
      <c r="G126" s="563" t="s">
        <v>370</v>
      </c>
      <c r="H126" s="531"/>
      <c r="I126" s="530" t="str">
        <f>cert!F58</f>
        <v>No</v>
      </c>
    </row>
    <row r="132" spans="3:4" ht="15" hidden="1">
      <c r="C132" s="372">
        <f>IF(C111&gt;C113,"See Tab A","")</f>
      </c>
      <c r="D132" s="372">
        <f>IF(D111&gt;D113,"See Tab C","")</f>
      </c>
    </row>
    <row r="133" spans="3:4" ht="15" hidden="1">
      <c r="C133" s="372">
        <f>IF(C112&lt;0,"See Tab B","")</f>
      </c>
      <c r="D133" s="372">
        <f>IF(D112&lt;0,"See Tab D","")</f>
      </c>
    </row>
  </sheetData>
  <sheetProtection/>
  <mergeCells count="6">
    <mergeCell ref="G102:J102"/>
    <mergeCell ref="C114:D114"/>
    <mergeCell ref="C115:D115"/>
    <mergeCell ref="C118:D118"/>
    <mergeCell ref="G109:J109"/>
    <mergeCell ref="G119:J119"/>
  </mergeCells>
  <conditionalFormatting sqref="E109">
    <cfRule type="cellIs" priority="2" dxfId="92" operator="greaterThan" stopIfTrue="1">
      <formula>$E$111*0.1</formula>
    </cfRule>
  </conditionalFormatting>
  <conditionalFormatting sqref="E114">
    <cfRule type="cellIs" priority="3" dxfId="92" operator="greaterThan" stopIfTrue="1">
      <formula>$E$111/0.95-$E$111</formula>
    </cfRule>
  </conditionalFormatting>
  <conditionalFormatting sqref="D111">
    <cfRule type="cellIs" priority="4" dxfId="0" operator="greaterThan" stopIfTrue="1">
      <formula>$D$113</formula>
    </cfRule>
  </conditionalFormatting>
  <conditionalFormatting sqref="C111">
    <cfRule type="cellIs" priority="5" dxfId="0" operator="greaterThan" stopIfTrue="1">
      <formula>$C$113</formula>
    </cfRule>
  </conditionalFormatting>
  <conditionalFormatting sqref="C112">
    <cfRule type="cellIs" priority="6" dxfId="0" operator="lessThan" stopIfTrue="1">
      <formula>0</formula>
    </cfRule>
  </conditionalFormatting>
  <conditionalFormatting sqref="C109">
    <cfRule type="cellIs" priority="7" dxfId="0" operator="greaterThan" stopIfTrue="1">
      <formula>$C$111*0.1</formula>
    </cfRule>
  </conditionalFormatting>
  <conditionalFormatting sqref="D109">
    <cfRule type="cellIs" priority="8" dxfId="0" operator="greaterThan" stopIfTrue="1">
      <formula>$D$111*0.1</formula>
    </cfRule>
  </conditionalFormatting>
  <conditionalFormatting sqref="D54">
    <cfRule type="cellIs" priority="9" dxfId="0" operator="greaterThan" stopIfTrue="1">
      <formula>$D$56*0.1</formula>
    </cfRule>
  </conditionalFormatting>
  <conditionalFormatting sqref="C54">
    <cfRule type="cellIs" priority="10" dxfId="0" operator="greaterThan" stopIfTrue="1">
      <formula>$C$56*0.1</formula>
    </cfRule>
  </conditionalFormatting>
  <conditionalFormatting sqref="E54">
    <cfRule type="cellIs" priority="11" dxfId="92" operator="greaterThan" stopIfTrue="1">
      <formula>$E$56*0.1+E118</formula>
    </cfRule>
  </conditionalFormatting>
  <conditionalFormatting sqref="D112">
    <cfRule type="cellIs" priority="1" dxfId="2" operator="lessThan" stopIfTrue="1">
      <formula>0</formula>
    </cfRule>
  </conditionalFormatting>
  <printOptions/>
  <pageMargins left="0.5" right="0.5" top="1" bottom="0.5" header="0.5" footer="0.5"/>
  <pageSetup blackAndWhite="1" fitToHeight="2" fitToWidth="1" horizontalDpi="600" verticalDpi="600" orientation="portrait" scale="73" r:id="rId1"/>
  <headerFooter alignWithMargins="0">
    <oddHeader>&amp;RState of Kansas
City</oddHeader>
  </headerFooter>
  <rowBreaks count="2" manualBreakCount="2">
    <brk id="59" min="1" max="4" man="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69"/>
  <sheetViews>
    <sheetView workbookViewId="0" topLeftCell="A35">
      <selection activeCell="D52" sqref="D52"/>
    </sheetView>
  </sheetViews>
  <sheetFormatPr defaultColWidth="8.796875" defaultRowHeight="15"/>
  <cols>
    <col min="1" max="1" width="28.296875" style="28" customWidth="1"/>
    <col min="2" max="3" width="15.69921875" style="28" customWidth="1"/>
    <col min="4" max="4" width="16.19921875" style="28" customWidth="1"/>
    <col min="5" max="16384" width="8.796875" style="28" customWidth="1"/>
  </cols>
  <sheetData>
    <row r="1" spans="1:4" ht="15">
      <c r="A1" s="175" t="str">
        <f>inputPrYr!D2</f>
        <v>City of Moran</v>
      </c>
      <c r="B1" s="32"/>
      <c r="C1" s="151"/>
      <c r="D1" s="32">
        <f>inputPrYr!C5</f>
        <v>2015</v>
      </c>
    </row>
    <row r="2" spans="1:4" ht="15">
      <c r="A2" s="32"/>
      <c r="B2" s="32"/>
      <c r="C2" s="32"/>
      <c r="D2" s="151"/>
    </row>
    <row r="3" spans="1:4" ht="15">
      <c r="A3" s="411"/>
      <c r="B3" s="253"/>
      <c r="C3" s="253"/>
      <c r="D3" s="253"/>
    </row>
    <row r="4" spans="1:4" ht="15">
      <c r="A4" s="517" t="s">
        <v>49</v>
      </c>
      <c r="B4" s="254" t="s">
        <v>345</v>
      </c>
      <c r="C4" s="125" t="s">
        <v>346</v>
      </c>
      <c r="D4" s="125" t="s">
        <v>347</v>
      </c>
    </row>
    <row r="5" spans="1:4" ht="15">
      <c r="A5" s="411" t="s">
        <v>227</v>
      </c>
      <c r="B5" s="227" t="str">
        <f>CONCATENATE("Actual for ",D1-2,"")</f>
        <v>Actual for 2013</v>
      </c>
      <c r="C5" s="227" t="str">
        <f>CONCATENATE("Estimate for ",D1-1,"")</f>
        <v>Estimate for 2014</v>
      </c>
      <c r="D5" s="227" t="str">
        <f>CONCATENATE("Year for ",D1,"")</f>
        <v>Year for 2015</v>
      </c>
    </row>
    <row r="6" spans="1:4" ht="15">
      <c r="A6" s="202" t="s">
        <v>61</v>
      </c>
      <c r="B6" s="68"/>
      <c r="C6" s="68"/>
      <c r="D6" s="68"/>
    </row>
    <row r="7" spans="1:4" ht="15">
      <c r="A7" s="571" t="s">
        <v>409</v>
      </c>
      <c r="B7" s="68"/>
      <c r="C7" s="68"/>
      <c r="D7" s="68"/>
    </row>
    <row r="8" spans="1:4" ht="15">
      <c r="A8" s="572" t="s">
        <v>410</v>
      </c>
      <c r="B8" s="235">
        <v>40535</v>
      </c>
      <c r="C8" s="235">
        <v>36882</v>
      </c>
      <c r="D8" s="235">
        <f>C8*1.05</f>
        <v>38726.1</v>
      </c>
    </row>
    <row r="9" spans="1:4" ht="15">
      <c r="A9" s="572" t="s">
        <v>411</v>
      </c>
      <c r="B9" s="235">
        <v>14064</v>
      </c>
      <c r="C9" s="235">
        <v>11217</v>
      </c>
      <c r="D9" s="235">
        <v>12000</v>
      </c>
    </row>
    <row r="10" spans="1:4" ht="15">
      <c r="A10" s="572" t="s">
        <v>62</v>
      </c>
      <c r="B10" s="235">
        <v>3668</v>
      </c>
      <c r="C10" s="235">
        <v>4813</v>
      </c>
      <c r="D10" s="235">
        <v>5000</v>
      </c>
    </row>
    <row r="11" spans="1:4" ht="15">
      <c r="A11" s="572" t="s">
        <v>63</v>
      </c>
      <c r="B11" s="235">
        <v>5726</v>
      </c>
      <c r="C11" s="235">
        <v>3000</v>
      </c>
      <c r="D11" s="235">
        <v>7500</v>
      </c>
    </row>
    <row r="12" spans="1:4" ht="15">
      <c r="A12" s="255"/>
      <c r="B12" s="235"/>
      <c r="C12" s="235"/>
      <c r="D12" s="235"/>
    </row>
    <row r="13" spans="1:4" ht="15">
      <c r="A13" s="50"/>
      <c r="B13" s="235"/>
      <c r="C13" s="235"/>
      <c r="D13" s="235"/>
    </row>
    <row r="14" spans="1:4" ht="15">
      <c r="A14" s="50"/>
      <c r="B14" s="235"/>
      <c r="C14" s="235"/>
      <c r="D14" s="235"/>
    </row>
    <row r="15" spans="1:4" ht="15">
      <c r="A15" s="202" t="s">
        <v>21</v>
      </c>
      <c r="B15" s="240">
        <f>SUM(B8:B14)</f>
        <v>63993</v>
      </c>
      <c r="C15" s="240">
        <f>SUM(C8:C14)</f>
        <v>55912</v>
      </c>
      <c r="D15" s="240">
        <f>SUM(D8:D14)</f>
        <v>63226.1</v>
      </c>
    </row>
    <row r="16" spans="1:4" ht="15">
      <c r="A16" s="573" t="s">
        <v>412</v>
      </c>
      <c r="B16" s="175"/>
      <c r="C16" s="175"/>
      <c r="D16" s="175"/>
    </row>
    <row r="17" spans="1:4" ht="15">
      <c r="A17" s="572" t="s">
        <v>410</v>
      </c>
      <c r="B17" s="235">
        <v>11843</v>
      </c>
      <c r="C17" s="235">
        <v>5617</v>
      </c>
      <c r="D17" s="235">
        <f>C17*1.05</f>
        <v>5897.85</v>
      </c>
    </row>
    <row r="18" spans="1:4" ht="15">
      <c r="A18" s="572" t="s">
        <v>411</v>
      </c>
      <c r="B18" s="235">
        <v>1224</v>
      </c>
      <c r="C18" s="235">
        <v>1144</v>
      </c>
      <c r="D18" s="235">
        <v>1200</v>
      </c>
    </row>
    <row r="19" spans="1:4" ht="15">
      <c r="A19" s="572" t="s">
        <v>62</v>
      </c>
      <c r="B19" s="235">
        <v>2047</v>
      </c>
      <c r="C19" s="235">
        <v>2200</v>
      </c>
      <c r="D19" s="235">
        <v>2200</v>
      </c>
    </row>
    <row r="20" spans="1:4" ht="15">
      <c r="A20" s="255" t="s">
        <v>63</v>
      </c>
      <c r="B20" s="235">
        <v>0</v>
      </c>
      <c r="C20" s="235">
        <v>0</v>
      </c>
      <c r="D20" s="235">
        <v>708</v>
      </c>
    </row>
    <row r="21" spans="1:4" ht="15">
      <c r="A21" s="255"/>
      <c r="B21" s="235"/>
      <c r="C21" s="235"/>
      <c r="D21" s="235"/>
    </row>
    <row r="22" spans="1:4" ht="15">
      <c r="A22" s="202" t="s">
        <v>21</v>
      </c>
      <c r="B22" s="240">
        <f>SUM(B17:B21)</f>
        <v>15114</v>
      </c>
      <c r="C22" s="240">
        <f>SUM(C17:C21)</f>
        <v>8961</v>
      </c>
      <c r="D22" s="240">
        <f>SUM(D17:D21)</f>
        <v>10005.85</v>
      </c>
    </row>
    <row r="23" spans="1:4" ht="15">
      <c r="A23" s="573" t="s">
        <v>413</v>
      </c>
      <c r="B23" s="175"/>
      <c r="C23" s="175"/>
      <c r="D23" s="175"/>
    </row>
    <row r="24" spans="1:4" ht="15">
      <c r="A24" s="572" t="s">
        <v>411</v>
      </c>
      <c r="B24" s="235">
        <v>18002</v>
      </c>
      <c r="C24" s="235">
        <v>17622</v>
      </c>
      <c r="D24" s="235">
        <v>18500</v>
      </c>
    </row>
    <row r="25" spans="1:4" ht="15">
      <c r="A25" s="255"/>
      <c r="B25" s="235"/>
      <c r="C25" s="235"/>
      <c r="D25" s="235"/>
    </row>
    <row r="26" spans="1:4" ht="15">
      <c r="A26" s="255"/>
      <c r="B26" s="235"/>
      <c r="C26" s="235"/>
      <c r="D26" s="235"/>
    </row>
    <row r="27" spans="1:4" ht="15">
      <c r="A27" s="255"/>
      <c r="B27" s="235"/>
      <c r="C27" s="235"/>
      <c r="D27" s="235"/>
    </row>
    <row r="28" spans="1:4" ht="15">
      <c r="A28" s="255"/>
      <c r="B28" s="235"/>
      <c r="C28" s="235"/>
      <c r="D28" s="235"/>
    </row>
    <row r="29" spans="1:4" ht="15">
      <c r="A29" s="202" t="s">
        <v>21</v>
      </c>
      <c r="B29" s="240">
        <f>SUM(B24:B28)</f>
        <v>18002</v>
      </c>
      <c r="C29" s="240">
        <f>SUM(C24:C28)</f>
        <v>17622</v>
      </c>
      <c r="D29" s="240">
        <f>SUM(D24:D28)</f>
        <v>18500</v>
      </c>
    </row>
    <row r="30" spans="1:4" ht="15">
      <c r="A30" s="573" t="s">
        <v>414</v>
      </c>
      <c r="B30" s="175"/>
      <c r="C30" s="175"/>
      <c r="D30" s="175"/>
    </row>
    <row r="31" spans="1:4" ht="15">
      <c r="A31" s="572" t="s">
        <v>410</v>
      </c>
      <c r="B31" s="235">
        <v>327</v>
      </c>
      <c r="C31" s="235">
        <v>441</v>
      </c>
      <c r="D31" s="235">
        <f>C31*1.05</f>
        <v>463.05</v>
      </c>
    </row>
    <row r="32" spans="1:4" ht="15">
      <c r="A32" s="572" t="s">
        <v>411</v>
      </c>
      <c r="B32" s="235">
        <v>5091</v>
      </c>
      <c r="C32" s="235">
        <v>5472</v>
      </c>
      <c r="D32" s="235">
        <v>5500</v>
      </c>
    </row>
    <row r="33" spans="1:4" ht="15">
      <c r="A33" s="572" t="s">
        <v>62</v>
      </c>
      <c r="B33" s="235">
        <f>7275-5057</f>
        <v>2218</v>
      </c>
      <c r="C33" s="235">
        <v>2500</v>
      </c>
      <c r="D33" s="235">
        <v>2500</v>
      </c>
    </row>
    <row r="34" spans="1:4" ht="15">
      <c r="A34" s="572" t="s">
        <v>63</v>
      </c>
      <c r="B34" s="235">
        <v>5057</v>
      </c>
      <c r="C34" s="235">
        <v>4500</v>
      </c>
      <c r="D34" s="235">
        <v>4500</v>
      </c>
    </row>
    <row r="35" spans="1:4" ht="15">
      <c r="A35" s="202" t="s">
        <v>21</v>
      </c>
      <c r="B35" s="240">
        <f>SUM(B31:B34)</f>
        <v>12693</v>
      </c>
      <c r="C35" s="240">
        <f>SUM(C31:C34)</f>
        <v>12913</v>
      </c>
      <c r="D35" s="240">
        <f>SUM(D31:D34)</f>
        <v>12963.05</v>
      </c>
    </row>
    <row r="36" spans="1:4" ht="15">
      <c r="A36" s="573" t="s">
        <v>415</v>
      </c>
      <c r="B36" s="175"/>
      <c r="C36" s="175"/>
      <c r="D36" s="175"/>
    </row>
    <row r="37" spans="1:4" ht="15">
      <c r="A37" s="572" t="s">
        <v>410</v>
      </c>
      <c r="B37" s="235">
        <v>61829</v>
      </c>
      <c r="C37" s="235">
        <v>51770</v>
      </c>
      <c r="D37" s="235">
        <f>C37*1.05</f>
        <v>54358.5</v>
      </c>
    </row>
    <row r="38" spans="1:4" ht="15">
      <c r="A38" s="572" t="s">
        <v>411</v>
      </c>
      <c r="B38" s="235">
        <v>19991</v>
      </c>
      <c r="C38" s="235">
        <v>16097</v>
      </c>
      <c r="D38" s="235">
        <v>20000</v>
      </c>
    </row>
    <row r="39" spans="1:4" ht="15">
      <c r="A39" s="572" t="s">
        <v>62</v>
      </c>
      <c r="B39" s="235">
        <v>8083</v>
      </c>
      <c r="C39" s="235">
        <v>9982</v>
      </c>
      <c r="D39" s="235">
        <v>10000</v>
      </c>
    </row>
    <row r="40" spans="1:4" ht="15">
      <c r="A40" s="572" t="s">
        <v>63</v>
      </c>
      <c r="B40" s="235">
        <v>5844</v>
      </c>
      <c r="C40" s="235">
        <v>5000</v>
      </c>
      <c r="D40" s="235">
        <v>5000</v>
      </c>
    </row>
    <row r="41" spans="1:4" ht="15">
      <c r="A41" s="255"/>
      <c r="B41" s="235"/>
      <c r="C41" s="235"/>
      <c r="D41" s="235"/>
    </row>
    <row r="42" spans="1:4" ht="15">
      <c r="A42" s="202" t="s">
        <v>21</v>
      </c>
      <c r="B42" s="240">
        <f>SUM(B37:B41)</f>
        <v>95747</v>
      </c>
      <c r="C42" s="240">
        <f>SUM(C37:C41)</f>
        <v>82849</v>
      </c>
      <c r="D42" s="240">
        <f>SUM(D37:D41)</f>
        <v>89358.5</v>
      </c>
    </row>
    <row r="43" spans="1:4" ht="15">
      <c r="A43" s="573" t="s">
        <v>416</v>
      </c>
      <c r="B43" s="175"/>
      <c r="C43" s="175"/>
      <c r="D43" s="175"/>
    </row>
    <row r="44" spans="1:4" ht="15">
      <c r="A44" s="572" t="s">
        <v>410</v>
      </c>
      <c r="B44" s="235">
        <v>6499</v>
      </c>
      <c r="C44" s="235">
        <v>10102</v>
      </c>
      <c r="D44" s="235">
        <f>C44*1.05</f>
        <v>10607.1</v>
      </c>
    </row>
    <row r="45" spans="1:4" ht="15">
      <c r="A45" s="572" t="s">
        <v>411</v>
      </c>
      <c r="B45" s="235">
        <v>1096</v>
      </c>
      <c r="C45" s="235">
        <v>782</v>
      </c>
      <c r="D45" s="235">
        <v>1000</v>
      </c>
    </row>
    <row r="46" spans="1:4" ht="15">
      <c r="A46" s="572" t="s">
        <v>62</v>
      </c>
      <c r="B46" s="235">
        <v>6002</v>
      </c>
      <c r="C46" s="235">
        <v>4193</v>
      </c>
      <c r="D46" s="235">
        <v>4500</v>
      </c>
    </row>
    <row r="47" spans="1:4" ht="15">
      <c r="A47" s="572" t="s">
        <v>63</v>
      </c>
      <c r="B47" s="235">
        <v>8000</v>
      </c>
      <c r="C47" s="235">
        <f>1887+1749+5000</f>
        <v>8636</v>
      </c>
      <c r="D47" s="235">
        <v>10000</v>
      </c>
    </row>
    <row r="48" spans="1:4" ht="15">
      <c r="A48" s="255"/>
      <c r="B48" s="235"/>
      <c r="C48" s="235"/>
      <c r="D48" s="235"/>
    </row>
    <row r="49" spans="1:4" ht="15">
      <c r="A49" s="202" t="s">
        <v>21</v>
      </c>
      <c r="B49" s="240">
        <f>SUM(B44:B48)</f>
        <v>21597</v>
      </c>
      <c r="C49" s="240">
        <f>SUM(C44:C48)</f>
        <v>23713</v>
      </c>
      <c r="D49" s="240">
        <f>SUM(D44:D48)</f>
        <v>26107.1</v>
      </c>
    </row>
    <row r="50" spans="1:4" ht="15">
      <c r="A50" s="573" t="s">
        <v>417</v>
      </c>
      <c r="B50" s="175"/>
      <c r="C50" s="175"/>
      <c r="D50" s="175"/>
    </row>
    <row r="51" spans="1:4" ht="15">
      <c r="A51" s="572" t="s">
        <v>418</v>
      </c>
      <c r="B51" s="235">
        <v>4800</v>
      </c>
      <c r="C51" s="235">
        <v>4800</v>
      </c>
      <c r="D51" s="235">
        <v>4800</v>
      </c>
    </row>
    <row r="52" spans="1:4" ht="15">
      <c r="A52" s="255"/>
      <c r="B52" s="235"/>
      <c r="C52" s="235"/>
      <c r="D52" s="235"/>
    </row>
    <row r="53" spans="1:4" ht="15">
      <c r="A53" s="255"/>
      <c r="B53" s="235"/>
      <c r="C53" s="235"/>
      <c r="D53" s="235"/>
    </row>
    <row r="54" spans="1:4" ht="15">
      <c r="A54" s="255"/>
      <c r="B54" s="235"/>
      <c r="C54" s="235"/>
      <c r="D54" s="235"/>
    </row>
    <row r="55" spans="1:4" ht="15">
      <c r="A55" s="255"/>
      <c r="B55" s="235"/>
      <c r="C55" s="235"/>
      <c r="D55" s="235"/>
    </row>
    <row r="56" spans="1:4" ht="15">
      <c r="A56" s="202" t="s">
        <v>21</v>
      </c>
      <c r="B56" s="240">
        <f>SUM(B51:B55)</f>
        <v>4800</v>
      </c>
      <c r="C56" s="240">
        <f>SUM(C51:C55)</f>
        <v>4800</v>
      </c>
      <c r="D56" s="240">
        <f>SUM(D51:D55)</f>
        <v>4800</v>
      </c>
    </row>
    <row r="57" spans="1:4" ht="15">
      <c r="A57" s="256"/>
      <c r="B57" s="175"/>
      <c r="C57" s="175"/>
      <c r="D57" s="175"/>
    </row>
    <row r="58" spans="1:4" ht="15">
      <c r="A58" s="255"/>
      <c r="B58" s="235"/>
      <c r="C58" s="235"/>
      <c r="D58" s="235"/>
    </row>
    <row r="59" spans="1:4" ht="15">
      <c r="A59" s="255"/>
      <c r="B59" s="235"/>
      <c r="C59" s="235"/>
      <c r="D59" s="235"/>
    </row>
    <row r="60" spans="1:4" ht="15">
      <c r="A60" s="255"/>
      <c r="B60" s="235"/>
      <c r="C60" s="235"/>
      <c r="D60" s="235"/>
    </row>
    <row r="61" spans="1:4" ht="15">
      <c r="A61" s="255"/>
      <c r="B61" s="235"/>
      <c r="C61" s="235"/>
      <c r="D61" s="235"/>
    </row>
    <row r="62" spans="1:4" ht="15">
      <c r="A62" s="255"/>
      <c r="B62" s="235"/>
      <c r="C62" s="235"/>
      <c r="D62" s="235"/>
    </row>
    <row r="63" spans="1:4" ht="15">
      <c r="A63" s="202" t="s">
        <v>21</v>
      </c>
      <c r="B63" s="240">
        <f>SUM(B58:B62)</f>
        <v>0</v>
      </c>
      <c r="C63" s="240">
        <f>SUM(C58:C62)</f>
        <v>0</v>
      </c>
      <c r="D63" s="240">
        <f>SUM(D58:D62)</f>
        <v>0</v>
      </c>
    </row>
    <row r="64" spans="1:4" ht="15">
      <c r="A64" s="32"/>
      <c r="B64" s="175"/>
      <c r="C64" s="175"/>
      <c r="D64" s="175"/>
    </row>
    <row r="65" spans="1:4" ht="15.75" thickBot="1">
      <c r="A65" s="202" t="s">
        <v>226</v>
      </c>
      <c r="B65" s="257">
        <f>B15+B22+B29+B35+B42+B49+B56+B63</f>
        <v>231946</v>
      </c>
      <c r="C65" s="257">
        <f>C15+C22+C29+C35+C42+C49+C56+C63</f>
        <v>206770</v>
      </c>
      <c r="D65" s="257">
        <f>D15+D22+D29+D35+D42+D49+D56+D63</f>
        <v>224960.6</v>
      </c>
    </row>
    <row r="66" spans="1:4" ht="15.75" thickTop="1">
      <c r="A66" s="258"/>
      <c r="B66" s="175"/>
      <c r="C66" s="175"/>
      <c r="D66" s="175"/>
    </row>
    <row r="67" spans="1:4" ht="15">
      <c r="A67" s="334" t="s">
        <v>67</v>
      </c>
      <c r="B67" s="175" t="str">
        <f>CONCATENATE("",general!C59,"b")</f>
        <v>8b</v>
      </c>
      <c r="C67" s="175"/>
      <c r="D67" s="175"/>
    </row>
    <row r="68" spans="1:4" ht="15">
      <c r="A68" s="334"/>
      <c r="B68" s="175"/>
      <c r="C68" s="175"/>
      <c r="D68" s="175"/>
    </row>
    <row r="69" spans="1:4" ht="15">
      <c r="A69" s="32"/>
      <c r="B69" s="175"/>
      <c r="C69" s="175"/>
      <c r="D69" s="175"/>
    </row>
  </sheetData>
  <sheetProtection/>
  <printOptions/>
  <pageMargins left="0.5" right="0.5" top="1" bottom="0.5" header="0.5" footer="0.5"/>
  <pageSetup blackAndWhite="1" fitToHeight="1" fitToWidth="1" horizontalDpi="300" verticalDpi="300" orientation="portrait" scale="62" r:id="rId1"/>
  <headerFooter alignWithMargins="0">
    <oddHeader>&amp;RState of Kansas
City</oddHeader>
  </headerFooter>
  <rowBreaks count="2" manualBreakCount="2">
    <brk id="68" max="255" man="1"/>
    <brk id="69" max="255" man="1"/>
  </rowBreaks>
  <colBreaks count="3" manualBreakCount="3">
    <brk id="1" max="65535" man="1"/>
    <brk id="2" max="65535" man="1"/>
    <brk id="3"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8">
      <selection activeCell="E31" sqref="E31"/>
    </sheetView>
  </sheetViews>
  <sheetFormatPr defaultColWidth="8.796875" defaultRowHeight="15"/>
  <cols>
    <col min="1" max="1" width="2.3984375" style="30" customWidth="1"/>
    <col min="2" max="2" width="31.19921875" style="30" customWidth="1"/>
    <col min="3" max="4" width="15.69921875" style="30" customWidth="1"/>
    <col min="5" max="5" width="16.19921875" style="30" customWidth="1"/>
    <col min="6" max="6" width="7.19921875" style="30" customWidth="1"/>
    <col min="7" max="7" width="10.19921875" style="30" customWidth="1"/>
    <col min="8" max="8" width="8.796875" style="30" customWidth="1"/>
    <col min="9" max="9" width="5" style="30" customWidth="1"/>
    <col min="10" max="10" width="10" style="30" customWidth="1"/>
    <col min="11" max="16384" width="8.796875" style="30" customWidth="1"/>
  </cols>
  <sheetData>
    <row r="1" spans="2:5" ht="15">
      <c r="B1" s="332" t="str">
        <f>inputPrYr!D2</f>
        <v>City of Moran</v>
      </c>
      <c r="C1" s="332"/>
      <c r="D1" s="318"/>
      <c r="E1" s="326">
        <f>inputPrYr!C5</f>
        <v>2015</v>
      </c>
    </row>
    <row r="2" spans="2:5" ht="15">
      <c r="B2" s="318"/>
      <c r="C2" s="318"/>
      <c r="D2" s="318"/>
      <c r="E2" s="334"/>
    </row>
    <row r="3" spans="2:5" ht="15">
      <c r="B3" s="321" t="s">
        <v>112</v>
      </c>
      <c r="C3" s="321"/>
      <c r="D3" s="335"/>
      <c r="E3" s="327"/>
    </row>
    <row r="4" spans="2:5" ht="15">
      <c r="B4" s="320" t="s">
        <v>49</v>
      </c>
      <c r="C4" s="515" t="s">
        <v>345</v>
      </c>
      <c r="D4" s="516" t="s">
        <v>346</v>
      </c>
      <c r="E4" s="125" t="s">
        <v>347</v>
      </c>
    </row>
    <row r="5" spans="2:5" ht="15">
      <c r="B5" s="361" t="s">
        <v>14</v>
      </c>
      <c r="C5" s="201" t="str">
        <f>CONCATENATE("Actual for ",E1-2,"")</f>
        <v>Actual for 2013</v>
      </c>
      <c r="D5" s="201" t="str">
        <f>CONCATENATE("Estimate for ",E1-1,"")</f>
        <v>Estimate for 2014</v>
      </c>
      <c r="E5" s="186" t="str">
        <f>CONCATENATE("Year for ",E1,"")</f>
        <v>Year for 2015</v>
      </c>
    </row>
    <row r="6" spans="2:5" ht="15">
      <c r="B6" s="328" t="s">
        <v>155</v>
      </c>
      <c r="C6" s="357"/>
      <c r="D6" s="356">
        <f>C34</f>
        <v>0</v>
      </c>
      <c r="E6" s="329">
        <f>D34</f>
        <v>0</v>
      </c>
    </row>
    <row r="7" spans="2:5" ht="15">
      <c r="B7" s="328" t="s">
        <v>157</v>
      </c>
      <c r="C7" s="330"/>
      <c r="D7" s="356"/>
      <c r="E7" s="329"/>
    </row>
    <row r="8" spans="2:5" ht="15">
      <c r="B8" s="328" t="s">
        <v>50</v>
      </c>
      <c r="C8" s="354"/>
      <c r="D8" s="356">
        <f>IF(inputPrYr!H16,inputPrYr!G18,inputPrYr!E18)</f>
        <v>0</v>
      </c>
      <c r="E8" s="343" t="s">
        <v>38</v>
      </c>
    </row>
    <row r="9" spans="2:5" ht="15">
      <c r="B9" s="328" t="s">
        <v>51</v>
      </c>
      <c r="C9" s="354"/>
      <c r="D9" s="358"/>
      <c r="E9" s="322"/>
    </row>
    <row r="10" spans="2:5" ht="15">
      <c r="B10" s="328" t="s">
        <v>52</v>
      </c>
      <c r="C10" s="354"/>
      <c r="D10" s="358"/>
      <c r="E10" s="329" t="str">
        <f>mvalloc!D8</f>
        <v>  </v>
      </c>
    </row>
    <row r="11" spans="2:5" ht="15">
      <c r="B11" s="328" t="s">
        <v>53</v>
      </c>
      <c r="C11" s="354"/>
      <c r="D11" s="358"/>
      <c r="E11" s="329" t="str">
        <f>mvalloc!E8</f>
        <v> </v>
      </c>
    </row>
    <row r="12" spans="2:5" ht="15">
      <c r="B12" s="331" t="s">
        <v>144</v>
      </c>
      <c r="C12" s="354"/>
      <c r="D12" s="358"/>
      <c r="E12" s="329" t="str">
        <f>mvalloc!F8</f>
        <v> </v>
      </c>
    </row>
    <row r="13" spans="2:5" ht="15">
      <c r="B13" s="345"/>
      <c r="C13" s="354"/>
      <c r="D13" s="358"/>
      <c r="E13" s="322"/>
    </row>
    <row r="14" spans="2:5" ht="15">
      <c r="B14" s="345"/>
      <c r="C14" s="354"/>
      <c r="D14" s="358"/>
      <c r="E14" s="322"/>
    </row>
    <row r="15" spans="2:5" ht="15">
      <c r="B15" s="345"/>
      <c r="C15" s="354"/>
      <c r="D15" s="358"/>
      <c r="E15" s="322"/>
    </row>
    <row r="16" spans="2:5" ht="15">
      <c r="B16" s="345"/>
      <c r="C16" s="354"/>
      <c r="D16" s="358"/>
      <c r="E16" s="322"/>
    </row>
    <row r="17" spans="2:9" ht="15">
      <c r="B17" s="340" t="s">
        <v>57</v>
      </c>
      <c r="C17" s="354"/>
      <c r="D17" s="358"/>
      <c r="E17" s="322"/>
      <c r="F17" s="317"/>
      <c r="G17" s="317"/>
      <c r="H17" s="317"/>
      <c r="I17" s="317"/>
    </row>
    <row r="18" spans="2:9" ht="15">
      <c r="B18" s="328" t="s">
        <v>9</v>
      </c>
      <c r="C18" s="232"/>
      <c r="D18" s="232"/>
      <c r="E18" s="48"/>
      <c r="F18" s="317"/>
      <c r="G18" s="317"/>
      <c r="H18" s="317"/>
      <c r="I18" s="317"/>
    </row>
    <row r="19" spans="2:9" ht="15">
      <c r="B19" s="328" t="s">
        <v>259</v>
      </c>
      <c r="C19" s="237">
        <f>IF(C20*0.1&lt;C18,"Exceed 10% Rule","")</f>
      </c>
      <c r="D19" s="237">
        <f>IF(D20*0.1&lt;D18,"Exceed 10% Rule","")</f>
      </c>
      <c r="E19" s="267">
        <f>IF(E20*0.1+E40&lt;E18,"Exceed 10% Rule","")</f>
      </c>
      <c r="F19" s="317"/>
      <c r="G19" s="317"/>
      <c r="H19" s="317"/>
      <c r="I19" s="317"/>
    </row>
    <row r="20" spans="2:9" ht="15">
      <c r="B20" s="337" t="s">
        <v>58</v>
      </c>
      <c r="C20" s="359">
        <f>SUM(C8:C18)</f>
        <v>0</v>
      </c>
      <c r="D20" s="359">
        <f>SUM(D8:D18)</f>
        <v>0</v>
      </c>
      <c r="E20" s="346">
        <f>SUM(E9:E18)</f>
        <v>0</v>
      </c>
      <c r="F20" s="317"/>
      <c r="G20" s="317"/>
      <c r="H20" s="317"/>
      <c r="I20" s="317"/>
    </row>
    <row r="21" spans="2:9" ht="15">
      <c r="B21" s="337" t="s">
        <v>59</v>
      </c>
      <c r="C21" s="359">
        <f>SUM(C6+C20)</f>
        <v>0</v>
      </c>
      <c r="D21" s="359">
        <f>SUM(D6+D20)</f>
        <v>0</v>
      </c>
      <c r="E21" s="346">
        <f>SUM(E6+E20)</f>
        <v>0</v>
      </c>
      <c r="F21" s="317"/>
      <c r="G21" s="317"/>
      <c r="H21" s="317"/>
      <c r="I21" s="317"/>
    </row>
    <row r="22" spans="2:9" ht="15">
      <c r="B22" s="328" t="s">
        <v>61</v>
      </c>
      <c r="C22" s="328"/>
      <c r="D22" s="356"/>
      <c r="E22" s="329"/>
      <c r="F22" s="317"/>
      <c r="G22" s="317"/>
      <c r="H22" s="317"/>
      <c r="I22" s="317"/>
    </row>
    <row r="23" spans="2:9" ht="15">
      <c r="B23" s="345"/>
      <c r="C23" s="369"/>
      <c r="D23" s="358"/>
      <c r="E23" s="322"/>
      <c r="F23" s="317"/>
      <c r="G23" s="317"/>
      <c r="H23" s="317"/>
      <c r="I23" s="317"/>
    </row>
    <row r="24" spans="2:10" ht="15">
      <c r="B24" s="345"/>
      <c r="C24" s="369"/>
      <c r="D24" s="358"/>
      <c r="E24" s="322"/>
      <c r="F24" s="317"/>
      <c r="G24" s="644" t="str">
        <f>CONCATENATE("Desired Carryover Into ",E1+1,"")</f>
        <v>Desired Carryover Into 2016</v>
      </c>
      <c r="H24" s="638"/>
      <c r="I24" s="638"/>
      <c r="J24" s="639"/>
    </row>
    <row r="25" spans="2:10" ht="15">
      <c r="B25" s="345"/>
      <c r="C25" s="369"/>
      <c r="D25" s="358"/>
      <c r="E25" s="322"/>
      <c r="F25" s="317"/>
      <c r="G25" s="452"/>
      <c r="H25" s="453"/>
      <c r="I25" s="454"/>
      <c r="J25" s="455"/>
    </row>
    <row r="26" spans="2:10" ht="15">
      <c r="B26" s="345"/>
      <c r="C26" s="369"/>
      <c r="D26" s="358"/>
      <c r="E26" s="322"/>
      <c r="F26" s="317"/>
      <c r="G26" s="456" t="s">
        <v>256</v>
      </c>
      <c r="H26" s="454"/>
      <c r="I26" s="454"/>
      <c r="J26" s="457">
        <v>0</v>
      </c>
    </row>
    <row r="27" spans="2:10" ht="15">
      <c r="B27" s="345"/>
      <c r="C27" s="369"/>
      <c r="D27" s="358"/>
      <c r="E27" s="322"/>
      <c r="F27" s="317"/>
      <c r="G27" s="452" t="s">
        <v>257</v>
      </c>
      <c r="H27" s="453"/>
      <c r="I27" s="453"/>
      <c r="J27" s="458">
        <f>IF(J26=0,"",ROUND((J26+E40-G39)/inputOth!E7*1000,3)-G44)</f>
      </c>
    </row>
    <row r="28" spans="2:10" ht="15">
      <c r="B28" s="345"/>
      <c r="C28" s="369"/>
      <c r="D28" s="358"/>
      <c r="E28" s="322"/>
      <c r="F28" s="317"/>
      <c r="G28" s="459" t="str">
        <f>CONCATENATE("",E1," Tot Exp/Non-Appr Must Be:")</f>
        <v>2015 Tot Exp/Non-Appr Must Be:</v>
      </c>
      <c r="H28" s="460"/>
      <c r="I28" s="461"/>
      <c r="J28" s="462">
        <f>IF(J26&gt;0,IF(E37&lt;E21,IF(J26=G39,E37,((J26-G39)*(1-D39))+E21),E37+(J26-G39)),0)</f>
        <v>0</v>
      </c>
    </row>
    <row r="29" spans="2:10" ht="15">
      <c r="B29" s="345"/>
      <c r="C29" s="369"/>
      <c r="D29" s="358"/>
      <c r="E29" s="322"/>
      <c r="F29" s="317"/>
      <c r="G29" s="463" t="s">
        <v>287</v>
      </c>
      <c r="H29" s="464"/>
      <c r="I29" s="464"/>
      <c r="J29" s="465">
        <f>IF(J26&gt;0,J28-E37,0)</f>
        <v>0</v>
      </c>
    </row>
    <row r="30" spans="2:9" ht="15">
      <c r="B30" s="342" t="s">
        <v>8</v>
      </c>
      <c r="C30" s="369"/>
      <c r="D30" s="358"/>
      <c r="E30" s="329"/>
      <c r="F30" s="317"/>
      <c r="G30" s="317"/>
      <c r="H30" s="317"/>
      <c r="I30" s="317"/>
    </row>
    <row r="31" spans="2:10" ht="15">
      <c r="B31" s="342" t="s">
        <v>9</v>
      </c>
      <c r="C31" s="369"/>
      <c r="D31" s="358"/>
      <c r="E31" s="322"/>
      <c r="F31" s="317"/>
      <c r="G31" s="643" t="str">
        <f>CONCATENATE("Projected Carryover Into ",E1+1,"")</f>
        <v>Projected Carryover Into 2016</v>
      </c>
      <c r="H31" s="638"/>
      <c r="I31" s="638"/>
      <c r="J31" s="639"/>
    </row>
    <row r="32" spans="2:10" ht="15">
      <c r="B32" s="342" t="s">
        <v>261</v>
      </c>
      <c r="C32" s="237">
        <f>IF(C33*0.1&lt;C31,"Exceed 10% Rule","")</f>
      </c>
      <c r="D32" s="237">
        <f>IF(D33*0.1&lt;D31,"Exceed 10% Rule","")</f>
      </c>
      <c r="E32" s="267">
        <f>IF(E33*0.1&lt;E31,"Exceed 10% Rule","")</f>
      </c>
      <c r="F32" s="317"/>
      <c r="G32" s="347"/>
      <c r="H32" s="380"/>
      <c r="I32" s="380"/>
      <c r="J32" s="448"/>
    </row>
    <row r="33" spans="2:10" ht="15">
      <c r="B33" s="337" t="s">
        <v>64</v>
      </c>
      <c r="C33" s="355">
        <f>SUM(C23:C31)</f>
        <v>0</v>
      </c>
      <c r="D33" s="355">
        <f>SUM(D23:D31)</f>
        <v>0</v>
      </c>
      <c r="E33" s="341">
        <f>SUM(E23:E31)</f>
        <v>0</v>
      </c>
      <c r="F33" s="317"/>
      <c r="G33" s="351">
        <f>D34</f>
        <v>0</v>
      </c>
      <c r="H33" s="353" t="str">
        <f>CONCATENATE("",E1-1," Ending Cash Balance (est.)")</f>
        <v>2014 Ending Cash Balance (est.)</v>
      </c>
      <c r="I33" s="348"/>
      <c r="J33" s="448"/>
    </row>
    <row r="34" spans="2:10" ht="15">
      <c r="B34" s="328" t="s">
        <v>156</v>
      </c>
      <c r="C34" s="360">
        <f>SUM(C21-C33)</f>
        <v>0</v>
      </c>
      <c r="D34" s="360">
        <f>SUM(D21-D33)</f>
        <v>0</v>
      </c>
      <c r="E34" s="343" t="s">
        <v>38</v>
      </c>
      <c r="F34" s="317"/>
      <c r="G34" s="351">
        <f>E20</f>
        <v>0</v>
      </c>
      <c r="H34" s="352" t="str">
        <f>CONCATENATE("",E1," Non-AV Receipts (est.)")</f>
        <v>2015 Non-AV Receipts (est.)</v>
      </c>
      <c r="I34" s="380"/>
      <c r="J34" s="448"/>
    </row>
    <row r="35" spans="2:10" ht="15">
      <c r="B35" s="539" t="str">
        <f>CONCATENATE("",E1-2,"/",E1-1,"/",E1," Budget Authority Amount:")</f>
        <v>2013/2014/2015 Budget Authority Amount:</v>
      </c>
      <c r="C35" s="538">
        <f>inputOth!B61</f>
        <v>0</v>
      </c>
      <c r="D35" s="537">
        <f>inputPrYr!D18</f>
        <v>0</v>
      </c>
      <c r="E35" s="329">
        <f>E33</f>
        <v>0</v>
      </c>
      <c r="F35" s="338"/>
      <c r="G35" s="350">
        <f>IF(E39&gt;0,E38,E40)</f>
        <v>0</v>
      </c>
      <c r="H35" s="352" t="str">
        <f>CONCATENATE("",E1," Ad Valorem Tax (est.)")</f>
        <v>2015 Ad Valorem Tax (est.)</v>
      </c>
      <c r="I35" s="380"/>
      <c r="J35" s="448"/>
    </row>
    <row r="36" spans="2:10" ht="15">
      <c r="B36" s="333"/>
      <c r="C36" s="632" t="s">
        <v>246</v>
      </c>
      <c r="D36" s="633"/>
      <c r="E36" s="48"/>
      <c r="F36" s="366">
        <f>IF(E33/0.95-E33&lt;E36,"Exceeds 5%","")</f>
      </c>
      <c r="G36" s="351">
        <f>SUM(G33:G35)</f>
        <v>0</v>
      </c>
      <c r="H36" s="352" t="str">
        <f>CONCATENATE("Total ",E1," Resources Available")</f>
        <v>Total 2015 Resources Available</v>
      </c>
      <c r="I36" s="348"/>
      <c r="J36" s="448"/>
    </row>
    <row r="37" spans="2:10" ht="15">
      <c r="B37" s="373" t="str">
        <f>CONCATENATE(C93,"     ",D93)</f>
        <v>     </v>
      </c>
      <c r="C37" s="634" t="s">
        <v>247</v>
      </c>
      <c r="D37" s="635"/>
      <c r="E37" s="329">
        <f>SUM(E33+E36)</f>
        <v>0</v>
      </c>
      <c r="F37" s="317"/>
      <c r="G37" s="349"/>
      <c r="H37" s="352"/>
      <c r="I37" s="380"/>
      <c r="J37" s="448"/>
    </row>
    <row r="38" spans="2:10" ht="15">
      <c r="B38" s="373" t="str">
        <f>CONCATENATE(C94,"     ",D94)</f>
        <v>     </v>
      </c>
      <c r="C38" s="339"/>
      <c r="D38" s="334" t="s">
        <v>65</v>
      </c>
      <c r="E38" s="323">
        <f>IF(E37-E21&gt;0,E37-E21,0)</f>
        <v>0</v>
      </c>
      <c r="F38" s="317"/>
      <c r="G38" s="350">
        <f>C33</f>
        <v>0</v>
      </c>
      <c r="H38" s="352" t="str">
        <f>CONCATENATE("Less ",E1-2," Expenditures")</f>
        <v>Less 2013 Expenditures</v>
      </c>
      <c r="I38" s="380"/>
      <c r="J38" s="448"/>
    </row>
    <row r="39" spans="2:10" ht="15">
      <c r="B39" s="334"/>
      <c r="C39" s="316" t="s">
        <v>245</v>
      </c>
      <c r="D39" s="526">
        <f>inputOth!$E$47</f>
        <v>0.03</v>
      </c>
      <c r="E39" s="329">
        <f>ROUND(IF(D39&gt;0,(E38*D39),0),0)</f>
        <v>0</v>
      </c>
      <c r="F39" s="317"/>
      <c r="G39" s="445">
        <f>SUM(G36-G38)</f>
        <v>0</v>
      </c>
      <c r="H39" s="446" t="str">
        <f>CONCATENATE("Projected ",E1+1," carryover (est.)")</f>
        <v>Projected 2016 carryover (est.)</v>
      </c>
      <c r="I39" s="447"/>
      <c r="J39" s="433"/>
    </row>
    <row r="40" spans="2:6" ht="15.75" thickBot="1">
      <c r="B40" s="318"/>
      <c r="C40" s="647" t="str">
        <f>CONCATENATE("Amount of  ",E1-1," Ad Valorem Tax")</f>
        <v>Amount of  2014 Ad Valorem Tax</v>
      </c>
      <c r="D40" s="648"/>
      <c r="E40" s="449">
        <f>SUM(E38:E39)</f>
        <v>0</v>
      </c>
      <c r="F40" s="317"/>
    </row>
    <row r="41" spans="2:10" ht="15.75" thickTop="1">
      <c r="B41" s="318"/>
      <c r="C41" s="412"/>
      <c r="D41" s="324"/>
      <c r="E41" s="324"/>
      <c r="F41" s="317"/>
      <c r="G41" s="640" t="s">
        <v>286</v>
      </c>
      <c r="H41" s="641"/>
      <c r="I41" s="641"/>
      <c r="J41" s="642"/>
    </row>
    <row r="42" spans="2:10" ht="15">
      <c r="B42" s="320"/>
      <c r="C42" s="320"/>
      <c r="D42" s="335"/>
      <c r="E42" s="335"/>
      <c r="F42" s="317"/>
      <c r="G42" s="434"/>
      <c r="H42" s="435"/>
      <c r="I42" s="436"/>
      <c r="J42" s="437"/>
    </row>
    <row r="43" spans="2:10" ht="15">
      <c r="B43" s="320" t="s">
        <v>49</v>
      </c>
      <c r="C43" s="515" t="s">
        <v>345</v>
      </c>
      <c r="D43" s="516" t="s">
        <v>346</v>
      </c>
      <c r="E43" s="125" t="s">
        <v>347</v>
      </c>
      <c r="F43" s="317"/>
      <c r="G43" s="438" t="str">
        <f>summ!H16</f>
        <v>  </v>
      </c>
      <c r="H43" s="435" t="str">
        <f>CONCATENATE("",E1," Fund Mill Rate")</f>
        <v>2015 Fund Mill Rate</v>
      </c>
      <c r="I43" s="436"/>
      <c r="J43" s="437"/>
    </row>
    <row r="44" spans="2:10" ht="15">
      <c r="B44" s="362" t="str">
        <f>inputPrYr!B19</f>
        <v>Library</v>
      </c>
      <c r="C44" s="201" t="str">
        <f>CONCATENATE("Actual for ",E1-2,"")</f>
        <v>Actual for 2013</v>
      </c>
      <c r="D44" s="201" t="str">
        <f>CONCATENATE("Estimate for ",E1-1,"")</f>
        <v>Estimate for 2014</v>
      </c>
      <c r="E44" s="186" t="str">
        <f>CONCATENATE("Year for ",E1,"")</f>
        <v>Year for 2015</v>
      </c>
      <c r="F44" s="317"/>
      <c r="G44" s="439" t="str">
        <f>summ!E16</f>
        <v>  </v>
      </c>
      <c r="H44" s="435" t="str">
        <f>CONCATENATE("",E1-1," Fund Mill Rate")</f>
        <v>2014 Fund Mill Rate</v>
      </c>
      <c r="I44" s="436"/>
      <c r="J44" s="437"/>
    </row>
    <row r="45" spans="2:10" ht="15">
      <c r="B45" s="328" t="s">
        <v>155</v>
      </c>
      <c r="C45" s="354">
        <v>0</v>
      </c>
      <c r="D45" s="356">
        <f>C74</f>
        <v>0</v>
      </c>
      <c r="E45" s="329">
        <f>D74</f>
        <v>0</v>
      </c>
      <c r="F45" s="317"/>
      <c r="G45" s="440">
        <f>summ!H28</f>
        <v>33.427</v>
      </c>
      <c r="H45" s="435" t="str">
        <f>CONCATENATE("Total ",E1," Mill Rate")</f>
        <v>Total 2015 Mill Rate</v>
      </c>
      <c r="I45" s="436"/>
      <c r="J45" s="437"/>
    </row>
    <row r="46" spans="2:10" ht="15">
      <c r="B46" s="336" t="s">
        <v>157</v>
      </c>
      <c r="C46" s="328"/>
      <c r="D46" s="356"/>
      <c r="E46" s="329"/>
      <c r="F46" s="317"/>
      <c r="G46" s="439">
        <f>summ!E28</f>
        <v>30.598000000000003</v>
      </c>
      <c r="H46" s="441" t="str">
        <f>CONCATENATE("Total ",E1-1," Mill Rate")</f>
        <v>Total 2014 Mill Rate</v>
      </c>
      <c r="I46" s="442"/>
      <c r="J46" s="443"/>
    </row>
    <row r="47" spans="2:9" ht="15">
      <c r="B47" s="328" t="s">
        <v>50</v>
      </c>
      <c r="C47" s="354">
        <v>3000</v>
      </c>
      <c r="D47" s="356">
        <v>3011</v>
      </c>
      <c r="E47" s="343" t="s">
        <v>38</v>
      </c>
      <c r="F47" s="317"/>
      <c r="G47" s="317"/>
      <c r="H47" s="317"/>
      <c r="I47" s="317"/>
    </row>
    <row r="48" spans="2:9" ht="15">
      <c r="B48" s="328" t="s">
        <v>51</v>
      </c>
      <c r="C48" s="354">
        <v>56</v>
      </c>
      <c r="D48" s="358">
        <v>93</v>
      </c>
      <c r="E48" s="322">
        <v>176</v>
      </c>
      <c r="F48" s="317"/>
      <c r="G48" s="564" t="s">
        <v>370</v>
      </c>
      <c r="H48" s="531"/>
      <c r="I48" s="530" t="str">
        <f>cert!F58</f>
        <v>No</v>
      </c>
    </row>
    <row r="49" spans="2:9" ht="15">
      <c r="B49" s="328" t="s">
        <v>52</v>
      </c>
      <c r="C49" s="354">
        <v>858</v>
      </c>
      <c r="D49" s="358">
        <v>977</v>
      </c>
      <c r="E49" s="329">
        <f>mvalloc!D9</f>
        <v>916</v>
      </c>
      <c r="F49" s="317"/>
      <c r="G49" s="317"/>
      <c r="H49" s="317"/>
      <c r="I49" s="317"/>
    </row>
    <row r="50" spans="2:9" ht="15">
      <c r="B50" s="328" t="s">
        <v>53</v>
      </c>
      <c r="C50" s="354">
        <v>5</v>
      </c>
      <c r="D50" s="358">
        <v>7</v>
      </c>
      <c r="E50" s="329">
        <f>mvalloc!E9</f>
        <v>6</v>
      </c>
      <c r="F50" s="317"/>
      <c r="G50" s="317"/>
      <c r="H50" s="317"/>
      <c r="I50" s="317"/>
    </row>
    <row r="51" spans="2:5" ht="15">
      <c r="B51" s="331" t="s">
        <v>144</v>
      </c>
      <c r="C51" s="354">
        <v>52</v>
      </c>
      <c r="D51" s="358">
        <v>51</v>
      </c>
      <c r="E51" s="329">
        <f>mvalloc!F9</f>
        <v>37</v>
      </c>
    </row>
    <row r="52" spans="2:5" ht="15">
      <c r="B52" s="322" t="s">
        <v>432</v>
      </c>
      <c r="C52" s="354">
        <v>0</v>
      </c>
      <c r="D52" s="358">
        <v>0</v>
      </c>
      <c r="E52" s="322">
        <v>4</v>
      </c>
    </row>
    <row r="53" spans="2:5" ht="15">
      <c r="B53" s="322"/>
      <c r="C53" s="354"/>
      <c r="D53" s="358"/>
      <c r="E53" s="322"/>
    </row>
    <row r="54" spans="2:5" ht="15">
      <c r="B54" s="322"/>
      <c r="C54" s="354"/>
      <c r="D54" s="358"/>
      <c r="E54" s="322"/>
    </row>
    <row r="55" spans="2:5" ht="15">
      <c r="B55" s="345"/>
      <c r="C55" s="354"/>
      <c r="D55" s="358"/>
      <c r="E55" s="322"/>
    </row>
    <row r="56" spans="2:5" ht="15">
      <c r="B56" s="345"/>
      <c r="C56" s="354"/>
      <c r="D56" s="358"/>
      <c r="E56" s="322"/>
    </row>
    <row r="57" spans="2:5" ht="15">
      <c r="B57" s="340" t="s">
        <v>57</v>
      </c>
      <c r="C57" s="354">
        <v>0</v>
      </c>
      <c r="D57" s="358">
        <v>0</v>
      </c>
      <c r="E57" s="322">
        <v>0</v>
      </c>
    </row>
    <row r="58" spans="2:5" ht="15">
      <c r="B58" s="328" t="s">
        <v>9</v>
      </c>
      <c r="C58" s="354">
        <v>0</v>
      </c>
      <c r="D58" s="232">
        <v>0</v>
      </c>
      <c r="E58" s="48">
        <v>0</v>
      </c>
    </row>
    <row r="59" spans="2:5" ht="15">
      <c r="B59" s="328" t="s">
        <v>259</v>
      </c>
      <c r="C59" s="237">
        <f>IF(C60*0.1&lt;C58,"Exceed 10% Rule","")</f>
      </c>
      <c r="D59" s="237">
        <f>IF(D60*0.1&lt;D58,"Exceed 10% Rule","")</f>
      </c>
      <c r="E59" s="267">
        <f>IF(E60*0.1+E80&lt;E58,"Exceed 10% Rule","")</f>
      </c>
    </row>
    <row r="60" spans="2:5" ht="15">
      <c r="B60" s="337" t="s">
        <v>58</v>
      </c>
      <c r="C60" s="355">
        <f>SUM(C47:C58)</f>
        <v>3971</v>
      </c>
      <c r="D60" s="355">
        <f>SUM(D47:D58)</f>
        <v>4139</v>
      </c>
      <c r="E60" s="341">
        <f>SUM(E48:E58)</f>
        <v>1139</v>
      </c>
    </row>
    <row r="61" spans="2:5" ht="15">
      <c r="B61" s="337" t="s">
        <v>59</v>
      </c>
      <c r="C61" s="355">
        <f>SUM(C45+C60)</f>
        <v>3971</v>
      </c>
      <c r="D61" s="355">
        <f>SUM(D45+D60)</f>
        <v>4139</v>
      </c>
      <c r="E61" s="341">
        <f>SUM(E45+E60)</f>
        <v>1139</v>
      </c>
    </row>
    <row r="62" spans="2:5" ht="15">
      <c r="B62" s="328" t="s">
        <v>61</v>
      </c>
      <c r="C62" s="328"/>
      <c r="D62" s="356"/>
      <c r="E62" s="329"/>
    </row>
    <row r="63" spans="2:5" ht="15">
      <c r="B63" s="578" t="s">
        <v>417</v>
      </c>
      <c r="C63" s="354"/>
      <c r="D63" s="358"/>
      <c r="E63" s="322"/>
    </row>
    <row r="64" spans="2:10" ht="15">
      <c r="B64" s="578" t="s">
        <v>418</v>
      </c>
      <c r="C64" s="354">
        <v>3971</v>
      </c>
      <c r="D64" s="358">
        <v>4139</v>
      </c>
      <c r="E64" s="322">
        <v>4144</v>
      </c>
      <c r="F64" s="2"/>
      <c r="G64" s="644" t="str">
        <f>CONCATENATE("Desired Carryover Into ",E1+1,"")</f>
        <v>Desired Carryover Into 2016</v>
      </c>
      <c r="H64" s="638"/>
      <c r="I64" s="638"/>
      <c r="J64" s="639"/>
    </row>
    <row r="65" spans="2:10" ht="15">
      <c r="B65" s="345"/>
      <c r="C65" s="354"/>
      <c r="D65" s="358"/>
      <c r="E65" s="322"/>
      <c r="F65" s="2"/>
      <c r="G65" s="452"/>
      <c r="H65" s="453"/>
      <c r="I65" s="454"/>
      <c r="J65" s="455"/>
    </row>
    <row r="66" spans="2:10" ht="15">
      <c r="B66" s="345"/>
      <c r="C66" s="354"/>
      <c r="D66" s="358"/>
      <c r="E66" s="322"/>
      <c r="F66" s="2"/>
      <c r="G66" s="456" t="s">
        <v>256</v>
      </c>
      <c r="H66" s="454"/>
      <c r="I66" s="454"/>
      <c r="J66" s="457">
        <v>0</v>
      </c>
    </row>
    <row r="67" spans="2:10" ht="15">
      <c r="B67" s="345"/>
      <c r="C67" s="354"/>
      <c r="D67" s="358"/>
      <c r="E67" s="322"/>
      <c r="F67" s="2"/>
      <c r="G67" s="452" t="s">
        <v>257</v>
      </c>
      <c r="H67" s="453"/>
      <c r="I67" s="453"/>
      <c r="J67" s="458">
        <f>IF(J66=0,"",ROUND((J66+E80-G79)/inputOth!E7*1000,3)-G84)</f>
      </c>
    </row>
    <row r="68" spans="2:10" ht="15">
      <c r="B68" s="345"/>
      <c r="C68" s="354"/>
      <c r="D68" s="358"/>
      <c r="E68" s="322"/>
      <c r="F68" s="2"/>
      <c r="G68" s="459" t="str">
        <f>CONCATENATE("",E1," Tot Exp/Non-Appr Must Be:")</f>
        <v>2015 Tot Exp/Non-Appr Must Be:</v>
      </c>
      <c r="H68" s="460"/>
      <c r="I68" s="461"/>
      <c r="J68" s="462">
        <f>IF(J66&gt;0,IF(E77&lt;E61,IF(J66=G79,E77,((J66-G79)*(1-D79))+E61),E77+(J66-G79)),0)</f>
        <v>0</v>
      </c>
    </row>
    <row r="69" spans="2:10" ht="15">
      <c r="B69" s="345"/>
      <c r="C69" s="354"/>
      <c r="D69" s="358"/>
      <c r="E69" s="322"/>
      <c r="F69" s="2"/>
      <c r="G69" s="463" t="s">
        <v>287</v>
      </c>
      <c r="H69" s="464"/>
      <c r="I69" s="464"/>
      <c r="J69" s="465">
        <f>IF(J66&gt;0,J68-E77,0)</f>
        <v>0</v>
      </c>
    </row>
    <row r="70" spans="2:10" ht="15">
      <c r="B70" s="331" t="s">
        <v>8</v>
      </c>
      <c r="C70" s="354"/>
      <c r="D70" s="358"/>
      <c r="E70" s="329"/>
      <c r="F70"/>
      <c r="G70" s="2"/>
      <c r="H70" s="2"/>
      <c r="I70" s="2"/>
      <c r="J70" s="2"/>
    </row>
    <row r="71" spans="2:10" ht="15">
      <c r="B71" s="331" t="s">
        <v>9</v>
      </c>
      <c r="C71" s="369"/>
      <c r="D71" s="358"/>
      <c r="E71" s="322"/>
      <c r="F71"/>
      <c r="G71" s="644" t="str">
        <f>CONCATENATE("Projected Carryover Into ",E1+1,"")</f>
        <v>Projected Carryover Into 2016</v>
      </c>
      <c r="H71" s="645"/>
      <c r="I71" s="645"/>
      <c r="J71" s="646"/>
    </row>
    <row r="72" spans="2:10" ht="15">
      <c r="B72" s="331" t="s">
        <v>260</v>
      </c>
      <c r="C72" s="237">
        <f>IF(C73*0.1&lt;C71,"Exceed 10% Rule","")</f>
      </c>
      <c r="D72" s="237">
        <f>IF(D73*0.1&lt;D71,"Exceed 10% Rule","")</f>
      </c>
      <c r="E72" s="267">
        <f>IF(E73*0.1&lt;E71,"Exceed 10% Rule","")</f>
      </c>
      <c r="F72"/>
      <c r="G72" s="466"/>
      <c r="H72" s="453"/>
      <c r="I72" s="453"/>
      <c r="J72" s="467"/>
    </row>
    <row r="73" spans="2:10" ht="15">
      <c r="B73" s="337" t="s">
        <v>64</v>
      </c>
      <c r="C73" s="355">
        <f>SUM(C63:C71)</f>
        <v>3971</v>
      </c>
      <c r="D73" s="355">
        <f>SUM(D63:D71)</f>
        <v>4139</v>
      </c>
      <c r="E73" s="341">
        <f>SUM(E63:E71)</f>
        <v>4144</v>
      </c>
      <c r="F73"/>
      <c r="G73" s="468">
        <f>D74</f>
        <v>0</v>
      </c>
      <c r="H73" s="435" t="str">
        <f>CONCATENATE("",E1-1," Ending Cash Balance (est.)")</f>
        <v>2014 Ending Cash Balance (est.)</v>
      </c>
      <c r="I73" s="469"/>
      <c r="J73" s="467"/>
    </row>
    <row r="74" spans="2:10" ht="15">
      <c r="B74" s="328" t="s">
        <v>156</v>
      </c>
      <c r="C74" s="360">
        <f>SUM(C61-C73)</f>
        <v>0</v>
      </c>
      <c r="D74" s="360">
        <f>SUM(D61-D73)</f>
        <v>0</v>
      </c>
      <c r="E74" s="343" t="s">
        <v>38</v>
      </c>
      <c r="F74"/>
      <c r="G74" s="468">
        <f>E60</f>
        <v>1139</v>
      </c>
      <c r="H74" s="454" t="str">
        <f>CONCATENATE("",E1," Non-AV Receipts (est.)")</f>
        <v>2015 Non-AV Receipts (est.)</v>
      </c>
      <c r="I74" s="469"/>
      <c r="J74" s="467"/>
    </row>
    <row r="75" spans="2:11" ht="15">
      <c r="B75" s="539" t="str">
        <f>CONCATENATE("",E1-2,"/",E1-1,"/",E1," Budget Authority Amount:")</f>
        <v>2013/2014/2015 Budget Authority Amount:</v>
      </c>
      <c r="C75" s="538">
        <f>inputOth!B62</f>
        <v>4100</v>
      </c>
      <c r="D75" s="538">
        <f>inputPrYr!D19</f>
        <v>4149</v>
      </c>
      <c r="E75" s="329">
        <f>E73</f>
        <v>4144</v>
      </c>
      <c r="F75" s="251"/>
      <c r="G75" s="470">
        <f>IF(E79&gt;0,E78,E80)</f>
        <v>3005</v>
      </c>
      <c r="H75" s="454" t="str">
        <f>CONCATENATE("",E1," Ad Valorem Tax (est.)")</f>
        <v>2015 Ad Valorem Tax (est.)</v>
      </c>
      <c r="I75" s="469"/>
      <c r="J75" s="467"/>
      <c r="K75" s="444">
        <f>IF(G75=E80,"","Note: Does not include Delinquent Taxes")</f>
      </c>
    </row>
    <row r="76" spans="2:10" ht="15">
      <c r="B76" s="333"/>
      <c r="C76" s="632" t="s">
        <v>246</v>
      </c>
      <c r="D76" s="633"/>
      <c r="E76" s="48"/>
      <c r="F76" s="471">
        <f>IF(E73/0.95-E73&lt;E76,"Exceeds 5%","")</f>
      </c>
      <c r="G76" s="472">
        <f>SUM(G73:G75)</f>
        <v>4144</v>
      </c>
      <c r="H76" s="454" t="str">
        <f>CONCATENATE("Total ",E1," Resources Available")</f>
        <v>Total 2015 Resources Available</v>
      </c>
      <c r="I76" s="473"/>
      <c r="J76" s="467"/>
    </row>
    <row r="77" spans="2:10" ht="15">
      <c r="B77" s="373" t="str">
        <f>CONCATENATE(C95,"     ",D95)</f>
        <v>     </v>
      </c>
      <c r="C77" s="634" t="s">
        <v>247</v>
      </c>
      <c r="D77" s="635"/>
      <c r="E77" s="329">
        <f>SUM(E73+E76)</f>
        <v>4144</v>
      </c>
      <c r="F77"/>
      <c r="G77" s="474"/>
      <c r="H77" s="475"/>
      <c r="I77" s="453"/>
      <c r="J77" s="467"/>
    </row>
    <row r="78" spans="2:10" ht="15">
      <c r="B78" s="373" t="str">
        <f>CONCATENATE(C96,"     ",D96)</f>
        <v>     </v>
      </c>
      <c r="C78" s="339"/>
      <c r="D78" s="334" t="s">
        <v>65</v>
      </c>
      <c r="E78" s="323">
        <f>IF(E77-E61&gt;0,E77-E61,0)</f>
        <v>3005</v>
      </c>
      <c r="F78"/>
      <c r="G78" s="476">
        <f>ROUND(C73*0.05+C73,0)</f>
        <v>4170</v>
      </c>
      <c r="H78" s="475" t="str">
        <f>CONCATENATE("Less ",E1-2," Expenditures + 5%")</f>
        <v>Less 2013 Expenditures + 5%</v>
      </c>
      <c r="I78" s="473"/>
      <c r="J78" s="467"/>
    </row>
    <row r="79" spans="2:10" ht="15">
      <c r="B79" s="334"/>
      <c r="C79" s="316" t="s">
        <v>245</v>
      </c>
      <c r="D79" s="526">
        <v>0</v>
      </c>
      <c r="E79" s="329">
        <f>ROUND(IF(D79&gt;0,(E78*D79),0),0)</f>
        <v>0</v>
      </c>
      <c r="F79"/>
      <c r="G79" s="477">
        <f>G76-G78</f>
        <v>-26</v>
      </c>
      <c r="H79" s="478" t="str">
        <f>CONCATENATE("Projected ",E1+1," carryover (est.)")</f>
        <v>Projected 2016 carryover (est.)</v>
      </c>
      <c r="I79" s="479"/>
      <c r="J79" s="480"/>
    </row>
    <row r="80" spans="2:10" ht="15.75" thickBot="1">
      <c r="B80" s="318"/>
      <c r="C80" s="647" t="str">
        <f>CONCATENATE("Amount of  ",E1-1," Ad Valorem Tax")</f>
        <v>Amount of  2014 Ad Valorem Tax</v>
      </c>
      <c r="D80" s="648"/>
      <c r="E80" s="449">
        <f>SUM(E78:E79)</f>
        <v>3005</v>
      </c>
      <c r="F80" s="481" t="str">
        <f>IF('Library Grant'!F33="","",IF('Library Grant'!F33="Qualify","Qualifies for State Library Grant","See 'Library Grant' tab"))</f>
        <v>Qualifies for State Library Grant</v>
      </c>
      <c r="G80" s="2"/>
      <c r="H80" s="2"/>
      <c r="I80" s="2"/>
      <c r="J80" s="2"/>
    </row>
    <row r="81" spans="2:10" ht="15.75" thickTop="1">
      <c r="B81" s="334" t="s">
        <v>67</v>
      </c>
      <c r="C81" s="344">
        <v>9</v>
      </c>
      <c r="D81" s="324"/>
      <c r="E81" s="318"/>
      <c r="F81"/>
      <c r="G81" s="640" t="s">
        <v>286</v>
      </c>
      <c r="H81" s="641"/>
      <c r="I81" s="641"/>
      <c r="J81" s="642"/>
    </row>
    <row r="82" spans="6:10" ht="15">
      <c r="F82" s="2"/>
      <c r="G82" s="434"/>
      <c r="H82" s="435"/>
      <c r="I82" s="436"/>
      <c r="J82" s="437"/>
    </row>
    <row r="83" spans="2:10" ht="15">
      <c r="B83" s="325"/>
      <c r="C83" s="325"/>
      <c r="D83" s="317"/>
      <c r="E83" s="317"/>
      <c r="F83"/>
      <c r="G83" s="438">
        <f>summ!H17</f>
        <v>2</v>
      </c>
      <c r="H83" s="435" t="str">
        <f>CONCATENATE("",E1," Fund Mill Rate")</f>
        <v>2015 Fund Mill Rate</v>
      </c>
      <c r="I83" s="436"/>
      <c r="J83" s="437"/>
    </row>
    <row r="84" spans="6:10" ht="15">
      <c r="F84" s="2"/>
      <c r="G84" s="439">
        <f>summ!E17</f>
        <v>1.992</v>
      </c>
      <c r="H84" s="435" t="str">
        <f>CONCATENATE("",E1-1," Fund Mill Rate")</f>
        <v>2014 Fund Mill Rate</v>
      </c>
      <c r="I84" s="436"/>
      <c r="J84" s="437"/>
    </row>
    <row r="85" spans="6:10" ht="15">
      <c r="F85" s="2"/>
      <c r="G85" s="440">
        <f>summ!H28</f>
        <v>33.427</v>
      </c>
      <c r="H85" s="435" t="str">
        <f>CONCATENATE("Total ",E1," Mill Rate")</f>
        <v>Total 2015 Mill Rate</v>
      </c>
      <c r="I85" s="436"/>
      <c r="J85" s="437"/>
    </row>
    <row r="86" spans="6:10" ht="15">
      <c r="F86" s="2"/>
      <c r="G86" s="439">
        <f>summ!E28</f>
        <v>30.598000000000003</v>
      </c>
      <c r="H86" s="441" t="str">
        <f>CONCATENATE("Total ",E1-1," Mill Rate")</f>
        <v>Total 2014 Mill Rate</v>
      </c>
      <c r="I86" s="442"/>
      <c r="J86" s="443"/>
    </row>
    <row r="88" spans="3:9" ht="15">
      <c r="C88" s="319" t="s">
        <v>249</v>
      </c>
      <c r="D88" s="319" t="s">
        <v>249</v>
      </c>
      <c r="G88" s="565" t="s">
        <v>370</v>
      </c>
      <c r="H88" s="531"/>
      <c r="I88" s="530" t="str">
        <f>cert!F58</f>
        <v>No</v>
      </c>
    </row>
    <row r="89" spans="3:4" ht="15">
      <c r="C89" s="319" t="s">
        <v>249</v>
      </c>
      <c r="D89" s="319" t="s">
        <v>249</v>
      </c>
    </row>
    <row r="91" spans="3:4" ht="15">
      <c r="C91" s="319" t="s">
        <v>249</v>
      </c>
      <c r="D91" s="319" t="s">
        <v>249</v>
      </c>
    </row>
    <row r="92" spans="3:4" ht="1.5" customHeight="1">
      <c r="C92" s="319" t="s">
        <v>249</v>
      </c>
      <c r="D92" s="319" t="s">
        <v>249</v>
      </c>
    </row>
    <row r="93" spans="3:4" ht="15" customHeight="1" hidden="1">
      <c r="C93" s="372">
        <f>IF(C33&gt;C35,"See Tab A","")</f>
      </c>
      <c r="D93" s="372">
        <f>IF(D33&gt;D35,"See Tab C","")</f>
      </c>
    </row>
    <row r="94" spans="3:4" ht="15.75" customHeight="1" hidden="1">
      <c r="C94" s="372">
        <f>IF(C34&lt;0,"See Tab B","")</f>
      </c>
      <c r="D94" s="372">
        <f>IF(D34&lt;0,"See Tab D","")</f>
      </c>
    </row>
    <row r="95" spans="3:4" ht="1.5" customHeight="1" hidden="1">
      <c r="C95" s="372">
        <f>IF(C73&gt;C75,"See Tab A","")</f>
      </c>
      <c r="D95" s="372">
        <f>IF(D73&gt;D75,"See Tab C","")</f>
      </c>
    </row>
    <row r="96" spans="3:4" ht="43.5" customHeight="1" hidden="1">
      <c r="C96" s="372">
        <f>IF(C74&lt;0,"See Tab B","")</f>
      </c>
      <c r="D96" s="372">
        <f>IF(D74&lt;0,"See Tab D","")</f>
      </c>
    </row>
    <row r="97" ht="24.75" customHeight="1"/>
  </sheetData>
  <sheetProtection/>
  <mergeCells count="12">
    <mergeCell ref="C80:D80"/>
    <mergeCell ref="C76:D76"/>
    <mergeCell ref="C77:D77"/>
    <mergeCell ref="C36:D36"/>
    <mergeCell ref="C37:D37"/>
    <mergeCell ref="C40:D40"/>
    <mergeCell ref="G31:J31"/>
    <mergeCell ref="G24:J24"/>
    <mergeCell ref="G41:J41"/>
    <mergeCell ref="G64:J64"/>
    <mergeCell ref="G71:J71"/>
    <mergeCell ref="G81:J81"/>
  </mergeCells>
  <conditionalFormatting sqref="C58">
    <cfRule type="cellIs" priority="22" dxfId="2" operator="greaterThan" stopIfTrue="1">
      <formula>$C$60*0.1</formula>
    </cfRule>
  </conditionalFormatting>
  <conditionalFormatting sqref="D58 D18">
    <cfRule type="cellIs" priority="21" dxfId="0" operator="greaterThan" stopIfTrue="1">
      <formula>$D$20*0.1</formula>
    </cfRule>
  </conditionalFormatting>
  <conditionalFormatting sqref="E58">
    <cfRule type="cellIs" priority="20" dxfId="92" operator="greaterThan" stopIfTrue="1">
      <formula>$E$20*0.1+E80</formula>
    </cfRule>
  </conditionalFormatting>
  <conditionalFormatting sqref="C71">
    <cfRule type="cellIs" priority="19" dxfId="2" operator="greaterThan" stopIfTrue="1">
      <formula>$C$73*0.1</formula>
    </cfRule>
  </conditionalFormatting>
  <conditionalFormatting sqref="D71">
    <cfRule type="cellIs" priority="18" dxfId="2" operator="greaterThan" stopIfTrue="1">
      <formula>$D$73*0.1</formula>
    </cfRule>
  </conditionalFormatting>
  <conditionalFormatting sqref="E71">
    <cfRule type="cellIs" priority="17" dxfId="2" operator="greaterThan" stopIfTrue="1">
      <formula>$E$73*0.1</formula>
    </cfRule>
  </conditionalFormatting>
  <conditionalFormatting sqref="C31">
    <cfRule type="cellIs" priority="16" dxfId="2" operator="greaterThan" stopIfTrue="1">
      <formula>$C$33*0.1</formula>
    </cfRule>
  </conditionalFormatting>
  <conditionalFormatting sqref="D31">
    <cfRule type="cellIs" priority="15" dxfId="2" operator="greaterThan" stopIfTrue="1">
      <formula>$D$33*0.1</formula>
    </cfRule>
  </conditionalFormatting>
  <conditionalFormatting sqref="E31">
    <cfRule type="cellIs" priority="14" dxfId="2" operator="greaterThan" stopIfTrue="1">
      <formula>$E$33*0.1</formula>
    </cfRule>
  </conditionalFormatting>
  <conditionalFormatting sqref="C18">
    <cfRule type="cellIs" priority="12" dxfId="0" operator="greaterThan" stopIfTrue="1">
      <formula>$C$20*0.1</formula>
    </cfRule>
  </conditionalFormatting>
  <conditionalFormatting sqref="E18">
    <cfRule type="cellIs" priority="11" dxfId="92" operator="greaterThan" stopIfTrue="1">
      <formula>$E$20*0.1+E40</formula>
    </cfRule>
  </conditionalFormatting>
  <conditionalFormatting sqref="E36">
    <cfRule type="cellIs" priority="10" dxfId="92" operator="greaterThan" stopIfTrue="1">
      <formula>$E$33/0.95-$E$33</formula>
    </cfRule>
  </conditionalFormatting>
  <conditionalFormatting sqref="E76">
    <cfRule type="cellIs" priority="9" dxfId="92" operator="greaterThan" stopIfTrue="1">
      <formula>$E$73/0.95-$E$73</formula>
    </cfRule>
  </conditionalFormatting>
  <conditionalFormatting sqref="C33">
    <cfRule type="cellIs" priority="8" dxfId="2" operator="greaterThan" stopIfTrue="1">
      <formula>$C$35</formula>
    </cfRule>
  </conditionalFormatting>
  <conditionalFormatting sqref="D74">
    <cfRule type="cellIs" priority="7" dxfId="2" operator="lessThan" stopIfTrue="1">
      <formula>0</formula>
    </cfRule>
  </conditionalFormatting>
  <conditionalFormatting sqref="D33">
    <cfRule type="cellIs" priority="6" dxfId="2" operator="greaterThan" stopIfTrue="1">
      <formula>$D$35</formula>
    </cfRule>
  </conditionalFormatting>
  <conditionalFormatting sqref="C73">
    <cfRule type="cellIs" priority="4" dxfId="2" operator="greaterThan" stopIfTrue="1">
      <formula>$C$75</formula>
    </cfRule>
  </conditionalFormatting>
  <conditionalFormatting sqref="D73">
    <cfRule type="cellIs" priority="2" dxfId="2" operator="greaterThan" stopIfTrue="1">
      <formula>$D$75</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9">
      <selection activeCell="E33" sqref="E33"/>
    </sheetView>
  </sheetViews>
  <sheetFormatPr defaultColWidth="8.796875" defaultRowHeight="15"/>
  <cols>
    <col min="1" max="1" width="2.3984375" style="30" customWidth="1"/>
    <col min="2" max="2" width="31.19921875" style="30" customWidth="1"/>
    <col min="3" max="4" width="15.69921875" style="30" customWidth="1"/>
    <col min="5" max="5" width="16.19921875" style="30" customWidth="1"/>
    <col min="6" max="6" width="8.796875" style="30" customWidth="1"/>
    <col min="7" max="7" width="10.19921875" style="30" customWidth="1"/>
    <col min="8" max="8" width="8.796875" style="30" customWidth="1"/>
    <col min="9" max="9" width="5" style="30" customWidth="1"/>
    <col min="10" max="10" width="10" style="30" customWidth="1"/>
    <col min="11" max="16384" width="8.796875" style="30" customWidth="1"/>
  </cols>
  <sheetData>
    <row r="1" spans="2:5" ht="15">
      <c r="B1" s="175" t="str">
        <f>(inputPrYr!D2)</f>
        <v>City of Moran</v>
      </c>
      <c r="C1" s="32"/>
      <c r="D1" s="32"/>
      <c r="E1" s="224">
        <f>inputPrYr!C5</f>
        <v>2015</v>
      </c>
    </row>
    <row r="2" spans="2:5" ht="15">
      <c r="B2" s="32"/>
      <c r="C2" s="32"/>
      <c r="D2" s="32"/>
      <c r="E2" s="149"/>
    </row>
    <row r="3" spans="2:5" ht="15">
      <c r="B3" s="225" t="s">
        <v>112</v>
      </c>
      <c r="C3" s="179"/>
      <c r="D3" s="179"/>
      <c r="E3" s="262"/>
    </row>
    <row r="4" spans="2:5" ht="15">
      <c r="B4" s="33" t="s">
        <v>49</v>
      </c>
      <c r="C4" s="515" t="s">
        <v>345</v>
      </c>
      <c r="D4" s="516" t="s">
        <v>346</v>
      </c>
      <c r="E4" s="125" t="s">
        <v>347</v>
      </c>
    </row>
    <row r="5" spans="2:5" ht="15">
      <c r="B5" s="377" t="str">
        <f>inputPrYr!B21</f>
        <v>Employee Benefit</v>
      </c>
      <c r="C5" s="201" t="str">
        <f>CONCATENATE("Actual for ",E1-2,"")</f>
        <v>Actual for 2013</v>
      </c>
      <c r="D5" s="201" t="str">
        <f>CONCATENATE("Estimate for ",E1-1,"")</f>
        <v>Estimate for 2014</v>
      </c>
      <c r="E5" s="186" t="str">
        <f>CONCATENATE("Year for ",E1,"")</f>
        <v>Year for 2015</v>
      </c>
    </row>
    <row r="6" spans="2:5" ht="15">
      <c r="B6" s="228" t="s">
        <v>155</v>
      </c>
      <c r="C6" s="232">
        <v>2392</v>
      </c>
      <c r="D6" s="230">
        <f>C34</f>
        <v>17795</v>
      </c>
      <c r="E6" s="204">
        <f>D34</f>
        <v>25166</v>
      </c>
    </row>
    <row r="7" spans="2:5" ht="15">
      <c r="B7" s="231" t="s">
        <v>157</v>
      </c>
      <c r="C7" s="140"/>
      <c r="D7" s="140"/>
      <c r="E7" s="68"/>
    </row>
    <row r="8" spans="2:5" ht="15">
      <c r="B8" s="131" t="s">
        <v>50</v>
      </c>
      <c r="C8" s="232">
        <v>21641</v>
      </c>
      <c r="D8" s="230">
        <v>18391</v>
      </c>
      <c r="E8" s="260" t="s">
        <v>38</v>
      </c>
    </row>
    <row r="9" spans="2:5" ht="15">
      <c r="B9" s="131" t="s">
        <v>51</v>
      </c>
      <c r="C9" s="232">
        <v>143</v>
      </c>
      <c r="D9" s="232">
        <v>569</v>
      </c>
      <c r="E9" s="48">
        <v>570</v>
      </c>
    </row>
    <row r="10" spans="2:5" ht="15">
      <c r="B10" s="131" t="s">
        <v>52</v>
      </c>
      <c r="C10" s="232">
        <v>2039</v>
      </c>
      <c r="D10" s="232">
        <v>7050</v>
      </c>
      <c r="E10" s="204">
        <f>mvalloc!D10</f>
        <v>5594</v>
      </c>
    </row>
    <row r="11" spans="2:5" ht="15">
      <c r="B11" s="131" t="s">
        <v>53</v>
      </c>
      <c r="C11" s="232">
        <v>13</v>
      </c>
      <c r="D11" s="232">
        <v>52</v>
      </c>
      <c r="E11" s="204">
        <f>mvalloc!E10</f>
        <v>34</v>
      </c>
    </row>
    <row r="12" spans="2:5" ht="15">
      <c r="B12" s="140" t="s">
        <v>144</v>
      </c>
      <c r="C12" s="232">
        <v>91</v>
      </c>
      <c r="D12" s="232">
        <v>366</v>
      </c>
      <c r="E12" s="204">
        <f>mvalloc!F10</f>
        <v>227</v>
      </c>
    </row>
    <row r="13" spans="2:5" ht="15">
      <c r="B13" s="48" t="s">
        <v>432</v>
      </c>
      <c r="C13" s="232">
        <v>0</v>
      </c>
      <c r="D13" s="232">
        <v>0</v>
      </c>
      <c r="E13" s="48">
        <v>24</v>
      </c>
    </row>
    <row r="14" spans="2:5" ht="15">
      <c r="B14" s="48" t="s">
        <v>406</v>
      </c>
      <c r="C14" s="232">
        <v>0</v>
      </c>
      <c r="D14" s="232">
        <v>193</v>
      </c>
      <c r="E14" s="48">
        <v>0</v>
      </c>
    </row>
    <row r="15" spans="2:5" ht="15">
      <c r="B15" s="248"/>
      <c r="C15" s="232"/>
      <c r="D15" s="232"/>
      <c r="E15" s="48"/>
    </row>
    <row r="16" spans="2:5" ht="15">
      <c r="B16" s="248"/>
      <c r="C16" s="232"/>
      <c r="D16" s="232"/>
      <c r="E16" s="48"/>
    </row>
    <row r="17" spans="2:5" ht="15">
      <c r="B17" s="236" t="s">
        <v>57</v>
      </c>
      <c r="C17" s="232"/>
      <c r="D17" s="232"/>
      <c r="E17" s="48"/>
    </row>
    <row r="18" spans="2:5" ht="15">
      <c r="B18" s="140" t="s">
        <v>9</v>
      </c>
      <c r="C18" s="232"/>
      <c r="D18" s="232"/>
      <c r="E18" s="48"/>
    </row>
    <row r="19" spans="2:5" ht="15">
      <c r="B19" s="228" t="s">
        <v>259</v>
      </c>
      <c r="C19" s="237">
        <f>IF(C20*0.1&lt;C18,"Exceed 10% Rule","")</f>
      </c>
      <c r="D19" s="237">
        <f>IF(D20*0.1&lt;D18,"Exceed 10% Rule","")</f>
      </c>
      <c r="E19" s="267">
        <f>IF(E20*0.1+E40&lt;E18,"Exceed 10% Rule","")</f>
      </c>
    </row>
    <row r="20" spans="2:5" ht="15">
      <c r="B20" s="239" t="s">
        <v>58</v>
      </c>
      <c r="C20" s="241">
        <f>SUM(C8:C18)</f>
        <v>23927</v>
      </c>
      <c r="D20" s="241">
        <f>SUM(D8:D18)</f>
        <v>26621</v>
      </c>
      <c r="E20" s="242">
        <f>SUM(E8:E18)</f>
        <v>6449</v>
      </c>
    </row>
    <row r="21" spans="2:5" ht="15">
      <c r="B21" s="239" t="s">
        <v>59</v>
      </c>
      <c r="C21" s="245">
        <f>C6+C20</f>
        <v>26319</v>
      </c>
      <c r="D21" s="245">
        <f>D6+D20</f>
        <v>44416</v>
      </c>
      <c r="E21" s="63">
        <f>E6+E20</f>
        <v>31615</v>
      </c>
    </row>
    <row r="22" spans="2:5" ht="15">
      <c r="B22" s="131" t="s">
        <v>61</v>
      </c>
      <c r="C22" s="249"/>
      <c r="D22" s="249"/>
      <c r="E22" s="46"/>
    </row>
    <row r="23" spans="2:5" ht="15">
      <c r="B23" s="578" t="s">
        <v>433</v>
      </c>
      <c r="C23" s="232"/>
      <c r="D23" s="232"/>
      <c r="E23" s="48"/>
    </row>
    <row r="24" spans="2:10" ht="15">
      <c r="B24" s="578" t="s">
        <v>434</v>
      </c>
      <c r="C24" s="232">
        <v>8524</v>
      </c>
      <c r="D24" s="232">
        <v>19250</v>
      </c>
      <c r="E24" s="48">
        <v>40570</v>
      </c>
      <c r="G24" s="644" t="str">
        <f>CONCATENATE("Desired Carryover Into ",E1+1,"")</f>
        <v>Desired Carryover Into 2016</v>
      </c>
      <c r="H24" s="638"/>
      <c r="I24" s="638"/>
      <c r="J24" s="639"/>
    </row>
    <row r="25" spans="2:10" ht="15">
      <c r="B25" s="248"/>
      <c r="C25" s="232"/>
      <c r="D25" s="232"/>
      <c r="E25" s="48"/>
      <c r="G25" s="452"/>
      <c r="H25" s="453"/>
      <c r="I25" s="454"/>
      <c r="J25" s="455"/>
    </row>
    <row r="26" spans="2:10" ht="15">
      <c r="B26" s="248"/>
      <c r="C26" s="232"/>
      <c r="D26" s="232"/>
      <c r="E26" s="48"/>
      <c r="G26" s="456" t="s">
        <v>256</v>
      </c>
      <c r="H26" s="454"/>
      <c r="I26" s="454"/>
      <c r="J26" s="457">
        <v>0</v>
      </c>
    </row>
    <row r="27" spans="2:10" ht="15">
      <c r="B27" s="248"/>
      <c r="C27" s="232"/>
      <c r="D27" s="232"/>
      <c r="E27" s="48"/>
      <c r="G27" s="452" t="s">
        <v>257</v>
      </c>
      <c r="H27" s="453"/>
      <c r="I27" s="453"/>
      <c r="J27" s="458">
        <f>IF(J26=0,"",ROUND((J26+E40-G39)/inputOth!E7*1000,3)-G44)</f>
      </c>
    </row>
    <row r="28" spans="2:10" ht="15">
      <c r="B28" s="248"/>
      <c r="C28" s="232"/>
      <c r="D28" s="232"/>
      <c r="E28" s="48"/>
      <c r="G28" s="459" t="str">
        <f>CONCATENATE("",E1," Tot Exp/Non-Appr Must Be:")</f>
        <v>2015 Tot Exp/Non-Appr Must Be:</v>
      </c>
      <c r="H28" s="460"/>
      <c r="I28" s="461"/>
      <c r="J28" s="462">
        <f>IF(J26&gt;0,IF(E37&lt;E21,IF(J26=G39,E37,((J26-G39)*(1-D39))+E21),E37+(J26-G39)),0)</f>
        <v>0</v>
      </c>
    </row>
    <row r="29" spans="2:10" ht="15">
      <c r="B29" s="248"/>
      <c r="C29" s="232"/>
      <c r="D29" s="232"/>
      <c r="E29" s="48"/>
      <c r="G29" s="463" t="s">
        <v>287</v>
      </c>
      <c r="H29" s="464"/>
      <c r="I29" s="464"/>
      <c r="J29" s="465">
        <f>IF(J26&gt;0,J28-E37,0)</f>
        <v>0</v>
      </c>
    </row>
    <row r="30" spans="2:10" ht="15">
      <c r="B30" s="249" t="s">
        <v>8</v>
      </c>
      <c r="C30" s="232"/>
      <c r="D30" s="232"/>
      <c r="E30" s="63"/>
      <c r="J30" s="2"/>
    </row>
    <row r="31" spans="2:10" ht="15">
      <c r="B31" s="249" t="s">
        <v>9</v>
      </c>
      <c r="C31" s="232"/>
      <c r="D31" s="232"/>
      <c r="E31" s="48"/>
      <c r="G31" s="644" t="str">
        <f>CONCATENATE("Projected Carryover Into ",E1+1,"")</f>
        <v>Projected Carryover Into 2016</v>
      </c>
      <c r="H31" s="649"/>
      <c r="I31" s="649"/>
      <c r="J31" s="646"/>
    </row>
    <row r="32" spans="2:10" ht="15">
      <c r="B32" s="249" t="s">
        <v>260</v>
      </c>
      <c r="C32" s="237">
        <f>IF(C33*0.1&lt;C31,"Exceed 10% Rule","")</f>
      </c>
      <c r="D32" s="237">
        <f>IF(D33*0.1&lt;D31,"Exceed 10% Rule","")</f>
      </c>
      <c r="E32" s="267">
        <f>IF(E33*0.1&lt;E31,"Exceed 10% Rule","")</f>
      </c>
      <c r="G32" s="452"/>
      <c r="H32" s="454"/>
      <c r="I32" s="454"/>
      <c r="J32" s="467"/>
    </row>
    <row r="33" spans="2:10" ht="15">
      <c r="B33" s="239" t="s">
        <v>64</v>
      </c>
      <c r="C33" s="241">
        <f>SUM(C23:C31)</f>
        <v>8524</v>
      </c>
      <c r="D33" s="241">
        <f>SUM(D23:D31)</f>
        <v>19250</v>
      </c>
      <c r="E33" s="241">
        <f>SUM(E23:E31)</f>
        <v>40570</v>
      </c>
      <c r="G33" s="468">
        <f>D34</f>
        <v>25166</v>
      </c>
      <c r="H33" s="435" t="str">
        <f>CONCATENATE("",E1-1," Ending Cash Balance (est.)")</f>
        <v>2014 Ending Cash Balance (est.)</v>
      </c>
      <c r="I33" s="469"/>
      <c r="J33" s="467"/>
    </row>
    <row r="34" spans="2:10" ht="15">
      <c r="B34" s="131" t="s">
        <v>156</v>
      </c>
      <c r="C34" s="245">
        <f>C21-C33</f>
        <v>17795</v>
      </c>
      <c r="D34" s="245">
        <f>D21-D33</f>
        <v>25166</v>
      </c>
      <c r="E34" s="260" t="s">
        <v>38</v>
      </c>
      <c r="G34" s="468">
        <f>E20</f>
        <v>6449</v>
      </c>
      <c r="H34" s="454" t="str">
        <f>CONCATENATE("",E1," Non-AV Receipts (est.)")</f>
        <v>2015 Non-AV Receipts (est.)</v>
      </c>
      <c r="I34" s="469"/>
      <c r="J34" s="467"/>
    </row>
    <row r="35" spans="2:11" ht="15">
      <c r="B35" s="151" t="str">
        <f>CONCATENATE("",E1-2,"/",E1-1,"/",E1," Budget Authority Amount:")</f>
        <v>2013/2014/2015 Budget Authority Amount:</v>
      </c>
      <c r="C35" s="518">
        <f>inputOth!B63</f>
        <v>25000</v>
      </c>
      <c r="D35" s="518">
        <f>inputPrYr!D21</f>
        <v>44600</v>
      </c>
      <c r="E35" s="204">
        <f>E33</f>
        <v>40570</v>
      </c>
      <c r="F35" s="251"/>
      <c r="G35" s="470">
        <f>IF(E39&gt;0,E38,E40)</f>
        <v>8955</v>
      </c>
      <c r="H35" s="454" t="str">
        <f>CONCATENATE("",E1," Ad Valorem Tax (est.)")</f>
        <v>2015 Ad Valorem Tax (est.)</v>
      </c>
      <c r="I35" s="469"/>
      <c r="J35" s="448"/>
      <c r="K35" s="444" t="str">
        <f>IF(G35=E40,"","Note: Does not include Delinquent Taxes")</f>
        <v>Note: Does not include Delinquent Taxes</v>
      </c>
    </row>
    <row r="36" spans="2:10" ht="15">
      <c r="B36" s="117"/>
      <c r="C36" s="632" t="s">
        <v>246</v>
      </c>
      <c r="D36" s="633"/>
      <c r="E36" s="48"/>
      <c r="F36" s="527">
        <f>IF(E33/0.95-E33&lt;E36,"Exceeds 5%","")</f>
      </c>
      <c r="G36" s="468">
        <f>SUM(G33:G35)</f>
        <v>40570</v>
      </c>
      <c r="H36" s="454" t="str">
        <f>CONCATENATE("Total ",E1," Resources Available")</f>
        <v>Total 2015 Resources Available</v>
      </c>
      <c r="I36" s="469"/>
      <c r="J36" s="467"/>
    </row>
    <row r="37" spans="2:10" ht="15">
      <c r="B37" s="373" t="str">
        <f>CONCATENATE(C94,"     ",D94)</f>
        <v>     </v>
      </c>
      <c r="C37" s="634" t="s">
        <v>247</v>
      </c>
      <c r="D37" s="635"/>
      <c r="E37" s="204">
        <f>E33+E36</f>
        <v>40570</v>
      </c>
      <c r="G37" s="505"/>
      <c r="H37" s="454"/>
      <c r="I37" s="454"/>
      <c r="J37" s="467"/>
    </row>
    <row r="38" spans="2:10" ht="15">
      <c r="B38" s="373" t="str">
        <f>CONCATENATE(C95,"     ",D95)</f>
        <v>     </v>
      </c>
      <c r="C38" s="252"/>
      <c r="D38" s="149" t="s">
        <v>65</v>
      </c>
      <c r="E38" s="63">
        <f>IF(E37-E21&gt;0,E37-E21,0)</f>
        <v>8955</v>
      </c>
      <c r="G38" s="470">
        <f>ROUND(C33*0.05+C33,0)</f>
        <v>8950</v>
      </c>
      <c r="H38" s="454" t="str">
        <f>CONCATENATE("Less ",E1-2," Expenditures + 5%")</f>
        <v>Less 2013 Expenditures + 5%</v>
      </c>
      <c r="I38" s="469"/>
      <c r="J38" s="467"/>
    </row>
    <row r="39" spans="2:10" ht="15">
      <c r="B39" s="149"/>
      <c r="C39" s="316" t="s">
        <v>245</v>
      </c>
      <c r="D39" s="526">
        <f>inputOth!$E$47</f>
        <v>0.03</v>
      </c>
      <c r="E39" s="204">
        <f>ROUND(IF(D39&gt;0,(E38*D39),0),0)</f>
        <v>269</v>
      </c>
      <c r="G39" s="506">
        <f>G36-G38</f>
        <v>31620</v>
      </c>
      <c r="H39" s="507" t="str">
        <f>CONCATENATE("Projected ",E1+1," carryover (est.)")</f>
        <v>Projected 2016 carryover (est.)</v>
      </c>
      <c r="I39" s="508"/>
      <c r="J39" s="480"/>
    </row>
    <row r="40" spans="2:10" ht="15.75" thickBot="1">
      <c r="B40" s="149"/>
      <c r="C40" s="636" t="str">
        <f>CONCATENATE("Amount of  ",$E$1-1," Ad Valorem Tax")</f>
        <v>Amount of  2014 Ad Valorem Tax</v>
      </c>
      <c r="D40" s="637"/>
      <c r="E40" s="451">
        <f>E38+E39</f>
        <v>9224</v>
      </c>
      <c r="G40" s="2"/>
      <c r="H40" s="2"/>
      <c r="I40" s="2"/>
      <c r="J40" s="2"/>
    </row>
    <row r="41" spans="2:10" ht="15.75" thickTop="1">
      <c r="B41" s="32"/>
      <c r="C41" s="636"/>
      <c r="D41" s="650"/>
      <c r="E41" s="57"/>
      <c r="G41" s="640" t="s">
        <v>286</v>
      </c>
      <c r="H41" s="641"/>
      <c r="I41" s="641"/>
      <c r="J41" s="642"/>
    </row>
    <row r="42" spans="2:10" ht="15">
      <c r="B42" s="33"/>
      <c r="C42" s="263"/>
      <c r="D42" s="263"/>
      <c r="E42" s="263"/>
      <c r="G42" s="434"/>
      <c r="H42" s="435"/>
      <c r="I42" s="436"/>
      <c r="J42" s="437"/>
    </row>
    <row r="43" spans="2:10" ht="15">
      <c r="B43" s="33" t="s">
        <v>49</v>
      </c>
      <c r="C43" s="515" t="s">
        <v>345</v>
      </c>
      <c r="D43" s="516" t="s">
        <v>346</v>
      </c>
      <c r="E43" s="125" t="s">
        <v>347</v>
      </c>
      <c r="G43" s="438">
        <f>summ!H18</f>
        <v>6.138</v>
      </c>
      <c r="H43" s="435" t="str">
        <f>CONCATENATE("",E1," Fund Mill Rate")</f>
        <v>2015 Fund Mill Rate</v>
      </c>
      <c r="I43" s="436"/>
      <c r="J43" s="437"/>
    </row>
    <row r="44" spans="2:10" ht="15">
      <c r="B44" s="377">
        <f>(inputPrYr!B22)</f>
        <v>0</v>
      </c>
      <c r="C44" s="201" t="str">
        <f>CONCATENATE("Actual for ",E1-2,"")</f>
        <v>Actual for 2013</v>
      </c>
      <c r="D44" s="201" t="str">
        <f>CONCATENATE("Estimate for ",E1-1,"")</f>
        <v>Estimate for 2014</v>
      </c>
      <c r="E44" s="186" t="str">
        <f>CONCATENATE("Year for ",E1,"")</f>
        <v>Year for 2015</v>
      </c>
      <c r="G44" s="439">
        <f>summ!E18</f>
        <v>12.169</v>
      </c>
      <c r="H44" s="435" t="str">
        <f>CONCATENATE("",E1-1," Fund Mill Rate")</f>
        <v>2014 Fund Mill Rate</v>
      </c>
      <c r="I44" s="436"/>
      <c r="J44" s="437"/>
    </row>
    <row r="45" spans="2:10" ht="15">
      <c r="B45" s="228" t="s">
        <v>155</v>
      </c>
      <c r="C45" s="232"/>
      <c r="D45" s="230">
        <f>C74</f>
        <v>0</v>
      </c>
      <c r="E45" s="204">
        <f>D74</f>
        <v>0</v>
      </c>
      <c r="G45" s="440">
        <f>summ!H28</f>
        <v>33.427</v>
      </c>
      <c r="H45" s="435" t="str">
        <f>CONCATENATE("Total ",E1," Mill Rate")</f>
        <v>Total 2015 Mill Rate</v>
      </c>
      <c r="I45" s="436"/>
      <c r="J45" s="437"/>
    </row>
    <row r="46" spans="2:10" ht="15">
      <c r="B46" s="231" t="s">
        <v>157</v>
      </c>
      <c r="C46" s="140"/>
      <c r="D46" s="140"/>
      <c r="E46" s="68"/>
      <c r="G46" s="439">
        <f>summ!E28</f>
        <v>30.598000000000003</v>
      </c>
      <c r="H46" s="441" t="str">
        <f>CONCATENATE("Total ",E1-1," Mill Rate")</f>
        <v>Total 2014 Mill Rate</v>
      </c>
      <c r="I46" s="442"/>
      <c r="J46" s="443"/>
    </row>
    <row r="47" spans="2:5" ht="15">
      <c r="B47" s="131" t="s">
        <v>50</v>
      </c>
      <c r="C47" s="232"/>
      <c r="D47" s="230">
        <f>IF(inputPrYr!H16&gt;0,inputPrYr!G22,inputPrYr!E22)</f>
        <v>0</v>
      </c>
      <c r="E47" s="260" t="s">
        <v>38</v>
      </c>
    </row>
    <row r="48" spans="2:9" ht="15">
      <c r="B48" s="131" t="s">
        <v>51</v>
      </c>
      <c r="C48" s="232"/>
      <c r="D48" s="232"/>
      <c r="E48" s="48"/>
      <c r="G48" s="566" t="s">
        <v>370</v>
      </c>
      <c r="H48" s="533"/>
      <c r="I48" s="532" t="str">
        <f>cert!F58</f>
        <v>No</v>
      </c>
    </row>
    <row r="49" spans="2:5" ht="15">
      <c r="B49" s="131" t="s">
        <v>52</v>
      </c>
      <c r="C49" s="232"/>
      <c r="D49" s="232"/>
      <c r="E49" s="204" t="str">
        <f>mvalloc!D11</f>
        <v>  </v>
      </c>
    </row>
    <row r="50" spans="2:5" ht="15">
      <c r="B50" s="131" t="s">
        <v>53</v>
      </c>
      <c r="C50" s="232"/>
      <c r="D50" s="232"/>
      <c r="E50" s="204" t="str">
        <f>mvalloc!E11</f>
        <v> </v>
      </c>
    </row>
    <row r="51" spans="2:5" ht="15">
      <c r="B51" s="140" t="s">
        <v>144</v>
      </c>
      <c r="C51" s="232"/>
      <c r="D51" s="232"/>
      <c r="E51" s="204" t="str">
        <f>mvalloc!F11</f>
        <v> </v>
      </c>
    </row>
    <row r="52" spans="2:5" ht="15">
      <c r="B52" s="248"/>
      <c r="C52" s="232"/>
      <c r="D52" s="232"/>
      <c r="E52" s="48"/>
    </row>
    <row r="53" spans="2:5" ht="15">
      <c r="B53" s="248"/>
      <c r="C53" s="232"/>
      <c r="D53" s="232"/>
      <c r="E53" s="48"/>
    </row>
    <row r="54" spans="2:5" ht="15">
      <c r="B54" s="248"/>
      <c r="C54" s="232"/>
      <c r="D54" s="232"/>
      <c r="E54" s="48"/>
    </row>
    <row r="55" spans="2:5" ht="15">
      <c r="B55" s="248"/>
      <c r="C55" s="232"/>
      <c r="D55" s="232"/>
      <c r="E55" s="48"/>
    </row>
    <row r="56" spans="2:5" ht="15">
      <c r="B56" s="248"/>
      <c r="C56" s="232"/>
      <c r="D56" s="232"/>
      <c r="E56" s="48"/>
    </row>
    <row r="57" spans="2:5" ht="15">
      <c r="B57" s="236" t="s">
        <v>57</v>
      </c>
      <c r="C57" s="232"/>
      <c r="D57" s="232"/>
      <c r="E57" s="48"/>
    </row>
    <row r="58" spans="2:5" ht="15">
      <c r="B58" s="140" t="s">
        <v>9</v>
      </c>
      <c r="C58" s="232"/>
      <c r="D58" s="232"/>
      <c r="E58" s="48"/>
    </row>
    <row r="59" spans="2:5" ht="15">
      <c r="B59" s="228" t="s">
        <v>259</v>
      </c>
      <c r="C59" s="237">
        <f>IF(C60*0.1&lt;C58,"Exceed 10% Rule","")</f>
      </c>
      <c r="D59" s="237">
        <f>IF(D60*0.1&lt;D58,"Exceed 10% Rule","")</f>
      </c>
      <c r="E59" s="267"/>
    </row>
    <row r="60" spans="2:5" ht="15">
      <c r="B60" s="239" t="s">
        <v>58</v>
      </c>
      <c r="C60" s="241">
        <f>SUM(C47:C58)</f>
        <v>0</v>
      </c>
      <c r="D60" s="241">
        <f>SUM(D47:D58)</f>
        <v>0</v>
      </c>
      <c r="E60" s="242">
        <f>SUM(E47:E58)</f>
        <v>0</v>
      </c>
    </row>
    <row r="61" spans="2:5" ht="15">
      <c r="B61" s="239" t="s">
        <v>59</v>
      </c>
      <c r="C61" s="241">
        <f>C45+C60</f>
        <v>0</v>
      </c>
      <c r="D61" s="241">
        <f>D45+D60</f>
        <v>0</v>
      </c>
      <c r="E61" s="242">
        <f>E45+E60</f>
        <v>0</v>
      </c>
    </row>
    <row r="62" spans="2:5" ht="15">
      <c r="B62" s="131" t="s">
        <v>61</v>
      </c>
      <c r="C62" s="249"/>
      <c r="D62" s="249"/>
      <c r="E62" s="46"/>
    </row>
    <row r="63" spans="2:5" ht="15">
      <c r="B63" s="248"/>
      <c r="C63" s="232"/>
      <c r="D63" s="232"/>
      <c r="E63" s="48"/>
    </row>
    <row r="64" spans="2:10" ht="15">
      <c r="B64" s="248"/>
      <c r="C64" s="232"/>
      <c r="D64" s="232"/>
      <c r="E64" s="48"/>
      <c r="G64" s="644" t="str">
        <f>CONCATENATE("Desired Carryover Into ",E1+1,"")</f>
        <v>Desired Carryover Into 2016</v>
      </c>
      <c r="H64" s="638"/>
      <c r="I64" s="638"/>
      <c r="J64" s="639"/>
    </row>
    <row r="65" spans="2:10" ht="15">
      <c r="B65" s="248"/>
      <c r="C65" s="232"/>
      <c r="D65" s="232"/>
      <c r="E65" s="48"/>
      <c r="G65" s="452"/>
      <c r="H65" s="453"/>
      <c r="I65" s="454"/>
      <c r="J65" s="455"/>
    </row>
    <row r="66" spans="2:10" ht="15">
      <c r="B66" s="248"/>
      <c r="C66" s="232"/>
      <c r="D66" s="232"/>
      <c r="E66" s="48"/>
      <c r="G66" s="456" t="s">
        <v>256</v>
      </c>
      <c r="H66" s="454"/>
      <c r="I66" s="454"/>
      <c r="J66" s="457">
        <v>0</v>
      </c>
    </row>
    <row r="67" spans="2:10" ht="15">
      <c r="B67" s="248"/>
      <c r="C67" s="232"/>
      <c r="D67" s="232"/>
      <c r="E67" s="48"/>
      <c r="G67" s="452" t="s">
        <v>257</v>
      </c>
      <c r="H67" s="453"/>
      <c r="I67" s="453"/>
      <c r="J67" s="458">
        <f>IF(J66=0,"",ROUND((J66+E80-G79)/inputOth!E7*1000,3)-G84)</f>
      </c>
    </row>
    <row r="68" spans="2:10" ht="15">
      <c r="B68" s="248"/>
      <c r="C68" s="232"/>
      <c r="D68" s="232"/>
      <c r="E68" s="48"/>
      <c r="G68" s="459" t="str">
        <f>CONCATENATE("",E1," Tot Exp/Non-Appr Must Be:")</f>
        <v>2015 Tot Exp/Non-Appr Must Be:</v>
      </c>
      <c r="H68" s="460"/>
      <c r="I68" s="461"/>
      <c r="J68" s="462">
        <f>IF(J66&gt;0,IF(E77&lt;E61,IF(J66=G79,E77,((J66-G79)*(1-D79))+E61),E77+(J66-G79)),0)</f>
        <v>0</v>
      </c>
    </row>
    <row r="69" spans="2:10" ht="15">
      <c r="B69" s="248"/>
      <c r="C69" s="232"/>
      <c r="D69" s="232"/>
      <c r="E69" s="48"/>
      <c r="G69" s="463" t="s">
        <v>287</v>
      </c>
      <c r="H69" s="464"/>
      <c r="I69" s="464"/>
      <c r="J69" s="465">
        <f>IF(J66&gt;0,J68-E77,0)</f>
        <v>0</v>
      </c>
    </row>
    <row r="70" spans="2:10" ht="15">
      <c r="B70" s="249" t="s">
        <v>8</v>
      </c>
      <c r="C70" s="232"/>
      <c r="D70" s="232"/>
      <c r="E70" s="63"/>
      <c r="J70" s="2"/>
    </row>
    <row r="71" spans="2:10" ht="15">
      <c r="B71" s="249" t="s">
        <v>9</v>
      </c>
      <c r="C71" s="232"/>
      <c r="D71" s="232"/>
      <c r="E71" s="48"/>
      <c r="G71" s="644" t="str">
        <f>CONCATENATE("Projected Carryover Into ",E1+1,"")</f>
        <v>Projected Carryover Into 2016</v>
      </c>
      <c r="H71" s="645"/>
      <c r="I71" s="645"/>
      <c r="J71" s="646"/>
    </row>
    <row r="72" spans="2:10" ht="15">
      <c r="B72" s="249" t="s">
        <v>260</v>
      </c>
      <c r="C72" s="237">
        <f>IF(C73*0.1&lt;C71,"Exceed 10% Rule","")</f>
      </c>
      <c r="D72" s="237">
        <f>IF(D73*0.1&lt;D71,"Exceed 10% Rule","")</f>
      </c>
      <c r="E72" s="267">
        <f>IF(E73*0.1&lt;E71,"Exceed 10% Rule","")</f>
      </c>
      <c r="G72" s="466"/>
      <c r="H72" s="453"/>
      <c r="I72" s="453"/>
      <c r="J72" s="473"/>
    </row>
    <row r="73" spans="2:10" ht="15">
      <c r="B73" s="239" t="s">
        <v>64</v>
      </c>
      <c r="C73" s="241">
        <f>SUM(C63:C71)</f>
        <v>0</v>
      </c>
      <c r="D73" s="241">
        <f>SUM(D63:D71)</f>
        <v>0</v>
      </c>
      <c r="E73" s="242">
        <f>SUM(E63:E71)</f>
        <v>0</v>
      </c>
      <c r="G73" s="468">
        <f>D74</f>
        <v>0</v>
      </c>
      <c r="H73" s="435" t="str">
        <f>CONCATENATE("",E1-1," Ending Cash Balance (est.)")</f>
        <v>2014 Ending Cash Balance (est.)</v>
      </c>
      <c r="I73" s="469"/>
      <c r="J73" s="473"/>
    </row>
    <row r="74" spans="2:10" ht="15">
      <c r="B74" s="131" t="s">
        <v>156</v>
      </c>
      <c r="C74" s="245">
        <f>C61-C73</f>
        <v>0</v>
      </c>
      <c r="D74" s="245">
        <f>D61-D73</f>
        <v>0</v>
      </c>
      <c r="E74" s="260" t="s">
        <v>38</v>
      </c>
      <c r="G74" s="468">
        <f>E60</f>
        <v>0</v>
      </c>
      <c r="H74" s="454" t="str">
        <f>CONCATENATE("",E1," Non-AV Receipts (est.)")</f>
        <v>2015 Non-AV Receipts (est.)</v>
      </c>
      <c r="I74" s="469"/>
      <c r="J74" s="473"/>
    </row>
    <row r="75" spans="2:11" ht="15">
      <c r="B75" s="151" t="str">
        <f>CONCATENATE("",E1-2,"/",E1-1,"/",E1," Budget Authority Amount:")</f>
        <v>2013/2014/2015 Budget Authority Amount:</v>
      </c>
      <c r="C75" s="518">
        <f>inputOth!B64</f>
        <v>0</v>
      </c>
      <c r="D75" s="518">
        <f>inputPrYr!D22</f>
        <v>0</v>
      </c>
      <c r="E75" s="204">
        <f>E73</f>
        <v>0</v>
      </c>
      <c r="F75" s="251"/>
      <c r="G75" s="470">
        <f>IF(D79&gt;0,E78,E80)</f>
        <v>0</v>
      </c>
      <c r="H75" s="454" t="str">
        <f>CONCATENATE("",E1," Ad Valorem Tax (est.)")</f>
        <v>2015 Ad Valorem Tax (est.)</v>
      </c>
      <c r="I75" s="469"/>
      <c r="J75" s="473"/>
      <c r="K75" s="444">
        <f>IF(G75=E80,"","Note: Does not include Delinquent Taxes")</f>
      </c>
    </row>
    <row r="76" spans="2:10" ht="15">
      <c r="B76" s="117"/>
      <c r="C76" s="632" t="s">
        <v>246</v>
      </c>
      <c r="D76" s="633"/>
      <c r="E76" s="48"/>
      <c r="F76" s="527">
        <f>IF(E73/0.95-E73&lt;E76,"Exceeds 5%","")</f>
      </c>
      <c r="G76" s="472">
        <f>SUM(G73:G75)</f>
        <v>0</v>
      </c>
      <c r="H76" s="454" t="str">
        <f>CONCATENATE("Total ",E1," Resources Available")</f>
        <v>Total 2015 Resources Available</v>
      </c>
      <c r="I76" s="473"/>
      <c r="J76" s="473"/>
    </row>
    <row r="77" spans="2:10" ht="15">
      <c r="B77" s="373" t="str">
        <f>CONCATENATE(C96,"     ",D96)</f>
        <v>     </v>
      </c>
      <c r="C77" s="634" t="s">
        <v>247</v>
      </c>
      <c r="D77" s="635"/>
      <c r="E77" s="204">
        <f>E73+E76</f>
        <v>0</v>
      </c>
      <c r="G77" s="474"/>
      <c r="H77" s="475"/>
      <c r="I77" s="453"/>
      <c r="J77" s="473"/>
    </row>
    <row r="78" spans="2:10" ht="15">
      <c r="B78" s="373" t="str">
        <f>CONCATENATE(C97,"     ",D97)</f>
        <v>     </v>
      </c>
      <c r="C78" s="252"/>
      <c r="D78" s="149" t="s">
        <v>65</v>
      </c>
      <c r="E78" s="63">
        <f>IF(E77-E61&gt;0,E77-E61,0)</f>
        <v>0</v>
      </c>
      <c r="G78" s="476">
        <f>ROUND(C73*0.05+C73,0)</f>
        <v>0</v>
      </c>
      <c r="H78" s="475" t="str">
        <f>CONCATENATE("Less ",E1-2," Expenditures + 5%")</f>
        <v>Less 2013 Expenditures + 5%</v>
      </c>
      <c r="I78" s="473"/>
      <c r="J78" s="473"/>
    </row>
    <row r="79" spans="2:10" ht="15">
      <c r="B79" s="149"/>
      <c r="C79" s="316" t="s">
        <v>245</v>
      </c>
      <c r="D79" s="526">
        <f>inputOth!$E$47</f>
        <v>0.03</v>
      </c>
      <c r="E79" s="204">
        <f>ROUND(IF(D79&gt;0,(E78*D79),0),0)</f>
        <v>0</v>
      </c>
      <c r="G79" s="477">
        <f>G76-G78</f>
        <v>0</v>
      </c>
      <c r="H79" s="478" t="str">
        <f>CONCATENATE("Projected ",E1+1," carryover (est.)")</f>
        <v>Projected 2016 carryover (est.)</v>
      </c>
      <c r="I79" s="479"/>
      <c r="J79" s="480"/>
    </row>
    <row r="80" spans="2:9" ht="15.75" thickBot="1">
      <c r="B80" s="32"/>
      <c r="C80" s="636" t="str">
        <f>CONCATENATE("Amount of  ",$E$1-1," Ad Valorem Tax")</f>
        <v>Amount of  2014 Ad Valorem Tax</v>
      </c>
      <c r="D80" s="637"/>
      <c r="E80" s="451">
        <f>E78+E79</f>
        <v>0</v>
      </c>
      <c r="G80" s="2"/>
      <c r="H80" s="2"/>
      <c r="I80" s="2"/>
    </row>
    <row r="81" spans="2:10" ht="15.75" thickTop="1">
      <c r="B81" s="334" t="s">
        <v>67</v>
      </c>
      <c r="C81" s="256">
        <v>10</v>
      </c>
      <c r="D81" s="32"/>
      <c r="E81" s="32"/>
      <c r="G81" s="640" t="s">
        <v>286</v>
      </c>
      <c r="H81" s="641"/>
      <c r="I81" s="641"/>
      <c r="J81" s="642"/>
    </row>
    <row r="82" spans="2:10" ht="15">
      <c r="B82" s="28"/>
      <c r="G82" s="434"/>
      <c r="H82" s="435"/>
      <c r="I82" s="436"/>
      <c r="J82" s="437"/>
    </row>
    <row r="83" spans="7:10" ht="15">
      <c r="G83" s="438">
        <f>summ!H19</f>
        <v>0</v>
      </c>
      <c r="H83" s="435" t="str">
        <f>CONCATENATE("",E1," Fund Mill Rate")</f>
        <v>2015 Fund Mill Rate</v>
      </c>
      <c r="I83" s="436"/>
      <c r="J83" s="437"/>
    </row>
    <row r="84" spans="7:10" ht="15">
      <c r="G84" s="439" t="str">
        <f>summ!E19</f>
        <v>  </v>
      </c>
      <c r="H84" s="435" t="str">
        <f>CONCATENATE("",E1-1," Fund Mill Rate")</f>
        <v>2014 Fund Mill Rate</v>
      </c>
      <c r="I84" s="436"/>
      <c r="J84" s="437"/>
    </row>
    <row r="85" spans="7:10" ht="15">
      <c r="G85" s="440">
        <f>summ!H28</f>
        <v>33.427</v>
      </c>
      <c r="H85" s="435" t="str">
        <f>CONCATENATE("Total ",E1," Mill Rate")</f>
        <v>Total 2015 Mill Rate</v>
      </c>
      <c r="I85" s="436"/>
      <c r="J85" s="437"/>
    </row>
    <row r="86" spans="7:10" ht="15">
      <c r="G86" s="439">
        <f>summ!E28</f>
        <v>30.598000000000003</v>
      </c>
      <c r="H86" s="441" t="str">
        <f>CONCATENATE("Total ",E1-1," Mill Rate")</f>
        <v>Total 2014 Mill Rate</v>
      </c>
      <c r="I86" s="442"/>
      <c r="J86" s="443"/>
    </row>
    <row r="88" spans="7:9" ht="15">
      <c r="G88" s="567" t="s">
        <v>370</v>
      </c>
      <c r="H88" s="535"/>
      <c r="I88" s="534" t="str">
        <f>cert!F58</f>
        <v>No</v>
      </c>
    </row>
    <row r="94" spans="3:4" ht="15" hidden="1">
      <c r="C94" s="372">
        <f>IF(C33&gt;C35,"See Tab A","")</f>
      </c>
      <c r="D94" s="372">
        <f>IF(D31&gt;D35,"See Tab C","")</f>
      </c>
    </row>
    <row r="95" spans="3:4" ht="15" hidden="1">
      <c r="C95" s="372">
        <f>IF(C34&lt;0,"See Tab B","")</f>
      </c>
      <c r="D95" s="372">
        <f>IF(D34&lt;0,"See Tab D","")</f>
      </c>
    </row>
    <row r="96" spans="3:4" ht="15" hidden="1">
      <c r="C96" s="372">
        <f>IF(C71&gt;C75,"See Tab A","")</f>
      </c>
      <c r="D96" s="372">
        <f>IF(D71&gt;D75,"See Tab C","")</f>
      </c>
    </row>
    <row r="97" spans="3:4" ht="15" hidden="1">
      <c r="C97" s="372">
        <f>IF(C74&lt;0,"See Tab B","")</f>
      </c>
      <c r="D97" s="372">
        <f>IF(D74&lt;0,"See Tab D","")</f>
      </c>
    </row>
  </sheetData>
  <sheetProtection/>
  <mergeCells count="13">
    <mergeCell ref="C76:D76"/>
    <mergeCell ref="C77:D77"/>
    <mergeCell ref="C36:D36"/>
    <mergeCell ref="C37:D37"/>
    <mergeCell ref="C41:D41"/>
    <mergeCell ref="C80:D80"/>
    <mergeCell ref="C40:D40"/>
    <mergeCell ref="G24:J24"/>
    <mergeCell ref="G31:J31"/>
    <mergeCell ref="G41:J41"/>
    <mergeCell ref="G64:J64"/>
    <mergeCell ref="G71:J71"/>
    <mergeCell ref="G81:J81"/>
  </mergeCells>
  <conditionalFormatting sqref="E71">
    <cfRule type="cellIs" priority="4" dxfId="92" operator="greaterThan" stopIfTrue="1">
      <formula>$E$73*0.1</formula>
    </cfRule>
  </conditionalFormatting>
  <conditionalFormatting sqref="E76">
    <cfRule type="cellIs" priority="5" dxfId="92" operator="greaterThan" stopIfTrue="1">
      <formula>$E$73/0.95-$E$73</formula>
    </cfRule>
  </conditionalFormatting>
  <conditionalFormatting sqref="E31">
    <cfRule type="cellIs" priority="6" dxfId="92" operator="greaterThan" stopIfTrue="1">
      <formula>$E$33*0.1</formula>
    </cfRule>
  </conditionalFormatting>
  <conditionalFormatting sqref="E36">
    <cfRule type="cellIs" priority="7" dxfId="92" operator="greaterThan" stopIfTrue="1">
      <formula>$E$33/0.95-$E$33</formula>
    </cfRule>
  </conditionalFormatting>
  <conditionalFormatting sqref="C31">
    <cfRule type="cellIs" priority="8" dxfId="0" operator="greaterThan" stopIfTrue="1">
      <formula>$C$33*0.1</formula>
    </cfRule>
  </conditionalFormatting>
  <conditionalFormatting sqref="D31">
    <cfRule type="cellIs" priority="9" dxfId="0" operator="greaterThan" stopIfTrue="1">
      <formula>$D$33*0.1</formula>
    </cfRule>
  </conditionalFormatting>
  <conditionalFormatting sqref="D33">
    <cfRule type="cellIs" priority="10" dxfId="0" operator="greaterThan" stopIfTrue="1">
      <formula>$D$35</formula>
    </cfRule>
  </conditionalFormatting>
  <conditionalFormatting sqref="C33">
    <cfRule type="cellIs" priority="11" dxfId="0" operator="greaterThan" stopIfTrue="1">
      <formula>$C$35</formula>
    </cfRule>
  </conditionalFormatting>
  <conditionalFormatting sqref="C34 C74">
    <cfRule type="cellIs" priority="12" dxfId="0" operator="lessThan" stopIfTrue="1">
      <formula>0</formula>
    </cfRule>
  </conditionalFormatting>
  <conditionalFormatting sqref="C71">
    <cfRule type="cellIs" priority="13" dxfId="0" operator="greaterThan" stopIfTrue="1">
      <formula>$C$73*0.1</formula>
    </cfRule>
  </conditionalFormatting>
  <conditionalFormatting sqref="D71">
    <cfRule type="cellIs" priority="14" dxfId="0" operator="greaterThan" stopIfTrue="1">
      <formula>$D$73*0.1</formula>
    </cfRule>
  </conditionalFormatting>
  <conditionalFormatting sqref="D73">
    <cfRule type="cellIs" priority="15" dxfId="0" operator="greaterThan" stopIfTrue="1">
      <formula>$D$75</formula>
    </cfRule>
  </conditionalFormatting>
  <conditionalFormatting sqref="C73">
    <cfRule type="cellIs" priority="16" dxfId="0" operator="greaterThan" stopIfTrue="1">
      <formula>$C$75</formula>
    </cfRule>
  </conditionalFormatting>
  <conditionalFormatting sqref="D18">
    <cfRule type="cellIs" priority="17" dxfId="0" operator="greaterThan" stopIfTrue="1">
      <formula>$D$20*0.1</formula>
    </cfRule>
  </conditionalFormatting>
  <conditionalFormatting sqref="C18">
    <cfRule type="cellIs" priority="18" dxfId="0" operator="greaterThan" stopIfTrue="1">
      <formula>$C$20*0.1</formula>
    </cfRule>
  </conditionalFormatting>
  <conditionalFormatting sqref="D58">
    <cfRule type="cellIs" priority="19" dxfId="0" operator="greaterThan" stopIfTrue="1">
      <formula>$D$60*0.1</formula>
    </cfRule>
  </conditionalFormatting>
  <conditionalFormatting sqref="C58">
    <cfRule type="cellIs" priority="20" dxfId="0" operator="greaterThan" stopIfTrue="1">
      <formula>$C$60*0.1</formula>
    </cfRule>
  </conditionalFormatting>
  <conditionalFormatting sqref="E18">
    <cfRule type="cellIs" priority="21" dxfId="92" operator="greaterThan" stopIfTrue="1">
      <formula>$E$20*0.1+E40</formula>
    </cfRule>
  </conditionalFormatting>
  <conditionalFormatting sqref="E58">
    <cfRule type="cellIs" priority="22" dxfId="92" operator="greaterThan" stopIfTrue="1">
      <formula>$E$60*0.1+E80</formula>
    </cfRule>
  </conditionalFormatting>
  <conditionalFormatting sqref="D74 D34">
    <cfRule type="cellIs" priority="3" dxfId="2" operator="lessThan" stopIfTrue="1">
      <formula>0</formula>
    </cfRule>
  </conditionalFormatting>
  <conditionalFormatting sqref="E33">
    <cfRule type="cellIs" priority="1" dxfId="0" operator="greaterThan" stopIfTrue="1">
      <formula>$D$35</formula>
    </cfRule>
  </conditionalFormatting>
  <printOptions/>
  <pageMargins left="0.5" right="0.5" top="1" bottom="0.5"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C68" sqref="C68"/>
    </sheetView>
  </sheetViews>
  <sheetFormatPr defaultColWidth="8.796875" defaultRowHeight="15"/>
  <cols>
    <col min="1" max="1" width="2.3984375" style="30" customWidth="1"/>
    <col min="2" max="2" width="31.19921875" style="30" customWidth="1"/>
    <col min="3" max="4" width="15.69921875" style="30" customWidth="1"/>
    <col min="5" max="5" width="16.19921875" style="30" customWidth="1"/>
    <col min="6" max="16384" width="8.796875" style="30" customWidth="1"/>
  </cols>
  <sheetData>
    <row r="1" spans="2:5" ht="15">
      <c r="B1" s="175" t="str">
        <f>(inputPrYr!D2)</f>
        <v>City of Moran</v>
      </c>
      <c r="C1" s="32"/>
      <c r="D1" s="32"/>
      <c r="E1" s="224">
        <f>inputPrYr!C5</f>
        <v>2015</v>
      </c>
    </row>
    <row r="2" spans="2:5" ht="15">
      <c r="B2" s="32"/>
      <c r="C2" s="32"/>
      <c r="D2" s="32"/>
      <c r="E2" s="149"/>
    </row>
    <row r="3" spans="2:5" ht="15">
      <c r="B3" s="225" t="s">
        <v>113</v>
      </c>
      <c r="C3" s="263"/>
      <c r="D3" s="263"/>
      <c r="E3" s="263"/>
    </row>
    <row r="4" spans="2:5" ht="15">
      <c r="B4" s="33" t="s">
        <v>49</v>
      </c>
      <c r="C4" s="515" t="s">
        <v>345</v>
      </c>
      <c r="D4" s="516" t="s">
        <v>346</v>
      </c>
      <c r="E4" s="125" t="s">
        <v>347</v>
      </c>
    </row>
    <row r="5" spans="2:5" ht="15">
      <c r="B5" s="377" t="str">
        <f>(inputPrYr!B34)</f>
        <v>Special Highway</v>
      </c>
      <c r="C5" s="201" t="str">
        <f>CONCATENATE("Actual for ",E1-2,"")</f>
        <v>Actual for 2013</v>
      </c>
      <c r="D5" s="201" t="str">
        <f>CONCATENATE("Estimate for ",E1-1,"")</f>
        <v>Estimate for 2014</v>
      </c>
      <c r="E5" s="186" t="str">
        <f>CONCATENATE("Year for ",E1,"")</f>
        <v>Year for 2015</v>
      </c>
    </row>
    <row r="6" spans="2:5" ht="15">
      <c r="B6" s="228" t="s">
        <v>155</v>
      </c>
      <c r="C6" s="48">
        <v>26347</v>
      </c>
      <c r="D6" s="204">
        <f>C29</f>
        <v>4228</v>
      </c>
      <c r="E6" s="204">
        <f>D29</f>
        <v>18258</v>
      </c>
    </row>
    <row r="7" spans="2:5" ht="15">
      <c r="B7" s="231" t="s">
        <v>157</v>
      </c>
      <c r="C7" s="68"/>
      <c r="D7" s="68"/>
      <c r="E7" s="68"/>
    </row>
    <row r="8" spans="2:5" ht="15">
      <c r="B8" s="249" t="s">
        <v>147</v>
      </c>
      <c r="C8" s="48">
        <v>13944</v>
      </c>
      <c r="D8" s="264">
        <f>inputOth!E52</f>
        <v>14030</v>
      </c>
      <c r="E8" s="204">
        <f>inputOth!E50</f>
        <v>14140</v>
      </c>
    </row>
    <row r="9" spans="2:5" ht="15">
      <c r="B9" s="265" t="s">
        <v>190</v>
      </c>
      <c r="C9" s="48">
        <v>0</v>
      </c>
      <c r="D9" s="264">
        <f>inputOth!E53</f>
        <v>0</v>
      </c>
      <c r="E9" s="264">
        <f>inputOth!E51</f>
        <v>0</v>
      </c>
    </row>
    <row r="10" spans="2:5" ht="15">
      <c r="B10" s="248"/>
      <c r="C10" s="48"/>
      <c r="D10" s="48"/>
      <c r="E10" s="48"/>
    </row>
    <row r="11" spans="2:5" ht="15">
      <c r="B11" s="248"/>
      <c r="C11" s="48"/>
      <c r="D11" s="48"/>
      <c r="E11" s="48"/>
    </row>
    <row r="12" spans="2:5" ht="15">
      <c r="B12" s="248"/>
      <c r="C12" s="48"/>
      <c r="D12" s="48"/>
      <c r="E12" s="48"/>
    </row>
    <row r="13" spans="2:5" ht="15">
      <c r="B13" s="248"/>
      <c r="C13" s="48"/>
      <c r="D13" s="48"/>
      <c r="E13" s="48"/>
    </row>
    <row r="14" spans="2:5" ht="15">
      <c r="B14" s="236" t="s">
        <v>57</v>
      </c>
      <c r="C14" s="48">
        <v>0</v>
      </c>
      <c r="D14" s="48">
        <v>0</v>
      </c>
      <c r="E14" s="48">
        <v>0</v>
      </c>
    </row>
    <row r="15" spans="2:5" ht="15">
      <c r="B15" s="140" t="s">
        <v>9</v>
      </c>
      <c r="C15" s="48">
        <v>0</v>
      </c>
      <c r="D15" s="233">
        <v>0</v>
      </c>
      <c r="E15" s="233">
        <v>0</v>
      </c>
    </row>
    <row r="16" spans="2:5" ht="15">
      <c r="B16" s="228" t="s">
        <v>259</v>
      </c>
      <c r="C16" s="267">
        <f>IF(C17*0.1&lt;C15,"Exceed 10% Rule","")</f>
      </c>
      <c r="D16" s="238">
        <f>IF(D17*0.1&lt;D15,"Exceed 10% Rule","")</f>
      </c>
      <c r="E16" s="238">
        <f>IF(E17*0.1&lt;E15,"Exceed 10% Rule","")</f>
      </c>
    </row>
    <row r="17" spans="2:5" ht="15">
      <c r="B17" s="239" t="s">
        <v>58</v>
      </c>
      <c r="C17" s="242">
        <f>SUM(C8:C15)</f>
        <v>13944</v>
      </c>
      <c r="D17" s="242">
        <f>SUM(D8:D15)</f>
        <v>14030</v>
      </c>
      <c r="E17" s="242">
        <f>SUM(E8:E15)</f>
        <v>14140</v>
      </c>
    </row>
    <row r="18" spans="2:5" ht="15">
      <c r="B18" s="239" t="s">
        <v>59</v>
      </c>
      <c r="C18" s="242">
        <f>C6+C17</f>
        <v>40291</v>
      </c>
      <c r="D18" s="242">
        <f>D6+D17</f>
        <v>18258</v>
      </c>
      <c r="E18" s="242">
        <f>E6+E17</f>
        <v>32398</v>
      </c>
    </row>
    <row r="19" spans="2:5" ht="15">
      <c r="B19" s="131" t="s">
        <v>61</v>
      </c>
      <c r="C19" s="204"/>
      <c r="D19" s="204"/>
      <c r="E19" s="204"/>
    </row>
    <row r="20" spans="2:5" ht="15">
      <c r="B20" s="578" t="s">
        <v>412</v>
      </c>
      <c r="C20" s="48"/>
      <c r="D20" s="48"/>
      <c r="E20" s="48"/>
    </row>
    <row r="21" spans="2:5" ht="15">
      <c r="B21" s="578" t="s">
        <v>434</v>
      </c>
      <c r="C21" s="48">
        <v>1855</v>
      </c>
      <c r="D21" s="48">
        <v>0</v>
      </c>
      <c r="E21" s="48">
        <v>2000</v>
      </c>
    </row>
    <row r="22" spans="2:5" ht="15">
      <c r="B22" s="578" t="s">
        <v>435</v>
      </c>
      <c r="C22" s="48">
        <v>0</v>
      </c>
      <c r="D22" s="48">
        <v>0</v>
      </c>
      <c r="E22" s="48">
        <v>0</v>
      </c>
    </row>
    <row r="23" spans="2:5" ht="15">
      <c r="B23" s="578" t="s">
        <v>436</v>
      </c>
      <c r="C23" s="48">
        <v>34208</v>
      </c>
      <c r="D23" s="48">
        <v>0</v>
      </c>
      <c r="E23" s="48">
        <v>30398</v>
      </c>
    </row>
    <row r="24" spans="2:5" ht="15">
      <c r="B24" s="248"/>
      <c r="C24" s="48"/>
      <c r="D24" s="48"/>
      <c r="E24" s="48"/>
    </row>
    <row r="25" spans="2:5" ht="15">
      <c r="B25" s="248"/>
      <c r="C25" s="48"/>
      <c r="D25" s="48"/>
      <c r="E25" s="48"/>
    </row>
    <row r="26" spans="2:5" ht="15">
      <c r="B26" s="249" t="s">
        <v>9</v>
      </c>
      <c r="C26" s="48"/>
      <c r="D26" s="233"/>
      <c r="E26" s="233"/>
    </row>
    <row r="27" spans="2:5" ht="15">
      <c r="B27" s="249" t="s">
        <v>260</v>
      </c>
      <c r="C27" s="267">
        <f>IF(C28*0.1&lt;C26,"Exceed 10% Rule","")</f>
      </c>
      <c r="D27" s="238">
        <f>IF(D28*0.1&lt;D26,"Exceed 10% Rule","")</f>
      </c>
      <c r="E27" s="238">
        <f>IF(E28*0.1&lt;E26,"Exceed 10% Rule","")</f>
      </c>
    </row>
    <row r="28" spans="2:5" ht="15">
      <c r="B28" s="239" t="s">
        <v>64</v>
      </c>
      <c r="C28" s="242">
        <f>SUM(C20:C26)</f>
        <v>36063</v>
      </c>
      <c r="D28" s="242">
        <f>SUM(D20:D26)</f>
        <v>0</v>
      </c>
      <c r="E28" s="242">
        <f>SUM(E20:E26)</f>
        <v>32398</v>
      </c>
    </row>
    <row r="29" spans="2:5" ht="15">
      <c r="B29" s="131" t="s">
        <v>156</v>
      </c>
      <c r="C29" s="63">
        <f>C18-C28</f>
        <v>4228</v>
      </c>
      <c r="D29" s="63">
        <f>D18-D28</f>
        <v>18258</v>
      </c>
      <c r="E29" s="63">
        <f>E18-E28</f>
        <v>0</v>
      </c>
    </row>
    <row r="30" spans="2:5" ht="15">
      <c r="B30" s="151" t="str">
        <f>CONCATENATE("",E1-2,"/",E1-1,"/",E1," Budget Authority Amount:")</f>
        <v>2013/2014/2015 Budget Authority Amount:</v>
      </c>
      <c r="C30" s="518">
        <f>inputOth!B73</f>
        <v>39212</v>
      </c>
      <c r="D30" s="518">
        <f>inputPrYr!D34</f>
        <v>30967</v>
      </c>
      <c r="E30" s="540">
        <f>E28</f>
        <v>32398</v>
      </c>
    </row>
    <row r="31" spans="2:5" ht="15">
      <c r="B31" s="117"/>
      <c r="C31" s="252">
        <f>IF(C28&gt;C30,"See Tab A","")</f>
      </c>
      <c r="D31" s="252">
        <f>IF(D28&gt;D30,"See Tab C","")</f>
      </c>
      <c r="E31" s="541">
        <f>IF(E29&lt;0,"See Tab E","")</f>
      </c>
    </row>
    <row r="32" spans="2:5" ht="15">
      <c r="B32" s="117"/>
      <c r="C32" s="252">
        <f>IF(C29&lt;0,"See Tab B","")</f>
      </c>
      <c r="D32" s="252">
        <f>IF(D29&lt;0,"See Tab D","")</f>
      </c>
      <c r="E32" s="78"/>
    </row>
    <row r="33" spans="2:5" ht="15">
      <c r="B33" s="32"/>
      <c r="C33" s="78"/>
      <c r="D33" s="78"/>
      <c r="E33" s="78"/>
    </row>
    <row r="34" spans="2:5" ht="15">
      <c r="B34" s="33" t="s">
        <v>49</v>
      </c>
      <c r="C34" s="266"/>
      <c r="D34" s="266"/>
      <c r="E34" s="266"/>
    </row>
    <row r="35" spans="2:5" ht="15">
      <c r="B35" s="32"/>
      <c r="C35" s="515" t="s">
        <v>345</v>
      </c>
      <c r="D35" s="516" t="s">
        <v>346</v>
      </c>
      <c r="E35" s="125" t="s">
        <v>347</v>
      </c>
    </row>
    <row r="36" spans="2:5" ht="15">
      <c r="B36" s="377" t="str">
        <f>(inputPrYr!B35)</f>
        <v>Electric Utility</v>
      </c>
      <c r="C36" s="201" t="str">
        <f>CONCATENATE("Actual for ",$E$1-2,"")</f>
        <v>Actual for 2013</v>
      </c>
      <c r="D36" s="201" t="str">
        <f>CONCATENATE("Estimate for ",$E$1-1,"")</f>
        <v>Estimate for 2014</v>
      </c>
      <c r="E36" s="186" t="str">
        <f>CONCATENATE("Year for ",$E$1,"")</f>
        <v>Year for 2015</v>
      </c>
    </row>
    <row r="37" spans="2:5" ht="15">
      <c r="B37" s="228" t="s">
        <v>155</v>
      </c>
      <c r="C37" s="48">
        <v>227909</v>
      </c>
      <c r="D37" s="204">
        <f>C62</f>
        <v>232034</v>
      </c>
      <c r="E37" s="204">
        <f>D62</f>
        <v>183010</v>
      </c>
    </row>
    <row r="38" spans="2:5" ht="15">
      <c r="B38" s="231" t="s">
        <v>157</v>
      </c>
      <c r="C38" s="68"/>
      <c r="D38" s="68"/>
      <c r="E38" s="68"/>
    </row>
    <row r="39" spans="2:5" ht="15">
      <c r="B39" s="578" t="s">
        <v>437</v>
      </c>
      <c r="C39" s="48">
        <v>590759</v>
      </c>
      <c r="D39" s="48">
        <v>624607</v>
      </c>
      <c r="E39" s="48">
        <v>755774</v>
      </c>
    </row>
    <row r="40" spans="2:5" ht="15">
      <c r="B40" s="578" t="s">
        <v>438</v>
      </c>
      <c r="C40" s="48">
        <v>1662</v>
      </c>
      <c r="D40" s="48">
        <v>1566</v>
      </c>
      <c r="E40" s="48">
        <v>1575</v>
      </c>
    </row>
    <row r="41" spans="2:5" ht="15">
      <c r="B41" s="578" t="s">
        <v>439</v>
      </c>
      <c r="C41" s="48">
        <v>2301</v>
      </c>
      <c r="D41" s="48">
        <v>482</v>
      </c>
      <c r="E41" s="48">
        <v>0</v>
      </c>
    </row>
    <row r="42" spans="2:5" ht="15">
      <c r="B42" s="236" t="s">
        <v>57</v>
      </c>
      <c r="C42" s="48">
        <v>0</v>
      </c>
      <c r="D42" s="48">
        <v>0</v>
      </c>
      <c r="E42" s="48">
        <v>0</v>
      </c>
    </row>
    <row r="43" spans="2:5" ht="15">
      <c r="B43" s="140" t="s">
        <v>9</v>
      </c>
      <c r="C43" s="48">
        <v>625</v>
      </c>
      <c r="D43" s="233">
        <v>0</v>
      </c>
      <c r="E43" s="233">
        <v>0</v>
      </c>
    </row>
    <row r="44" spans="2:5" ht="15">
      <c r="B44" s="228" t="s">
        <v>259</v>
      </c>
      <c r="C44" s="267">
        <f>IF(C45*0.1&lt;C43,"Exceed 10% Rule","")</f>
      </c>
      <c r="D44" s="238">
        <f>IF(D45*0.1&lt;D43,"Exceed 10% Rule","")</f>
      </c>
      <c r="E44" s="238">
        <f>IF(E45*0.1&lt;E43,"Exceed 10% Rule","")</f>
      </c>
    </row>
    <row r="45" spans="2:5" ht="15">
      <c r="B45" s="239" t="s">
        <v>58</v>
      </c>
      <c r="C45" s="242">
        <f>SUM(C39:C43)</f>
        <v>595347</v>
      </c>
      <c r="D45" s="242">
        <f>SUM(D39:D43)</f>
        <v>626655</v>
      </c>
      <c r="E45" s="242">
        <f>SUM(E39:E43)</f>
        <v>757349</v>
      </c>
    </row>
    <row r="46" spans="2:5" ht="15">
      <c r="B46" s="239" t="s">
        <v>59</v>
      </c>
      <c r="C46" s="242">
        <f>C37+C45</f>
        <v>823256</v>
      </c>
      <c r="D46" s="242">
        <f>D37+D45</f>
        <v>858689</v>
      </c>
      <c r="E46" s="242">
        <f>E37+E45</f>
        <v>940359</v>
      </c>
    </row>
    <row r="47" spans="2:5" ht="15">
      <c r="B47" s="131" t="s">
        <v>61</v>
      </c>
      <c r="C47" s="204"/>
      <c r="D47" s="204"/>
      <c r="E47" s="204"/>
    </row>
    <row r="48" spans="2:5" ht="15">
      <c r="B48" s="578" t="s">
        <v>440</v>
      </c>
      <c r="C48" s="48"/>
      <c r="D48" s="48"/>
      <c r="E48" s="48"/>
    </row>
    <row r="49" spans="2:5" ht="15">
      <c r="B49" s="578" t="s">
        <v>441</v>
      </c>
      <c r="C49" s="48">
        <v>46467</v>
      </c>
      <c r="D49" s="48">
        <v>42519</v>
      </c>
      <c r="E49" s="48">
        <v>44645</v>
      </c>
    </row>
    <row r="50" spans="2:5" ht="15">
      <c r="B50" s="578" t="s">
        <v>442</v>
      </c>
      <c r="C50" s="48">
        <v>412427</v>
      </c>
      <c r="D50" s="48">
        <v>492847</v>
      </c>
      <c r="E50" s="48">
        <v>596345</v>
      </c>
    </row>
    <row r="51" spans="2:5" ht="15">
      <c r="B51" s="578" t="s">
        <v>443</v>
      </c>
      <c r="C51" s="48">
        <v>16680</v>
      </c>
      <c r="D51" s="48">
        <v>18239</v>
      </c>
      <c r="E51" s="48">
        <v>20000</v>
      </c>
    </row>
    <row r="52" spans="2:5" ht="15">
      <c r="B52" s="578" t="s">
        <v>444</v>
      </c>
      <c r="C52" s="48">
        <v>148</v>
      </c>
      <c r="D52" s="48">
        <v>6574</v>
      </c>
      <c r="E52" s="48">
        <v>163869</v>
      </c>
    </row>
    <row r="53" spans="2:5" ht="15">
      <c r="B53" s="578" t="s">
        <v>445</v>
      </c>
      <c r="C53" s="48"/>
      <c r="D53" s="48"/>
      <c r="E53" s="48"/>
    </row>
    <row r="54" spans="2:5" ht="15">
      <c r="B54" s="578" t="s">
        <v>446</v>
      </c>
      <c r="C54" s="48">
        <v>5000</v>
      </c>
      <c r="D54" s="48">
        <v>5000</v>
      </c>
      <c r="E54" s="48">
        <v>5000</v>
      </c>
    </row>
    <row r="55" spans="2:5" ht="15">
      <c r="B55" s="578" t="s">
        <v>447</v>
      </c>
      <c r="C55" s="48">
        <v>19000</v>
      </c>
      <c r="D55" s="48">
        <v>19000</v>
      </c>
      <c r="E55" s="48">
        <v>19000</v>
      </c>
    </row>
    <row r="56" spans="2:5" ht="15">
      <c r="B56" s="578" t="s">
        <v>448</v>
      </c>
      <c r="C56" s="48">
        <v>31500</v>
      </c>
      <c r="D56" s="48">
        <v>31500</v>
      </c>
      <c r="E56" s="48">
        <v>31500</v>
      </c>
    </row>
    <row r="57" spans="2:5" ht="15">
      <c r="B57" s="578" t="s">
        <v>449</v>
      </c>
      <c r="C57" s="48">
        <v>10000</v>
      </c>
      <c r="D57" s="48">
        <v>10000</v>
      </c>
      <c r="E57" s="48">
        <v>10000</v>
      </c>
    </row>
    <row r="58" spans="2:5" ht="15">
      <c r="B58" s="578" t="s">
        <v>450</v>
      </c>
      <c r="C58" s="48">
        <v>50000</v>
      </c>
      <c r="D58" s="48">
        <v>50000</v>
      </c>
      <c r="E58" s="48">
        <v>50000</v>
      </c>
    </row>
    <row r="59" spans="2:5" ht="15">
      <c r="B59" s="249" t="s">
        <v>9</v>
      </c>
      <c r="C59" s="48">
        <v>0</v>
      </c>
      <c r="D59" s="233">
        <v>0</v>
      </c>
      <c r="E59" s="233">
        <v>0</v>
      </c>
    </row>
    <row r="60" spans="2:5" ht="15">
      <c r="B60" s="249" t="s">
        <v>260</v>
      </c>
      <c r="C60" s="267">
        <f>IF(C61*0.1&lt;C59,"Exceed 10% Rule","")</f>
      </c>
      <c r="D60" s="238">
        <f>IF(D61*0.1&lt;D59,"Exceed 10% Rule","")</f>
      </c>
      <c r="E60" s="238">
        <f>IF(E61*0.1&lt;E59,"Exceed 10% Rule","")</f>
      </c>
    </row>
    <row r="61" spans="2:5" ht="15">
      <c r="B61" s="239" t="s">
        <v>64</v>
      </c>
      <c r="C61" s="242">
        <f>SUM(C48:C59)</f>
        <v>591222</v>
      </c>
      <c r="D61" s="242">
        <f>SUM(D48:D59)</f>
        <v>675679</v>
      </c>
      <c r="E61" s="242">
        <f>SUM(E48:E59)</f>
        <v>940359</v>
      </c>
    </row>
    <row r="62" spans="2:5" ht="15">
      <c r="B62" s="131" t="s">
        <v>156</v>
      </c>
      <c r="C62" s="63">
        <f>C46-C61</f>
        <v>232034</v>
      </c>
      <c r="D62" s="63">
        <f>D46-D61</f>
        <v>183010</v>
      </c>
      <c r="E62" s="63">
        <f>E46-E61</f>
        <v>0</v>
      </c>
    </row>
    <row r="63" spans="2:5" ht="15">
      <c r="B63" s="151" t="str">
        <f>CONCATENATE("",E1-2,"/",E1-1,"/",E1," Budget Authority Amount:")</f>
        <v>2013/2014/2015 Budget Authority Amount:</v>
      </c>
      <c r="C63" s="518">
        <f>inputOth!B74</f>
        <v>837946</v>
      </c>
      <c r="D63" s="518">
        <f>inputPrYr!D35</f>
        <v>865888</v>
      </c>
      <c r="E63" s="540">
        <f>E61</f>
        <v>940359</v>
      </c>
    </row>
    <row r="64" spans="2:5" ht="15">
      <c r="B64" s="117"/>
      <c r="C64" s="252">
        <f>IF(C61&gt;C63,"See Tab A","")</f>
      </c>
      <c r="D64" s="252">
        <f>IF(D61&gt;D63,"See Tab C","")</f>
      </c>
      <c r="E64" s="541">
        <f>IF(E62&lt;0,"See Tab E","")</f>
      </c>
    </row>
    <row r="65" spans="2:5" ht="15">
      <c r="B65" s="117"/>
      <c r="C65" s="252">
        <f>IF(C62&lt;0,"See Tab B","")</f>
      </c>
      <c r="D65" s="252">
        <f>IF(D62&lt;0,"See Tab D","")</f>
      </c>
      <c r="E65" s="32"/>
    </row>
    <row r="66" spans="2:5" ht="15">
      <c r="B66" s="32"/>
      <c r="C66" s="32"/>
      <c r="D66" s="32"/>
      <c r="E66" s="32"/>
    </row>
    <row r="67" spans="2:5" ht="15">
      <c r="B67" s="334" t="s">
        <v>67</v>
      </c>
      <c r="C67" s="256">
        <v>11</v>
      </c>
      <c r="D67" s="32"/>
      <c r="E67" s="32"/>
    </row>
  </sheetData>
  <sheetProtection/>
  <conditionalFormatting sqref="C15">
    <cfRule type="cellIs" priority="5" dxfId="92" operator="greaterThan" stopIfTrue="1">
      <formula>$C$17*0.1</formula>
    </cfRule>
  </conditionalFormatting>
  <conditionalFormatting sqref="D15">
    <cfRule type="cellIs" priority="6" dxfId="92" operator="greaterThan" stopIfTrue="1">
      <formula>$D$17*0.1</formula>
    </cfRule>
  </conditionalFormatting>
  <conditionalFormatting sqref="E15">
    <cfRule type="cellIs" priority="7" dxfId="92" operator="greaterThan" stopIfTrue="1">
      <formula>$E$17*0.1</formula>
    </cfRule>
  </conditionalFormatting>
  <conditionalFormatting sqref="C26">
    <cfRule type="cellIs" priority="8" dxfId="92" operator="greaterThan" stopIfTrue="1">
      <formula>$C$28*0.1</formula>
    </cfRule>
  </conditionalFormatting>
  <conditionalFormatting sqref="D26">
    <cfRule type="cellIs" priority="9" dxfId="92" operator="greaterThan" stopIfTrue="1">
      <formula>$D$28*0.1</formula>
    </cfRule>
  </conditionalFormatting>
  <conditionalFormatting sqref="E26">
    <cfRule type="cellIs" priority="10" dxfId="92" operator="greaterThan" stopIfTrue="1">
      <formula>$E$28*0.1</formula>
    </cfRule>
  </conditionalFormatting>
  <conditionalFormatting sqref="C43">
    <cfRule type="cellIs" priority="11" dxfId="92" operator="greaterThan" stopIfTrue="1">
      <formula>$C$45*0.1</formula>
    </cfRule>
  </conditionalFormatting>
  <conditionalFormatting sqref="D43">
    <cfRule type="cellIs" priority="12" dxfId="92" operator="greaterThan" stopIfTrue="1">
      <formula>$D$45*0.1</formula>
    </cfRule>
  </conditionalFormatting>
  <conditionalFormatting sqref="E43">
    <cfRule type="cellIs" priority="13" dxfId="92" operator="greaterThan" stopIfTrue="1">
      <formula>$E$45*0.1</formula>
    </cfRule>
  </conditionalFormatting>
  <conditionalFormatting sqref="C59">
    <cfRule type="cellIs" priority="14" dxfId="92" operator="greaterThan" stopIfTrue="1">
      <formula>$C$61*0.1</formula>
    </cfRule>
  </conditionalFormatting>
  <conditionalFormatting sqref="D59">
    <cfRule type="cellIs" priority="15" dxfId="92" operator="greaterThan" stopIfTrue="1">
      <formula>$D$61*0.1</formula>
    </cfRule>
  </conditionalFormatting>
  <conditionalFormatting sqref="E59">
    <cfRule type="cellIs" priority="16" dxfId="92" operator="greaterThan" stopIfTrue="1">
      <formula>$E$61*0.1</formula>
    </cfRule>
  </conditionalFormatting>
  <conditionalFormatting sqref="D61">
    <cfRule type="cellIs" priority="17" dxfId="0" operator="greaterThan" stopIfTrue="1">
      <formula>$D$63</formula>
    </cfRule>
  </conditionalFormatting>
  <conditionalFormatting sqref="C61">
    <cfRule type="cellIs" priority="18" dxfId="0" operator="greaterThan" stopIfTrue="1">
      <formula>$C$63</formula>
    </cfRule>
  </conditionalFormatting>
  <conditionalFormatting sqref="C62 E62 C29 E29">
    <cfRule type="cellIs" priority="19" dxfId="0" operator="lessThan" stopIfTrue="1">
      <formula>0</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29">
    <cfRule type="cellIs" priority="4" dxfId="2" operator="lessThan" stopIfTrue="1">
      <formula>0</formula>
    </cfRule>
  </conditionalFormatting>
  <conditionalFormatting sqref="D62">
    <cfRule type="cellIs" priority="3" dxfId="2" operator="lessThan" stopIfTrue="1">
      <formula>0</formula>
    </cfRule>
  </conditionalFormatting>
  <conditionalFormatting sqref="E63">
    <cfRule type="cellIs" priority="1" dxfId="0" operator="lessThan" stopIfTrue="1">
      <formula>0</formula>
    </cfRule>
  </conditionalFormatting>
  <conditionalFormatting sqref="E30">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3">
      <selection activeCell="E52" sqref="E52"/>
    </sheetView>
  </sheetViews>
  <sheetFormatPr defaultColWidth="8.796875" defaultRowHeight="15"/>
  <cols>
    <col min="1" max="1" width="2.3984375" style="30" customWidth="1"/>
    <col min="2" max="2" width="31.19921875" style="30" customWidth="1"/>
    <col min="3" max="4" width="15.69921875" style="30" customWidth="1"/>
    <col min="5" max="5" width="16.296875" style="30" customWidth="1"/>
    <col min="6" max="16384" width="8.796875" style="30" customWidth="1"/>
  </cols>
  <sheetData>
    <row r="1" spans="2:5" ht="15">
      <c r="B1" s="175" t="str">
        <f>(inputPrYr!D2)</f>
        <v>City of Moran</v>
      </c>
      <c r="C1" s="32"/>
      <c r="D1" s="32"/>
      <c r="E1" s="224">
        <f>inputPrYr!C5</f>
        <v>2015</v>
      </c>
    </row>
    <row r="2" spans="2:5" ht="15">
      <c r="B2" s="32"/>
      <c r="C2" s="32"/>
      <c r="D2" s="32"/>
      <c r="E2" s="149"/>
    </row>
    <row r="3" spans="2:5" ht="15">
      <c r="B3" s="225" t="s">
        <v>113</v>
      </c>
      <c r="C3" s="263"/>
      <c r="D3" s="263"/>
      <c r="E3" s="263"/>
    </row>
    <row r="4" spans="2:5" ht="15">
      <c r="B4" s="33" t="s">
        <v>49</v>
      </c>
      <c r="C4" s="515" t="s">
        <v>345</v>
      </c>
      <c r="D4" s="516" t="s">
        <v>346</v>
      </c>
      <c r="E4" s="125" t="s">
        <v>347</v>
      </c>
    </row>
    <row r="5" spans="2:5" ht="15">
      <c r="B5" s="377" t="str">
        <f>(inputPrYr!B36)</f>
        <v>Water Utility</v>
      </c>
      <c r="C5" s="201" t="str">
        <f>CONCATENATE("Actual for ",E1-2,"")</f>
        <v>Actual for 2013</v>
      </c>
      <c r="D5" s="201" t="str">
        <f>CONCATENATE("Estimate for ",E1-1,"")</f>
        <v>Estimate for 2014</v>
      </c>
      <c r="E5" s="186" t="str">
        <f>CONCATENATE("Year for ",E1,"")</f>
        <v>Year for 2015</v>
      </c>
    </row>
    <row r="6" spans="2:5" ht="15">
      <c r="B6" s="228" t="s">
        <v>155</v>
      </c>
      <c r="C6" s="48">
        <v>10809</v>
      </c>
      <c r="D6" s="204">
        <f>C29</f>
        <v>21618</v>
      </c>
      <c r="E6" s="204">
        <f>D29</f>
        <v>12332</v>
      </c>
    </row>
    <row r="7" spans="2:5" ht="15">
      <c r="B7" s="231" t="s">
        <v>157</v>
      </c>
      <c r="C7" s="68"/>
      <c r="D7" s="68"/>
      <c r="E7" s="68"/>
    </row>
    <row r="8" spans="2:5" ht="15">
      <c r="B8" s="578" t="s">
        <v>437</v>
      </c>
      <c r="C8" s="48">
        <v>134651</v>
      </c>
      <c r="D8" s="48">
        <v>128056</v>
      </c>
      <c r="E8" s="48">
        <v>140000</v>
      </c>
    </row>
    <row r="9" spans="2:5" ht="15">
      <c r="B9" s="578" t="s">
        <v>438</v>
      </c>
      <c r="C9" s="48">
        <v>3141</v>
      </c>
      <c r="D9" s="48">
        <v>3435</v>
      </c>
      <c r="E9" s="48">
        <v>3450</v>
      </c>
    </row>
    <row r="10" spans="2:5" ht="15">
      <c r="B10" s="248" t="s">
        <v>451</v>
      </c>
      <c r="C10" s="48">
        <v>7375</v>
      </c>
      <c r="D10" s="48">
        <v>8912</v>
      </c>
      <c r="E10" s="48">
        <v>8900</v>
      </c>
    </row>
    <row r="11" spans="2:5" ht="15">
      <c r="B11" s="578" t="s">
        <v>439</v>
      </c>
      <c r="C11" s="48">
        <v>1162</v>
      </c>
      <c r="D11" s="48">
        <v>750</v>
      </c>
      <c r="E11" s="48">
        <v>0</v>
      </c>
    </row>
    <row r="12" spans="2:5" ht="15">
      <c r="B12" s="236" t="s">
        <v>57</v>
      </c>
      <c r="C12" s="48">
        <v>0</v>
      </c>
      <c r="D12" s="48">
        <v>0</v>
      </c>
      <c r="E12" s="48">
        <v>0</v>
      </c>
    </row>
    <row r="13" spans="2:5" ht="15">
      <c r="B13" s="140" t="s">
        <v>9</v>
      </c>
      <c r="C13" s="48">
        <v>101</v>
      </c>
      <c r="D13" s="233">
        <v>0</v>
      </c>
      <c r="E13" s="233">
        <v>0</v>
      </c>
    </row>
    <row r="14" spans="2:5" ht="15">
      <c r="B14" s="228" t="s">
        <v>259</v>
      </c>
      <c r="C14" s="267">
        <f>IF(C15*0.1&lt;C13,"Exceed 10% Rule","")</f>
      </c>
      <c r="D14" s="238">
        <f>IF(D15*0.1&lt;D13,"Exceed 10% Rule","")</f>
      </c>
      <c r="E14" s="238">
        <f>IF(E15*0.1&lt;E13,"Exceed 10% Rule","")</f>
      </c>
    </row>
    <row r="15" spans="2:5" ht="15">
      <c r="B15" s="239" t="s">
        <v>58</v>
      </c>
      <c r="C15" s="242">
        <f>SUM(C8:C13)</f>
        <v>146430</v>
      </c>
      <c r="D15" s="242">
        <f>SUM(D8:D13)</f>
        <v>141153</v>
      </c>
      <c r="E15" s="242">
        <f>SUM(E8:E13)</f>
        <v>152350</v>
      </c>
    </row>
    <row r="16" spans="2:5" ht="15">
      <c r="B16" s="239" t="s">
        <v>59</v>
      </c>
      <c r="C16" s="242">
        <f>C6+C15</f>
        <v>157239</v>
      </c>
      <c r="D16" s="242">
        <f>D6+D15</f>
        <v>162771</v>
      </c>
      <c r="E16" s="242">
        <f>E6+E15</f>
        <v>164682</v>
      </c>
    </row>
    <row r="17" spans="2:5" ht="15">
      <c r="B17" s="131" t="s">
        <v>61</v>
      </c>
      <c r="C17" s="204"/>
      <c r="D17" s="204"/>
      <c r="E17" s="204"/>
    </row>
    <row r="18" spans="2:5" ht="15">
      <c r="B18" s="578" t="s">
        <v>440</v>
      </c>
      <c r="C18" s="48"/>
      <c r="D18" s="48"/>
      <c r="E18" s="48"/>
    </row>
    <row r="19" spans="2:5" ht="15">
      <c r="B19" s="578" t="s">
        <v>441</v>
      </c>
      <c r="C19" s="48">
        <v>42472</v>
      </c>
      <c r="D19" s="48">
        <v>43964</v>
      </c>
      <c r="E19" s="48">
        <v>46162</v>
      </c>
    </row>
    <row r="20" spans="2:5" ht="15">
      <c r="B20" s="578" t="s">
        <v>442</v>
      </c>
      <c r="C20" s="48">
        <v>63295</v>
      </c>
      <c r="D20" s="48">
        <v>66033</v>
      </c>
      <c r="E20" s="48">
        <v>70000</v>
      </c>
    </row>
    <row r="21" spans="2:5" ht="15">
      <c r="B21" s="578" t="s">
        <v>443</v>
      </c>
      <c r="C21" s="48">
        <v>8790</v>
      </c>
      <c r="D21" s="48">
        <v>17829</v>
      </c>
      <c r="E21" s="48">
        <v>15000</v>
      </c>
    </row>
    <row r="22" spans="2:5" ht="15">
      <c r="B22" s="578" t="s">
        <v>444</v>
      </c>
      <c r="C22" s="48">
        <v>148</v>
      </c>
      <c r="D22" s="48">
        <v>1697</v>
      </c>
      <c r="E22" s="48">
        <v>12603</v>
      </c>
    </row>
    <row r="23" spans="2:5" ht="15">
      <c r="B23" s="578" t="s">
        <v>452</v>
      </c>
      <c r="C23" s="48">
        <v>15916</v>
      </c>
      <c r="D23" s="48">
        <v>15916</v>
      </c>
      <c r="E23" s="48">
        <v>15917</v>
      </c>
    </row>
    <row r="24" spans="2:5" ht="15">
      <c r="B24" s="578" t="s">
        <v>454</v>
      </c>
      <c r="C24" s="48"/>
      <c r="D24" s="48"/>
      <c r="E24" s="48"/>
    </row>
    <row r="25" spans="2:5" ht="15">
      <c r="B25" s="578" t="s">
        <v>453</v>
      </c>
      <c r="C25" s="48">
        <v>5000</v>
      </c>
      <c r="D25" s="48">
        <v>5000</v>
      </c>
      <c r="E25" s="48">
        <v>5000</v>
      </c>
    </row>
    <row r="26" spans="2:5" ht="15">
      <c r="B26" s="249" t="s">
        <v>9</v>
      </c>
      <c r="C26" s="48">
        <v>0</v>
      </c>
      <c r="D26" s="233">
        <v>0</v>
      </c>
      <c r="E26" s="233">
        <v>0</v>
      </c>
    </row>
    <row r="27" spans="2:5" ht="15">
      <c r="B27" s="249" t="s">
        <v>260</v>
      </c>
      <c r="C27" s="267">
        <f>IF(C28*0.1&lt;C26,"Exceed 10% Rule","")</f>
      </c>
      <c r="D27" s="238">
        <f>IF(D28*0.1&lt;D26,"Exceed 10% Rule","")</f>
      </c>
      <c r="E27" s="238">
        <f>IF(E28*0.1&lt;E26,"Exceed 10% Rule","")</f>
      </c>
    </row>
    <row r="28" spans="2:5" ht="15">
      <c r="B28" s="239" t="s">
        <v>64</v>
      </c>
      <c r="C28" s="242">
        <f>SUM(C18:C26)</f>
        <v>135621</v>
      </c>
      <c r="D28" s="242">
        <f>SUM(D18:D26)</f>
        <v>150439</v>
      </c>
      <c r="E28" s="242">
        <f>SUM(E18:E26)</f>
        <v>164682</v>
      </c>
    </row>
    <row r="29" spans="2:5" ht="15">
      <c r="B29" s="131" t="s">
        <v>156</v>
      </c>
      <c r="C29" s="63">
        <f>C16-C28</f>
        <v>21618</v>
      </c>
      <c r="D29" s="63">
        <f>D16-D28</f>
        <v>12332</v>
      </c>
      <c r="E29" s="63">
        <f>E16-E28</f>
        <v>0</v>
      </c>
    </row>
    <row r="30" spans="2:5" ht="15">
      <c r="B30" s="151" t="str">
        <f>CONCATENATE("",E1-2,"/",E1-1,"/",E1," Budget Authority Amount:")</f>
        <v>2013/2014/2015 Budget Authority Amount:</v>
      </c>
      <c r="C30" s="518">
        <f>inputOth!B75</f>
        <v>208634</v>
      </c>
      <c r="D30" s="518">
        <f>inputPrYr!D36</f>
        <v>242173</v>
      </c>
      <c r="E30" s="540">
        <f>E28</f>
        <v>164682</v>
      </c>
    </row>
    <row r="31" spans="2:5" ht="15">
      <c r="B31" s="117"/>
      <c r="C31" s="252">
        <f>IF(C28&gt;C30,"See Tab A","")</f>
      </c>
      <c r="D31" s="252">
        <f>IF(D28&gt;D30,"See Tab C","")</f>
      </c>
      <c r="E31" s="541">
        <f>IF(E29&lt;0,"See Tab E","")</f>
      </c>
    </row>
    <row r="32" spans="2:5" ht="15">
      <c r="B32" s="117"/>
      <c r="C32" s="252">
        <f>IF(C29&lt;0,"See Tab B","")</f>
      </c>
      <c r="D32" s="252">
        <f>IF(D29&lt;0,"See Tab D","")</f>
      </c>
      <c r="E32" s="78"/>
    </row>
    <row r="33" spans="2:5" ht="15">
      <c r="B33" s="32"/>
      <c r="C33" s="78"/>
      <c r="D33" s="78"/>
      <c r="E33" s="78"/>
    </row>
    <row r="34" spans="2:5" ht="15">
      <c r="B34" s="33" t="s">
        <v>49</v>
      </c>
      <c r="C34" s="266"/>
      <c r="D34" s="266"/>
      <c r="E34" s="266"/>
    </row>
    <row r="35" spans="2:5" ht="15">
      <c r="B35" s="32"/>
      <c r="C35" s="515" t="s">
        <v>345</v>
      </c>
      <c r="D35" s="516" t="s">
        <v>346</v>
      </c>
      <c r="E35" s="125" t="s">
        <v>347</v>
      </c>
    </row>
    <row r="36" spans="2:5" ht="15">
      <c r="B36" s="377" t="str">
        <f>(inputPrYr!B37)</f>
        <v>Sewer Utility</v>
      </c>
      <c r="C36" s="201" t="str">
        <f>CONCATENATE("Actual for ",$E$1-2,"")</f>
        <v>Actual for 2013</v>
      </c>
      <c r="D36" s="201" t="str">
        <f>CONCATENATE("Estimate for ",$E$1-1,"")</f>
        <v>Estimate for 2014</v>
      </c>
      <c r="E36" s="186" t="str">
        <f>CONCATENATE("Year for ",$E$1,"")</f>
        <v>Year for 2015</v>
      </c>
    </row>
    <row r="37" spans="2:5" ht="15">
      <c r="B37" s="228" t="s">
        <v>155</v>
      </c>
      <c r="C37" s="48">
        <v>36629</v>
      </c>
      <c r="D37" s="204">
        <f>C60</f>
        <v>37538</v>
      </c>
      <c r="E37" s="204">
        <f>D60</f>
        <v>46221</v>
      </c>
    </row>
    <row r="38" spans="2:5" ht="15">
      <c r="B38" s="231" t="s">
        <v>157</v>
      </c>
      <c r="C38" s="68"/>
      <c r="D38" s="68"/>
      <c r="E38" s="68"/>
    </row>
    <row r="39" spans="2:5" ht="15">
      <c r="B39" s="578" t="s">
        <v>437</v>
      </c>
      <c r="C39" s="48">
        <v>84777</v>
      </c>
      <c r="D39" s="48">
        <v>92475</v>
      </c>
      <c r="E39" s="48">
        <v>92500</v>
      </c>
    </row>
    <row r="40" spans="2:5" ht="15">
      <c r="B40" s="578" t="s">
        <v>455</v>
      </c>
      <c r="C40" s="48">
        <v>479</v>
      </c>
      <c r="D40" s="48">
        <v>216</v>
      </c>
      <c r="E40" s="48">
        <v>0</v>
      </c>
    </row>
    <row r="41" spans="2:5" ht="15">
      <c r="B41" s="236" t="s">
        <v>57</v>
      </c>
      <c r="C41" s="48">
        <v>0</v>
      </c>
      <c r="D41" s="48">
        <v>0</v>
      </c>
      <c r="E41" s="48">
        <v>0</v>
      </c>
    </row>
    <row r="42" spans="2:5" ht="15">
      <c r="B42" s="140" t="s">
        <v>9</v>
      </c>
      <c r="C42" s="48">
        <v>126</v>
      </c>
      <c r="D42" s="233">
        <v>0</v>
      </c>
      <c r="E42" s="233">
        <v>0</v>
      </c>
    </row>
    <row r="43" spans="2:5" ht="15">
      <c r="B43" s="228" t="s">
        <v>259</v>
      </c>
      <c r="C43" s="267">
        <f>IF(C44*0.1&lt;C42,"Exceed 10% Rule","")</f>
      </c>
      <c r="D43" s="238">
        <f>IF(D44*0.1&lt;D42,"Exceed 10% Rule","")</f>
      </c>
      <c r="E43" s="238">
        <f>IF(E44*0.1&lt;E42,"Exceed 10% Rule","")</f>
      </c>
    </row>
    <row r="44" spans="2:5" ht="15">
      <c r="B44" s="239" t="s">
        <v>58</v>
      </c>
      <c r="C44" s="242">
        <f>SUM(C39:C42)</f>
        <v>85382</v>
      </c>
      <c r="D44" s="242">
        <f>SUM(D39:D42)</f>
        <v>92691</v>
      </c>
      <c r="E44" s="242">
        <f>SUM(E39:E42)</f>
        <v>92500</v>
      </c>
    </row>
    <row r="45" spans="2:5" ht="15">
      <c r="B45" s="239" t="s">
        <v>59</v>
      </c>
      <c r="C45" s="242">
        <f>C37+C44</f>
        <v>122011</v>
      </c>
      <c r="D45" s="242">
        <f>D37+D44</f>
        <v>130229</v>
      </c>
      <c r="E45" s="242">
        <f>E37+E44</f>
        <v>138721</v>
      </c>
    </row>
    <row r="46" spans="2:5" ht="15">
      <c r="B46" s="131" t="s">
        <v>61</v>
      </c>
      <c r="C46" s="204"/>
      <c r="D46" s="204"/>
      <c r="E46" s="204"/>
    </row>
    <row r="47" spans="2:5" ht="15">
      <c r="B47" s="578" t="s">
        <v>456</v>
      </c>
      <c r="C47" s="48"/>
      <c r="D47" s="48"/>
      <c r="E47" s="48"/>
    </row>
    <row r="48" spans="2:5" ht="15">
      <c r="B48" s="578" t="s">
        <v>441</v>
      </c>
      <c r="C48" s="48">
        <v>21347</v>
      </c>
      <c r="D48" s="48">
        <v>20224</v>
      </c>
      <c r="E48" s="48">
        <v>21235</v>
      </c>
    </row>
    <row r="49" spans="2:5" ht="15">
      <c r="B49" s="578" t="s">
        <v>442</v>
      </c>
      <c r="C49" s="48">
        <v>5054</v>
      </c>
      <c r="D49" s="48">
        <v>4785</v>
      </c>
      <c r="E49" s="48">
        <v>6000</v>
      </c>
    </row>
    <row r="50" spans="2:5" ht="15">
      <c r="B50" s="578" t="s">
        <v>443</v>
      </c>
      <c r="C50" s="48">
        <v>3847</v>
      </c>
      <c r="D50" s="48">
        <v>4849</v>
      </c>
      <c r="E50" s="48">
        <v>5000</v>
      </c>
    </row>
    <row r="51" spans="2:5" ht="15">
      <c r="B51" s="578" t="s">
        <v>444</v>
      </c>
      <c r="C51" s="48">
        <v>2074</v>
      </c>
      <c r="D51" s="48">
        <v>0</v>
      </c>
      <c r="E51" s="48">
        <v>52335</v>
      </c>
    </row>
    <row r="52" spans="2:5" ht="15">
      <c r="B52" s="578" t="s">
        <v>452</v>
      </c>
      <c r="C52" s="48">
        <v>45651</v>
      </c>
      <c r="D52" s="48">
        <v>45650</v>
      </c>
      <c r="E52" s="48">
        <v>45651</v>
      </c>
    </row>
    <row r="53" spans="2:5" ht="15">
      <c r="B53" s="578" t="s">
        <v>457</v>
      </c>
      <c r="C53" s="48"/>
      <c r="D53" s="48"/>
      <c r="E53" s="48"/>
    </row>
    <row r="54" spans="2:5" ht="15">
      <c r="B54" s="578" t="s">
        <v>447</v>
      </c>
      <c r="C54" s="48">
        <v>2500</v>
      </c>
      <c r="D54" s="48">
        <v>2500</v>
      </c>
      <c r="E54" s="48">
        <v>2500</v>
      </c>
    </row>
    <row r="55" spans="2:5" ht="15">
      <c r="B55" s="578" t="s">
        <v>458</v>
      </c>
      <c r="C55" s="48">
        <v>2000</v>
      </c>
      <c r="D55" s="48">
        <v>4000</v>
      </c>
      <c r="E55" s="48">
        <v>4000</v>
      </c>
    </row>
    <row r="56" spans="2:5" ht="15">
      <c r="B56" s="578" t="s">
        <v>449</v>
      </c>
      <c r="C56" s="48">
        <v>2000</v>
      </c>
      <c r="D56" s="48">
        <v>2000</v>
      </c>
      <c r="E56" s="48">
        <v>2000</v>
      </c>
    </row>
    <row r="57" spans="2:5" ht="15">
      <c r="B57" s="249" t="s">
        <v>9</v>
      </c>
      <c r="C57" s="48">
        <v>0</v>
      </c>
      <c r="D57" s="233"/>
      <c r="E57" s="233"/>
    </row>
    <row r="58" spans="2:5" ht="15">
      <c r="B58" s="249" t="s">
        <v>260</v>
      </c>
      <c r="C58" s="267">
        <f>IF(C59*0.1&lt;C57,"Exceed 10% Rule","")</f>
      </c>
      <c r="D58" s="238">
        <f>IF(D59*0.1&lt;D57,"Exceed 10% Rule","")</f>
      </c>
      <c r="E58" s="238">
        <f>IF(E59*0.1&lt;E57,"Exceed 10% Rule","")</f>
      </c>
    </row>
    <row r="59" spans="2:5" ht="15">
      <c r="B59" s="239" t="s">
        <v>64</v>
      </c>
      <c r="C59" s="242">
        <f>SUM(C47:C57)</f>
        <v>84473</v>
      </c>
      <c r="D59" s="242">
        <f>SUM(D47:D57)</f>
        <v>84008</v>
      </c>
      <c r="E59" s="242">
        <f>SUM(E47:E57)</f>
        <v>138721</v>
      </c>
    </row>
    <row r="60" spans="2:5" ht="15">
      <c r="B60" s="131" t="s">
        <v>156</v>
      </c>
      <c r="C60" s="63">
        <f>C45-C59</f>
        <v>37538</v>
      </c>
      <c r="D60" s="63">
        <f>D45-D59</f>
        <v>46221</v>
      </c>
      <c r="E60" s="63">
        <f>E45-E59</f>
        <v>0</v>
      </c>
    </row>
    <row r="61" spans="2:5" ht="15">
      <c r="B61" s="151" t="str">
        <f>CONCATENATE("",E1-2,"/",E1-1,"/",E1," Budget Authority Amount:")</f>
        <v>2013/2014/2015 Budget Authority Amount:</v>
      </c>
      <c r="C61" s="518">
        <f>inputOth!B76</f>
        <v>115784</v>
      </c>
      <c r="D61" s="518">
        <f>inputPrYr!D37</f>
        <v>113600</v>
      </c>
      <c r="E61" s="540">
        <f>E59</f>
        <v>138721</v>
      </c>
    </row>
    <row r="62" spans="2:5" ht="15">
      <c r="B62" s="117"/>
      <c r="C62" s="252">
        <f>IF(C59&gt;C61,"See Tab A","")</f>
      </c>
      <c r="D62" s="252">
        <f>IF(D59&gt;D61,"See Tab C","")</f>
      </c>
      <c r="E62" s="541">
        <f>IF(E60&lt;0,"See Tab E","")</f>
      </c>
    </row>
    <row r="63" spans="2:5" ht="15">
      <c r="B63" s="117"/>
      <c r="C63" s="252">
        <f>IF(C60&lt;0,"See Tab B","")</f>
      </c>
      <c r="D63" s="252">
        <f>IF(D60&lt;0,"See Tab D","")</f>
      </c>
      <c r="E63" s="32"/>
    </row>
    <row r="64" spans="2:5" ht="15">
      <c r="B64" s="32"/>
      <c r="C64" s="32"/>
      <c r="D64" s="32"/>
      <c r="E64" s="32"/>
    </row>
    <row r="65" spans="2:5" ht="15">
      <c r="B65" s="334" t="s">
        <v>67</v>
      </c>
      <c r="C65" s="256">
        <v>12</v>
      </c>
      <c r="D65" s="32"/>
      <c r="E65" s="32"/>
    </row>
  </sheetData>
  <sheetProtection/>
  <conditionalFormatting sqref="C13">
    <cfRule type="cellIs" priority="5" dxfId="92" operator="greaterThan" stopIfTrue="1">
      <formula>$C$15*0.1</formula>
    </cfRule>
  </conditionalFormatting>
  <conditionalFormatting sqref="D13">
    <cfRule type="cellIs" priority="6" dxfId="92" operator="greaterThan" stopIfTrue="1">
      <formula>$D$15*0.1</formula>
    </cfRule>
  </conditionalFormatting>
  <conditionalFormatting sqref="E13">
    <cfRule type="cellIs" priority="7" dxfId="92" operator="greaterThan" stopIfTrue="1">
      <formula>$E$15*0.1</formula>
    </cfRule>
  </conditionalFormatting>
  <conditionalFormatting sqref="C26">
    <cfRule type="cellIs" priority="8" dxfId="92" operator="greaterThan" stopIfTrue="1">
      <formula>$C$28*0.1</formula>
    </cfRule>
  </conditionalFormatting>
  <conditionalFormatting sqref="D26">
    <cfRule type="cellIs" priority="9" dxfId="92" operator="greaterThan" stopIfTrue="1">
      <formula>$D$28*0.1</formula>
    </cfRule>
  </conditionalFormatting>
  <conditionalFormatting sqref="E26">
    <cfRule type="cellIs" priority="10" dxfId="92" operator="greaterThan" stopIfTrue="1">
      <formula>$E$28*0.1</formula>
    </cfRule>
  </conditionalFormatting>
  <conditionalFormatting sqref="C42">
    <cfRule type="cellIs" priority="11" dxfId="92" operator="greaterThan" stopIfTrue="1">
      <formula>$C$44*0.1</formula>
    </cfRule>
  </conditionalFormatting>
  <conditionalFormatting sqref="D42">
    <cfRule type="cellIs" priority="12" dxfId="92" operator="greaterThan" stopIfTrue="1">
      <formula>$D$44*0.1</formula>
    </cfRule>
  </conditionalFormatting>
  <conditionalFormatting sqref="E42">
    <cfRule type="cellIs" priority="13" dxfId="92" operator="greaterThan" stopIfTrue="1">
      <formula>$E$44*0.1</formula>
    </cfRule>
  </conditionalFormatting>
  <conditionalFormatting sqref="C57">
    <cfRule type="cellIs" priority="14" dxfId="92" operator="greaterThan" stopIfTrue="1">
      <formula>$C$59*0.1</formula>
    </cfRule>
  </conditionalFormatting>
  <conditionalFormatting sqref="D57">
    <cfRule type="cellIs" priority="15" dxfId="92" operator="greaterThan" stopIfTrue="1">
      <formula>$D$59*0.1</formula>
    </cfRule>
  </conditionalFormatting>
  <conditionalFormatting sqref="E57">
    <cfRule type="cellIs" priority="16" dxfId="92" operator="greaterThan" stopIfTrue="1">
      <formula>$E$59*0.1</formula>
    </cfRule>
  </conditionalFormatting>
  <conditionalFormatting sqref="D59">
    <cfRule type="cellIs" priority="17" dxfId="0" operator="greaterThan" stopIfTrue="1">
      <formula>$D$61</formula>
    </cfRule>
  </conditionalFormatting>
  <conditionalFormatting sqref="C59">
    <cfRule type="cellIs" priority="18" dxfId="0" operator="greaterThan" stopIfTrue="1">
      <formula>$C$61</formula>
    </cfRule>
  </conditionalFormatting>
  <conditionalFormatting sqref="C60 E60 C29 E29">
    <cfRule type="cellIs" priority="19" dxfId="0" operator="lessThan" stopIfTrue="1">
      <formula>0</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2" operator="lessThan" stopIfTrue="1">
      <formula>0</formula>
    </cfRule>
  </conditionalFormatting>
  <conditionalFormatting sqref="D29">
    <cfRule type="cellIs" priority="3" dxfId="2" operator="lessThan" stopIfTrue="1">
      <formula>0</formula>
    </cfRule>
  </conditionalFormatting>
  <conditionalFormatting sqref="E61">
    <cfRule type="cellIs" priority="1" dxfId="0" operator="lessThan" stopIfTrue="1">
      <formula>0</formula>
    </cfRule>
  </conditionalFormatting>
  <conditionalFormatting sqref="E30">
    <cfRule type="cellIs" priority="2" dxfId="0" operator="lessThan" stopIfTrue="1">
      <formula>0</formula>
    </cfRule>
  </conditionalFormatting>
  <printOptions/>
  <pageMargins left="0.5" right="0.5" top="1" bottom="0.5" header="0.5" footer="0.5"/>
  <pageSetup blackAndWhite="1" fitToHeight="1" fitToWidth="1" horizontalDpi="600" verticalDpi="600" orientation="portrait" scale="67"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5">
      <selection activeCell="F34" sqref="F34"/>
    </sheetView>
  </sheetViews>
  <sheetFormatPr defaultColWidth="8.796875" defaultRowHeight="15"/>
  <cols>
    <col min="1" max="1" width="11.59765625" style="28" customWidth="1"/>
    <col min="2" max="2" width="7.3984375" style="28" customWidth="1"/>
    <col min="3" max="3" width="11.59765625" style="28" customWidth="1"/>
    <col min="4" max="4" width="7.3984375" style="28" customWidth="1"/>
    <col min="5" max="5" width="11.59765625" style="28" customWidth="1"/>
    <col min="6" max="6" width="7.3984375" style="28" customWidth="1"/>
    <col min="7" max="7" width="11.59765625" style="28" customWidth="1"/>
    <col min="8" max="8" width="7.3984375" style="28" customWidth="1"/>
    <col min="9" max="9" width="11.59765625" style="28" customWidth="1"/>
    <col min="10" max="16384" width="8.796875" style="28" customWidth="1"/>
  </cols>
  <sheetData>
    <row r="1" spans="1:11" ht="15">
      <c r="A1" s="154" t="str">
        <f>inputPrYr!$D$2</f>
        <v>City of Moran</v>
      </c>
      <c r="B1" s="268"/>
      <c r="C1" s="153"/>
      <c r="D1" s="153"/>
      <c r="E1" s="153"/>
      <c r="F1" s="155" t="s">
        <v>167</v>
      </c>
      <c r="G1" s="153"/>
      <c r="H1" s="153"/>
      <c r="I1" s="153"/>
      <c r="J1" s="153"/>
      <c r="K1" s="153">
        <f>inputPrYr!$C$5</f>
        <v>2015</v>
      </c>
    </row>
    <row r="2" spans="1:11" ht="15">
      <c r="A2" s="153"/>
      <c r="B2" s="153"/>
      <c r="C2" s="153"/>
      <c r="D2" s="153"/>
      <c r="E2" s="153"/>
      <c r="F2" s="269" t="str">
        <f>CONCATENATE("(Only the actual budget year for ",K1-2," is to be shown)")</f>
        <v>(Only the actual budget year for 2013 is to be shown)</v>
      </c>
      <c r="G2" s="153"/>
      <c r="H2" s="153"/>
      <c r="I2" s="153"/>
      <c r="J2" s="153"/>
      <c r="K2" s="153"/>
    </row>
    <row r="3" spans="1:11" ht="15">
      <c r="A3" s="153" t="s">
        <v>208</v>
      </c>
      <c r="B3" s="153"/>
      <c r="C3" s="153"/>
      <c r="D3" s="153"/>
      <c r="E3" s="153"/>
      <c r="F3" s="270"/>
      <c r="G3" s="153"/>
      <c r="H3" s="153"/>
      <c r="I3" s="153"/>
      <c r="J3" s="153"/>
      <c r="K3" s="153"/>
    </row>
    <row r="4" spans="1:11" ht="15">
      <c r="A4" s="153" t="s">
        <v>168</v>
      </c>
      <c r="B4" s="153"/>
      <c r="C4" s="153" t="s">
        <v>169</v>
      </c>
      <c r="D4" s="153"/>
      <c r="E4" s="153" t="s">
        <v>170</v>
      </c>
      <c r="F4" s="268"/>
      <c r="G4" s="153" t="s">
        <v>171</v>
      </c>
      <c r="H4" s="153"/>
      <c r="I4" s="153" t="s">
        <v>172</v>
      </c>
      <c r="J4" s="153"/>
      <c r="K4" s="153"/>
    </row>
    <row r="5" spans="1:11" ht="15">
      <c r="A5" s="651" t="str">
        <f>IF(inputPrYr!B57&gt;" ",(inputPrYr!B57)," ")</f>
        <v>Fire Eq Replacement</v>
      </c>
      <c r="B5" s="652"/>
      <c r="C5" s="651" t="str">
        <f>IF(inputPrYr!B58&gt;" ",(inputPrYr!B58)," ")</f>
        <v>Equipment Reserve</v>
      </c>
      <c r="D5" s="652"/>
      <c r="E5" s="651" t="str">
        <f>IF(inputPrYr!B59&gt;" ",(inputPrYr!B59)," ")</f>
        <v>Capital Improvements</v>
      </c>
      <c r="F5" s="652"/>
      <c r="G5" s="651" t="str">
        <f>IF(inputPrYr!B60&gt;" ",(inputPrYr!B60)," ")</f>
        <v>Water Utility Reserve</v>
      </c>
      <c r="H5" s="652"/>
      <c r="I5" s="651" t="str">
        <f>IF(inputPrYr!B61&gt;" ",(inputPrYr!B61)," ")</f>
        <v>Sewer Replacement</v>
      </c>
      <c r="J5" s="652"/>
      <c r="K5" s="105"/>
    </row>
    <row r="6" spans="1:11" ht="15">
      <c r="A6" s="272" t="s">
        <v>173</v>
      </c>
      <c r="B6" s="273"/>
      <c r="C6" s="274" t="s">
        <v>173</v>
      </c>
      <c r="D6" s="275"/>
      <c r="E6" s="274" t="s">
        <v>173</v>
      </c>
      <c r="F6" s="271"/>
      <c r="G6" s="274" t="s">
        <v>173</v>
      </c>
      <c r="H6" s="276"/>
      <c r="I6" s="274" t="s">
        <v>173</v>
      </c>
      <c r="J6" s="153"/>
      <c r="K6" s="277" t="s">
        <v>21</v>
      </c>
    </row>
    <row r="7" spans="1:11" ht="15">
      <c r="A7" s="278" t="s">
        <v>12</v>
      </c>
      <c r="B7" s="279">
        <v>173820</v>
      </c>
      <c r="C7" s="280" t="s">
        <v>12</v>
      </c>
      <c r="D7" s="279">
        <v>63457</v>
      </c>
      <c r="E7" s="280" t="s">
        <v>12</v>
      </c>
      <c r="F7" s="279">
        <v>27313</v>
      </c>
      <c r="G7" s="280" t="s">
        <v>12</v>
      </c>
      <c r="H7" s="279">
        <v>27944</v>
      </c>
      <c r="I7" s="280" t="s">
        <v>12</v>
      </c>
      <c r="J7" s="279">
        <v>47218</v>
      </c>
      <c r="K7" s="281">
        <f>SUM(B7+D7+F7+H7+J7)</f>
        <v>339752</v>
      </c>
    </row>
    <row r="8" spans="1:11" ht="15">
      <c r="A8" s="282" t="s">
        <v>157</v>
      </c>
      <c r="B8" s="283"/>
      <c r="C8" s="282" t="s">
        <v>157</v>
      </c>
      <c r="D8" s="284"/>
      <c r="E8" s="282" t="s">
        <v>157</v>
      </c>
      <c r="F8" s="268"/>
      <c r="G8" s="282" t="s">
        <v>157</v>
      </c>
      <c r="H8" s="153"/>
      <c r="I8" s="282" t="s">
        <v>157</v>
      </c>
      <c r="J8" s="153"/>
      <c r="K8" s="268"/>
    </row>
    <row r="9" spans="1:11" ht="15">
      <c r="A9" s="579" t="s">
        <v>459</v>
      </c>
      <c r="B9" s="279"/>
      <c r="C9" s="579" t="s">
        <v>462</v>
      </c>
      <c r="D9" s="279"/>
      <c r="E9" s="579" t="s">
        <v>462</v>
      </c>
      <c r="F9" s="279"/>
      <c r="G9" s="579" t="s">
        <v>462</v>
      </c>
      <c r="H9" s="279"/>
      <c r="I9" s="285" t="s">
        <v>468</v>
      </c>
      <c r="J9" s="279">
        <v>98994</v>
      </c>
      <c r="K9" s="268"/>
    </row>
    <row r="10" spans="1:11" ht="15">
      <c r="A10" s="579" t="s">
        <v>460</v>
      </c>
      <c r="B10" s="279">
        <v>5000</v>
      </c>
      <c r="C10" s="579" t="s">
        <v>463</v>
      </c>
      <c r="D10" s="279">
        <v>19000</v>
      </c>
      <c r="E10" s="579" t="s">
        <v>463</v>
      </c>
      <c r="F10" s="279">
        <v>31500</v>
      </c>
      <c r="G10" s="285" t="s">
        <v>467</v>
      </c>
      <c r="H10" s="279">
        <v>5000</v>
      </c>
      <c r="I10" s="579" t="s">
        <v>469</v>
      </c>
      <c r="J10" s="279">
        <v>109745</v>
      </c>
      <c r="K10" s="268"/>
    </row>
    <row r="11" spans="1:11" ht="15">
      <c r="A11" s="579" t="s">
        <v>461</v>
      </c>
      <c r="B11" s="279">
        <v>5000</v>
      </c>
      <c r="C11" s="580" t="s">
        <v>464</v>
      </c>
      <c r="D11" s="279">
        <v>4200</v>
      </c>
      <c r="E11" s="286"/>
      <c r="F11" s="279"/>
      <c r="G11" s="286"/>
      <c r="H11" s="279"/>
      <c r="I11" s="579" t="s">
        <v>462</v>
      </c>
      <c r="J11" s="279"/>
      <c r="K11" s="268"/>
    </row>
    <row r="12" spans="1:11" ht="15">
      <c r="A12" s="285"/>
      <c r="B12" s="279"/>
      <c r="C12" s="579" t="s">
        <v>465</v>
      </c>
      <c r="D12" s="279">
        <v>2500</v>
      </c>
      <c r="E12" s="288"/>
      <c r="F12" s="279"/>
      <c r="G12" s="288"/>
      <c r="H12" s="279"/>
      <c r="I12" s="579" t="s">
        <v>465</v>
      </c>
      <c r="J12" s="279">
        <v>2000</v>
      </c>
      <c r="K12" s="268"/>
    </row>
    <row r="13" spans="1:11" ht="15">
      <c r="A13" s="289"/>
      <c r="B13" s="279"/>
      <c r="C13" s="290"/>
      <c r="D13" s="279"/>
      <c r="E13" s="290"/>
      <c r="F13" s="279"/>
      <c r="G13" s="290"/>
      <c r="H13" s="279"/>
      <c r="I13" s="287"/>
      <c r="J13" s="279"/>
      <c r="K13" s="268"/>
    </row>
    <row r="14" spans="1:11" ht="15">
      <c r="A14" s="285"/>
      <c r="B14" s="279"/>
      <c r="C14" s="288"/>
      <c r="D14" s="279"/>
      <c r="E14" s="288"/>
      <c r="F14" s="279"/>
      <c r="G14" s="288"/>
      <c r="H14" s="279"/>
      <c r="I14" s="288"/>
      <c r="J14" s="279"/>
      <c r="K14" s="268"/>
    </row>
    <row r="15" spans="1:11" ht="15">
      <c r="A15" s="285"/>
      <c r="B15" s="279"/>
      <c r="C15" s="288"/>
      <c r="D15" s="279"/>
      <c r="E15" s="288"/>
      <c r="F15" s="279"/>
      <c r="G15" s="288"/>
      <c r="H15" s="279"/>
      <c r="I15" s="288"/>
      <c r="J15" s="279"/>
      <c r="K15" s="268"/>
    </row>
    <row r="16" spans="1:11" ht="15">
      <c r="A16" s="285"/>
      <c r="B16" s="279"/>
      <c r="C16" s="285"/>
      <c r="D16" s="279"/>
      <c r="E16" s="285"/>
      <c r="F16" s="279"/>
      <c r="G16" s="288"/>
      <c r="H16" s="279"/>
      <c r="I16" s="285"/>
      <c r="J16" s="279"/>
      <c r="K16" s="268"/>
    </row>
    <row r="17" spans="1:11" ht="15">
      <c r="A17" s="282" t="s">
        <v>58</v>
      </c>
      <c r="B17" s="281">
        <f>SUM(B9:B16)</f>
        <v>10000</v>
      </c>
      <c r="C17" s="282" t="s">
        <v>58</v>
      </c>
      <c r="D17" s="281">
        <f>SUM(D9:D16)</f>
        <v>25700</v>
      </c>
      <c r="E17" s="282" t="s">
        <v>58</v>
      </c>
      <c r="F17" s="312">
        <f>SUM(F9:F16)</f>
        <v>31500</v>
      </c>
      <c r="G17" s="282" t="s">
        <v>58</v>
      </c>
      <c r="H17" s="281">
        <f>SUM(H9:H16)</f>
        <v>5000</v>
      </c>
      <c r="I17" s="282" t="s">
        <v>58</v>
      </c>
      <c r="J17" s="281">
        <f>SUM(J9:J16)</f>
        <v>210739</v>
      </c>
      <c r="K17" s="281">
        <f>SUM(B17+D17+F17+H17+J17)</f>
        <v>282939</v>
      </c>
    </row>
    <row r="18" spans="1:11" ht="15">
      <c r="A18" s="282" t="s">
        <v>59</v>
      </c>
      <c r="B18" s="281">
        <f>SUM(B7+B17)</f>
        <v>183820</v>
      </c>
      <c r="C18" s="282" t="s">
        <v>59</v>
      </c>
      <c r="D18" s="281">
        <f>SUM(D7+D17)</f>
        <v>89157</v>
      </c>
      <c r="E18" s="282" t="s">
        <v>59</v>
      </c>
      <c r="F18" s="281">
        <f>SUM(F7+F17)</f>
        <v>58813</v>
      </c>
      <c r="G18" s="282" t="s">
        <v>59</v>
      </c>
      <c r="H18" s="281">
        <f>SUM(H7+H17)</f>
        <v>32944</v>
      </c>
      <c r="I18" s="282" t="s">
        <v>59</v>
      </c>
      <c r="J18" s="281">
        <f>SUM(J7+J17)</f>
        <v>257957</v>
      </c>
      <c r="K18" s="281">
        <f>SUM(B18+D18+F18+H18+J18)</f>
        <v>622691</v>
      </c>
    </row>
    <row r="19" spans="1:11" ht="15">
      <c r="A19" s="282" t="s">
        <v>61</v>
      </c>
      <c r="B19" s="283"/>
      <c r="C19" s="282" t="s">
        <v>61</v>
      </c>
      <c r="D19" s="284"/>
      <c r="E19" s="282" t="s">
        <v>61</v>
      </c>
      <c r="F19" s="268"/>
      <c r="G19" s="282" t="s">
        <v>61</v>
      </c>
      <c r="H19" s="153"/>
      <c r="I19" s="282" t="s">
        <v>61</v>
      </c>
      <c r="J19" s="153"/>
      <c r="K19" s="268"/>
    </row>
    <row r="20" spans="1:11" ht="15">
      <c r="A20" s="285" t="s">
        <v>466</v>
      </c>
      <c r="B20" s="279">
        <v>18610</v>
      </c>
      <c r="C20" s="288"/>
      <c r="D20" s="279"/>
      <c r="E20" s="288"/>
      <c r="F20" s="279"/>
      <c r="G20" s="288"/>
      <c r="H20" s="279"/>
      <c r="I20" s="288" t="s">
        <v>466</v>
      </c>
      <c r="J20" s="279">
        <v>174883</v>
      </c>
      <c r="K20" s="268"/>
    </row>
    <row r="21" spans="1:11" ht="15">
      <c r="A21" s="285"/>
      <c r="B21" s="279"/>
      <c r="C21" s="288"/>
      <c r="D21" s="279"/>
      <c r="E21" s="288"/>
      <c r="F21" s="279"/>
      <c r="G21" s="288"/>
      <c r="H21" s="279"/>
      <c r="I21" s="288"/>
      <c r="J21" s="279"/>
      <c r="K21" s="268"/>
    </row>
    <row r="22" spans="1:11" ht="15">
      <c r="A22" s="285"/>
      <c r="B22" s="279"/>
      <c r="C22" s="290"/>
      <c r="D22" s="279"/>
      <c r="E22" s="290"/>
      <c r="F22" s="279"/>
      <c r="G22" s="290"/>
      <c r="H22" s="279"/>
      <c r="I22" s="287"/>
      <c r="J22" s="279"/>
      <c r="K22" s="268"/>
    </row>
    <row r="23" spans="1:11" ht="15">
      <c r="A23" s="285"/>
      <c r="B23" s="279"/>
      <c r="C23" s="288"/>
      <c r="D23" s="279"/>
      <c r="E23" s="288"/>
      <c r="F23" s="279"/>
      <c r="G23" s="288"/>
      <c r="H23" s="279"/>
      <c r="I23" s="288"/>
      <c r="J23" s="279"/>
      <c r="K23" s="268"/>
    </row>
    <row r="24" spans="1:11" ht="15">
      <c r="A24" s="285"/>
      <c r="B24" s="279"/>
      <c r="C24" s="290"/>
      <c r="D24" s="279"/>
      <c r="E24" s="290"/>
      <c r="F24" s="279"/>
      <c r="G24" s="290"/>
      <c r="H24" s="279"/>
      <c r="I24" s="287"/>
      <c r="J24" s="279"/>
      <c r="K24" s="268"/>
    </row>
    <row r="25" spans="1:11" ht="15">
      <c r="A25" s="285"/>
      <c r="B25" s="279"/>
      <c r="C25" s="288"/>
      <c r="D25" s="279"/>
      <c r="E25" s="288"/>
      <c r="F25" s="279"/>
      <c r="G25" s="288"/>
      <c r="H25" s="279"/>
      <c r="I25" s="288"/>
      <c r="J25" s="279"/>
      <c r="K25" s="268"/>
    </row>
    <row r="26" spans="1:11" ht="15">
      <c r="A26" s="285"/>
      <c r="B26" s="279"/>
      <c r="C26" s="288"/>
      <c r="D26" s="279"/>
      <c r="E26" s="288"/>
      <c r="F26" s="279"/>
      <c r="G26" s="288"/>
      <c r="H26" s="279"/>
      <c r="I26" s="288"/>
      <c r="J26" s="279"/>
      <c r="K26" s="268"/>
    </row>
    <row r="27" spans="1:11" ht="15">
      <c r="A27" s="285"/>
      <c r="B27" s="279"/>
      <c r="C27" s="285"/>
      <c r="D27" s="279"/>
      <c r="E27" s="285"/>
      <c r="F27" s="279"/>
      <c r="G27" s="288"/>
      <c r="H27" s="279"/>
      <c r="I27" s="288"/>
      <c r="J27" s="279"/>
      <c r="K27" s="268"/>
    </row>
    <row r="28" spans="1:11" ht="15">
      <c r="A28" s="282" t="s">
        <v>64</v>
      </c>
      <c r="B28" s="281">
        <f>SUM(B20:B27)</f>
        <v>18610</v>
      </c>
      <c r="C28" s="282" t="s">
        <v>64</v>
      </c>
      <c r="D28" s="281">
        <f>SUM(D20:D27)</f>
        <v>0</v>
      </c>
      <c r="E28" s="282" t="s">
        <v>64</v>
      </c>
      <c r="F28" s="312">
        <f>SUM(F20:F27)</f>
        <v>0</v>
      </c>
      <c r="G28" s="282" t="s">
        <v>64</v>
      </c>
      <c r="H28" s="312">
        <f>SUM(H20:H27)</f>
        <v>0</v>
      </c>
      <c r="I28" s="282" t="s">
        <v>64</v>
      </c>
      <c r="J28" s="281">
        <f>SUM(J20:J27)</f>
        <v>174883</v>
      </c>
      <c r="K28" s="281">
        <f>SUM(B28+D28+F28+H28+J28)</f>
        <v>193493</v>
      </c>
    </row>
    <row r="29" spans="1:12" ht="15">
      <c r="A29" s="282" t="s">
        <v>174</v>
      </c>
      <c r="B29" s="281">
        <f>SUM(B18-B28)</f>
        <v>165210</v>
      </c>
      <c r="C29" s="282" t="s">
        <v>174</v>
      </c>
      <c r="D29" s="281">
        <f>SUM(D18-D28)</f>
        <v>89157</v>
      </c>
      <c r="E29" s="282" t="s">
        <v>174</v>
      </c>
      <c r="F29" s="281">
        <f>SUM(F18-F28)</f>
        <v>58813</v>
      </c>
      <c r="G29" s="282" t="s">
        <v>174</v>
      </c>
      <c r="H29" s="281">
        <f>SUM(H18-H28)</f>
        <v>32944</v>
      </c>
      <c r="I29" s="282" t="s">
        <v>174</v>
      </c>
      <c r="J29" s="281">
        <f>SUM(J18-J28)</f>
        <v>83074</v>
      </c>
      <c r="K29" s="291">
        <f>SUM(B29+D29+F29+H29+J29)</f>
        <v>429198</v>
      </c>
      <c r="L29" s="28" t="s">
        <v>220</v>
      </c>
    </row>
    <row r="30" spans="1:12" ht="15">
      <c r="A30" s="282"/>
      <c r="B30" s="300">
        <f>IF(B29&lt;0,"See Tab B","")</f>
      </c>
      <c r="C30" s="282"/>
      <c r="D30" s="300">
        <f>IF(D29&lt;0,"See Tab B","")</f>
      </c>
      <c r="E30" s="282"/>
      <c r="F30" s="300">
        <f>IF(F29&lt;0,"See Tab B","")</f>
      </c>
      <c r="G30" s="153"/>
      <c r="H30" s="300">
        <f>IF(H29&lt;0,"See Tab B","")</f>
      </c>
      <c r="I30" s="153"/>
      <c r="J30" s="300">
        <f>IF(J29&lt;0,"See Tab B","")</f>
      </c>
      <c r="K30" s="291">
        <f>SUM(K7+K17-K28)</f>
        <v>429198</v>
      </c>
      <c r="L30" s="28" t="s">
        <v>220</v>
      </c>
    </row>
    <row r="31" spans="1:11" ht="15">
      <c r="A31" s="153"/>
      <c r="B31" s="158"/>
      <c r="C31" s="153"/>
      <c r="D31" s="268"/>
      <c r="E31" s="153"/>
      <c r="F31" s="153"/>
      <c r="G31" s="29" t="s">
        <v>221</v>
      </c>
      <c r="H31" s="29"/>
      <c r="I31" s="29"/>
      <c r="J31" s="29"/>
      <c r="K31" s="153"/>
    </row>
    <row r="32" spans="1:11" ht="15">
      <c r="A32" s="153"/>
      <c r="B32" s="158"/>
      <c r="C32" s="153"/>
      <c r="D32" s="153"/>
      <c r="E32" s="153"/>
      <c r="F32" s="153"/>
      <c r="G32" s="153"/>
      <c r="H32" s="153"/>
      <c r="I32" s="153"/>
      <c r="J32" s="153"/>
      <c r="K32" s="153"/>
    </row>
    <row r="33" spans="1:11" ht="15">
      <c r="A33" s="153"/>
      <c r="B33" s="158"/>
      <c r="C33" s="153"/>
      <c r="D33" s="153"/>
      <c r="E33" s="166" t="s">
        <v>67</v>
      </c>
      <c r="F33" s="256">
        <v>13</v>
      </c>
      <c r="G33" s="153"/>
      <c r="H33" s="153"/>
      <c r="I33" s="153"/>
      <c r="J33" s="153"/>
      <c r="K33" s="153"/>
    </row>
    <row r="34" ht="15">
      <c r="B34" s="292"/>
    </row>
    <row r="35" ht="15">
      <c r="B35" s="292"/>
    </row>
    <row r="36" ht="15">
      <c r="B36" s="292"/>
    </row>
    <row r="37" ht="15">
      <c r="B37" s="292"/>
    </row>
    <row r="38" ht="15">
      <c r="B38" s="292"/>
    </row>
    <row r="39" ht="15">
      <c r="B39" s="292"/>
    </row>
    <row r="40" ht="15">
      <c r="B40" s="292"/>
    </row>
    <row r="41" ht="15">
      <c r="B41" s="29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D8" sqref="D8"/>
    </sheetView>
  </sheetViews>
  <sheetFormatPr defaultColWidth="8.796875" defaultRowHeight="15"/>
  <cols>
    <col min="1" max="1" width="11.59765625" style="28" customWidth="1"/>
    <col min="2" max="2" width="7.3984375" style="28" customWidth="1"/>
    <col min="3" max="3" width="11.59765625" style="28" customWidth="1"/>
    <col min="4" max="4" width="7.3984375" style="28" customWidth="1"/>
    <col min="5" max="5" width="11.59765625" style="28" customWidth="1"/>
    <col min="6" max="6" width="7.3984375" style="28" customWidth="1"/>
    <col min="7" max="7" width="11.59765625" style="28" customWidth="1"/>
    <col min="8" max="8" width="7.3984375" style="28" customWidth="1"/>
    <col min="9" max="9" width="11.59765625" style="28" customWidth="1"/>
    <col min="10" max="16384" width="8.796875" style="28" customWidth="1"/>
  </cols>
  <sheetData>
    <row r="1" spans="1:11" ht="15">
      <c r="A1" s="154" t="str">
        <f>inputPrYr!$D$2</f>
        <v>City of Moran</v>
      </c>
      <c r="B1" s="268"/>
      <c r="C1" s="153"/>
      <c r="D1" s="153"/>
      <c r="E1" s="153"/>
      <c r="F1" s="155" t="s">
        <v>175</v>
      </c>
      <c r="G1" s="153"/>
      <c r="H1" s="153"/>
      <c r="I1" s="153"/>
      <c r="J1" s="153"/>
      <c r="K1" s="153">
        <f>inputPrYr!$C$5</f>
        <v>2015</v>
      </c>
    </row>
    <row r="2" spans="1:11" ht="15">
      <c r="A2" s="153"/>
      <c r="B2" s="153"/>
      <c r="C2" s="153"/>
      <c r="D2" s="153"/>
      <c r="E2" s="153"/>
      <c r="F2" s="269" t="str">
        <f>CONCATENATE("(Only the actual budget year for ",K1-2," is to be shown)")</f>
        <v>(Only the actual budget year for 2013 is to be shown)</v>
      </c>
      <c r="G2" s="153"/>
      <c r="H2" s="153"/>
      <c r="I2" s="153"/>
      <c r="J2" s="153"/>
      <c r="K2" s="153"/>
    </row>
    <row r="3" spans="1:11" ht="15">
      <c r="A3" s="153" t="s">
        <v>207</v>
      </c>
      <c r="B3" s="153"/>
      <c r="C3" s="153"/>
      <c r="D3" s="153"/>
      <c r="E3" s="153"/>
      <c r="F3" s="268"/>
      <c r="G3" s="153"/>
      <c r="H3" s="153"/>
      <c r="I3" s="153"/>
      <c r="J3" s="153"/>
      <c r="K3" s="153"/>
    </row>
    <row r="4" spans="1:11" ht="15">
      <c r="A4" s="153" t="s">
        <v>168</v>
      </c>
      <c r="B4" s="153"/>
      <c r="C4" s="153" t="s">
        <v>169</v>
      </c>
      <c r="D4" s="153"/>
      <c r="E4" s="153" t="s">
        <v>170</v>
      </c>
      <c r="F4" s="268"/>
      <c r="G4" s="153" t="s">
        <v>171</v>
      </c>
      <c r="H4" s="153"/>
      <c r="I4" s="153" t="s">
        <v>172</v>
      </c>
      <c r="J4" s="153"/>
      <c r="K4" s="153"/>
    </row>
    <row r="5" spans="1:11" ht="15">
      <c r="A5" s="651" t="str">
        <f>IF(inputPrYr!B63&gt;" ",(inputPrYr!B63)," ")</f>
        <v>Utility Replacement</v>
      </c>
      <c r="B5" s="652"/>
      <c r="C5" s="651" t="str">
        <f>IF(inputPrYr!B64&gt;" ",(inputPrYr!B64)," ")</f>
        <v>Sales Tax</v>
      </c>
      <c r="D5" s="652"/>
      <c r="E5" s="651" t="str">
        <f>IF(inputPrYr!B65&gt;" ",(inputPrYr!B65)," ")</f>
        <v> </v>
      </c>
      <c r="F5" s="652"/>
      <c r="G5" s="651" t="str">
        <f>IF(inputPrYr!B66&gt;" ",(inputPrYr!B66)," ")</f>
        <v> </v>
      </c>
      <c r="H5" s="652"/>
      <c r="I5" s="651" t="str">
        <f>IF(inputPrYr!B67&gt;" ",(inputPrYr!B67)," ")</f>
        <v> </v>
      </c>
      <c r="J5" s="652"/>
      <c r="K5" s="105"/>
    </row>
    <row r="6" spans="1:11" ht="15">
      <c r="A6" s="272" t="s">
        <v>173</v>
      </c>
      <c r="B6" s="273"/>
      <c r="C6" s="274" t="s">
        <v>173</v>
      </c>
      <c r="D6" s="275"/>
      <c r="E6" s="274" t="s">
        <v>173</v>
      </c>
      <c r="F6" s="271"/>
      <c r="G6" s="274" t="s">
        <v>173</v>
      </c>
      <c r="H6" s="276"/>
      <c r="I6" s="274" t="s">
        <v>173</v>
      </c>
      <c r="J6" s="153"/>
      <c r="K6" s="277" t="s">
        <v>21</v>
      </c>
    </row>
    <row r="7" spans="1:11" ht="15">
      <c r="A7" s="278" t="s">
        <v>12</v>
      </c>
      <c r="B7" s="279">
        <v>81887</v>
      </c>
      <c r="C7" s="280" t="s">
        <v>12</v>
      </c>
      <c r="D7" s="279">
        <v>1453</v>
      </c>
      <c r="E7" s="280" t="s">
        <v>12</v>
      </c>
      <c r="F7" s="279"/>
      <c r="G7" s="280" t="s">
        <v>12</v>
      </c>
      <c r="H7" s="279"/>
      <c r="I7" s="280" t="s">
        <v>12</v>
      </c>
      <c r="J7" s="279"/>
      <c r="K7" s="281">
        <f>SUM(B7+D7+F7+H7+J7)</f>
        <v>83340</v>
      </c>
    </row>
    <row r="8" spans="1:11" ht="15">
      <c r="A8" s="282" t="s">
        <v>157</v>
      </c>
      <c r="B8" s="283"/>
      <c r="C8" s="282" t="s">
        <v>157</v>
      </c>
      <c r="D8" s="284"/>
      <c r="E8" s="282" t="s">
        <v>157</v>
      </c>
      <c r="F8" s="268"/>
      <c r="G8" s="282" t="s">
        <v>157</v>
      </c>
      <c r="H8" s="153"/>
      <c r="I8" s="282" t="s">
        <v>157</v>
      </c>
      <c r="J8" s="153"/>
      <c r="K8" s="268"/>
    </row>
    <row r="9" spans="1:11" ht="15">
      <c r="A9" s="579" t="s">
        <v>462</v>
      </c>
      <c r="B9" s="279"/>
      <c r="C9" s="285" t="s">
        <v>470</v>
      </c>
      <c r="D9" s="279">
        <v>17027</v>
      </c>
      <c r="E9" s="285"/>
      <c r="F9" s="279"/>
      <c r="G9" s="285"/>
      <c r="H9" s="279"/>
      <c r="I9" s="285"/>
      <c r="J9" s="279"/>
      <c r="K9" s="268"/>
    </row>
    <row r="10" spans="1:11" ht="15">
      <c r="A10" s="579" t="s">
        <v>463</v>
      </c>
      <c r="B10" s="279">
        <v>10000</v>
      </c>
      <c r="C10" s="285"/>
      <c r="D10" s="279"/>
      <c r="E10" s="285"/>
      <c r="F10" s="279"/>
      <c r="G10" s="285"/>
      <c r="H10" s="279"/>
      <c r="I10" s="285"/>
      <c r="J10" s="279"/>
      <c r="K10" s="268"/>
    </row>
    <row r="11" spans="1:11" ht="15">
      <c r="A11" s="579" t="s">
        <v>465</v>
      </c>
      <c r="B11" s="279">
        <v>2000</v>
      </c>
      <c r="C11" s="286"/>
      <c r="D11" s="279"/>
      <c r="E11" s="286"/>
      <c r="F11" s="279"/>
      <c r="G11" s="286"/>
      <c r="H11" s="279"/>
      <c r="I11" s="287"/>
      <c r="J11" s="279"/>
      <c r="K11" s="268"/>
    </row>
    <row r="12" spans="1:11" ht="15">
      <c r="A12" s="285"/>
      <c r="B12" s="279"/>
      <c r="C12" s="285"/>
      <c r="D12" s="279"/>
      <c r="E12" s="288"/>
      <c r="F12" s="279"/>
      <c r="G12" s="288"/>
      <c r="H12" s="279"/>
      <c r="I12" s="288"/>
      <c r="J12" s="279"/>
      <c r="K12" s="268"/>
    </row>
    <row r="13" spans="1:11" ht="15">
      <c r="A13" s="289"/>
      <c r="B13" s="279"/>
      <c r="C13" s="290"/>
      <c r="D13" s="279"/>
      <c r="E13" s="290"/>
      <c r="F13" s="279"/>
      <c r="G13" s="290"/>
      <c r="H13" s="279"/>
      <c r="I13" s="287"/>
      <c r="J13" s="279"/>
      <c r="K13" s="268"/>
    </row>
    <row r="14" spans="1:11" ht="15">
      <c r="A14" s="285"/>
      <c r="B14" s="279"/>
      <c r="C14" s="288"/>
      <c r="D14" s="279"/>
      <c r="E14" s="288"/>
      <c r="F14" s="279"/>
      <c r="G14" s="288"/>
      <c r="H14" s="279"/>
      <c r="I14" s="288"/>
      <c r="J14" s="279"/>
      <c r="K14" s="268"/>
    </row>
    <row r="15" spans="1:11" ht="15">
      <c r="A15" s="285"/>
      <c r="B15" s="279"/>
      <c r="C15" s="288"/>
      <c r="D15" s="279"/>
      <c r="E15" s="288"/>
      <c r="F15" s="279"/>
      <c r="G15" s="288"/>
      <c r="H15" s="279"/>
      <c r="I15" s="288"/>
      <c r="J15" s="279"/>
      <c r="K15" s="268"/>
    </row>
    <row r="16" spans="1:11" ht="15">
      <c r="A16" s="285"/>
      <c r="B16" s="279"/>
      <c r="C16" s="285"/>
      <c r="D16" s="279"/>
      <c r="E16" s="285"/>
      <c r="F16" s="279"/>
      <c r="G16" s="288"/>
      <c r="H16" s="279"/>
      <c r="I16" s="285"/>
      <c r="J16" s="279"/>
      <c r="K16" s="268"/>
    </row>
    <row r="17" spans="1:11" ht="15">
      <c r="A17" s="282" t="s">
        <v>58</v>
      </c>
      <c r="B17" s="281">
        <f>SUM(B9:B16)</f>
        <v>12000</v>
      </c>
      <c r="C17" s="282" t="s">
        <v>58</v>
      </c>
      <c r="D17" s="281">
        <f>SUM(D9:D16)</f>
        <v>17027</v>
      </c>
      <c r="E17" s="282" t="s">
        <v>58</v>
      </c>
      <c r="F17" s="312">
        <f>SUM(F9:F16)</f>
        <v>0</v>
      </c>
      <c r="G17" s="282" t="s">
        <v>58</v>
      </c>
      <c r="H17" s="281">
        <f>SUM(H9:H16)</f>
        <v>0</v>
      </c>
      <c r="I17" s="282" t="s">
        <v>58</v>
      </c>
      <c r="J17" s="281">
        <f>SUM(J9:J16)</f>
        <v>0</v>
      </c>
      <c r="K17" s="281">
        <f>SUM(B17+D17+F17+H17+J17)</f>
        <v>29027</v>
      </c>
    </row>
    <row r="18" spans="1:11" ht="15">
      <c r="A18" s="282" t="s">
        <v>59</v>
      </c>
      <c r="B18" s="281">
        <f>SUM(B7+B17)</f>
        <v>93887</v>
      </c>
      <c r="C18" s="282" t="s">
        <v>59</v>
      </c>
      <c r="D18" s="281">
        <f>SUM(D7+D17)</f>
        <v>18480</v>
      </c>
      <c r="E18" s="282" t="s">
        <v>59</v>
      </c>
      <c r="F18" s="281">
        <f>SUM(F7+F17)</f>
        <v>0</v>
      </c>
      <c r="G18" s="282" t="s">
        <v>59</v>
      </c>
      <c r="H18" s="281">
        <f>SUM(H7+H17)</f>
        <v>0</v>
      </c>
      <c r="I18" s="282" t="s">
        <v>59</v>
      </c>
      <c r="J18" s="281">
        <f>SUM(J7+J17)</f>
        <v>0</v>
      </c>
      <c r="K18" s="281">
        <f>SUM(B18+D18+F18+H18+J18)</f>
        <v>112367</v>
      </c>
    </row>
    <row r="19" spans="1:11" ht="15">
      <c r="A19" s="282" t="s">
        <v>61</v>
      </c>
      <c r="B19" s="283"/>
      <c r="C19" s="282" t="s">
        <v>61</v>
      </c>
      <c r="D19" s="284"/>
      <c r="E19" s="282" t="s">
        <v>61</v>
      </c>
      <c r="F19" s="268"/>
      <c r="G19" s="282" t="s">
        <v>61</v>
      </c>
      <c r="H19" s="153"/>
      <c r="I19" s="282" t="s">
        <v>61</v>
      </c>
      <c r="J19" s="153"/>
      <c r="K19" s="268"/>
    </row>
    <row r="20" spans="1:11" ht="15">
      <c r="A20" s="285"/>
      <c r="B20" s="279"/>
      <c r="C20" s="288" t="s">
        <v>471</v>
      </c>
      <c r="D20" s="279">
        <v>16948</v>
      </c>
      <c r="E20" s="288"/>
      <c r="F20" s="279"/>
      <c r="G20" s="288"/>
      <c r="H20" s="279"/>
      <c r="I20" s="288"/>
      <c r="J20" s="279"/>
      <c r="K20" s="268"/>
    </row>
    <row r="21" spans="1:11" ht="15">
      <c r="A21" s="285"/>
      <c r="B21" s="279"/>
      <c r="C21" s="288"/>
      <c r="D21" s="279"/>
      <c r="E21" s="288"/>
      <c r="F21" s="279"/>
      <c r="G21" s="288"/>
      <c r="H21" s="279"/>
      <c r="I21" s="288"/>
      <c r="J21" s="279"/>
      <c r="K21" s="268"/>
    </row>
    <row r="22" spans="1:11" ht="15">
      <c r="A22" s="285"/>
      <c r="B22" s="279"/>
      <c r="C22" s="290"/>
      <c r="D22" s="279"/>
      <c r="E22" s="290"/>
      <c r="F22" s="279"/>
      <c r="G22" s="290"/>
      <c r="H22" s="279"/>
      <c r="I22" s="287"/>
      <c r="J22" s="279"/>
      <c r="K22" s="268"/>
    </row>
    <row r="23" spans="1:11" ht="15">
      <c r="A23" s="285"/>
      <c r="B23" s="279"/>
      <c r="C23" s="288"/>
      <c r="D23" s="279"/>
      <c r="E23" s="288"/>
      <c r="F23" s="279"/>
      <c r="G23" s="288"/>
      <c r="H23" s="279"/>
      <c r="I23" s="288"/>
      <c r="J23" s="279"/>
      <c r="K23" s="268"/>
    </row>
    <row r="24" spans="1:11" ht="15">
      <c r="A24" s="285"/>
      <c r="B24" s="279"/>
      <c r="C24" s="290"/>
      <c r="D24" s="279"/>
      <c r="E24" s="290"/>
      <c r="F24" s="279"/>
      <c r="G24" s="290"/>
      <c r="H24" s="279"/>
      <c r="I24" s="287"/>
      <c r="J24" s="279"/>
      <c r="K24" s="268"/>
    </row>
    <row r="25" spans="1:11" ht="15">
      <c r="A25" s="285"/>
      <c r="B25" s="279"/>
      <c r="C25" s="288"/>
      <c r="D25" s="279"/>
      <c r="E25" s="288"/>
      <c r="F25" s="279"/>
      <c r="G25" s="288"/>
      <c r="H25" s="279"/>
      <c r="I25" s="288"/>
      <c r="J25" s="279"/>
      <c r="K25" s="268"/>
    </row>
    <row r="26" spans="1:11" ht="15">
      <c r="A26" s="285"/>
      <c r="B26" s="279"/>
      <c r="C26" s="288"/>
      <c r="D26" s="279"/>
      <c r="E26" s="288"/>
      <c r="F26" s="279"/>
      <c r="G26" s="288"/>
      <c r="H26" s="279"/>
      <c r="I26" s="288"/>
      <c r="J26" s="279"/>
      <c r="K26" s="268"/>
    </row>
    <row r="27" spans="1:11" ht="15">
      <c r="A27" s="285"/>
      <c r="B27" s="279"/>
      <c r="C27" s="285"/>
      <c r="D27" s="279"/>
      <c r="E27" s="285"/>
      <c r="F27" s="279"/>
      <c r="G27" s="288"/>
      <c r="H27" s="279"/>
      <c r="I27" s="288"/>
      <c r="J27" s="279"/>
      <c r="K27" s="268"/>
    </row>
    <row r="28" spans="1:11" ht="15">
      <c r="A28" s="282" t="s">
        <v>64</v>
      </c>
      <c r="B28" s="281">
        <f>SUM(B20:B27)</f>
        <v>0</v>
      </c>
      <c r="C28" s="282" t="s">
        <v>64</v>
      </c>
      <c r="D28" s="281">
        <f>SUM(D20:D27)</f>
        <v>16948</v>
      </c>
      <c r="E28" s="282" t="s">
        <v>64</v>
      </c>
      <c r="F28" s="312">
        <f>SUM(F20:F27)</f>
        <v>0</v>
      </c>
      <c r="G28" s="282" t="s">
        <v>64</v>
      </c>
      <c r="H28" s="312">
        <f>SUM(H20:H27)</f>
        <v>0</v>
      </c>
      <c r="I28" s="282" t="s">
        <v>64</v>
      </c>
      <c r="J28" s="281">
        <f>SUM(J20:J27)</f>
        <v>0</v>
      </c>
      <c r="K28" s="281">
        <f>SUM(B28+D28+F28+H28+J28)</f>
        <v>16948</v>
      </c>
    </row>
    <row r="29" spans="1:12" ht="15">
      <c r="A29" s="282" t="s">
        <v>174</v>
      </c>
      <c r="B29" s="281">
        <f>SUM(B18-B28)</f>
        <v>93887</v>
      </c>
      <c r="C29" s="282" t="s">
        <v>174</v>
      </c>
      <c r="D29" s="281">
        <f>SUM(D18-D28)</f>
        <v>1532</v>
      </c>
      <c r="E29" s="282" t="s">
        <v>174</v>
      </c>
      <c r="F29" s="281">
        <f>SUM(F18-F28)</f>
        <v>0</v>
      </c>
      <c r="G29" s="282" t="s">
        <v>174</v>
      </c>
      <c r="H29" s="281">
        <f>SUM(H18-H28)</f>
        <v>0</v>
      </c>
      <c r="I29" s="282" t="s">
        <v>174</v>
      </c>
      <c r="J29" s="281">
        <f>SUM(J18-J28)</f>
        <v>0</v>
      </c>
      <c r="K29" s="291">
        <f>SUM(B29+D29+F29+H29+J29)</f>
        <v>95419</v>
      </c>
      <c r="L29" s="28" t="s">
        <v>220</v>
      </c>
    </row>
    <row r="30" spans="1:12" ht="15">
      <c r="A30" s="282"/>
      <c r="B30" s="300">
        <f>IF(B29&lt;0,"See Tab B","")</f>
      </c>
      <c r="C30" s="282"/>
      <c r="D30" s="300">
        <f>IF(D29&lt;0,"See Tab B","")</f>
      </c>
      <c r="E30" s="282"/>
      <c r="F30" s="300">
        <f>IF(F29&lt;0,"See Tab B","")</f>
      </c>
      <c r="G30" s="153"/>
      <c r="H30" s="300">
        <f>IF(H29&lt;0,"See Tab B","")</f>
      </c>
      <c r="I30" s="153"/>
      <c r="J30" s="300">
        <f>IF(J29&lt;0,"See Tab B","")</f>
      </c>
      <c r="K30" s="291">
        <f>SUM(K7+K17-K28)</f>
        <v>95419</v>
      </c>
      <c r="L30" s="28" t="s">
        <v>220</v>
      </c>
    </row>
    <row r="31" spans="1:11" ht="15">
      <c r="A31" s="153"/>
      <c r="B31" s="158"/>
      <c r="C31" s="153"/>
      <c r="D31" s="268"/>
      <c r="E31" s="153"/>
      <c r="F31" s="153"/>
      <c r="G31" s="29" t="s">
        <v>221</v>
      </c>
      <c r="H31" s="29"/>
      <c r="I31" s="29"/>
      <c r="J31" s="29"/>
      <c r="K31" s="153"/>
    </row>
    <row r="32" spans="1:11" ht="15">
      <c r="A32" s="153"/>
      <c r="B32" s="158"/>
      <c r="C32" s="153"/>
      <c r="D32" s="153"/>
      <c r="E32" s="153"/>
      <c r="F32" s="153"/>
      <c r="G32" s="153"/>
      <c r="H32" s="153"/>
      <c r="I32" s="153"/>
      <c r="J32" s="153"/>
      <c r="K32" s="153"/>
    </row>
    <row r="33" spans="1:11" ht="15">
      <c r="A33" s="153"/>
      <c r="B33" s="158"/>
      <c r="C33" s="153"/>
      <c r="D33" s="153"/>
      <c r="E33" s="166" t="s">
        <v>67</v>
      </c>
      <c r="F33" s="256">
        <v>14</v>
      </c>
      <c r="G33" s="153"/>
      <c r="H33" s="153"/>
      <c r="I33" s="153"/>
      <c r="J33" s="153"/>
      <c r="K33" s="153"/>
    </row>
    <row r="34" ht="15">
      <c r="B34" s="292"/>
    </row>
    <row r="35" ht="15">
      <c r="B35" s="292"/>
    </row>
    <row r="36" ht="15">
      <c r="B36" s="292"/>
    </row>
    <row r="37" ht="15">
      <c r="B37" s="292"/>
    </row>
    <row r="38" ht="15">
      <c r="B38" s="292"/>
    </row>
    <row r="39" ht="15">
      <c r="B39" s="292"/>
    </row>
    <row r="40" ht="15">
      <c r="B40" s="292"/>
    </row>
    <row r="41" ht="15">
      <c r="B41" s="29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1">
      <selection activeCell="B17" sqref="B17"/>
    </sheetView>
  </sheetViews>
  <sheetFormatPr defaultColWidth="8.796875" defaultRowHeight="15"/>
  <cols>
    <col min="1" max="1" width="15.69921875" style="87" customWidth="1"/>
    <col min="2" max="2" width="20.69921875" style="87" customWidth="1"/>
    <col min="3" max="3" width="9.69921875" style="87" customWidth="1"/>
    <col min="4" max="4" width="15.19921875" style="87" customWidth="1"/>
    <col min="5" max="5" width="15.69921875" style="87" customWidth="1"/>
    <col min="6" max="16384" width="8.796875" style="87" customWidth="1"/>
  </cols>
  <sheetData>
    <row r="1" spans="1:5" ht="15">
      <c r="A1" s="154" t="str">
        <f>inputPrYr!$D$2</f>
        <v>City of Moran</v>
      </c>
      <c r="B1" s="49"/>
      <c r="C1" s="49"/>
      <c r="D1" s="49"/>
      <c r="E1" s="153">
        <f>inputPrYr!C5</f>
        <v>2015</v>
      </c>
    </row>
    <row r="2" spans="1:5" ht="15">
      <c r="A2" s="49"/>
      <c r="B2" s="49"/>
      <c r="C2" s="49"/>
      <c r="D2" s="49"/>
      <c r="E2" s="49"/>
    </row>
    <row r="3" spans="1:5" ht="15">
      <c r="A3" s="586" t="s">
        <v>217</v>
      </c>
      <c r="B3" s="587"/>
      <c r="C3" s="587"/>
      <c r="D3" s="587"/>
      <c r="E3" s="587"/>
    </row>
    <row r="4" spans="1:5" ht="15">
      <c r="A4" s="49"/>
      <c r="B4" s="49"/>
      <c r="C4" s="49"/>
      <c r="D4" s="49"/>
      <c r="E4" s="49"/>
    </row>
    <row r="5" spans="1:5" ht="15">
      <c r="A5" s="49"/>
      <c r="B5" s="49"/>
      <c r="C5" s="49"/>
      <c r="D5" s="49"/>
      <c r="E5" s="49"/>
    </row>
    <row r="6" spans="1:5" ht="15">
      <c r="A6" s="40" t="str">
        <f>CONCATENATE("From the County Clerks ",E1," Budget Information:")</f>
        <v>From the County Clerks 2015 Budget Information:</v>
      </c>
      <c r="B6" s="41"/>
      <c r="C6" s="32"/>
      <c r="D6" s="32"/>
      <c r="E6" s="78"/>
    </row>
    <row r="7" spans="1:5" ht="15">
      <c r="A7" s="88" t="str">
        <f>CONCATENATE("Total Assessed Valuation for ",E1-1,"")</f>
        <v>Total Assessed Valuation for 2014</v>
      </c>
      <c r="B7" s="53"/>
      <c r="C7" s="53"/>
      <c r="D7" s="53"/>
      <c r="E7" s="48">
        <v>1502728</v>
      </c>
    </row>
    <row r="8" spans="1:5" ht="15">
      <c r="A8" s="88" t="str">
        <f>CONCATENATE("New Improvements for ",E1-1,"")</f>
        <v>New Improvements for 2014</v>
      </c>
      <c r="B8" s="53"/>
      <c r="C8" s="53"/>
      <c r="D8" s="53"/>
      <c r="E8" s="89">
        <v>217</v>
      </c>
    </row>
    <row r="9" spans="1:5" ht="15">
      <c r="A9" s="88" t="str">
        <f>CONCATENATE("Personal Property excluding oil, gas, mobile homes - ",E1-1,"")</f>
        <v>Personal Property excluding oil, gas, mobile homes - 2014</v>
      </c>
      <c r="B9" s="53"/>
      <c r="C9" s="53"/>
      <c r="D9" s="53"/>
      <c r="E9" s="89">
        <v>48601</v>
      </c>
    </row>
    <row r="10" spans="1:5" ht="15">
      <c r="A10" s="90" t="s">
        <v>176</v>
      </c>
      <c r="B10" s="53"/>
      <c r="C10" s="53"/>
      <c r="D10" s="53"/>
      <c r="E10" s="68"/>
    </row>
    <row r="11" spans="1:5" ht="15">
      <c r="A11" s="88" t="s">
        <v>150</v>
      </c>
      <c r="B11" s="53"/>
      <c r="C11" s="53"/>
      <c r="D11" s="53"/>
      <c r="E11" s="89"/>
    </row>
    <row r="12" spans="1:5" ht="15">
      <c r="A12" s="88" t="s">
        <v>151</v>
      </c>
      <c r="B12" s="53"/>
      <c r="C12" s="53"/>
      <c r="D12" s="53"/>
      <c r="E12" s="89"/>
    </row>
    <row r="13" spans="1:5" ht="15">
      <c r="A13" s="88" t="s">
        <v>152</v>
      </c>
      <c r="B13" s="53"/>
      <c r="C13" s="53"/>
      <c r="D13" s="53"/>
      <c r="E13" s="89"/>
    </row>
    <row r="14" spans="1:5" ht="15">
      <c r="A14" s="88" t="str">
        <f>CONCATENATE("Property that has changed in use for ",E1-1,"")</f>
        <v>Property that has changed in use for 2014</v>
      </c>
      <c r="B14" s="53"/>
      <c r="C14" s="53"/>
      <c r="D14" s="53"/>
      <c r="E14" s="89">
        <v>55700</v>
      </c>
    </row>
    <row r="15" spans="1:5" ht="15">
      <c r="A15" s="88" t="str">
        <f>CONCATENATE("Personal Property  excluding oil, gas, mobile homes- ",E1-2,"")</f>
        <v>Personal Property  excluding oil, gas, mobile homes- 2013</v>
      </c>
      <c r="B15" s="53"/>
      <c r="C15" s="53"/>
      <c r="D15" s="53"/>
      <c r="E15" s="89">
        <v>59152</v>
      </c>
    </row>
    <row r="16" spans="1:5" ht="15">
      <c r="A16" s="88" t="str">
        <f>CONCATENATE("Gross earnings (intangible) tax estimate for ",E1,"")</f>
        <v>Gross earnings (intangible) tax estimate for 2015</v>
      </c>
      <c r="B16" s="53"/>
      <c r="C16" s="53"/>
      <c r="D16" s="74"/>
      <c r="E16" s="48"/>
    </row>
    <row r="17" spans="1:5" ht="15">
      <c r="A17" s="88" t="s">
        <v>177</v>
      </c>
      <c r="B17" s="53"/>
      <c r="C17" s="53"/>
      <c r="D17" s="53"/>
      <c r="E17" s="84"/>
    </row>
    <row r="18" spans="1:5" ht="15">
      <c r="A18" s="56"/>
      <c r="B18" s="57"/>
      <c r="C18" s="57"/>
      <c r="D18" s="57"/>
      <c r="E18" s="65"/>
    </row>
    <row r="19" spans="1:5" ht="15">
      <c r="A19" s="56" t="str">
        <f>CONCATENATE("Actual Tax Rates for the ",E1-1," Budget:")</f>
        <v>Actual Tax Rates for the 2014 Budget:</v>
      </c>
      <c r="B19" s="57"/>
      <c r="C19" s="57"/>
      <c r="D19" s="57"/>
      <c r="E19" s="65"/>
    </row>
    <row r="20" spans="1:5" ht="15">
      <c r="A20" s="595" t="s">
        <v>35</v>
      </c>
      <c r="B20" s="596"/>
      <c r="C20" s="49"/>
      <c r="D20" s="91" t="s">
        <v>87</v>
      </c>
      <c r="E20" s="65"/>
    </row>
    <row r="21" spans="1:5" ht="15">
      <c r="A21" s="51" t="s">
        <v>19</v>
      </c>
      <c r="B21" s="52"/>
      <c r="C21" s="57"/>
      <c r="D21" s="92">
        <v>16.437</v>
      </c>
      <c r="E21" s="65"/>
    </row>
    <row r="22" spans="1:5" ht="15">
      <c r="A22" s="88" t="s">
        <v>14</v>
      </c>
      <c r="B22" s="53"/>
      <c r="C22" s="57"/>
      <c r="D22" s="93"/>
      <c r="E22" s="65"/>
    </row>
    <row r="23" spans="1:5" ht="15">
      <c r="A23" s="88" t="str">
        <f>IF(inputPrYr!B19&gt;" ",(inputPrYr!B19)," ")</f>
        <v>Library</v>
      </c>
      <c r="B23" s="53"/>
      <c r="C23" s="57"/>
      <c r="D23" s="93">
        <v>1.992</v>
      </c>
      <c r="E23" s="65"/>
    </row>
    <row r="24" spans="1:5" ht="15">
      <c r="A24" s="88" t="str">
        <f>IF(inputPrYr!B21&gt;" ",(inputPrYr!B21)," ")</f>
        <v>Employee Benefit</v>
      </c>
      <c r="B24" s="53"/>
      <c r="C24" s="57"/>
      <c r="D24" s="93">
        <v>12.169</v>
      </c>
      <c r="E24" s="65"/>
    </row>
    <row r="25" spans="1:5" ht="15">
      <c r="A25" s="88" t="str">
        <f>IF(inputPrYr!B22&gt;" ",(inputPrYr!B22)," ")</f>
        <v> </v>
      </c>
      <c r="B25" s="53"/>
      <c r="C25" s="57"/>
      <c r="D25" s="93"/>
      <c r="E25" s="65"/>
    </row>
    <row r="26" spans="1:5" ht="15">
      <c r="A26" s="88" t="str">
        <f>IF(inputPrYr!B23&gt;" ",(inputPrYr!B23)," ")</f>
        <v> </v>
      </c>
      <c r="B26" s="94"/>
      <c r="C26" s="57"/>
      <c r="D26" s="95"/>
      <c r="E26" s="65"/>
    </row>
    <row r="27" spans="1:5" ht="15">
      <c r="A27" s="88" t="str">
        <f>IF(inputPrYr!B24&gt;" ",(inputPrYr!B24)," ")</f>
        <v> </v>
      </c>
      <c r="B27" s="94"/>
      <c r="C27" s="57"/>
      <c r="D27" s="95"/>
      <c r="E27" s="65"/>
    </row>
    <row r="28" spans="1:5" ht="15">
      <c r="A28" s="88" t="str">
        <f>IF(inputPrYr!B25&gt;" ",(inputPrYr!B25)," ")</f>
        <v> </v>
      </c>
      <c r="B28" s="94"/>
      <c r="C28" s="57"/>
      <c r="D28" s="95"/>
      <c r="E28" s="65"/>
    </row>
    <row r="29" spans="1:5" ht="15">
      <c r="A29" s="88" t="str">
        <f>IF(inputPrYr!B26&gt;" ",(inputPrYr!B26)," ")</f>
        <v> </v>
      </c>
      <c r="B29" s="94"/>
      <c r="C29" s="57"/>
      <c r="D29" s="95"/>
      <c r="E29" s="65"/>
    </row>
    <row r="30" spans="1:5" ht="15">
      <c r="A30" s="88" t="str">
        <f>IF(inputPrYr!B27&gt;" ",(inputPrYr!B27)," ")</f>
        <v> </v>
      </c>
      <c r="B30" s="94"/>
      <c r="C30" s="57"/>
      <c r="D30" s="95"/>
      <c r="E30" s="65"/>
    </row>
    <row r="31" spans="1:5" ht="15">
      <c r="A31" s="88" t="str">
        <f>IF(inputPrYr!B28&gt;" ",(inputPrYr!B28)," ")</f>
        <v> </v>
      </c>
      <c r="B31" s="94"/>
      <c r="C31" s="57"/>
      <c r="D31" s="95"/>
      <c r="E31" s="65"/>
    </row>
    <row r="32" spans="1:5" ht="15">
      <c r="A32" s="88" t="str">
        <f>IF(inputPrYr!B29&gt;" ",(inputPrYr!B29)," ")</f>
        <v> </v>
      </c>
      <c r="B32" s="94"/>
      <c r="C32" s="57"/>
      <c r="D32" s="95"/>
      <c r="E32" s="65"/>
    </row>
    <row r="33" spans="1:5" ht="15">
      <c r="A33" s="88" t="str">
        <f>IF(inputPrYr!B30&gt;" ",(inputPrYr!B30)," ")</f>
        <v> </v>
      </c>
      <c r="B33" s="53"/>
      <c r="C33" s="57"/>
      <c r="D33" s="95"/>
      <c r="E33" s="65"/>
    </row>
    <row r="34" spans="1:5" ht="15">
      <c r="A34" s="96"/>
      <c r="B34" s="57"/>
      <c r="C34" s="249" t="s">
        <v>21</v>
      </c>
      <c r="D34" s="417">
        <f>SUM(D21:D33)</f>
        <v>30.598000000000003</v>
      </c>
      <c r="E34" s="96"/>
    </row>
    <row r="35" spans="1:5" ht="15">
      <c r="A35" s="96"/>
      <c r="B35" s="96"/>
      <c r="C35" s="96"/>
      <c r="D35" s="96"/>
      <c r="E35" s="96"/>
    </row>
    <row r="36" spans="1:5" ht="15">
      <c r="A36" s="52" t="str">
        <f>CONCATENATE("Final Assessed Valuation from the November 1, ",E1-2," Abstract")</f>
        <v>Final Assessed Valuation from the November 1, 2013 Abstract</v>
      </c>
      <c r="B36" s="97"/>
      <c r="C36" s="97"/>
      <c r="D36" s="97"/>
      <c r="E36" s="84">
        <v>1558115</v>
      </c>
    </row>
    <row r="37" spans="1:5" ht="15">
      <c r="A37" s="96"/>
      <c r="B37" s="96"/>
      <c r="C37" s="96"/>
      <c r="D37" s="96"/>
      <c r="E37" s="96"/>
    </row>
    <row r="38" spans="1:5" ht="15">
      <c r="A38" s="98" t="str">
        <f>CONCATENATE("From the County Treasurer's Budget Information - ",E1," Budget Year Estimates:")</f>
        <v>From the County Treasurer's Budget Information - 2015 Budget Year Estimates:</v>
      </c>
      <c r="B38" s="39"/>
      <c r="C38" s="39"/>
      <c r="D38" s="99"/>
      <c r="E38" s="78"/>
    </row>
    <row r="39" spans="1:5" ht="15">
      <c r="A39" s="51" t="s">
        <v>22</v>
      </c>
      <c r="B39" s="52"/>
      <c r="C39" s="52"/>
      <c r="D39" s="100"/>
      <c r="E39" s="48">
        <v>14066</v>
      </c>
    </row>
    <row r="40" spans="1:5" ht="15">
      <c r="A40" s="88" t="s">
        <v>23</v>
      </c>
      <c r="B40" s="53"/>
      <c r="C40" s="53"/>
      <c r="D40" s="101"/>
      <c r="E40" s="48">
        <v>85</v>
      </c>
    </row>
    <row r="41" spans="1:5" ht="15">
      <c r="A41" s="88" t="s">
        <v>178</v>
      </c>
      <c r="B41" s="53"/>
      <c r="C41" s="53"/>
      <c r="D41" s="101"/>
      <c r="E41" s="48">
        <v>572</v>
      </c>
    </row>
    <row r="42" spans="1:5" ht="15">
      <c r="A42" s="88" t="s">
        <v>179</v>
      </c>
      <c r="B42" s="53"/>
      <c r="C42" s="53"/>
      <c r="D42" s="101"/>
      <c r="E42" s="48"/>
    </row>
    <row r="43" spans="1:5" ht="15">
      <c r="A43" s="88" t="s">
        <v>180</v>
      </c>
      <c r="B43" s="53"/>
      <c r="C43" s="53"/>
      <c r="D43" s="101"/>
      <c r="E43" s="48"/>
    </row>
    <row r="44" spans="1:5" ht="15">
      <c r="A44" s="32" t="s">
        <v>181</v>
      </c>
      <c r="B44" s="32"/>
      <c r="C44" s="32"/>
      <c r="D44" s="32"/>
      <c r="E44" s="32"/>
    </row>
    <row r="45" spans="1:5" ht="15">
      <c r="A45" s="31" t="s">
        <v>43</v>
      </c>
      <c r="B45" s="37"/>
      <c r="C45" s="37"/>
      <c r="D45" s="32"/>
      <c r="E45" s="32"/>
    </row>
    <row r="46" spans="1:5" ht="15">
      <c r="A46" s="51" t="str">
        <f>CONCATENATE("Actual Delinquency for ",E1-3," Tax - (rate .01213 = 1.213%, key in 1.2)")</f>
        <v>Actual Delinquency for 2012 Tax - (rate .01213 = 1.213%, key in 1.2)</v>
      </c>
      <c r="B46" s="52"/>
      <c r="C46" s="52"/>
      <c r="D46" s="62"/>
      <c r="E46" s="416">
        <v>0.0172</v>
      </c>
    </row>
    <row r="47" spans="1:5" ht="15">
      <c r="A47" s="88" t="s">
        <v>270</v>
      </c>
      <c r="B47" s="88"/>
      <c r="C47" s="53"/>
      <c r="D47" s="53"/>
      <c r="E47" s="416">
        <v>0.03</v>
      </c>
    </row>
    <row r="48" spans="1:5" ht="15">
      <c r="A48" s="32"/>
      <c r="B48" s="32"/>
      <c r="C48" s="32"/>
      <c r="D48" s="32"/>
      <c r="E48" s="32"/>
    </row>
    <row r="49" spans="1:5" ht="15">
      <c r="A49" s="102" t="s">
        <v>1</v>
      </c>
      <c r="B49" s="103"/>
      <c r="C49" s="104"/>
      <c r="D49" s="104"/>
      <c r="E49" s="104"/>
    </row>
    <row r="50" spans="1:5" ht="15">
      <c r="A50" s="105" t="str">
        <f>CONCATENATE("",E1," State Distribution for Kansas Gas Tax")</f>
        <v>2015 State Distribution for Kansas Gas Tax</v>
      </c>
      <c r="B50" s="106"/>
      <c r="C50" s="106"/>
      <c r="D50" s="107"/>
      <c r="E50" s="84">
        <v>14140</v>
      </c>
    </row>
    <row r="51" spans="1:5" ht="15">
      <c r="A51" s="108" t="str">
        <f>CONCATENATE("",E1," County Transfers for Gas**")</f>
        <v>2015 County Transfers for Gas**</v>
      </c>
      <c r="B51" s="109"/>
      <c r="C51" s="109"/>
      <c r="D51" s="110"/>
      <c r="E51" s="84"/>
    </row>
    <row r="52" spans="1:5" ht="15">
      <c r="A52" s="108" t="str">
        <f>CONCATENATE("Adjusted ",E1-1," State Distribution for Kansas Gas Tax")</f>
        <v>Adjusted 2014 State Distribution for Kansas Gas Tax</v>
      </c>
      <c r="B52" s="109"/>
      <c r="C52" s="109"/>
      <c r="D52" s="110"/>
      <c r="E52" s="84">
        <v>14030</v>
      </c>
    </row>
    <row r="53" spans="1:5" ht="15">
      <c r="A53" s="108" t="str">
        <f>CONCATENATE("Adjusted ",E1-1," County Transfers for Gas**")</f>
        <v>Adjusted 2014 County Transfers for Gas**</v>
      </c>
      <c r="B53" s="109"/>
      <c r="C53" s="109"/>
      <c r="D53" s="110"/>
      <c r="E53" s="84"/>
    </row>
    <row r="54" spans="1:5" ht="15">
      <c r="A54" s="597" t="s">
        <v>215</v>
      </c>
      <c r="B54" s="598"/>
      <c r="C54" s="598"/>
      <c r="D54" s="598"/>
      <c r="E54" s="598"/>
    </row>
    <row r="55" spans="1:5" ht="15">
      <c r="A55" s="111" t="s">
        <v>216</v>
      </c>
      <c r="B55" s="111"/>
      <c r="C55" s="111"/>
      <c r="D55" s="111"/>
      <c r="E55" s="111"/>
    </row>
    <row r="56" spans="1:5" ht="15">
      <c r="A56" s="49"/>
      <c r="B56" s="49"/>
      <c r="C56" s="49"/>
      <c r="D56" s="49"/>
      <c r="E56" s="49"/>
    </row>
    <row r="57" spans="1:5" ht="15">
      <c r="A57" s="599" t="str">
        <f>CONCATENATE("From the ",E1-2," Budget Certificate Page")</f>
        <v>From the 2013 Budget Certificate Page</v>
      </c>
      <c r="B57" s="600"/>
      <c r="C57" s="49"/>
      <c r="D57" s="49"/>
      <c r="E57" s="49"/>
    </row>
    <row r="58" spans="1:5" ht="15">
      <c r="A58" s="112"/>
      <c r="B58" s="112" t="str">
        <f>CONCATENATE("",E1-2," Expenditure Amounts")</f>
        <v>2013 Expenditure Amounts</v>
      </c>
      <c r="C58" s="593" t="str">
        <f>CONCATENATE("Note: If the ",E1-2," budget was amended, then the")</f>
        <v>Note: If the 2013 budget was amended, then the</v>
      </c>
      <c r="D58" s="594"/>
      <c r="E58" s="594"/>
    </row>
    <row r="59" spans="1:5" ht="15">
      <c r="A59" s="113" t="s">
        <v>4</v>
      </c>
      <c r="B59" s="113" t="s">
        <v>5</v>
      </c>
      <c r="C59" s="114" t="s">
        <v>6</v>
      </c>
      <c r="D59" s="115"/>
      <c r="E59" s="115"/>
    </row>
    <row r="60" spans="1:5" ht="15">
      <c r="A60" s="116" t="str">
        <f>inputPrYr!B17</f>
        <v>General</v>
      </c>
      <c r="B60" s="84">
        <v>261135</v>
      </c>
      <c r="C60" s="114" t="s">
        <v>7</v>
      </c>
      <c r="D60" s="115"/>
      <c r="E60" s="115"/>
    </row>
    <row r="61" spans="1:5" ht="15">
      <c r="A61" s="116" t="str">
        <f>inputPrYr!B18</f>
        <v>Debt Service</v>
      </c>
      <c r="B61" s="84"/>
      <c r="C61" s="114"/>
      <c r="D61" s="115"/>
      <c r="E61" s="115"/>
    </row>
    <row r="62" spans="1:5" ht="15">
      <c r="A62" s="116" t="str">
        <f>inputPrYr!B19</f>
        <v>Library</v>
      </c>
      <c r="B62" s="84">
        <v>4100</v>
      </c>
      <c r="C62" s="49"/>
      <c r="D62" s="49"/>
      <c r="E62" s="49"/>
    </row>
    <row r="63" spans="1:5" ht="15">
      <c r="A63" s="116" t="str">
        <f>inputPrYr!B21</f>
        <v>Employee Benefit</v>
      </c>
      <c r="B63" s="84">
        <v>25000</v>
      </c>
      <c r="C63" s="49"/>
      <c r="D63" s="49"/>
      <c r="E63" s="49"/>
    </row>
    <row r="64" spans="1:5" ht="15">
      <c r="A64" s="116">
        <f>inputPrYr!B22</f>
        <v>0</v>
      </c>
      <c r="B64" s="84"/>
      <c r="C64" s="49"/>
      <c r="D64" s="49"/>
      <c r="E64" s="49"/>
    </row>
    <row r="65" spans="1:5" ht="15">
      <c r="A65" s="116">
        <f>inputPrYr!B23</f>
        <v>0</v>
      </c>
      <c r="B65" s="84"/>
      <c r="C65" s="49"/>
      <c r="D65" s="49"/>
      <c r="E65" s="49"/>
    </row>
    <row r="66" spans="1:5" ht="15">
      <c r="A66" s="116">
        <f>inputPrYr!B24</f>
        <v>0</v>
      </c>
      <c r="B66" s="84"/>
      <c r="C66" s="49"/>
      <c r="D66" s="49"/>
      <c r="E66" s="49"/>
    </row>
    <row r="67" spans="1:5" ht="15">
      <c r="A67" s="116">
        <f>inputPrYr!B25</f>
        <v>0</v>
      </c>
      <c r="B67" s="84"/>
      <c r="C67" s="49"/>
      <c r="D67" s="49"/>
      <c r="E67" s="49"/>
    </row>
    <row r="68" spans="1:5" ht="15">
      <c r="A68" s="116">
        <f>inputPrYr!B26</f>
        <v>0</v>
      </c>
      <c r="B68" s="84"/>
      <c r="C68" s="49"/>
      <c r="D68" s="49"/>
      <c r="E68" s="49"/>
    </row>
    <row r="69" spans="1:5" ht="15">
      <c r="A69" s="116">
        <f>inputPrYr!B27</f>
        <v>0</v>
      </c>
      <c r="B69" s="84"/>
      <c r="C69" s="49"/>
      <c r="D69" s="49"/>
      <c r="E69" s="49"/>
    </row>
    <row r="70" spans="1:5" ht="15">
      <c r="A70" s="116">
        <f>inputPrYr!B28</f>
        <v>0</v>
      </c>
      <c r="B70" s="84"/>
      <c r="C70" s="49"/>
      <c r="D70" s="49"/>
      <c r="E70" s="49"/>
    </row>
    <row r="71" spans="1:5" ht="15">
      <c r="A71" s="116">
        <f>inputPrYr!B29</f>
        <v>0</v>
      </c>
      <c r="B71" s="84"/>
      <c r="C71" s="49"/>
      <c r="D71" s="49"/>
      <c r="E71" s="49"/>
    </row>
    <row r="72" spans="1:5" ht="15">
      <c r="A72" s="116">
        <f>inputPrYr!B30</f>
        <v>0</v>
      </c>
      <c r="B72" s="84"/>
      <c r="C72" s="49"/>
      <c r="D72" s="49"/>
      <c r="E72" s="49"/>
    </row>
    <row r="73" spans="1:5" ht="15">
      <c r="A73" s="116" t="str">
        <f>inputPrYr!B34</f>
        <v>Special Highway</v>
      </c>
      <c r="B73" s="84">
        <v>39212</v>
      </c>
      <c r="C73" s="49"/>
      <c r="D73" s="49"/>
      <c r="E73" s="49"/>
    </row>
    <row r="74" spans="1:5" ht="15">
      <c r="A74" s="116" t="str">
        <f>inputPrYr!B35</f>
        <v>Electric Utility</v>
      </c>
      <c r="B74" s="84">
        <v>837946</v>
      </c>
      <c r="C74" s="49"/>
      <c r="D74" s="49"/>
      <c r="E74" s="49"/>
    </row>
    <row r="75" spans="1:5" ht="15">
      <c r="A75" s="116" t="str">
        <f>inputPrYr!B36</f>
        <v>Water Utility</v>
      </c>
      <c r="B75" s="84">
        <v>208634</v>
      </c>
      <c r="C75" s="49"/>
      <c r="D75" s="49"/>
      <c r="E75" s="49"/>
    </row>
    <row r="76" spans="1:5" ht="15">
      <c r="A76" s="116" t="str">
        <f>inputPrYr!B37</f>
        <v>Sewer Utility</v>
      </c>
      <c r="B76" s="84">
        <v>115784</v>
      </c>
      <c r="C76" s="49"/>
      <c r="D76" s="49"/>
      <c r="E76" s="49"/>
    </row>
    <row r="77" spans="1:5" ht="15">
      <c r="A77" s="116">
        <f>inputPrYr!B38</f>
        <v>0</v>
      </c>
      <c r="B77" s="84"/>
      <c r="C77" s="49"/>
      <c r="D77" s="49"/>
      <c r="E77" s="49"/>
    </row>
    <row r="78" spans="1:5" ht="15">
      <c r="A78" s="116">
        <f>inputPrYr!B39</f>
        <v>0</v>
      </c>
      <c r="B78" s="84"/>
      <c r="C78" s="49"/>
      <c r="D78" s="49"/>
      <c r="E78" s="49"/>
    </row>
    <row r="79" spans="1:5" ht="15">
      <c r="A79" s="116">
        <f>inputPrYr!B40</f>
        <v>0</v>
      </c>
      <c r="B79" s="84"/>
      <c r="C79" s="49"/>
      <c r="D79" s="49"/>
      <c r="E79" s="49"/>
    </row>
    <row r="80" spans="1:5" ht="15">
      <c r="A80" s="116">
        <f>inputPrYr!B41</f>
        <v>0</v>
      </c>
      <c r="B80" s="84"/>
      <c r="C80" s="49"/>
      <c r="D80" s="49"/>
      <c r="E80" s="49"/>
    </row>
    <row r="81" spans="1:5" ht="15">
      <c r="A81" s="116">
        <f>inputPrYr!B42</f>
        <v>0</v>
      </c>
      <c r="B81" s="84"/>
      <c r="C81" s="49"/>
      <c r="D81" s="49"/>
      <c r="E81" s="49"/>
    </row>
    <row r="82" spans="1:5" ht="15">
      <c r="A82" s="116">
        <f>inputPrYr!B43</f>
        <v>0</v>
      </c>
      <c r="B82" s="84"/>
      <c r="C82" s="49"/>
      <c r="D82" s="49"/>
      <c r="E82" s="49"/>
    </row>
    <row r="83" spans="1:5" ht="15">
      <c r="A83" s="116">
        <f>inputPrYr!B44</f>
        <v>0</v>
      </c>
      <c r="B83" s="84"/>
      <c r="C83" s="49"/>
      <c r="D83" s="49"/>
      <c r="E83" s="49"/>
    </row>
    <row r="84" spans="1:5" ht="15">
      <c r="A84" s="116">
        <f>inputPrYr!B45</f>
        <v>0</v>
      </c>
      <c r="B84" s="84"/>
      <c r="C84" s="49"/>
      <c r="D84" s="49"/>
      <c r="E84" s="49"/>
    </row>
    <row r="85" spans="1:5" ht="15">
      <c r="A85" s="116">
        <f>inputPrYr!B46</f>
        <v>0</v>
      </c>
      <c r="B85" s="84"/>
      <c r="C85" s="49"/>
      <c r="D85" s="49"/>
      <c r="E85" s="49"/>
    </row>
    <row r="86" spans="1:5" ht="15">
      <c r="A86" s="116">
        <f>inputPrYr!B47</f>
        <v>0</v>
      </c>
      <c r="B86" s="84"/>
      <c r="C86" s="49"/>
      <c r="D86" s="49"/>
      <c r="E86" s="49"/>
    </row>
    <row r="87" spans="1:5" ht="15">
      <c r="A87" s="116">
        <f>inputPrYr!B48</f>
        <v>0</v>
      </c>
      <c r="B87" s="84"/>
      <c r="C87" s="49"/>
      <c r="D87" s="49"/>
      <c r="E87" s="49"/>
    </row>
    <row r="88" spans="1:5" ht="15">
      <c r="A88" s="116">
        <f>inputPrYr!B49</f>
        <v>0</v>
      </c>
      <c r="B88" s="84"/>
      <c r="C88" s="49"/>
      <c r="D88" s="49"/>
      <c r="E88" s="49"/>
    </row>
    <row r="89" spans="1:5" ht="15">
      <c r="A89" s="116">
        <f>inputPrYr!B51</f>
        <v>0</v>
      </c>
      <c r="B89" s="84"/>
      <c r="C89" s="49"/>
      <c r="D89" s="49"/>
      <c r="E89" s="49"/>
    </row>
    <row r="90" spans="1:5" ht="15">
      <c r="A90" s="116">
        <f>inputPrYr!B52</f>
        <v>0</v>
      </c>
      <c r="B90" s="84"/>
      <c r="C90" s="49"/>
      <c r="D90" s="49"/>
      <c r="E90" s="49"/>
    </row>
    <row r="91" spans="1:5" ht="15">
      <c r="A91" s="116">
        <f>inputPrYr!B53</f>
        <v>0</v>
      </c>
      <c r="B91" s="84"/>
      <c r="C91" s="49"/>
      <c r="D91" s="49"/>
      <c r="E91" s="49"/>
    </row>
    <row r="92" spans="1:5" ht="15">
      <c r="A92" s="116">
        <f>inputPrYr!B54</f>
        <v>0</v>
      </c>
      <c r="B92" s="84"/>
      <c r="C92" s="49"/>
      <c r="D92" s="49"/>
      <c r="E92" s="49"/>
    </row>
  </sheetData>
  <sheetProtection sheet="1"/>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5" r:id="rId1"/>
</worksheet>
</file>

<file path=xl/worksheets/sheet20.xml><?xml version="1.0" encoding="utf-8"?>
<worksheet xmlns="http://schemas.openxmlformats.org/spreadsheetml/2006/main" xmlns:r="http://schemas.openxmlformats.org/officeDocument/2006/relationships">
  <sheetPr>
    <pageSetUpPr fitToPage="1"/>
  </sheetPr>
  <dimension ref="A1:M46"/>
  <sheetViews>
    <sheetView zoomScale="75" zoomScaleNormal="75" zoomScalePageLayoutView="0" workbookViewId="0" topLeftCell="A16">
      <selection activeCell="A43" sqref="A43:B43"/>
    </sheetView>
  </sheetViews>
  <sheetFormatPr defaultColWidth="8.796875" defaultRowHeight="15"/>
  <cols>
    <col min="1" max="1" width="20.69921875" style="28" customWidth="1"/>
    <col min="2" max="2" width="15.69921875" style="28" customWidth="1"/>
    <col min="3" max="3" width="10.69921875" style="28" customWidth="1"/>
    <col min="4" max="4" width="15.69921875" style="28" customWidth="1"/>
    <col min="5" max="5" width="10.69921875" style="28" customWidth="1"/>
    <col min="6" max="6" width="15.69921875" style="28" customWidth="1"/>
    <col min="7" max="7" width="12.69921875" style="28" customWidth="1"/>
    <col min="8" max="8" width="10.69921875" style="28" customWidth="1"/>
    <col min="9" max="9" width="8.796875" style="28" customWidth="1"/>
    <col min="10" max="10" width="12.3984375" style="28" customWidth="1"/>
    <col min="11" max="11" width="12.296875" style="28" customWidth="1"/>
    <col min="12" max="12" width="10.59765625" style="28" customWidth="1"/>
    <col min="13" max="13" width="12.19921875" style="28" customWidth="1"/>
    <col min="14" max="16384" width="8.796875" style="28" customWidth="1"/>
  </cols>
  <sheetData>
    <row r="1" spans="1:9" ht="15">
      <c r="A1" s="615" t="s">
        <v>109</v>
      </c>
      <c r="B1" s="615"/>
      <c r="C1" s="615"/>
      <c r="D1" s="615"/>
      <c r="E1" s="615"/>
      <c r="F1" s="615"/>
      <c r="G1" s="615"/>
      <c r="H1" s="615"/>
      <c r="I1" s="293"/>
    </row>
    <row r="2" spans="1:8" ht="18" customHeight="1">
      <c r="A2" s="32"/>
      <c r="B2" s="32"/>
      <c r="C2" s="32"/>
      <c r="D2" s="32"/>
      <c r="E2" s="32"/>
      <c r="F2" s="32"/>
      <c r="G2" s="32"/>
      <c r="H2" s="32">
        <f>inputPrYr!$C$5</f>
        <v>2015</v>
      </c>
    </row>
    <row r="3" spans="1:8" ht="18" customHeight="1">
      <c r="A3" s="606" t="s">
        <v>68</v>
      </c>
      <c r="B3" s="606"/>
      <c r="C3" s="606"/>
      <c r="D3" s="606"/>
      <c r="E3" s="606"/>
      <c r="F3" s="606"/>
      <c r="G3" s="606"/>
      <c r="H3" s="606"/>
    </row>
    <row r="4" spans="1:8" ht="15">
      <c r="A4" s="604" t="str">
        <f>inputPrYr!D2</f>
        <v>City of Moran</v>
      </c>
      <c r="B4" s="604"/>
      <c r="C4" s="604"/>
      <c r="D4" s="604"/>
      <c r="E4" s="604"/>
      <c r="F4" s="604"/>
      <c r="G4" s="604"/>
      <c r="H4" s="604"/>
    </row>
    <row r="5" spans="1:8" ht="18" customHeight="1">
      <c r="A5" s="653" t="str">
        <f>CONCATENATE("will meet on ",inputBudSum!B7," at ",inputBudSum!B9," at ",inputBudSum!B11," for the purpose of hearing and")</f>
        <v>will meet on August 4, 2014 at 7:00 PM at Moran City Hall for the purpose of hearing and</v>
      </c>
      <c r="B5" s="653"/>
      <c r="C5" s="653"/>
      <c r="D5" s="653"/>
      <c r="E5" s="653"/>
      <c r="F5" s="653"/>
      <c r="G5" s="653"/>
      <c r="H5" s="653"/>
    </row>
    <row r="6" spans="1:8" ht="16.5" customHeight="1">
      <c r="A6" s="606" t="s">
        <v>238</v>
      </c>
      <c r="B6" s="606"/>
      <c r="C6" s="606"/>
      <c r="D6" s="606"/>
      <c r="E6" s="606"/>
      <c r="F6" s="606"/>
      <c r="G6" s="606"/>
      <c r="H6" s="606"/>
    </row>
    <row r="7" spans="1:8" ht="16.5" customHeight="1">
      <c r="A7" s="657" t="str">
        <f>CONCATENATE("Detailed budget information is available at ",inputBudSum!B14," and will be available at this hearing.")</f>
        <v>Detailed budget information is available at Moran City Hall and will be available at this hearing.</v>
      </c>
      <c r="B7" s="657"/>
      <c r="C7" s="657"/>
      <c r="D7" s="657"/>
      <c r="E7" s="657"/>
      <c r="F7" s="657"/>
      <c r="G7" s="657"/>
      <c r="H7" s="657"/>
    </row>
    <row r="8" spans="1:8" ht="15">
      <c r="A8" s="36" t="s">
        <v>110</v>
      </c>
      <c r="B8" s="37"/>
      <c r="C8" s="37"/>
      <c r="D8" s="37"/>
      <c r="E8" s="37"/>
      <c r="F8" s="37"/>
      <c r="G8" s="37"/>
      <c r="H8" s="37"/>
    </row>
    <row r="9" spans="1:8" ht="15">
      <c r="A9" s="119" t="str">
        <f>CONCATENATE("Proposed Budget ",H2," Expenditures and Amount of ",H2-1," Ad Valorem Tax establish the maximum limits of the ",H2," budget.")</f>
        <v>Proposed Budget 2015 Expenditures and Amount of 2014 Ad Valorem Tax establish the maximum limits of the 2015 budget.</v>
      </c>
      <c r="B9" s="37"/>
      <c r="C9" s="37"/>
      <c r="D9" s="37"/>
      <c r="E9" s="37"/>
      <c r="F9" s="37"/>
      <c r="G9" s="37"/>
      <c r="H9" s="37"/>
    </row>
    <row r="10" spans="1:8" ht="15">
      <c r="A10" s="119" t="s">
        <v>161</v>
      </c>
      <c r="B10" s="37"/>
      <c r="C10" s="37"/>
      <c r="D10" s="37"/>
      <c r="E10" s="37"/>
      <c r="F10" s="37"/>
      <c r="G10" s="37"/>
      <c r="H10" s="37"/>
    </row>
    <row r="11" spans="1:8" ht="15">
      <c r="A11" s="32"/>
      <c r="B11" s="263"/>
      <c r="C11" s="263"/>
      <c r="D11" s="263"/>
      <c r="E11" s="263"/>
      <c r="F11" s="263"/>
      <c r="G11" s="263"/>
      <c r="H11" s="263"/>
    </row>
    <row r="12" spans="1:8" ht="15">
      <c r="A12" s="32"/>
      <c r="B12" s="294" t="str">
        <f>CONCATENATE("Prior Year Actual for ",H2-2,"")</f>
        <v>Prior Year Actual for 2013</v>
      </c>
      <c r="C12" s="122"/>
      <c r="D12" s="294" t="str">
        <f>CONCATENATE("Current Year Estimate for ",H2-1,"")</f>
        <v>Current Year Estimate for 2014</v>
      </c>
      <c r="E12" s="122"/>
      <c r="F12" s="120" t="str">
        <f>CONCATENATE("Proposed Budget Year for ",H2,"")</f>
        <v>Proposed Budget Year for 2015</v>
      </c>
      <c r="G12" s="121"/>
      <c r="H12" s="122"/>
    </row>
    <row r="13" spans="1:8" ht="21" customHeight="1">
      <c r="A13" s="32"/>
      <c r="B13" s="254"/>
      <c r="C13" s="125" t="s">
        <v>69</v>
      </c>
      <c r="D13" s="125"/>
      <c r="E13" s="125" t="s">
        <v>69</v>
      </c>
      <c r="F13" s="408" t="s">
        <v>5</v>
      </c>
      <c r="G13" s="125" t="str">
        <f>CONCATENATE("Amount of ",H2-1,"")</f>
        <v>Amount of 2014</v>
      </c>
      <c r="H13" s="125" t="s">
        <v>209</v>
      </c>
    </row>
    <row r="14" spans="1:8" ht="15">
      <c r="A14" s="45" t="s">
        <v>70</v>
      </c>
      <c r="B14" s="129" t="s">
        <v>71</v>
      </c>
      <c r="C14" s="129" t="s">
        <v>72</v>
      </c>
      <c r="D14" s="129" t="s">
        <v>71</v>
      </c>
      <c r="E14" s="129" t="s">
        <v>72</v>
      </c>
      <c r="F14" s="409" t="s">
        <v>250</v>
      </c>
      <c r="G14" s="130" t="s">
        <v>50</v>
      </c>
      <c r="H14" s="129" t="s">
        <v>72</v>
      </c>
    </row>
    <row r="15" spans="1:8" ht="15">
      <c r="A15" s="68" t="str">
        <f>inputPrYr!B17</f>
        <v>General</v>
      </c>
      <c r="B15" s="68">
        <f>IF(general!$C$111&lt;&gt;0,general!$C$111,"  ")</f>
        <v>241146</v>
      </c>
      <c r="C15" s="295">
        <f>IF(inputPrYr!D84&gt;0,inputPrYr!D84,"  ")</f>
        <v>14.286</v>
      </c>
      <c r="D15" s="68">
        <f>IF(general!$D$111&lt;&gt;0,general!$D$111,"  ")</f>
        <v>215970</v>
      </c>
      <c r="E15" s="295">
        <f>IF(inputOth!D21&gt;0,inputOth!D21,"  ")</f>
        <v>16.437</v>
      </c>
      <c r="F15" s="68">
        <f>IF(general!$E$111&lt;&gt;0,general!$E$111,"  ")</f>
        <v>256160.6</v>
      </c>
      <c r="G15" s="68">
        <f>IF(general!$E$118&lt;&gt;0,general!$E$118,"  ")</f>
        <v>38002.899999999994</v>
      </c>
      <c r="H15" s="295">
        <f>IF(general!E118&gt;0,ROUND(G15/$F$33*1000,3),"")</f>
        <v>25.289</v>
      </c>
    </row>
    <row r="16" spans="1:8" ht="15">
      <c r="A16" s="68" t="str">
        <f>inputPrYr!B18</f>
        <v>Debt Service</v>
      </c>
      <c r="B16" s="68" t="str">
        <f>IF('DebtSvs-library'!C33&lt;&gt;0,'DebtSvs-library'!C33,"  ")</f>
        <v>  </v>
      </c>
      <c r="C16" s="295" t="str">
        <f>IF(inputPrYr!D85&gt;0,inputPrYr!D85,"  ")</f>
        <v>  </v>
      </c>
      <c r="D16" s="68" t="str">
        <f>IF('DebtSvs-library'!D33&lt;&gt;0,'DebtSvs-library'!D33,"  ")</f>
        <v>  </v>
      </c>
      <c r="E16" s="295" t="str">
        <f>IF(inputOth!D22&gt;0,inputOth!D22,"  ")</f>
        <v>  </v>
      </c>
      <c r="F16" s="68" t="str">
        <f>IF('DebtSvs-library'!E33&lt;&gt;0,'DebtSvs-library'!E33,"  ")</f>
        <v>  </v>
      </c>
      <c r="G16" s="68" t="str">
        <f>IF('DebtSvs-library'!E40&lt;&gt;0,'DebtSvs-library'!E40,"  ")</f>
        <v>  </v>
      </c>
      <c r="H16" s="295" t="str">
        <f>IF('DebtSvs-library'!E40&gt;0,ROUND(G16/$F$33*1000,3),"  ")</f>
        <v>  </v>
      </c>
    </row>
    <row r="17" spans="1:8" ht="15">
      <c r="A17" s="68" t="str">
        <f>IF(inputPrYr!$B19&gt;"  ",(inputPrYr!$B19),"  ")</f>
        <v>Library</v>
      </c>
      <c r="B17" s="68">
        <f>IF('DebtSvs-library'!C73&lt;&gt;0,'DebtSvs-library'!C73,"  ")</f>
        <v>3971</v>
      </c>
      <c r="C17" s="295">
        <f>IF(inputPrYr!D86&gt;0,inputPrYr!D86,"  ")</f>
        <v>2</v>
      </c>
      <c r="D17" s="68">
        <f>IF('DebtSvs-library'!D73&lt;&gt;0,'DebtSvs-library'!D73,"  ")</f>
        <v>4139</v>
      </c>
      <c r="E17" s="295">
        <f>IF(inputOth!D23&gt;0,inputOth!D23,"  ")</f>
        <v>1.992</v>
      </c>
      <c r="F17" s="68">
        <f>IF('DebtSvs-library'!E73&lt;&gt;0,'DebtSvs-library'!E73,"  ")</f>
        <v>4144</v>
      </c>
      <c r="G17" s="68">
        <f>IF('DebtSvs-library'!E80&lt;&gt;0,'DebtSvs-library'!E80,"  ")</f>
        <v>3005</v>
      </c>
      <c r="H17" s="295">
        <f>IF('DebtSvs-library'!E80&lt;&gt;0,ROUND(G17/$F$33*1000,3),"  ")</f>
        <v>2</v>
      </c>
    </row>
    <row r="18" spans="1:8" ht="15">
      <c r="A18" s="68" t="str">
        <f>IF(inputPrYr!$B21&gt;"  ",(inputPrYr!$B21),"  ")</f>
        <v>Employee Benefit</v>
      </c>
      <c r="B18" s="68">
        <f>IF('Empl Ben'!$C$33&gt;0,'Empl Ben'!$C$33,"  ")</f>
        <v>8524</v>
      </c>
      <c r="C18" s="295">
        <f>IF(inputPrYr!D87&gt;0,inputPrYr!D87,"  ")</f>
        <v>14.428</v>
      </c>
      <c r="D18" s="68">
        <f>IF('Empl Ben'!$D$33&gt;0,'Empl Ben'!$D$33,"  ")</f>
        <v>19250</v>
      </c>
      <c r="E18" s="295">
        <f>IF(inputOth!D24&gt;0,inputOth!D24,"  ")</f>
        <v>12.169</v>
      </c>
      <c r="F18" s="68">
        <f>IF('Empl Ben'!$E$33&gt;0,'Empl Ben'!$E$33,"  ")</f>
        <v>40570</v>
      </c>
      <c r="G18" s="68">
        <f>IF('Empl Ben'!$E$40&lt;&gt;0,'Empl Ben'!$E$40,"  ")</f>
        <v>9224</v>
      </c>
      <c r="H18" s="295">
        <f>IF('Empl Ben'!E40&lt;&gt;0,ROUND(G18/$F$33*1000,3),"  ")</f>
        <v>6.138</v>
      </c>
    </row>
    <row r="19" spans="1:8" ht="15">
      <c r="A19" s="68" t="str">
        <f>IF(inputPrYr!$B22&gt;"  ",(inputPrYr!$B22),"  ")</f>
        <v>  </v>
      </c>
      <c r="B19" s="68" t="str">
        <f>IF('Empl Ben'!$C$73&gt;0,'Empl Ben'!$C$73,"  ")</f>
        <v>  </v>
      </c>
      <c r="C19" s="295" t="str">
        <f>IF(inputPrYr!D88&gt;0,inputPrYr!D88,"  ")</f>
        <v>  </v>
      </c>
      <c r="D19" s="68" t="str">
        <f>IF('Empl Ben'!$D$73&gt;0,'Empl Ben'!$D$73,"  ")</f>
        <v>  </v>
      </c>
      <c r="E19" s="295" t="str">
        <f>IF(inputOth!D25&gt;0,inputOth!D25,"  ")</f>
        <v>  </v>
      </c>
      <c r="F19" s="68"/>
      <c r="G19" s="68"/>
      <c r="H19" s="295"/>
    </row>
    <row r="20" spans="1:8" ht="15">
      <c r="A20" s="68" t="str">
        <f>IF(inputPrYr!$B34&gt;"  ",(inputPrYr!$B34),"  ")</f>
        <v>Special Highway</v>
      </c>
      <c r="B20" s="68">
        <f>IF('Sp Hiway &amp; Electric'!$C$28&gt;0,'Sp Hiway &amp; Electric'!$C$28,"  ")</f>
        <v>36063</v>
      </c>
      <c r="C20" s="46"/>
      <c r="D20" s="68" t="str">
        <f>IF('Sp Hiway &amp; Electric'!$D$28&gt;0,'Sp Hiway &amp; Electric'!$D$28,"  ")</f>
        <v>  </v>
      </c>
      <c r="E20" s="46"/>
      <c r="F20" s="68">
        <f>IF('Sp Hiway &amp; Electric'!$E$28&gt;0,'Sp Hiway &amp; Electric'!$E$28,"  ")</f>
        <v>32398</v>
      </c>
      <c r="G20" s="68"/>
      <c r="H20" s="295"/>
    </row>
    <row r="21" spans="1:8" ht="15">
      <c r="A21" s="68" t="str">
        <f>IF(inputPrYr!$B35&gt;"  ",(inputPrYr!$B35),"  ")</f>
        <v>Electric Utility</v>
      </c>
      <c r="B21" s="68">
        <f>IF('Sp Hiway &amp; Electric'!$C$61&gt;0,'Sp Hiway &amp; Electric'!$C$61,"  ")</f>
        <v>591222</v>
      </c>
      <c r="C21" s="46"/>
      <c r="D21" s="68">
        <f>IF('Sp Hiway &amp; Electric'!$D$61&gt;0,'Sp Hiway &amp; Electric'!$D$61,"  ")</f>
        <v>675679</v>
      </c>
      <c r="E21" s="46"/>
      <c r="F21" s="68">
        <f>IF('Sp Hiway &amp; Electric'!$E$61&gt;0,'Sp Hiway &amp; Electric'!$E$61,"  ")</f>
        <v>940359</v>
      </c>
      <c r="G21" s="68"/>
      <c r="H21" s="295"/>
    </row>
    <row r="22" spans="1:8" ht="15">
      <c r="A22" s="68" t="str">
        <f>IF(inputPrYr!$B36&gt;"  ",(inputPrYr!$B36),"  ")</f>
        <v>Water Utility</v>
      </c>
      <c r="B22" s="68">
        <f>IF('Water &amp; Sewer'!$C$28&gt;0,'Water &amp; Sewer'!$C$28,"  ")</f>
        <v>135621</v>
      </c>
      <c r="C22" s="46"/>
      <c r="D22" s="68">
        <f>IF('Water &amp; Sewer'!$D$28&gt;0,'Water &amp; Sewer'!$D$28,"  ")</f>
        <v>150439</v>
      </c>
      <c r="E22" s="46"/>
      <c r="F22" s="68">
        <f>IF('Water &amp; Sewer'!$E$28&gt;0,'Water &amp; Sewer'!$E$28,"  ")</f>
        <v>164682</v>
      </c>
      <c r="G22" s="68"/>
      <c r="H22" s="295"/>
    </row>
    <row r="23" spans="1:8" ht="15">
      <c r="A23" s="68" t="str">
        <f>IF(inputPrYr!$B37&gt;"  ",(inputPrYr!$B37),"  ")</f>
        <v>Sewer Utility</v>
      </c>
      <c r="B23" s="68">
        <f>IF('Water &amp; Sewer'!$C$59&gt;0,'Water &amp; Sewer'!$C$59,"  ")</f>
        <v>84473</v>
      </c>
      <c r="C23" s="46"/>
      <c r="D23" s="68">
        <f>IF('Water &amp; Sewer'!$D$59&gt;0,'Water &amp; Sewer'!$D$59,"  ")</f>
        <v>84008</v>
      </c>
      <c r="E23" s="46"/>
      <c r="F23" s="68">
        <f>IF('Water &amp; Sewer'!$E$59&gt;0,'Water &amp; Sewer'!$E$59,"  ")</f>
        <v>138721</v>
      </c>
      <c r="G23" s="68"/>
      <c r="H23" s="295"/>
    </row>
    <row r="24" spans="1:13" ht="15">
      <c r="A24" s="68" t="str">
        <f>IF(inputPrYr!$B57&gt;"  ",(NonBudA!$A3),"  ")</f>
        <v>Non-Budgeted Funds-A</v>
      </c>
      <c r="B24" s="68">
        <f>IF(NonBudA!$K$28&gt;0,NonBudA!$K$28,"  ")</f>
        <v>193493</v>
      </c>
      <c r="C24" s="46"/>
      <c r="D24" s="68"/>
      <c r="E24" s="46"/>
      <c r="F24" s="68"/>
      <c r="G24" s="46"/>
      <c r="H24" s="46"/>
      <c r="J24" s="370"/>
      <c r="K24" s="370"/>
      <c r="L24" s="370"/>
      <c r="M24" s="370"/>
    </row>
    <row r="25" spans="1:13" ht="15">
      <c r="A25" s="68" t="str">
        <f>IF(inputPrYr!$B63&gt;"  ",(NonBudB!$A3),"  ")</f>
        <v>Non-Budgeted Funds-B</v>
      </c>
      <c r="B25" s="68">
        <f>IF(NonBudB!$K$28&gt;0,NonBudB!$K$28,"  ")</f>
        <v>16948</v>
      </c>
      <c r="C25" s="46"/>
      <c r="D25" s="68"/>
      <c r="E25" s="46"/>
      <c r="F25" s="68"/>
      <c r="G25" s="46"/>
      <c r="H25" s="46"/>
      <c r="J25" s="370"/>
      <c r="K25" s="370"/>
      <c r="L25" s="370"/>
      <c r="M25" s="581"/>
    </row>
    <row r="26" spans="1:13" ht="15">
      <c r="A26" s="68" t="str">
        <f>IF(inputPrYr!$B69&gt;"  ",(#REF!),"  ")</f>
        <v>  </v>
      </c>
      <c r="B26" s="68"/>
      <c r="C26" s="46"/>
      <c r="D26" s="68"/>
      <c r="E26" s="46"/>
      <c r="F26" s="68"/>
      <c r="G26" s="46"/>
      <c r="H26" s="46"/>
      <c r="J26" s="582"/>
      <c r="K26" s="582"/>
      <c r="L26" s="582"/>
      <c r="M26" s="583"/>
    </row>
    <row r="27" spans="1:13" ht="15.75" thickBot="1">
      <c r="A27" s="68" t="str">
        <f>IF(inputPrYr!$B75&gt;"  ",(#REF!),"  ")</f>
        <v>  </v>
      </c>
      <c r="B27" s="374"/>
      <c r="C27" s="375"/>
      <c r="D27" s="374"/>
      <c r="E27" s="375"/>
      <c r="F27" s="374"/>
      <c r="G27" s="375"/>
      <c r="H27" s="375"/>
      <c r="J27" s="370"/>
      <c r="K27" s="370"/>
      <c r="L27" s="370"/>
      <c r="M27" s="370"/>
    </row>
    <row r="28" spans="1:13" ht="15">
      <c r="A28" s="124" t="s">
        <v>258</v>
      </c>
      <c r="B28" s="404">
        <f>SUM(B15:B27)</f>
        <v>1311461</v>
      </c>
      <c r="C28" s="405">
        <f>SUM(C15:C19)</f>
        <v>30.714000000000002</v>
      </c>
      <c r="D28" s="404">
        <f>SUM(D15:D27)</f>
        <v>1149485</v>
      </c>
      <c r="E28" s="405">
        <f>SUM(E15:E19)</f>
        <v>30.598000000000003</v>
      </c>
      <c r="F28" s="404">
        <f>SUM(F15:F27)</f>
        <v>1577034.6</v>
      </c>
      <c r="G28" s="404">
        <f>SUM(G15:G27)</f>
        <v>50231.899999999994</v>
      </c>
      <c r="H28" s="405">
        <f>SUM(H15:H19)</f>
        <v>33.427</v>
      </c>
      <c r="J28" s="655"/>
      <c r="K28" s="655"/>
      <c r="L28" s="655"/>
      <c r="M28" s="655"/>
    </row>
    <row r="29" spans="1:13" ht="15">
      <c r="A29" s="33" t="s">
        <v>73</v>
      </c>
      <c r="B29" s="367">
        <f>transfers!D26</f>
        <v>136200</v>
      </c>
      <c r="C29" s="403"/>
      <c r="D29" s="367">
        <f>transfers!E26</f>
        <v>138200</v>
      </c>
      <c r="E29" s="299"/>
      <c r="F29" s="367">
        <f>transfers!F26</f>
        <v>160200</v>
      </c>
      <c r="G29" s="401"/>
      <c r="H29" s="299"/>
      <c r="I29" s="371"/>
      <c r="J29" s="370"/>
      <c r="K29" s="370"/>
      <c r="L29" s="370"/>
      <c r="M29" s="370"/>
    </row>
    <row r="30" spans="1:13" ht="15.75" thickBot="1">
      <c r="A30" s="33" t="s">
        <v>74</v>
      </c>
      <c r="B30" s="298">
        <f>B28-B29</f>
        <v>1175261</v>
      </c>
      <c r="C30" s="32"/>
      <c r="D30" s="298">
        <f>D28-D29</f>
        <v>1011285</v>
      </c>
      <c r="E30" s="32"/>
      <c r="F30" s="298">
        <f>F28-F29</f>
        <v>1416834.6</v>
      </c>
      <c r="G30" s="32"/>
      <c r="H30" s="32"/>
      <c r="J30" s="370"/>
      <c r="K30" s="370"/>
      <c r="L30" s="370"/>
      <c r="M30" s="581"/>
    </row>
    <row r="31" spans="1:13" ht="15.75" thickTop="1">
      <c r="A31" s="33" t="s">
        <v>75</v>
      </c>
      <c r="B31" s="367">
        <f>inputPrYr!$E$99</f>
        <v>48048</v>
      </c>
      <c r="C31" s="175"/>
      <c r="D31" s="367">
        <f>inputPrYr!$E$31</f>
        <v>47674</v>
      </c>
      <c r="E31" s="175"/>
      <c r="F31" s="296" t="s">
        <v>38</v>
      </c>
      <c r="G31" s="32"/>
      <c r="H31" s="32"/>
      <c r="J31" s="370"/>
      <c r="K31" s="370"/>
      <c r="L31" s="370"/>
      <c r="M31" s="581"/>
    </row>
    <row r="32" spans="1:13" ht="15">
      <c r="A32" s="33" t="s">
        <v>76</v>
      </c>
      <c r="B32" s="177"/>
      <c r="C32" s="32"/>
      <c r="D32" s="368"/>
      <c r="E32" s="179"/>
      <c r="F32" s="133"/>
      <c r="G32" s="32"/>
      <c r="H32" s="32"/>
      <c r="J32" s="370"/>
      <c r="K32" s="370"/>
      <c r="L32" s="370"/>
      <c r="M32" s="581"/>
    </row>
    <row r="33" spans="1:13" ht="15">
      <c r="A33" s="33" t="s">
        <v>77</v>
      </c>
      <c r="B33" s="367">
        <f>inputPrYr!$E$100</f>
        <v>1564336</v>
      </c>
      <c r="C33" s="57"/>
      <c r="D33" s="367">
        <f>inputOth!$E$36</f>
        <v>1558115</v>
      </c>
      <c r="E33" s="57"/>
      <c r="F33" s="367">
        <f>inputOth!$E$7</f>
        <v>1502728</v>
      </c>
      <c r="G33" s="32"/>
      <c r="H33" s="32"/>
      <c r="J33" s="370"/>
      <c r="K33" s="370"/>
      <c r="L33" s="370"/>
      <c r="M33" s="370"/>
    </row>
    <row r="34" spans="1:13" ht="15">
      <c r="A34" s="33" t="s">
        <v>78</v>
      </c>
      <c r="B34" s="32"/>
      <c r="C34" s="32"/>
      <c r="D34" s="32"/>
      <c r="E34" s="32"/>
      <c r="F34" s="32"/>
      <c r="G34" s="32"/>
      <c r="H34" s="32"/>
      <c r="J34" s="655"/>
      <c r="K34" s="656"/>
      <c r="L34" s="656"/>
      <c r="M34" s="656"/>
    </row>
    <row r="35" spans="1:13" ht="15">
      <c r="A35" s="33" t="s">
        <v>79</v>
      </c>
      <c r="B35" s="297">
        <f>$H$2-3</f>
        <v>2012</v>
      </c>
      <c r="C35" s="32"/>
      <c r="D35" s="297">
        <f>$H$2-2</f>
        <v>2013</v>
      </c>
      <c r="E35" s="32"/>
      <c r="F35" s="297">
        <f>$H$2-1</f>
        <v>2014</v>
      </c>
      <c r="G35" s="32"/>
      <c r="H35" s="32"/>
      <c r="J35" s="370"/>
      <c r="K35" s="370"/>
      <c r="L35" s="370"/>
      <c r="M35" s="370"/>
    </row>
    <row r="36" spans="1:13" ht="13.5" customHeight="1">
      <c r="A36" s="33" t="s">
        <v>80</v>
      </c>
      <c r="B36" s="217">
        <f>inputPrYr!$D$104</f>
        <v>0</v>
      </c>
      <c r="C36" s="152"/>
      <c r="D36" s="217">
        <f>inputPrYr!$E$104</f>
        <v>0</v>
      </c>
      <c r="E36" s="152"/>
      <c r="F36" s="217">
        <f>debt!$G$20</f>
        <v>0</v>
      </c>
      <c r="G36" s="32"/>
      <c r="H36" s="32"/>
      <c r="J36" s="370"/>
      <c r="K36" s="370"/>
      <c r="L36" s="370"/>
      <c r="M36" s="584"/>
    </row>
    <row r="37" spans="1:13" ht="15">
      <c r="A37" s="33" t="s">
        <v>81</v>
      </c>
      <c r="B37" s="367">
        <f>inputPrYr!$D$105</f>
        <v>0</v>
      </c>
      <c r="C37" s="152"/>
      <c r="D37" s="367">
        <f>inputPrYr!$E$105</f>
        <v>0</v>
      </c>
      <c r="E37" s="152"/>
      <c r="F37" s="217">
        <f>debt!$G$32</f>
        <v>0</v>
      </c>
      <c r="G37" s="32"/>
      <c r="H37" s="32"/>
      <c r="J37" s="370"/>
      <c r="K37" s="370"/>
      <c r="L37" s="370"/>
      <c r="M37" s="585"/>
    </row>
    <row r="38" spans="1:13" ht="18.75" customHeight="1">
      <c r="A38" s="32" t="s">
        <v>99</v>
      </c>
      <c r="B38" s="367">
        <f>inputPrYr!$D$106</f>
        <v>377150</v>
      </c>
      <c r="C38" s="152"/>
      <c r="D38" s="367">
        <f>inputPrYr!$E$106</f>
        <v>594280</v>
      </c>
      <c r="E38" s="152"/>
      <c r="F38" s="217">
        <f>debt!$G$42</f>
        <v>649489</v>
      </c>
      <c r="G38" s="32"/>
      <c r="H38" s="32"/>
      <c r="J38" s="370"/>
      <c r="K38" s="370"/>
      <c r="L38" s="370"/>
      <c r="M38" s="581"/>
    </row>
    <row r="39" spans="1:13" ht="18.75" customHeight="1">
      <c r="A39" s="33" t="s">
        <v>162</v>
      </c>
      <c r="B39" s="367">
        <f>inputPrYr!$D$107</f>
        <v>0</v>
      </c>
      <c r="C39" s="152"/>
      <c r="D39" s="367">
        <f>inputPrYr!$E$107</f>
        <v>0</v>
      </c>
      <c r="E39" s="152"/>
      <c r="F39" s="217">
        <f>lpform!$G$28</f>
        <v>0</v>
      </c>
      <c r="G39" s="32"/>
      <c r="H39" s="32"/>
      <c r="J39" s="370"/>
      <c r="K39" s="370"/>
      <c r="L39" s="370"/>
      <c r="M39" s="581"/>
    </row>
    <row r="40" spans="1:8" ht="18.75" customHeight="1" thickBot="1">
      <c r="A40" s="33" t="s">
        <v>82</v>
      </c>
      <c r="B40" s="410">
        <f>SUM(B36:B39)</f>
        <v>377150</v>
      </c>
      <c r="C40" s="152"/>
      <c r="D40" s="410">
        <f>SUM(D36:D39)</f>
        <v>594280</v>
      </c>
      <c r="E40" s="152"/>
      <c r="F40" s="410">
        <f>SUM(F36:F39)</f>
        <v>649489</v>
      </c>
      <c r="G40" s="32"/>
      <c r="H40" s="32"/>
    </row>
    <row r="41" spans="1:8" ht="18.75" customHeight="1" thickTop="1">
      <c r="A41" s="33" t="s">
        <v>83</v>
      </c>
      <c r="B41" s="32"/>
      <c r="C41" s="32"/>
      <c r="D41" s="32"/>
      <c r="E41" s="32"/>
      <c r="F41" s="32"/>
      <c r="G41" s="32"/>
      <c r="H41" s="32"/>
    </row>
    <row r="42" spans="1:8" ht="15">
      <c r="A42" s="32"/>
      <c r="B42" s="32"/>
      <c r="C42" s="32"/>
      <c r="D42" s="32"/>
      <c r="E42" s="32"/>
      <c r="F42" s="32"/>
      <c r="G42" s="32"/>
      <c r="H42" s="32"/>
    </row>
    <row r="43" spans="1:8" ht="15">
      <c r="A43" s="654" t="str">
        <f>inputBudSum!B3</f>
        <v>Lori S. Evans</v>
      </c>
      <c r="B43" s="654"/>
      <c r="C43" s="57"/>
      <c r="D43" s="32"/>
      <c r="E43" s="32"/>
      <c r="F43" s="32"/>
      <c r="G43" s="32"/>
      <c r="H43" s="32"/>
    </row>
    <row r="44" spans="1:8" ht="15">
      <c r="A44" s="149" t="s">
        <v>189</v>
      </c>
      <c r="B44" s="425" t="str">
        <f>inputBudSum!B5</f>
        <v>City Clerk</v>
      </c>
      <c r="C44" s="32"/>
      <c r="D44" s="32"/>
      <c r="E44" s="32"/>
      <c r="F44" s="32"/>
      <c r="G44" s="32"/>
      <c r="H44" s="32"/>
    </row>
    <row r="45" spans="1:8" ht="15">
      <c r="A45" s="32"/>
      <c r="B45" s="32"/>
      <c r="C45" s="32"/>
      <c r="D45" s="32"/>
      <c r="E45" s="32"/>
      <c r="F45" s="32"/>
      <c r="G45" s="32"/>
      <c r="H45" s="32"/>
    </row>
    <row r="46" spans="1:8" ht="15">
      <c r="A46" s="32"/>
      <c r="B46" s="32"/>
      <c r="C46" s="117" t="s">
        <v>60</v>
      </c>
      <c r="D46" s="256">
        <v>15</v>
      </c>
      <c r="E46" s="32"/>
      <c r="F46" s="32"/>
      <c r="G46" s="32"/>
      <c r="H46" s="32"/>
    </row>
  </sheetData>
  <sheetProtection/>
  <mergeCells count="9">
    <mergeCell ref="A5:H5"/>
    <mergeCell ref="A43:B43"/>
    <mergeCell ref="J34:M34"/>
    <mergeCell ref="J28:M28"/>
    <mergeCell ref="A1:H1"/>
    <mergeCell ref="A4:H4"/>
    <mergeCell ref="A6:H6"/>
    <mergeCell ref="A7:H7"/>
    <mergeCell ref="A3:H3"/>
  </mergeCells>
  <printOptions/>
  <pageMargins left="1" right="0.5" top="1" bottom="0.5" header="0.5" footer="0.5"/>
  <pageSetup blackAndWhite="1" fitToHeight="1" fitToWidth="1" horizontalDpi="600" verticalDpi="600" orientation="portrait" scale="61"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dimension ref="A1:A1"/>
  <sheetViews>
    <sheetView zoomScale="150" zoomScaleNormal="150" zoomScalePageLayoutView="0" workbookViewId="0" topLeftCell="A1">
      <selection activeCell="K5" sqref="K5"/>
    </sheetView>
  </sheetViews>
  <sheetFormatPr defaultColWidth="8.796875" defaultRowHeight="15"/>
  <cols>
    <col min="1" max="1" width="8.69921875" style="0"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J27"/>
  <sheetViews>
    <sheetView zoomScale="70" zoomScaleNormal="70" zoomScalePageLayoutView="0" workbookViewId="0" topLeftCell="A1">
      <selection activeCell="B5" sqref="B5"/>
    </sheetView>
  </sheetViews>
  <sheetFormatPr defaultColWidth="8.796875" defaultRowHeight="15"/>
  <cols>
    <col min="1" max="1" width="13.69921875" style="0" customWidth="1"/>
    <col min="2" max="2" width="16.19921875" style="0" customWidth="1"/>
  </cols>
  <sheetData>
    <row r="1" ht="15">
      <c r="J1" s="418" t="s">
        <v>271</v>
      </c>
    </row>
    <row r="2" spans="1:10" ht="54" customHeight="1">
      <c r="A2" s="601" t="s">
        <v>228</v>
      </c>
      <c r="B2" s="602"/>
      <c r="C2" s="602"/>
      <c r="D2" s="602"/>
      <c r="E2" s="602"/>
      <c r="F2" s="602"/>
      <c r="J2" s="418" t="s">
        <v>272</v>
      </c>
    </row>
    <row r="3" spans="1:10" ht="15">
      <c r="A3" s="1" t="s">
        <v>273</v>
      </c>
      <c r="B3" s="544" t="s">
        <v>474</v>
      </c>
      <c r="C3" s="545"/>
      <c r="J3" s="418" t="s">
        <v>274</v>
      </c>
    </row>
    <row r="4" spans="1:10" ht="15">
      <c r="A4" s="1"/>
      <c r="B4" s="419"/>
      <c r="J4" s="418" t="s">
        <v>275</v>
      </c>
    </row>
    <row r="5" spans="1:10" ht="15">
      <c r="A5" s="1" t="s">
        <v>251</v>
      </c>
      <c r="B5" s="546" t="s">
        <v>385</v>
      </c>
      <c r="J5" s="418" t="s">
        <v>276</v>
      </c>
    </row>
    <row r="6" spans="1:10" ht="15">
      <c r="A6" s="303"/>
      <c r="B6" s="303"/>
      <c r="C6" s="303"/>
      <c r="D6" s="304" t="s">
        <v>277</v>
      </c>
      <c r="E6" s="303"/>
      <c r="F6" s="303"/>
      <c r="J6" s="418" t="s">
        <v>278</v>
      </c>
    </row>
    <row r="7" spans="1:10" ht="15">
      <c r="A7" s="304" t="s">
        <v>229</v>
      </c>
      <c r="B7" s="546" t="s">
        <v>386</v>
      </c>
      <c r="C7" s="305"/>
      <c r="D7" s="304" t="str">
        <f>IF(B7="","",CONCATENATE("Latest date for notice to be published in your newspaper: ",G18," ",G22,", ",G23))</f>
        <v>Latest date for notice to be published in your newspaper: July 25, 2014</v>
      </c>
      <c r="E7" s="303"/>
      <c r="F7" s="303"/>
      <c r="J7" s="418" t="s">
        <v>279</v>
      </c>
    </row>
    <row r="8" spans="1:10" ht="15">
      <c r="A8" s="304"/>
      <c r="B8" s="306"/>
      <c r="C8" s="307"/>
      <c r="D8" s="304"/>
      <c r="E8" s="303"/>
      <c r="F8" s="303"/>
      <c r="J8" s="418" t="s">
        <v>280</v>
      </c>
    </row>
    <row r="9" spans="1:10" ht="15">
      <c r="A9" s="304" t="s">
        <v>230</v>
      </c>
      <c r="B9" s="546" t="s">
        <v>388</v>
      </c>
      <c r="C9" s="308"/>
      <c r="D9" s="304"/>
      <c r="E9" s="303"/>
      <c r="F9" s="303"/>
      <c r="J9" s="418" t="s">
        <v>281</v>
      </c>
    </row>
    <row r="10" spans="1:10" ht="15">
      <c r="A10" s="304"/>
      <c r="B10" s="304"/>
      <c r="C10" s="304"/>
      <c r="D10" s="304"/>
      <c r="E10" s="303"/>
      <c r="F10" s="303"/>
      <c r="J10" s="418" t="s">
        <v>282</v>
      </c>
    </row>
    <row r="11" spans="1:10" ht="15">
      <c r="A11" s="304" t="s">
        <v>231</v>
      </c>
      <c r="B11" s="547" t="s">
        <v>387</v>
      </c>
      <c r="C11" s="548"/>
      <c r="D11" s="548"/>
      <c r="E11" s="549"/>
      <c r="F11" s="303"/>
      <c r="J11" s="418" t="s">
        <v>283</v>
      </c>
    </row>
    <row r="12" spans="1:10" ht="15">
      <c r="A12" s="304"/>
      <c r="B12" s="304"/>
      <c r="C12" s="304"/>
      <c r="D12" s="304"/>
      <c r="E12" s="303"/>
      <c r="F12" s="303"/>
      <c r="J12" s="418" t="s">
        <v>284</v>
      </c>
    </row>
    <row r="13" spans="1:6" ht="15">
      <c r="A13" s="304"/>
      <c r="B13" s="304"/>
      <c r="C13" s="304"/>
      <c r="D13" s="304"/>
      <c r="E13" s="303"/>
      <c r="F13" s="303"/>
    </row>
    <row r="14" spans="1:6" ht="15">
      <c r="A14" s="304" t="s">
        <v>232</v>
      </c>
      <c r="B14" s="547" t="s">
        <v>387</v>
      </c>
      <c r="C14" s="548"/>
      <c r="D14" s="548"/>
      <c r="E14" s="549"/>
      <c r="F14" s="303"/>
    </row>
    <row r="17" spans="1:6" ht="15">
      <c r="A17" s="603" t="s">
        <v>233</v>
      </c>
      <c r="B17" s="603"/>
      <c r="C17" s="304"/>
      <c r="D17" s="304"/>
      <c r="E17" s="304"/>
      <c r="F17" s="303"/>
    </row>
    <row r="18" spans="1:7" ht="15">
      <c r="A18" s="304"/>
      <c r="B18" s="304"/>
      <c r="C18" s="304"/>
      <c r="D18" s="304"/>
      <c r="E18" s="304"/>
      <c r="F18" s="303"/>
      <c r="G18" s="418" t="str">
        <f ca="1">IF(B7="","",INDIRECT(G19))</f>
        <v>July</v>
      </c>
    </row>
    <row r="19" spans="1:7" ht="15">
      <c r="A19" s="304" t="s">
        <v>251</v>
      </c>
      <c r="B19" s="304" t="s">
        <v>252</v>
      </c>
      <c r="C19" s="304"/>
      <c r="D19" s="304"/>
      <c r="E19" s="304"/>
      <c r="F19" s="303"/>
      <c r="G19" s="420" t="str">
        <f>IF(B7="","",CONCATENATE("J",G21))</f>
        <v>J7</v>
      </c>
    </row>
    <row r="20" spans="1:7" ht="15">
      <c r="A20" s="304"/>
      <c r="B20" s="304"/>
      <c r="C20" s="304"/>
      <c r="D20" s="304"/>
      <c r="E20" s="304"/>
      <c r="F20" s="303"/>
      <c r="G20" s="421">
        <f>B7-10</f>
        <v>41845</v>
      </c>
    </row>
    <row r="21" spans="1:7" ht="15">
      <c r="A21" s="304" t="s">
        <v>229</v>
      </c>
      <c r="B21" s="306" t="s">
        <v>234</v>
      </c>
      <c r="C21" s="304"/>
      <c r="D21" s="304"/>
      <c r="E21" s="304"/>
      <c r="G21" s="422">
        <f>IF(B7="","",MONTH(G20))</f>
        <v>7</v>
      </c>
    </row>
    <row r="22" spans="1:7" ht="15">
      <c r="A22" s="304"/>
      <c r="B22" s="304"/>
      <c r="C22" s="304"/>
      <c r="D22" s="304"/>
      <c r="E22" s="304"/>
      <c r="G22" s="423">
        <f>IF(B7="","",DAY(G20))</f>
        <v>25</v>
      </c>
    </row>
    <row r="23" spans="1:7" ht="15">
      <c r="A23" s="304" t="s">
        <v>230</v>
      </c>
      <c r="B23" s="304" t="s">
        <v>235</v>
      </c>
      <c r="C23" s="304"/>
      <c r="D23" s="304"/>
      <c r="E23" s="304"/>
      <c r="G23" s="424">
        <f>IF(B7="","",YEAR(G20))</f>
        <v>2014</v>
      </c>
    </row>
    <row r="24" spans="1:5" ht="15">
      <c r="A24" s="304"/>
      <c r="B24" s="304"/>
      <c r="C24" s="304"/>
      <c r="D24" s="304"/>
      <c r="E24" s="304"/>
    </row>
    <row r="25" spans="1:5" ht="15">
      <c r="A25" s="304" t="s">
        <v>231</v>
      </c>
      <c r="B25" s="304" t="s">
        <v>236</v>
      </c>
      <c r="C25" s="304"/>
      <c r="D25" s="304"/>
      <c r="E25" s="304"/>
    </row>
    <row r="26" spans="1:5" ht="15">
      <c r="A26" s="304"/>
      <c r="B26" s="304"/>
      <c r="C26" s="304"/>
      <c r="D26" s="304"/>
      <c r="E26" s="304"/>
    </row>
    <row r="27" spans="1:5" ht="15">
      <c r="A27" s="304" t="s">
        <v>232</v>
      </c>
      <c r="B27" s="304" t="s">
        <v>236</v>
      </c>
      <c r="C27" s="304"/>
      <c r="D27" s="304"/>
      <c r="E27" s="30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J101"/>
  <sheetViews>
    <sheetView tabSelected="1" zoomScalePageLayoutView="0" workbookViewId="0" topLeftCell="A1">
      <selection activeCell="B4" sqref="B4:G4"/>
    </sheetView>
  </sheetViews>
  <sheetFormatPr defaultColWidth="8.796875" defaultRowHeight="15"/>
  <cols>
    <col min="1" max="1" width="2.796875" style="87" customWidth="1"/>
    <col min="2" max="2" width="24.296875" style="30" customWidth="1"/>
    <col min="3" max="3" width="10.69921875" style="30" customWidth="1"/>
    <col min="4" max="4" width="5.69921875" style="30" customWidth="1"/>
    <col min="5" max="5" width="14" style="30" customWidth="1"/>
    <col min="6" max="6" width="13.296875" style="30" customWidth="1"/>
    <col min="7" max="7" width="12.296875" style="30" customWidth="1"/>
    <col min="8" max="16384" width="8.796875" style="87" customWidth="1"/>
  </cols>
  <sheetData>
    <row r="1" spans="2:9" ht="15">
      <c r="B1" s="32"/>
      <c r="C1" s="32"/>
      <c r="D1" s="31" t="s">
        <v>107</v>
      </c>
      <c r="E1" s="32"/>
      <c r="F1" s="32"/>
      <c r="G1" s="117"/>
      <c r="I1" s="28">
        <f>inputPrYr!C5</f>
        <v>2015</v>
      </c>
    </row>
    <row r="2" spans="2:7" ht="15">
      <c r="B2" s="606" t="str">
        <f>CONCATENATE("To the Clerk of ",(inputPrYr!D3),", State of Kansas")</f>
        <v>To the Clerk of Allen County, State of Kansas</v>
      </c>
      <c r="C2" s="596"/>
      <c r="D2" s="596"/>
      <c r="E2" s="596"/>
      <c r="F2" s="596"/>
      <c r="G2" s="596"/>
    </row>
    <row r="3" spans="2:7" ht="15">
      <c r="B3" s="119" t="s">
        <v>244</v>
      </c>
      <c r="C3" s="37"/>
      <c r="D3" s="37"/>
      <c r="E3" s="37"/>
      <c r="F3" s="37"/>
      <c r="G3" s="37"/>
    </row>
    <row r="4" spans="2:7" ht="15">
      <c r="B4" s="604" t="str">
        <f>(inputPrYr!D2)</f>
        <v>City of Moran</v>
      </c>
      <c r="C4" s="605"/>
      <c r="D4" s="605"/>
      <c r="E4" s="605"/>
      <c r="F4" s="605"/>
      <c r="G4" s="605"/>
    </row>
    <row r="5" spans="2:7" ht="15">
      <c r="B5" s="119" t="s">
        <v>24</v>
      </c>
      <c r="C5" s="37"/>
      <c r="D5" s="37"/>
      <c r="E5" s="37"/>
      <c r="F5" s="37"/>
      <c r="G5" s="37"/>
    </row>
    <row r="6" spans="2:7" ht="15">
      <c r="B6" s="119" t="s">
        <v>25</v>
      </c>
      <c r="C6" s="37"/>
      <c r="D6" s="37"/>
      <c r="E6" s="37"/>
      <c r="F6" s="37"/>
      <c r="G6" s="37"/>
    </row>
    <row r="7" spans="2:7" ht="15">
      <c r="B7" s="119" t="str">
        <f>CONCATENATE("maximum expenditures for the various funds for the year ",I1,"; and")</f>
        <v>maximum expenditures for the various funds for the year 2015; and</v>
      </c>
      <c r="C7" s="37"/>
      <c r="D7" s="37"/>
      <c r="E7" s="37"/>
      <c r="F7" s="37"/>
      <c r="G7" s="37"/>
    </row>
    <row r="8" spans="2:7" ht="15">
      <c r="B8" s="119" t="str">
        <f>CONCATENATE("(3) the Amounts(s) of ",I1-1," Ad Valorem Tax are within statutory limitations.")</f>
        <v>(3) the Amounts(s) of 2014 Ad Valorem Tax are within statutory limitations.</v>
      </c>
      <c r="C8" s="37"/>
      <c r="D8" s="37"/>
      <c r="E8" s="37"/>
      <c r="F8" s="37"/>
      <c r="G8" s="37"/>
    </row>
    <row r="9" spans="2:7" ht="15">
      <c r="B9" s="32"/>
      <c r="C9" s="32"/>
      <c r="D9" s="32"/>
      <c r="E9" s="120" t="str">
        <f>CONCATENATE("",I1," Adopted Budget")</f>
        <v>2015 Adopted Budget</v>
      </c>
      <c r="F9" s="121"/>
      <c r="G9" s="122"/>
    </row>
    <row r="10" spans="2:7" ht="21" customHeight="1">
      <c r="B10" s="32"/>
      <c r="C10" s="32"/>
      <c r="D10" s="123"/>
      <c r="E10" s="124" t="s">
        <v>26</v>
      </c>
      <c r="F10" s="125" t="str">
        <f>CONCATENATE("Amount of ",I1-1,"")</f>
        <v>Amount of 2014</v>
      </c>
      <c r="G10" s="125" t="s">
        <v>27</v>
      </c>
    </row>
    <row r="11" spans="2:7" ht="15">
      <c r="B11" s="33"/>
      <c r="C11" s="32"/>
      <c r="D11" s="125" t="s">
        <v>28</v>
      </c>
      <c r="E11" s="364" t="s">
        <v>5</v>
      </c>
      <c r="F11" s="127" t="s">
        <v>191</v>
      </c>
      <c r="G11" s="126" t="s">
        <v>29</v>
      </c>
    </row>
    <row r="12" spans="2:7" ht="15">
      <c r="B12" s="128" t="s">
        <v>30</v>
      </c>
      <c r="C12" s="52"/>
      <c r="D12" s="129" t="s">
        <v>31</v>
      </c>
      <c r="E12" s="365" t="s">
        <v>250</v>
      </c>
      <c r="F12" s="130" t="s">
        <v>192</v>
      </c>
      <c r="G12" s="129" t="s">
        <v>32</v>
      </c>
    </row>
    <row r="13" spans="2:7" ht="15">
      <c r="B13" s="131" t="str">
        <f>CONCATENATE("Computation to Determine Limit for ",I1,"")</f>
        <v>Computation to Determine Limit for 2015</v>
      </c>
      <c r="C13" s="74"/>
      <c r="D13" s="132">
        <v>2</v>
      </c>
      <c r="E13" s="133"/>
      <c r="F13" s="133"/>
      <c r="G13" s="133"/>
    </row>
    <row r="14" spans="2:7" ht="15">
      <c r="B14" s="131" t="s">
        <v>343</v>
      </c>
      <c r="C14" s="52"/>
      <c r="D14" s="129">
        <v>3</v>
      </c>
      <c r="E14" s="126"/>
      <c r="F14" s="126"/>
      <c r="G14" s="126"/>
    </row>
    <row r="15" spans="2:7" ht="15">
      <c r="B15" s="131" t="s">
        <v>159</v>
      </c>
      <c r="C15" s="52"/>
      <c r="D15" s="129">
        <v>4</v>
      </c>
      <c r="E15" s="126"/>
      <c r="F15" s="126"/>
      <c r="G15" s="126"/>
    </row>
    <row r="16" spans="2:7" ht="15">
      <c r="B16" s="131" t="s">
        <v>33</v>
      </c>
      <c r="C16" s="74"/>
      <c r="D16" s="132">
        <v>5</v>
      </c>
      <c r="E16" s="134"/>
      <c r="F16" s="134"/>
      <c r="G16" s="134"/>
    </row>
    <row r="17" spans="2:7" ht="15">
      <c r="B17" s="131" t="s">
        <v>34</v>
      </c>
      <c r="C17" s="74"/>
      <c r="D17" s="132">
        <v>6</v>
      </c>
      <c r="E17" s="134"/>
      <c r="F17" s="134"/>
      <c r="G17" s="134"/>
    </row>
    <row r="18" spans="2:7" ht="15">
      <c r="B18" s="259" t="str">
        <f>IF(inputPrYr!D19="","","Computation to Determine State Library Grant")</f>
        <v>Computation to Determine State Library Grant</v>
      </c>
      <c r="C18" s="74"/>
      <c r="D18" s="142">
        <f>IF(inputPrYr!D19="","",'Library Grant'!F40)</f>
        <v>7</v>
      </c>
      <c r="E18" s="134"/>
      <c r="F18" s="134"/>
      <c r="G18" s="134"/>
    </row>
    <row r="19" spans="2:7" ht="15">
      <c r="B19" s="135" t="s">
        <v>35</v>
      </c>
      <c r="C19" s="136" t="s">
        <v>36</v>
      </c>
      <c r="D19" s="137"/>
      <c r="E19" s="138"/>
      <c r="F19" s="138"/>
      <c r="G19" s="138"/>
    </row>
    <row r="20" spans="2:7" ht="15">
      <c r="B20" s="45" t="s">
        <v>19</v>
      </c>
      <c r="C20" s="139" t="str">
        <f>IF(inputPrYr!C17&gt;0,(inputPrYr!C17),"  ")</f>
        <v>12-101a</v>
      </c>
      <c r="D20" s="132">
        <f>general!C59</f>
        <v>8</v>
      </c>
      <c r="E20" s="518">
        <f>IF(general!$E$111&lt;&gt;0,general!$E$111,"  ")</f>
        <v>256160.6</v>
      </c>
      <c r="F20" s="519">
        <f>IF(general!$E$118&lt;&gt;0,general!$E$118,0)</f>
        <v>38002.899999999994</v>
      </c>
      <c r="G20" s="520">
        <f>IF($G$59=0,"",ROUND(F20/$G$59*1000,3))</f>
        <v>25.289</v>
      </c>
    </row>
    <row r="21" spans="2:7" ht="15">
      <c r="B21" s="45" t="s">
        <v>14</v>
      </c>
      <c r="C21" s="139" t="str">
        <f>IF(inputPrYr!C18&gt;0,(inputPrYr!C18),"  ")</f>
        <v>10-113</v>
      </c>
      <c r="D21" s="132">
        <f>IF('DebtSvs-library'!C81&gt;0,'DebtSvs-library'!C81,"  ")</f>
        <v>9</v>
      </c>
      <c r="E21" s="518" t="str">
        <f>IF('DebtSvs-library'!E33&lt;&gt;0,'DebtSvs-library'!E33,"  ")</f>
        <v>  </v>
      </c>
      <c r="F21" s="519">
        <f>IF('DebtSvs-library'!E40&lt;&gt;0,'DebtSvs-library'!E40,0)</f>
        <v>0</v>
      </c>
      <c r="G21" s="520">
        <f aca="true" t="shared" si="0" ref="G21:G32">IF($G$59=0,"",ROUND(F21/$G$59*1000,3))</f>
        <v>0</v>
      </c>
    </row>
    <row r="22" spans="2:10" ht="15">
      <c r="B22" s="68" t="str">
        <f>IF(inputPrYr!$B19&gt;"  ",(inputPrYr!$B19),"  ")</f>
        <v>Library</v>
      </c>
      <c r="C22" s="139" t="str">
        <f>IF(inputPrYr!C19&gt;0,(inputPrYr!C19),"  ")</f>
        <v>12-1220</v>
      </c>
      <c r="D22" s="132">
        <f>IF('DebtSvs-library'!C81&gt;0,'DebtSvs-library'!C81,"  ")</f>
        <v>9</v>
      </c>
      <c r="E22" s="518">
        <f>IF('DebtSvs-library'!E73&lt;&gt;0,'DebtSvs-library'!E73,"  ")</f>
        <v>4144</v>
      </c>
      <c r="F22" s="519">
        <f>IF('DebtSvs-library'!E80&lt;&gt;0,'DebtSvs-library'!E80,0)</f>
        <v>3005</v>
      </c>
      <c r="G22" s="520">
        <f t="shared" si="0"/>
        <v>2</v>
      </c>
      <c r="I22" s="402"/>
      <c r="J22" s="402"/>
    </row>
    <row r="23" spans="2:10" ht="15">
      <c r="B23" s="68" t="str">
        <f>IF(inputPrYr!$B21&gt;"  ",(inputPrYr!$B21),"  ")</f>
        <v>Employee Benefit</v>
      </c>
      <c r="C23" s="139" t="str">
        <f>IF(inputPrYr!C21&gt;0,(inputPrYr!C21),"  ")</f>
        <v>12-16,102</v>
      </c>
      <c r="D23" s="132">
        <f>IF('Empl Ben'!C81&gt;0,'Empl Ben'!C81,"  ")</f>
        <v>10</v>
      </c>
      <c r="E23" s="518">
        <f>IF('Empl Ben'!$E$33&gt;0,'Empl Ben'!$E$33,"  ")</f>
        <v>40570</v>
      </c>
      <c r="F23" s="519">
        <f>IF('Empl Ben'!E40&lt;&gt;0,'Empl Ben'!E40,0)</f>
        <v>9224</v>
      </c>
      <c r="G23" s="520">
        <f t="shared" si="0"/>
        <v>6.138</v>
      </c>
      <c r="I23" s="402"/>
      <c r="J23" s="402"/>
    </row>
    <row r="24" spans="2:10" ht="15">
      <c r="B24" s="68" t="str">
        <f>IF(inputPrYr!$B22&gt;"  ",(inputPrYr!$B22),"  ")</f>
        <v>  </v>
      </c>
      <c r="C24" s="139" t="str">
        <f>IF(inputPrYr!C22&gt;0,(inputPrYr!C22),"  ")</f>
        <v>  </v>
      </c>
      <c r="D24" s="132"/>
      <c r="E24" s="518"/>
      <c r="F24" s="519"/>
      <c r="G24" s="520">
        <f t="shared" si="0"/>
        <v>0</v>
      </c>
      <c r="I24" s="402"/>
      <c r="J24" s="402"/>
    </row>
    <row r="25" spans="2:10" ht="15">
      <c r="B25" s="68" t="str">
        <f>IF(inputPrYr!$B23&gt;"  ",(inputPrYr!$B23),"  ")</f>
        <v>  </v>
      </c>
      <c r="C25" s="139" t="str">
        <f>IF(inputPrYr!C23&gt;0,(inputPrYr!C23),"  ")</f>
        <v>  </v>
      </c>
      <c r="D25" s="132"/>
      <c r="E25" s="518"/>
      <c r="F25" s="519"/>
      <c r="G25" s="520">
        <f t="shared" si="0"/>
        <v>0</v>
      </c>
      <c r="I25" s="402"/>
      <c r="J25" s="402"/>
    </row>
    <row r="26" spans="2:10" ht="15">
      <c r="B26" s="68" t="str">
        <f>IF(inputPrYr!$B24&gt;"  ",(inputPrYr!$B24),"  ")</f>
        <v>  </v>
      </c>
      <c r="C26" s="139" t="str">
        <f>IF(inputPrYr!C24&gt;0,(inputPrYr!C24),"  ")</f>
        <v>  </v>
      </c>
      <c r="D26" s="132"/>
      <c r="E26" s="518"/>
      <c r="F26" s="519"/>
      <c r="G26" s="520">
        <f t="shared" si="0"/>
        <v>0</v>
      </c>
      <c r="I26" s="402"/>
      <c r="J26" s="402"/>
    </row>
    <row r="27" spans="2:10" ht="15">
      <c r="B27" s="68" t="str">
        <f>IF(inputPrYr!$B25&gt;"  ",(inputPrYr!$B25),"  ")</f>
        <v>  </v>
      </c>
      <c r="C27" s="139" t="str">
        <f>IF(inputPrYr!C25&gt;0,(inputPrYr!C25),"  ")</f>
        <v>  </v>
      </c>
      <c r="D27" s="132"/>
      <c r="E27" s="518"/>
      <c r="F27" s="519"/>
      <c r="G27" s="520">
        <f t="shared" si="0"/>
        <v>0</v>
      </c>
      <c r="I27" s="402"/>
      <c r="J27" s="402"/>
    </row>
    <row r="28" spans="2:10" ht="15">
      <c r="B28" s="68" t="str">
        <f>IF(inputPrYr!$B26&gt;"  ",(inputPrYr!$B26),"  ")</f>
        <v>  </v>
      </c>
      <c r="C28" s="139" t="str">
        <f>IF(inputPrYr!C26&gt;0,(inputPrYr!C26),"  ")</f>
        <v>  </v>
      </c>
      <c r="D28" s="132"/>
      <c r="E28" s="518"/>
      <c r="F28" s="519"/>
      <c r="G28" s="520">
        <f t="shared" si="0"/>
        <v>0</v>
      </c>
      <c r="I28" s="402"/>
      <c r="J28" s="402"/>
    </row>
    <row r="29" spans="2:10" ht="15">
      <c r="B29" s="68" t="str">
        <f>IF(inputPrYr!$B27&gt;"  ",(inputPrYr!$B27),"  ")</f>
        <v>  </v>
      </c>
      <c r="C29" s="139" t="str">
        <f>IF(inputPrYr!C27&gt;0,(inputPrYr!C27),"  ")</f>
        <v>  </v>
      </c>
      <c r="D29" s="132"/>
      <c r="E29" s="518"/>
      <c r="F29" s="519"/>
      <c r="G29" s="520">
        <f t="shared" si="0"/>
        <v>0</v>
      </c>
      <c r="I29" s="402"/>
      <c r="J29" s="402"/>
    </row>
    <row r="30" spans="2:10" ht="15">
      <c r="B30" s="68" t="str">
        <f>IF(inputPrYr!$B28&gt;"  ",(inputPrYr!$B28),"  ")</f>
        <v>  </v>
      </c>
      <c r="C30" s="139" t="str">
        <f>IF(inputPrYr!C28&gt;0,(inputPrYr!C28),"  ")</f>
        <v>  </v>
      </c>
      <c r="D30" s="132"/>
      <c r="E30" s="518"/>
      <c r="F30" s="519"/>
      <c r="G30" s="520">
        <f t="shared" si="0"/>
        <v>0</v>
      </c>
      <c r="I30" s="402"/>
      <c r="J30" s="402"/>
    </row>
    <row r="31" spans="2:10" ht="15">
      <c r="B31" s="68" t="str">
        <f>IF(inputPrYr!$B29&gt;"  ",(inputPrYr!$B29),"  ")</f>
        <v>  </v>
      </c>
      <c r="C31" s="139" t="str">
        <f>IF(inputPrYr!C29&gt;0,(inputPrYr!C29),"  ")</f>
        <v>  </v>
      </c>
      <c r="D31" s="132"/>
      <c r="E31" s="518"/>
      <c r="F31" s="519"/>
      <c r="G31" s="520">
        <f t="shared" si="0"/>
        <v>0</v>
      </c>
      <c r="I31" s="402"/>
      <c r="J31" s="402"/>
    </row>
    <row r="32" spans="2:9" ht="15">
      <c r="B32" s="68" t="str">
        <f>IF(inputPrYr!B30&gt;"  ",(inputPrYr!B30),"  ")</f>
        <v>  </v>
      </c>
      <c r="C32" s="139" t="str">
        <f>IF(inputPrYr!C30&gt;0,(inputPrYr!C30),"  ")</f>
        <v>  </v>
      </c>
      <c r="D32" s="132"/>
      <c r="E32" s="518"/>
      <c r="F32" s="519"/>
      <c r="G32" s="520">
        <f t="shared" si="0"/>
        <v>0</v>
      </c>
      <c r="I32" s="400"/>
    </row>
    <row r="33" spans="2:7" ht="15">
      <c r="B33" s="140" t="str">
        <f>IF(inputPrYr!$B34&gt;"  ",(inputPrYr!$B34),"  ")</f>
        <v>Special Highway</v>
      </c>
      <c r="C33" s="141"/>
      <c r="D33" s="142">
        <f>IF('Sp Hiway &amp; Electric'!C67&gt;0,'Sp Hiway &amp; Electric'!C67,"  ")</f>
        <v>11</v>
      </c>
      <c r="E33" s="518">
        <f>IF('Sp Hiway &amp; Electric'!$E$28&gt;0,'Sp Hiway &amp; Electric'!$E$28,"  ")</f>
        <v>32398</v>
      </c>
      <c r="F33" s="518"/>
      <c r="G33" s="521"/>
    </row>
    <row r="34" spans="2:7" ht="15">
      <c r="B34" s="140" t="str">
        <f>IF(inputPrYr!$B35&gt;"  ",(inputPrYr!$B35),"  ")</f>
        <v>Electric Utility</v>
      </c>
      <c r="C34" s="141"/>
      <c r="D34" s="142">
        <f>IF('Sp Hiway &amp; Electric'!C67&gt;0,'Sp Hiway &amp; Electric'!C67,"  ")</f>
        <v>11</v>
      </c>
      <c r="E34" s="518">
        <f>IF('Sp Hiway &amp; Electric'!$E$61&gt;0,'Sp Hiway &amp; Electric'!$E$61,"  ")</f>
        <v>940359</v>
      </c>
      <c r="F34" s="518"/>
      <c r="G34" s="521"/>
    </row>
    <row r="35" spans="2:7" ht="15">
      <c r="B35" s="140" t="str">
        <f>IF(inputPrYr!$B36&gt;"  ",(inputPrYr!$B36),"  ")</f>
        <v>Water Utility</v>
      </c>
      <c r="C35" s="143"/>
      <c r="D35" s="142">
        <f>IF('Water &amp; Sewer'!C65&gt;0,'Water &amp; Sewer'!C65,"  ")</f>
        <v>12</v>
      </c>
      <c r="E35" s="518">
        <f>IF('Water &amp; Sewer'!$E$28&gt;0,'Water &amp; Sewer'!$E$28,"  ")</f>
        <v>164682</v>
      </c>
      <c r="F35" s="518"/>
      <c r="G35" s="521"/>
    </row>
    <row r="36" spans="2:7" ht="15">
      <c r="B36" s="140" t="str">
        <f>IF(inputPrYr!$B37&gt;"  ",(inputPrYr!$B37),"  ")</f>
        <v>Sewer Utility</v>
      </c>
      <c r="C36" s="141"/>
      <c r="D36" s="142">
        <f>IF('Water &amp; Sewer'!C65&gt;0,'Water &amp; Sewer'!C65,"  ")</f>
        <v>12</v>
      </c>
      <c r="E36" s="518">
        <f>IF('Water &amp; Sewer'!$E$59&gt;0,'Water &amp; Sewer'!$E$59,"  ")</f>
        <v>138721</v>
      </c>
      <c r="F36" s="518"/>
      <c r="G36" s="521"/>
    </row>
    <row r="37" spans="2:7" ht="15">
      <c r="B37" s="140" t="str">
        <f>IF(inputPrYr!$B38&gt;"  ",(inputPrYr!$B38),"  ")</f>
        <v>  </v>
      </c>
      <c r="C37" s="143"/>
      <c r="D37" s="142"/>
      <c r="E37" s="518"/>
      <c r="F37" s="518"/>
      <c r="G37" s="521"/>
    </row>
    <row r="38" spans="2:7" ht="15">
      <c r="B38" s="140" t="str">
        <f>IF(inputPrYr!$B39&gt;"  ",(inputPrYr!$B39),"  ")</f>
        <v>  </v>
      </c>
      <c r="C38" s="144"/>
      <c r="D38" s="142"/>
      <c r="E38" s="518"/>
      <c r="F38" s="518"/>
      <c r="G38" s="521"/>
    </row>
    <row r="39" spans="2:7" ht="15">
      <c r="B39" s="140" t="str">
        <f>IF(inputPrYr!$B40&gt;"  ",(inputPrYr!$B40),"  ")</f>
        <v>  </v>
      </c>
      <c r="C39" s="144"/>
      <c r="D39" s="142"/>
      <c r="E39" s="518"/>
      <c r="F39" s="518"/>
      <c r="G39" s="521"/>
    </row>
    <row r="40" spans="2:7" ht="15">
      <c r="B40" s="140" t="str">
        <f>IF(inputPrYr!$B41&gt;"  ",(inputPrYr!$B41),"  ")</f>
        <v>  </v>
      </c>
      <c r="C40" s="144"/>
      <c r="D40" s="142"/>
      <c r="E40" s="518"/>
      <c r="F40" s="518"/>
      <c r="G40" s="521"/>
    </row>
    <row r="41" spans="2:7" ht="15">
      <c r="B41" s="140" t="str">
        <f>IF(inputPrYr!$B42&gt;"  ",(inputPrYr!$B42),"  ")</f>
        <v>  </v>
      </c>
      <c r="C41" s="141"/>
      <c r="D41" s="142"/>
      <c r="E41" s="518"/>
      <c r="F41" s="518"/>
      <c r="G41" s="521"/>
    </row>
    <row r="42" spans="2:7" ht="15">
      <c r="B42" s="140" t="str">
        <f>IF(inputPrYr!$B43&gt;"  ",(inputPrYr!$B43),"  ")</f>
        <v>  </v>
      </c>
      <c r="C42" s="141"/>
      <c r="D42" s="142"/>
      <c r="E42" s="518"/>
      <c r="F42" s="518"/>
      <c r="G42" s="521"/>
    </row>
    <row r="43" spans="2:7" ht="15">
      <c r="B43" s="140" t="str">
        <f>IF(inputPrYr!$B44&gt;"  ",(inputPrYr!$B44),"  ")</f>
        <v>  </v>
      </c>
      <c r="C43" s="141"/>
      <c r="D43" s="142"/>
      <c r="E43" s="518"/>
      <c r="F43" s="518"/>
      <c r="G43" s="521"/>
    </row>
    <row r="44" spans="2:7" ht="15">
      <c r="B44" s="140" t="str">
        <f>IF(inputPrYr!$B45&gt;"  ",(inputPrYr!$B45),"  ")</f>
        <v>  </v>
      </c>
      <c r="C44" s="141"/>
      <c r="D44" s="142"/>
      <c r="E44" s="518"/>
      <c r="F44" s="518"/>
      <c r="G44" s="521"/>
    </row>
    <row r="45" spans="2:7" ht="15">
      <c r="B45" s="140" t="str">
        <f>IF(inputPrYr!$B46&gt;"  ",(inputPrYr!$B46),"  ")</f>
        <v>  </v>
      </c>
      <c r="C45" s="141"/>
      <c r="D45" s="142"/>
      <c r="E45" s="518"/>
      <c r="F45" s="518"/>
      <c r="G45" s="521"/>
    </row>
    <row r="46" spans="2:7" ht="15">
      <c r="B46" s="140" t="str">
        <f>IF(inputPrYr!$B47&gt;"  ",(inputPrYr!$B47),"  ")</f>
        <v>  </v>
      </c>
      <c r="C46" s="141"/>
      <c r="D46" s="142"/>
      <c r="E46" s="518"/>
      <c r="F46" s="518"/>
      <c r="G46" s="521"/>
    </row>
    <row r="47" spans="2:7" ht="15">
      <c r="B47" s="140" t="str">
        <f>IF(inputPrYr!$B48&gt;"  ",(inputPrYr!$B48),"  ")</f>
        <v>  </v>
      </c>
      <c r="C47" s="143"/>
      <c r="D47" s="142"/>
      <c r="E47" s="518"/>
      <c r="F47" s="518"/>
      <c r="G47" s="521"/>
    </row>
    <row r="48" spans="2:7" ht="15">
      <c r="B48" s="140" t="str">
        <f>IF(inputPrYr!$B49&gt;"  ",(inputPrYr!$B49),"  ")</f>
        <v>  </v>
      </c>
      <c r="C48" s="144"/>
      <c r="D48" s="142"/>
      <c r="E48" s="518"/>
      <c r="F48" s="518"/>
      <c r="G48" s="521"/>
    </row>
    <row r="49" spans="2:7" ht="15">
      <c r="B49" s="140" t="str">
        <f>IF(inputPrYr!$B51&gt;"  ",(inputPrYr!$B51),"  ")</f>
        <v>  </v>
      </c>
      <c r="C49" s="141"/>
      <c r="D49" s="142"/>
      <c r="E49" s="518"/>
      <c r="F49" s="518"/>
      <c r="G49" s="521"/>
    </row>
    <row r="50" spans="2:7" ht="15">
      <c r="B50" s="140" t="str">
        <f>IF(inputPrYr!$B52&gt;"  ",(inputPrYr!$B52),"  ")</f>
        <v>  </v>
      </c>
      <c r="C50" s="141"/>
      <c r="D50" s="142"/>
      <c r="E50" s="518"/>
      <c r="F50" s="518"/>
      <c r="G50" s="521"/>
    </row>
    <row r="51" spans="2:7" ht="15">
      <c r="B51" s="140" t="str">
        <f>IF(inputPrYr!$B53&gt;"  ",(inputPrYr!$B53),"  ")</f>
        <v>  </v>
      </c>
      <c r="C51" s="143"/>
      <c r="D51" s="142"/>
      <c r="E51" s="518"/>
      <c r="F51" s="518"/>
      <c r="G51" s="521"/>
    </row>
    <row r="52" spans="2:7" ht="15">
      <c r="B52" s="140" t="str">
        <f>IF(inputPrYr!$B54&gt;"  ",(inputPrYr!$B54),"  ")</f>
        <v>  </v>
      </c>
      <c r="C52" s="144"/>
      <c r="D52" s="142"/>
      <c r="E52" s="518"/>
      <c r="F52" s="518"/>
      <c r="G52" s="521"/>
    </row>
    <row r="53" spans="2:7" ht="15">
      <c r="B53" s="140" t="str">
        <f>IF(inputPrYr!$B57&gt;"  ",(NonBudA!$A3),"  ")</f>
        <v>Non-Budgeted Funds-A</v>
      </c>
      <c r="C53" s="144"/>
      <c r="D53" s="142">
        <f>IF(NonBudA!F33&gt;0,NonBudA!F33,"  ")</f>
        <v>13</v>
      </c>
      <c r="E53" s="518"/>
      <c r="F53" s="518"/>
      <c r="G53" s="521"/>
    </row>
    <row r="54" spans="2:7" ht="15">
      <c r="B54" s="140" t="str">
        <f>IF(inputPrYr!$B63&gt;"  ",(NonBudB!$A3),"  ")</f>
        <v>Non-Budgeted Funds-B</v>
      </c>
      <c r="C54" s="144"/>
      <c r="D54" s="142">
        <f>IF(NonBudB!F33&gt;0,NonBudB!F33,"  ")</f>
        <v>14</v>
      </c>
      <c r="E54" s="518"/>
      <c r="F54" s="518"/>
      <c r="G54" s="521"/>
    </row>
    <row r="55" spans="2:7" ht="15">
      <c r="B55" s="140" t="str">
        <f>IF(inputPrYr!$B69&gt;"  ",(#REF!),"  ")</f>
        <v>  </v>
      </c>
      <c r="C55" s="141"/>
      <c r="D55" s="142"/>
      <c r="E55" s="518"/>
      <c r="F55" s="518"/>
      <c r="G55" s="521"/>
    </row>
    <row r="56" spans="2:7" ht="15.75" thickBot="1">
      <c r="B56" s="140" t="str">
        <f>IF(inputPrYr!$B75&gt;"  ",(#REF!),"  ")</f>
        <v>  </v>
      </c>
      <c r="C56" s="143"/>
      <c r="D56" s="142"/>
      <c r="E56" s="522"/>
      <c r="F56" s="522"/>
      <c r="G56" s="523"/>
    </row>
    <row r="57" spans="2:7" ht="15">
      <c r="B57" s="337" t="s">
        <v>258</v>
      </c>
      <c r="C57" s="74"/>
      <c r="D57" s="234" t="s">
        <v>38</v>
      </c>
      <c r="E57" s="524">
        <f>SUM(E20:E56)</f>
        <v>1577034.6</v>
      </c>
      <c r="F57" s="524">
        <f>SUM(F20:F56)</f>
        <v>50231.899999999994</v>
      </c>
      <c r="G57" s="525">
        <f>IF(SUM(G20:G56)=0,"",SUM(G20:G56))</f>
        <v>33.427</v>
      </c>
    </row>
    <row r="58" spans="2:7" ht="15">
      <c r="B58" s="562" t="s">
        <v>369</v>
      </c>
      <c r="C58" s="145"/>
      <c r="D58" s="146"/>
      <c r="E58" s="147"/>
      <c r="F58" s="148" t="str">
        <f>IF(F57&gt;1000,IF(F57&gt;computation!J47,"Yes","No"),"No")</f>
        <v>No</v>
      </c>
      <c r="G58" s="363" t="s">
        <v>163</v>
      </c>
    </row>
    <row r="59" spans="2:7" ht="15">
      <c r="B59" s="131" t="s">
        <v>219</v>
      </c>
      <c r="C59" s="74"/>
      <c r="D59" s="132">
        <f>summ!D46</f>
        <v>15</v>
      </c>
      <c r="E59" s="32"/>
      <c r="F59" s="32"/>
      <c r="G59" s="376">
        <v>1502728</v>
      </c>
    </row>
    <row r="60" spans="2:7" ht="15">
      <c r="B60" s="131" t="s">
        <v>8</v>
      </c>
      <c r="C60" s="74"/>
      <c r="D60" s="132"/>
      <c r="E60" s="32"/>
      <c r="F60" s="32"/>
      <c r="G60" s="609" t="str">
        <f>CONCATENATE("Nov 1, ",I1-1," Total Assessed Valuation")</f>
        <v>Nov 1, 2014 Total Assessed Valuation</v>
      </c>
    </row>
    <row r="61" spans="2:7" ht="15">
      <c r="B61" s="88" t="s">
        <v>39</v>
      </c>
      <c r="C61" s="57"/>
      <c r="D61" s="57"/>
      <c r="E61" s="57"/>
      <c r="F61" s="57"/>
      <c r="G61" s="610"/>
    </row>
    <row r="62" spans="2:7" ht="15">
      <c r="B62" s="301" t="s">
        <v>389</v>
      </c>
      <c r="C62" s="57"/>
      <c r="D62" s="32"/>
      <c r="E62" s="263"/>
      <c r="F62" s="57"/>
      <c r="G62" s="57"/>
    </row>
    <row r="63" spans="2:7" ht="15">
      <c r="B63" s="302" t="s">
        <v>390</v>
      </c>
      <c r="C63" s="57"/>
      <c r="D63" s="58" t="s">
        <v>340</v>
      </c>
      <c r="E63" s="263"/>
      <c r="F63" s="57"/>
      <c r="G63" s="57"/>
    </row>
    <row r="64" spans="2:7" ht="15">
      <c r="B64" s="88" t="s">
        <v>166</v>
      </c>
      <c r="C64" s="32"/>
      <c r="D64" s="56"/>
      <c r="E64" s="263"/>
      <c r="F64" s="57"/>
      <c r="G64" s="57"/>
    </row>
    <row r="65" spans="2:7" ht="15">
      <c r="B65" s="301" t="s">
        <v>391</v>
      </c>
      <c r="C65" s="57"/>
      <c r="D65" s="57" t="s">
        <v>341</v>
      </c>
      <c r="E65" s="263"/>
      <c r="F65" s="263"/>
      <c r="G65" s="263"/>
    </row>
    <row r="66" spans="2:7" ht="15">
      <c r="B66" s="302" t="s">
        <v>392</v>
      </c>
      <c r="C66" s="149"/>
      <c r="D66" s="57"/>
      <c r="E66" s="57"/>
      <c r="F66" s="511"/>
      <c r="G66" s="511"/>
    </row>
    <row r="67" spans="2:7" ht="15">
      <c r="B67" s="57" t="s">
        <v>342</v>
      </c>
      <c r="C67" s="149"/>
      <c r="D67" s="57" t="s">
        <v>341</v>
      </c>
      <c r="E67" s="57"/>
      <c r="F67" s="512"/>
      <c r="G67" s="512"/>
    </row>
    <row r="68" spans="2:7" ht="15">
      <c r="B68" s="302" t="s">
        <v>393</v>
      </c>
      <c r="C68" s="150"/>
      <c r="D68" s="57"/>
      <c r="E68" s="57"/>
      <c r="F68" s="79"/>
      <c r="G68" s="79"/>
    </row>
    <row r="69" spans="2:7" ht="15">
      <c r="B69" s="406" t="s">
        <v>2</v>
      </c>
      <c r="C69" s="151">
        <f>I1-1</f>
        <v>2014</v>
      </c>
      <c r="D69" s="57" t="s">
        <v>341</v>
      </c>
      <c r="E69" s="57"/>
      <c r="F69" s="512"/>
      <c r="G69" s="512"/>
    </row>
    <row r="70" spans="2:7" ht="15">
      <c r="B70" s="263"/>
      <c r="C70" s="151"/>
      <c r="D70" s="57"/>
      <c r="E70" s="57"/>
      <c r="F70" s="119"/>
      <c r="G70" s="32"/>
    </row>
    <row r="71" spans="2:7" ht="15">
      <c r="B71" s="407"/>
      <c r="C71" s="32"/>
      <c r="D71" s="57" t="s">
        <v>341</v>
      </c>
      <c r="E71" s="57"/>
      <c r="F71" s="57"/>
      <c r="G71" s="57"/>
    </row>
    <row r="72" spans="2:7" ht="15">
      <c r="B72" s="118" t="s">
        <v>41</v>
      </c>
      <c r="C72" s="32"/>
      <c r="D72" s="607" t="s">
        <v>40</v>
      </c>
      <c r="E72" s="608"/>
      <c r="F72" s="608"/>
      <c r="G72" s="608"/>
    </row>
    <row r="73" ht="15">
      <c r="B73" s="28"/>
    </row>
    <row r="83" spans="2:7" ht="15">
      <c r="B83" s="87"/>
      <c r="C83" s="87"/>
      <c r="D83" s="87"/>
      <c r="E83" s="87"/>
      <c r="F83" s="87"/>
      <c r="G83" s="87"/>
    </row>
    <row r="84" spans="2:7" ht="15">
      <c r="B84" s="87"/>
      <c r="C84" s="87"/>
      <c r="D84" s="87"/>
      <c r="E84" s="87"/>
      <c r="F84" s="87"/>
      <c r="G84" s="87"/>
    </row>
    <row r="85" spans="2:7" ht="15">
      <c r="B85" s="87"/>
      <c r="C85" s="87"/>
      <c r="D85" s="87"/>
      <c r="E85" s="87"/>
      <c r="F85" s="87"/>
      <c r="G85" s="87"/>
    </row>
    <row r="86" spans="2:7" ht="15">
      <c r="B86" s="87"/>
      <c r="C86" s="87"/>
      <c r="D86" s="87"/>
      <c r="E86" s="87"/>
      <c r="F86" s="87"/>
      <c r="G86" s="87"/>
    </row>
    <row r="87" spans="2:7" ht="15">
      <c r="B87" s="87"/>
      <c r="C87" s="87"/>
      <c r="D87" s="87"/>
      <c r="E87" s="87"/>
      <c r="F87" s="87"/>
      <c r="G87" s="87"/>
    </row>
    <row r="88" spans="2:7" ht="15">
      <c r="B88" s="87"/>
      <c r="C88" s="87"/>
      <c r="D88" s="87"/>
      <c r="E88" s="87"/>
      <c r="F88" s="87"/>
      <c r="G88" s="87"/>
    </row>
    <row r="89" spans="2:7" ht="15">
      <c r="B89" s="87"/>
      <c r="C89" s="87"/>
      <c r="D89" s="87"/>
      <c r="E89" s="87"/>
      <c r="F89" s="87"/>
      <c r="G89" s="87"/>
    </row>
    <row r="90" spans="2:7" ht="15">
      <c r="B90" s="87"/>
      <c r="C90" s="87"/>
      <c r="D90" s="87"/>
      <c r="E90" s="87"/>
      <c r="F90" s="87"/>
      <c r="G90" s="87"/>
    </row>
    <row r="91" spans="2:7" ht="15">
      <c r="B91" s="87"/>
      <c r="C91" s="87"/>
      <c r="D91" s="87"/>
      <c r="E91" s="87"/>
      <c r="F91" s="87"/>
      <c r="G91" s="87"/>
    </row>
    <row r="92" spans="2:7" ht="15">
      <c r="B92" s="87"/>
      <c r="C92" s="87"/>
      <c r="D92" s="87"/>
      <c r="E92" s="87"/>
      <c r="F92" s="87"/>
      <c r="G92" s="87"/>
    </row>
    <row r="93" spans="2:7" ht="15">
      <c r="B93" s="87"/>
      <c r="C93" s="87"/>
      <c r="D93" s="87"/>
      <c r="E93" s="87"/>
      <c r="F93" s="87"/>
      <c r="G93" s="87"/>
    </row>
    <row r="94" spans="2:7" ht="15">
      <c r="B94" s="87"/>
      <c r="C94" s="87"/>
      <c r="D94" s="87"/>
      <c r="E94" s="87"/>
      <c r="F94" s="87"/>
      <c r="G94" s="87"/>
    </row>
    <row r="95" spans="2:7" ht="15">
      <c r="B95" s="87"/>
      <c r="C95" s="87"/>
      <c r="D95" s="87"/>
      <c r="E95" s="87"/>
      <c r="F95" s="87"/>
      <c r="G95" s="87"/>
    </row>
    <row r="96" spans="2:7" ht="15">
      <c r="B96" s="87"/>
      <c r="C96" s="87"/>
      <c r="D96" s="87"/>
      <c r="E96" s="87"/>
      <c r="F96" s="87"/>
      <c r="G96" s="87"/>
    </row>
    <row r="97" spans="2:7" ht="15">
      <c r="B97" s="87"/>
      <c r="C97" s="87"/>
      <c r="D97" s="87"/>
      <c r="E97" s="87"/>
      <c r="F97" s="87"/>
      <c r="G97" s="87"/>
    </row>
    <row r="98" spans="2:7" ht="15">
      <c r="B98" s="87"/>
      <c r="C98" s="87"/>
      <c r="D98" s="87"/>
      <c r="E98" s="87"/>
      <c r="F98" s="87"/>
      <c r="G98" s="87"/>
    </row>
    <row r="101" spans="2:7" ht="15">
      <c r="B101" s="28"/>
      <c r="C101" s="28"/>
      <c r="D101" s="28"/>
      <c r="E101" s="28"/>
      <c r="F101" s="28"/>
      <c r="G101" s="28"/>
    </row>
  </sheetData>
  <sheetProtection/>
  <mergeCells count="4">
    <mergeCell ref="B4:G4"/>
    <mergeCell ref="B2:G2"/>
    <mergeCell ref="D72:G72"/>
    <mergeCell ref="G60:G61"/>
  </mergeCells>
  <printOptions/>
  <pageMargins left="1" right="0.5" top="0.5" bottom="0.5" header="0.25" footer="0.25"/>
  <pageSetup blackAndWhite="1" fitToHeight="1" fitToWidth="1" horizontalDpi="600" verticalDpi="600" orientation="portrait" scale="63" r:id="rId1"/>
  <headerFooter alignWithMargins="0">
    <oddHeader>&amp;RState of Kansas
City
</oddHeader>
    <oddFooter>&amp;C   Page No. 1</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31">
      <selection activeCell="G43" sqref="G43"/>
    </sheetView>
  </sheetViews>
  <sheetFormatPr defaultColWidth="8.796875" defaultRowHeight="15.75" customHeight="1"/>
  <cols>
    <col min="1" max="2" width="3.296875" style="28" customWidth="1"/>
    <col min="3" max="3" width="31.296875" style="28" customWidth="1"/>
    <col min="4" max="4" width="2.296875" style="28" customWidth="1"/>
    <col min="5" max="5" width="15.69921875" style="28" customWidth="1"/>
    <col min="6" max="6" width="2" style="28" customWidth="1"/>
    <col min="7" max="7" width="15.69921875" style="28" customWidth="1"/>
    <col min="8" max="8" width="1.796875" style="28" customWidth="1"/>
    <col min="9" max="9" width="1.69921875" style="28" customWidth="1"/>
    <col min="10" max="10" width="15.69921875" style="28" customWidth="1"/>
    <col min="11" max="16384" width="8.796875" style="28" customWidth="1"/>
  </cols>
  <sheetData>
    <row r="1" spans="1:10" ht="15.75" customHeight="1">
      <c r="A1" s="153"/>
      <c r="B1" s="153"/>
      <c r="C1" s="154" t="str">
        <f>inputPrYr!D2</f>
        <v>City of Moran</v>
      </c>
      <c r="D1" s="153"/>
      <c r="E1" s="153"/>
      <c r="F1" s="153"/>
      <c r="G1" s="153"/>
      <c r="H1" s="153"/>
      <c r="I1" s="153"/>
      <c r="J1" s="153">
        <f>inputPrYr!C5</f>
        <v>2015</v>
      </c>
    </row>
    <row r="2" spans="1:10" ht="15.75" customHeight="1">
      <c r="A2" s="153"/>
      <c r="B2" s="153"/>
      <c r="C2" s="153"/>
      <c r="D2" s="153"/>
      <c r="E2" s="153"/>
      <c r="F2" s="153"/>
      <c r="G2" s="153"/>
      <c r="H2" s="153"/>
      <c r="I2" s="153"/>
      <c r="J2" s="153"/>
    </row>
    <row r="3" spans="1:10" ht="15">
      <c r="A3" s="612" t="str">
        <f>CONCATENATE("Computation to Determine Limit for ",J1,"")</f>
        <v>Computation to Determine Limit for 2015</v>
      </c>
      <c r="B3" s="613"/>
      <c r="C3" s="613"/>
      <c r="D3" s="613"/>
      <c r="E3" s="613"/>
      <c r="F3" s="613"/>
      <c r="G3" s="613"/>
      <c r="H3" s="613"/>
      <c r="I3" s="613"/>
      <c r="J3" s="613"/>
    </row>
    <row r="4" spans="1:10" ht="15">
      <c r="A4" s="153"/>
      <c r="B4" s="153"/>
      <c r="C4" s="153"/>
      <c r="D4" s="153"/>
      <c r="E4" s="613"/>
      <c r="F4" s="613"/>
      <c r="G4" s="613"/>
      <c r="H4" s="155"/>
      <c r="I4" s="153"/>
      <c r="J4" s="156" t="s">
        <v>120</v>
      </c>
    </row>
    <row r="5" spans="1:10" ht="15">
      <c r="A5" s="157" t="s">
        <v>121</v>
      </c>
      <c r="B5" s="153" t="str">
        <f>CONCATENATE("Total tax levy amount in ",J1-1," budget")</f>
        <v>Total tax levy amount in 2014 budget</v>
      </c>
      <c r="C5" s="153"/>
      <c r="D5" s="153"/>
      <c r="E5" s="158"/>
      <c r="F5" s="158"/>
      <c r="G5" s="158"/>
      <c r="H5" s="159" t="s">
        <v>122</v>
      </c>
      <c r="I5" s="158" t="s">
        <v>123</v>
      </c>
      <c r="J5" s="160">
        <f>inputPrYr!E31</f>
        <v>47674</v>
      </c>
    </row>
    <row r="6" spans="1:10" ht="15">
      <c r="A6" s="157" t="s">
        <v>124</v>
      </c>
      <c r="B6" s="153" t="str">
        <f>CONCATENATE("Debt service levy in ",J1-1," budget")</f>
        <v>Debt service levy in 2014 budget</v>
      </c>
      <c r="C6" s="153"/>
      <c r="D6" s="153"/>
      <c r="E6" s="158"/>
      <c r="F6" s="158"/>
      <c r="G6" s="158"/>
      <c r="H6" s="159" t="s">
        <v>125</v>
      </c>
      <c r="I6" s="158" t="s">
        <v>123</v>
      </c>
      <c r="J6" s="161">
        <f>inputPrYr!E18</f>
        <v>0</v>
      </c>
    </row>
    <row r="7" spans="1:10" ht="15">
      <c r="A7" s="157" t="s">
        <v>149</v>
      </c>
      <c r="B7" s="153" t="s">
        <v>359</v>
      </c>
      <c r="C7" s="153"/>
      <c r="D7" s="153"/>
      <c r="E7" s="158"/>
      <c r="F7" s="158"/>
      <c r="G7" s="158"/>
      <c r="H7" s="158"/>
      <c r="I7" s="158" t="s">
        <v>123</v>
      </c>
      <c r="J7" s="162">
        <f>J5-J6</f>
        <v>47674</v>
      </c>
    </row>
    <row r="8" spans="1:10" ht="15">
      <c r="A8" s="153"/>
      <c r="B8" s="153"/>
      <c r="C8" s="153"/>
      <c r="D8" s="153"/>
      <c r="E8" s="158"/>
      <c r="F8" s="158"/>
      <c r="G8" s="158"/>
      <c r="H8" s="158"/>
      <c r="I8" s="158"/>
      <c r="J8" s="158"/>
    </row>
    <row r="9" spans="1:10" ht="15">
      <c r="A9" s="613" t="str">
        <f>CONCATENATE("",J1-1," Valuation Information for Valuation Adjustments")</f>
        <v>2014 Valuation Information for Valuation Adjustments</v>
      </c>
      <c r="B9" s="596"/>
      <c r="C9" s="596"/>
      <c r="D9" s="596"/>
      <c r="E9" s="596"/>
      <c r="F9" s="596"/>
      <c r="G9" s="596"/>
      <c r="H9" s="596"/>
      <c r="I9" s="596"/>
      <c r="J9" s="596"/>
    </row>
    <row r="10" spans="1:10" ht="15">
      <c r="A10" s="153"/>
      <c r="B10" s="153"/>
      <c r="C10" s="153"/>
      <c r="D10" s="153"/>
      <c r="E10" s="158"/>
      <c r="F10" s="158"/>
      <c r="G10" s="158"/>
      <c r="H10" s="158"/>
      <c r="I10" s="158"/>
      <c r="J10" s="158"/>
    </row>
    <row r="11" spans="1:10" ht="15">
      <c r="A11" s="157" t="s">
        <v>126</v>
      </c>
      <c r="B11" s="153" t="str">
        <f>CONCATENATE("New improvements for ",J1-1,":")</f>
        <v>New improvements for 2014:</v>
      </c>
      <c r="C11" s="153"/>
      <c r="D11" s="153"/>
      <c r="E11" s="159"/>
      <c r="F11" s="159" t="s">
        <v>122</v>
      </c>
      <c r="G11" s="163">
        <f>inputOth!E8</f>
        <v>217</v>
      </c>
      <c r="H11" s="164"/>
      <c r="I11" s="158"/>
      <c r="J11" s="158"/>
    </row>
    <row r="12" spans="1:10" ht="15">
      <c r="A12" s="157"/>
      <c r="B12" s="165"/>
      <c r="C12" s="153"/>
      <c r="D12" s="153"/>
      <c r="E12" s="159"/>
      <c r="F12" s="159"/>
      <c r="G12" s="164"/>
      <c r="H12" s="164"/>
      <c r="I12" s="158"/>
      <c r="J12" s="158"/>
    </row>
    <row r="13" spans="1:10" ht="15">
      <c r="A13" s="157" t="s">
        <v>127</v>
      </c>
      <c r="B13" s="153" t="str">
        <f>CONCATENATE("Increase in personal property for ",J1-1,":")</f>
        <v>Increase in personal property for 2014:</v>
      </c>
      <c r="C13" s="153"/>
      <c r="D13" s="153"/>
      <c r="E13" s="159"/>
      <c r="F13" s="159"/>
      <c r="G13" s="164"/>
      <c r="H13" s="164"/>
      <c r="I13" s="158"/>
      <c r="J13" s="158"/>
    </row>
    <row r="14" spans="1:10" ht="15">
      <c r="A14" s="166"/>
      <c r="B14" s="153" t="s">
        <v>128</v>
      </c>
      <c r="C14" s="153" t="str">
        <f>CONCATENATE("Personal property ",J1-1,"")</f>
        <v>Personal property 2014</v>
      </c>
      <c r="D14" s="165" t="s">
        <v>122</v>
      </c>
      <c r="E14" s="163">
        <f>inputOth!E9</f>
        <v>48601</v>
      </c>
      <c r="F14" s="159"/>
      <c r="G14" s="158"/>
      <c r="H14" s="158"/>
      <c r="I14" s="164"/>
      <c r="J14" s="158"/>
    </row>
    <row r="15" spans="1:10" ht="15">
      <c r="A15" s="165"/>
      <c r="B15" s="153" t="s">
        <v>129</v>
      </c>
      <c r="C15" s="153" t="str">
        <f>CONCATENATE("Personal property ",J1-2,"")</f>
        <v>Personal property 2013</v>
      </c>
      <c r="D15" s="165" t="s">
        <v>125</v>
      </c>
      <c r="E15" s="167">
        <f>inputOth!E15</f>
        <v>59152</v>
      </c>
      <c r="F15" s="159"/>
      <c r="G15" s="164"/>
      <c r="H15" s="164"/>
      <c r="I15" s="158"/>
      <c r="J15" s="158"/>
    </row>
    <row r="16" spans="1:10" ht="15">
      <c r="A16" s="165"/>
      <c r="B16" s="153" t="s">
        <v>130</v>
      </c>
      <c r="C16" s="153" t="s">
        <v>360</v>
      </c>
      <c r="D16" s="153"/>
      <c r="E16" s="158"/>
      <c r="F16" s="158" t="s">
        <v>122</v>
      </c>
      <c r="G16" s="160">
        <f>IF(E14&gt;E15,E14-E15,0)</f>
        <v>0</v>
      </c>
      <c r="H16" s="164"/>
      <c r="I16" s="158"/>
      <c r="J16" s="158"/>
    </row>
    <row r="17" spans="1:10" ht="15">
      <c r="A17" s="165"/>
      <c r="B17" s="165"/>
      <c r="C17" s="153"/>
      <c r="D17" s="153"/>
      <c r="E17" s="158"/>
      <c r="F17" s="158"/>
      <c r="G17" s="164" t="s">
        <v>143</v>
      </c>
      <c r="H17" s="164"/>
      <c r="I17" s="158"/>
      <c r="J17" s="158"/>
    </row>
    <row r="18" spans="1:10" ht="15">
      <c r="A18" s="165" t="s">
        <v>131</v>
      </c>
      <c r="B18" s="153" t="str">
        <f>CONCATENATE("Valuation of annexed territory for ",J1-1,"")</f>
        <v>Valuation of annexed territory for 2014</v>
      </c>
      <c r="C18" s="153"/>
      <c r="D18" s="153"/>
      <c r="E18" s="164"/>
      <c r="F18" s="158"/>
      <c r="G18" s="158"/>
      <c r="H18" s="158"/>
      <c r="I18" s="158"/>
      <c r="J18" s="158"/>
    </row>
    <row r="19" spans="1:10" ht="15">
      <c r="A19" s="165"/>
      <c r="B19" s="153" t="s">
        <v>132</v>
      </c>
      <c r="C19" s="153" t="s">
        <v>361</v>
      </c>
      <c r="D19" s="165" t="s">
        <v>122</v>
      </c>
      <c r="E19" s="163">
        <f>inputOth!E11</f>
        <v>0</v>
      </c>
      <c r="F19" s="158"/>
      <c r="G19" s="158"/>
      <c r="H19" s="158"/>
      <c r="I19" s="158"/>
      <c r="J19" s="158"/>
    </row>
    <row r="20" spans="1:10" ht="15">
      <c r="A20" s="165"/>
      <c r="B20" s="153" t="s">
        <v>133</v>
      </c>
      <c r="C20" s="153" t="s">
        <v>362</v>
      </c>
      <c r="D20" s="165" t="s">
        <v>122</v>
      </c>
      <c r="E20" s="163">
        <f>inputOth!E12</f>
        <v>0</v>
      </c>
      <c r="F20" s="158"/>
      <c r="G20" s="164"/>
      <c r="H20" s="164"/>
      <c r="I20" s="158"/>
      <c r="J20" s="158"/>
    </row>
    <row r="21" spans="1:10" ht="15">
      <c r="A21" s="165"/>
      <c r="B21" s="153" t="s">
        <v>134</v>
      </c>
      <c r="C21" s="153" t="s">
        <v>363</v>
      </c>
      <c r="D21" s="165" t="s">
        <v>125</v>
      </c>
      <c r="E21" s="163">
        <f>inputOth!E13</f>
        <v>0</v>
      </c>
      <c r="F21" s="158"/>
      <c r="G21" s="164"/>
      <c r="H21" s="164"/>
      <c r="I21" s="158"/>
      <c r="J21" s="158"/>
    </row>
    <row r="22" spans="1:10" ht="15">
      <c r="A22" s="165"/>
      <c r="B22" s="153" t="s">
        <v>135</v>
      </c>
      <c r="C22" s="153" t="s">
        <v>364</v>
      </c>
      <c r="D22" s="165"/>
      <c r="E22" s="164"/>
      <c r="F22" s="158" t="s">
        <v>122</v>
      </c>
      <c r="G22" s="160">
        <f>E19+E20-E21</f>
        <v>0</v>
      </c>
      <c r="H22" s="164"/>
      <c r="I22" s="158"/>
      <c r="J22" s="158"/>
    </row>
    <row r="23" spans="1:10" ht="15">
      <c r="A23" s="165"/>
      <c r="B23" s="165"/>
      <c r="C23" s="153"/>
      <c r="D23" s="165"/>
      <c r="E23" s="164"/>
      <c r="F23" s="158"/>
      <c r="G23" s="164"/>
      <c r="H23" s="164"/>
      <c r="I23" s="158"/>
      <c r="J23" s="158"/>
    </row>
    <row r="24" spans="1:10" ht="15">
      <c r="A24" s="165" t="s">
        <v>136</v>
      </c>
      <c r="B24" s="153" t="str">
        <f>CONCATENATE("Valuation of property that has changed in use during ",J1-1,"")</f>
        <v>Valuation of property that has changed in use during 2014</v>
      </c>
      <c r="C24" s="153"/>
      <c r="D24" s="153"/>
      <c r="E24" s="158"/>
      <c r="F24" s="158"/>
      <c r="G24" s="78">
        <f>inputOth!E14</f>
        <v>55700</v>
      </c>
      <c r="H24" s="158"/>
      <c r="I24" s="158"/>
      <c r="J24" s="158"/>
    </row>
    <row r="25" spans="1:10" ht="15">
      <c r="A25" s="153" t="s">
        <v>26</v>
      </c>
      <c r="B25" s="153"/>
      <c r="C25" s="153"/>
      <c r="D25" s="165"/>
      <c r="E25" s="164"/>
      <c r="F25" s="158"/>
      <c r="G25" s="168"/>
      <c r="H25" s="164"/>
      <c r="I25" s="158"/>
      <c r="J25" s="158"/>
    </row>
    <row r="26" spans="1:10" ht="15">
      <c r="A26" s="165" t="s">
        <v>137</v>
      </c>
      <c r="B26" s="153" t="s">
        <v>365</v>
      </c>
      <c r="C26" s="153"/>
      <c r="D26" s="153"/>
      <c r="E26" s="158"/>
      <c r="F26" s="158"/>
      <c r="G26" s="160">
        <f>G11+G16+G22+G24</f>
        <v>55917</v>
      </c>
      <c r="H26" s="164"/>
      <c r="I26" s="158"/>
      <c r="J26" s="158"/>
    </row>
    <row r="27" spans="1:10" ht="15">
      <c r="A27" s="165"/>
      <c r="B27" s="165"/>
      <c r="C27" s="153"/>
      <c r="D27" s="153"/>
      <c r="E27" s="158"/>
      <c r="F27" s="158"/>
      <c r="G27" s="164"/>
      <c r="H27" s="164"/>
      <c r="I27" s="158"/>
      <c r="J27" s="158"/>
    </row>
    <row r="28" spans="1:10" ht="15">
      <c r="A28" s="165" t="s">
        <v>138</v>
      </c>
      <c r="B28" s="153" t="str">
        <f>CONCATENATE("Total estimated valuation July 1,",J1-1,"")</f>
        <v>Total estimated valuation July 1,2014</v>
      </c>
      <c r="C28" s="153"/>
      <c r="D28" s="153"/>
      <c r="E28" s="160">
        <f>inputOth!E7</f>
        <v>1502728</v>
      </c>
      <c r="F28" s="158"/>
      <c r="G28" s="158"/>
      <c r="H28" s="158"/>
      <c r="I28" s="159"/>
      <c r="J28" s="158"/>
    </row>
    <row r="29" spans="1:10" ht="15">
      <c r="A29" s="165"/>
      <c r="B29" s="165"/>
      <c r="C29" s="153"/>
      <c r="D29" s="153"/>
      <c r="E29" s="164"/>
      <c r="F29" s="158"/>
      <c r="G29" s="158"/>
      <c r="H29" s="158"/>
      <c r="I29" s="159"/>
      <c r="J29" s="158"/>
    </row>
    <row r="30" spans="1:10" ht="15">
      <c r="A30" s="165" t="s">
        <v>139</v>
      </c>
      <c r="B30" s="153" t="s">
        <v>366</v>
      </c>
      <c r="C30" s="153"/>
      <c r="D30" s="153"/>
      <c r="E30" s="158"/>
      <c r="F30" s="158"/>
      <c r="G30" s="160">
        <f>E28-G26</f>
        <v>1446811</v>
      </c>
      <c r="H30" s="164"/>
      <c r="I30" s="159"/>
      <c r="J30" s="158"/>
    </row>
    <row r="31" spans="1:10" ht="15">
      <c r="A31" s="165"/>
      <c r="B31" s="165"/>
      <c r="C31" s="153"/>
      <c r="D31" s="153"/>
      <c r="E31" s="153"/>
      <c r="F31" s="153"/>
      <c r="G31" s="169"/>
      <c r="H31" s="170"/>
      <c r="I31" s="165"/>
      <c r="J31" s="153"/>
    </row>
    <row r="32" spans="1:10" ht="15">
      <c r="A32" s="165" t="s">
        <v>140</v>
      </c>
      <c r="B32" s="153" t="s">
        <v>367</v>
      </c>
      <c r="C32" s="153"/>
      <c r="D32" s="153"/>
      <c r="E32" s="153"/>
      <c r="F32" s="153"/>
      <c r="G32" s="171">
        <f>IF(G30&gt;0,G26/G30,0)</f>
        <v>0.03864844820781706</v>
      </c>
      <c r="H32" s="170"/>
      <c r="I32" s="153"/>
      <c r="J32" s="153"/>
    </row>
    <row r="33" spans="1:10" ht="15">
      <c r="A33" s="165"/>
      <c r="B33" s="165"/>
      <c r="C33" s="153"/>
      <c r="D33" s="153"/>
      <c r="E33" s="153"/>
      <c r="F33" s="153"/>
      <c r="G33" s="170"/>
      <c r="H33" s="170"/>
      <c r="I33" s="153"/>
      <c r="J33" s="153"/>
    </row>
    <row r="34" spans="1:10" ht="15">
      <c r="A34" s="165" t="s">
        <v>141</v>
      </c>
      <c r="B34" s="153" t="s">
        <v>368</v>
      </c>
      <c r="C34" s="153"/>
      <c r="D34" s="153"/>
      <c r="E34" s="153"/>
      <c r="F34" s="153"/>
      <c r="G34" s="170"/>
      <c r="H34" s="172" t="s">
        <v>122</v>
      </c>
      <c r="I34" s="153" t="s">
        <v>123</v>
      </c>
      <c r="J34" s="160">
        <f>ROUND(G32*J7,0)</f>
        <v>1843</v>
      </c>
    </row>
    <row r="35" spans="1:10" ht="15">
      <c r="A35" s="165"/>
      <c r="B35" s="165"/>
      <c r="C35" s="153"/>
      <c r="D35" s="153"/>
      <c r="E35" s="153"/>
      <c r="F35" s="153"/>
      <c r="G35" s="170"/>
      <c r="H35" s="172"/>
      <c r="I35" s="153"/>
      <c r="J35" s="164"/>
    </row>
    <row r="36" spans="1:10" ht="15.75" thickBot="1">
      <c r="A36" s="165" t="s">
        <v>142</v>
      </c>
      <c r="B36" s="153" t="str">
        <f>CONCATENATE(J1," budget tax levy, excluding debt service, prior to CPI adjustment (3 plus 12)")</f>
        <v>2015 budget tax levy, excluding debt service, prior to CPI adjustment (3 plus 12)</v>
      </c>
      <c r="C36" s="153"/>
      <c r="D36" s="153"/>
      <c r="E36" s="153"/>
      <c r="F36" s="153"/>
      <c r="G36" s="153"/>
      <c r="H36" s="153"/>
      <c r="I36" s="153" t="s">
        <v>123</v>
      </c>
      <c r="J36" s="173">
        <f>J7+J34</f>
        <v>49517</v>
      </c>
    </row>
    <row r="37" spans="1:10" ht="15.75" thickTop="1">
      <c r="A37" s="153"/>
      <c r="B37" s="153"/>
      <c r="C37" s="153"/>
      <c r="D37" s="153"/>
      <c r="E37" s="153"/>
      <c r="F37" s="153"/>
      <c r="G37" s="153"/>
      <c r="H37" s="153"/>
      <c r="I37" s="153"/>
      <c r="J37" s="153"/>
    </row>
    <row r="38" spans="1:10" ht="15">
      <c r="A38" s="165" t="s">
        <v>153</v>
      </c>
      <c r="B38" s="153" t="str">
        <f>CONCATENATE("Debt service levy in this ",J1," budget")</f>
        <v>Debt service levy in this 2015 budget</v>
      </c>
      <c r="C38" s="153"/>
      <c r="D38" s="153"/>
      <c r="E38" s="153"/>
      <c r="F38" s="153"/>
      <c r="G38" s="153"/>
      <c r="H38" s="153"/>
      <c r="I38" s="153"/>
      <c r="J38" s="174">
        <f>'DebtSvs-library'!E40</f>
        <v>0</v>
      </c>
    </row>
    <row r="39" spans="1:10" ht="15">
      <c r="A39" s="165"/>
      <c r="B39" s="153"/>
      <c r="C39" s="153"/>
      <c r="D39" s="153"/>
      <c r="E39" s="153"/>
      <c r="F39" s="153"/>
      <c r="G39" s="153"/>
      <c r="H39" s="153"/>
      <c r="I39" s="153"/>
      <c r="J39" s="170"/>
    </row>
    <row r="40" spans="1:10" ht="15.75" thickBot="1">
      <c r="A40" s="165" t="s">
        <v>154</v>
      </c>
      <c r="B40" s="153" t="str">
        <f>CONCATENATE(J1," budget tax levy, including debt service, prior to CPI adjustment (13 plus 14)")</f>
        <v>2015 budget tax levy, including debt service, prior to CPI adjustment (13 plus 14)</v>
      </c>
      <c r="C40" s="153"/>
      <c r="D40" s="153"/>
      <c r="E40" s="153"/>
      <c r="F40" s="153"/>
      <c r="G40" s="153"/>
      <c r="H40" s="153"/>
      <c r="I40" s="153"/>
      <c r="J40" s="173">
        <f>J36+J38</f>
        <v>49517</v>
      </c>
    </row>
    <row r="41" spans="1:10" ht="15.75" thickTop="1">
      <c r="A41" s="556"/>
      <c r="B41" s="555"/>
      <c r="C41" s="555"/>
      <c r="D41" s="555"/>
      <c r="E41" s="555"/>
      <c r="F41" s="555"/>
      <c r="G41" s="555"/>
      <c r="H41" s="555"/>
      <c r="I41" s="555"/>
      <c r="J41" s="553"/>
    </row>
    <row r="42" spans="1:10" ht="15">
      <c r="A42" s="558" t="s">
        <v>352</v>
      </c>
      <c r="B42" s="555" t="str">
        <f>CONCATENATE("Consumer Price Index for all urban consumers for calendar year ",J1-2)</f>
        <v>Consumer Price Index for all urban consumers for calendar year 2013</v>
      </c>
      <c r="C42" s="555"/>
      <c r="D42" s="555"/>
      <c r="E42" s="555"/>
      <c r="F42" s="555"/>
      <c r="G42" s="555"/>
      <c r="H42" s="555"/>
      <c r="I42" s="555"/>
      <c r="J42" s="559">
        <v>0.015</v>
      </c>
    </row>
    <row r="43" spans="1:10" ht="15">
      <c r="A43" s="558"/>
      <c r="B43" s="555"/>
      <c r="C43" s="555"/>
      <c r="D43" s="555"/>
      <c r="E43" s="555"/>
      <c r="F43" s="555"/>
      <c r="G43" s="555"/>
      <c r="H43" s="555"/>
      <c r="I43" s="555"/>
      <c r="J43" s="560"/>
    </row>
    <row r="44" spans="1:10" ht="15">
      <c r="A44" s="558" t="s">
        <v>353</v>
      </c>
      <c r="B44" s="555" t="s">
        <v>354</v>
      </c>
      <c r="C44" s="555"/>
      <c r="D44" s="555"/>
      <c r="E44" s="555"/>
      <c r="F44" s="555"/>
      <c r="G44" s="555"/>
      <c r="H44" s="555"/>
      <c r="I44" s="554" t="s">
        <v>123</v>
      </c>
      <c r="J44" s="552">
        <f>J7*J42</f>
        <v>715.11</v>
      </c>
    </row>
    <row r="45" spans="1:10" ht="15">
      <c r="A45" s="556"/>
      <c r="B45" s="555"/>
      <c r="C45" s="555"/>
      <c r="D45" s="555"/>
      <c r="E45" s="555"/>
      <c r="F45" s="555"/>
      <c r="G45" s="555"/>
      <c r="H45" s="555"/>
      <c r="I45" s="555"/>
      <c r="J45" s="553"/>
    </row>
    <row r="46" spans="1:10" ht="15">
      <c r="A46" s="556" t="s">
        <v>355</v>
      </c>
      <c r="B46" s="555" t="str">
        <f>CONCATENATE("Maximum levy for budget year ",J1,", including debt service, not requiring 'notice of vote publication.'")</f>
        <v>Maximum levy for budget year 2015, including debt service, not requiring 'notice of vote publication.'</v>
      </c>
      <c r="C46" s="555"/>
      <c r="D46" s="555"/>
      <c r="E46" s="555"/>
      <c r="F46" s="555"/>
      <c r="G46" s="555"/>
      <c r="H46" s="555"/>
      <c r="I46" s="555"/>
      <c r="J46" s="551"/>
    </row>
    <row r="47" spans="1:10" ht="18" thickBot="1">
      <c r="A47" s="550"/>
      <c r="B47" s="554" t="s">
        <v>356</v>
      </c>
      <c r="C47" s="550"/>
      <c r="D47" s="550"/>
      <c r="E47" s="550"/>
      <c r="F47" s="550"/>
      <c r="G47" s="550"/>
      <c r="H47" s="550"/>
      <c r="I47" s="554" t="s">
        <v>123</v>
      </c>
      <c r="J47" s="557">
        <f>J40+J44</f>
        <v>50232.11</v>
      </c>
    </row>
    <row r="48" spans="1:10" ht="18" thickTop="1">
      <c r="A48" s="550"/>
      <c r="B48" s="561"/>
      <c r="C48" s="550"/>
      <c r="D48" s="550"/>
      <c r="E48" s="550"/>
      <c r="F48" s="550"/>
      <c r="G48" s="550"/>
      <c r="H48" s="550"/>
      <c r="I48" s="554"/>
      <c r="J48" s="553"/>
    </row>
    <row r="49" spans="1:10" ht="18">
      <c r="A49" s="550"/>
      <c r="B49" s="561"/>
      <c r="C49" s="550"/>
      <c r="D49" s="550"/>
      <c r="E49" s="550"/>
      <c r="F49" s="550"/>
      <c r="G49" s="550"/>
      <c r="H49" s="550"/>
      <c r="I49" s="554"/>
      <c r="J49" s="553"/>
    </row>
    <row r="50" spans="1:10" ht="18">
      <c r="A50" s="614" t="str">
        <f>CONCATENATE("If the ",J1," adopted budget includes a total property tax levy exceeding the dollar amount in line 18")</f>
        <v>If the 2015 adopted budget includes a total property tax levy exceeding the dollar amount in line 18</v>
      </c>
      <c r="B50" s="614"/>
      <c r="C50" s="614"/>
      <c r="D50" s="614"/>
      <c r="E50" s="614"/>
      <c r="F50" s="614"/>
      <c r="G50" s="614"/>
      <c r="H50" s="614"/>
      <c r="I50" s="614"/>
      <c r="J50" s="614"/>
    </row>
    <row r="51" spans="1:10" ht="18">
      <c r="A51" s="614" t="s">
        <v>357</v>
      </c>
      <c r="B51" s="614"/>
      <c r="C51" s="614"/>
      <c r="D51" s="614"/>
      <c r="E51" s="614"/>
      <c r="F51" s="614"/>
      <c r="G51" s="614"/>
      <c r="H51" s="614"/>
      <c r="I51" s="614"/>
      <c r="J51" s="614"/>
    </row>
    <row r="52" spans="1:10" ht="15">
      <c r="A52" s="611" t="s">
        <v>358</v>
      </c>
      <c r="B52" s="611"/>
      <c r="C52" s="611"/>
      <c r="D52" s="611"/>
      <c r="E52" s="611"/>
      <c r="F52" s="611"/>
      <c r="G52" s="611"/>
      <c r="H52" s="611"/>
      <c r="I52" s="611"/>
      <c r="J52" s="611"/>
    </row>
    <row r="53" spans="1:10" ht="15.75" customHeight="1">
      <c r="A53" s="611" t="s">
        <v>371</v>
      </c>
      <c r="B53" s="611"/>
      <c r="C53" s="611"/>
      <c r="D53" s="611"/>
      <c r="E53" s="611"/>
      <c r="F53" s="611"/>
      <c r="G53" s="611"/>
      <c r="H53" s="611"/>
      <c r="I53" s="611"/>
      <c r="J53" s="611"/>
    </row>
  </sheetData>
  <sheetProtection sheet="1"/>
  <mergeCells count="7">
    <mergeCell ref="A53:J53"/>
    <mergeCell ref="A52:J52"/>
    <mergeCell ref="A3:J3"/>
    <mergeCell ref="E4:G4"/>
    <mergeCell ref="A51:J51"/>
    <mergeCell ref="A50:J50"/>
    <mergeCell ref="A9:J9"/>
  </mergeCells>
  <printOptions/>
  <pageMargins left="0.5" right="0.5" top="1" bottom="0.5" header="0.5" footer="0.5"/>
  <pageSetup blackAndWhite="1" fitToHeight="1" fitToWidth="1" horizontalDpi="600" verticalDpi="600" orientation="portrait" scale="81"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Q53" sqref="Q53"/>
    </sheetView>
  </sheetViews>
  <sheetFormatPr defaultColWidth="8.796875" defaultRowHeight="15"/>
  <cols>
    <col min="1" max="1" width="8.796875" style="30" customWidth="1"/>
    <col min="2" max="2" width="17.796875" style="30" customWidth="1"/>
    <col min="3" max="3" width="16.19921875" style="30" customWidth="1"/>
    <col min="4" max="6" width="12.69921875" style="30" customWidth="1"/>
    <col min="7" max="7" width="10.19921875" style="30" customWidth="1"/>
    <col min="8" max="16384" width="8.796875" style="30" customWidth="1"/>
  </cols>
  <sheetData>
    <row r="1" spans="1:7" ht="15">
      <c r="A1" s="510"/>
      <c r="B1" s="175" t="str">
        <f>inputPrYr!D2</f>
        <v>City of Moran</v>
      </c>
      <c r="C1" s="175"/>
      <c r="D1" s="32"/>
      <c r="E1" s="32"/>
      <c r="F1" s="32"/>
      <c r="G1" s="32">
        <f>inputPrYr!C5</f>
        <v>2015</v>
      </c>
    </row>
    <row r="2" spans="1:7" ht="15">
      <c r="A2" s="510"/>
      <c r="B2" s="32"/>
      <c r="C2" s="32"/>
      <c r="D2" s="32"/>
      <c r="E2" s="32"/>
      <c r="F2" s="32"/>
      <c r="G2" s="32"/>
    </row>
    <row r="3" spans="1:7" ht="15">
      <c r="A3" s="510"/>
      <c r="B3" s="615" t="s">
        <v>3</v>
      </c>
      <c r="C3" s="615"/>
      <c r="D3" s="615"/>
      <c r="E3" s="615"/>
      <c r="F3" s="615"/>
      <c r="G3" s="32"/>
    </row>
    <row r="4" spans="1:7" ht="15">
      <c r="A4" s="510"/>
      <c r="B4" s="32"/>
      <c r="C4" s="176"/>
      <c r="D4" s="176"/>
      <c r="E4" s="176"/>
      <c r="F4" s="32"/>
      <c r="G4" s="57"/>
    </row>
    <row r="5" spans="1:8" ht="21" customHeight="1">
      <c r="A5" s="510"/>
      <c r="B5" s="177" t="s">
        <v>206</v>
      </c>
      <c r="C5" s="125" t="s">
        <v>344</v>
      </c>
      <c r="D5" s="616" t="str">
        <f>CONCATENATE("Allocation for Year ",G1,"")</f>
        <v>Allocation for Year 2015</v>
      </c>
      <c r="E5" s="617"/>
      <c r="F5" s="618"/>
      <c r="G5" s="32"/>
      <c r="H5" s="429"/>
    </row>
    <row r="6" spans="1:7" ht="15">
      <c r="A6" s="510"/>
      <c r="B6" s="178" t="str">
        <f>CONCATENATE("for ",G1-1,"")</f>
        <v>for 2014</v>
      </c>
      <c r="C6" s="178" t="str">
        <f>CONCATENATE("Amount for ",G1-2,"")</f>
        <v>Amount for 2013</v>
      </c>
      <c r="D6" s="129" t="s">
        <v>116</v>
      </c>
      <c r="E6" s="129" t="s">
        <v>117</v>
      </c>
      <c r="F6" s="129" t="s">
        <v>115</v>
      </c>
      <c r="G6" s="509"/>
    </row>
    <row r="7" spans="1:7" ht="15">
      <c r="A7" s="510"/>
      <c r="B7" s="68" t="str">
        <f>(inputPrYr!B17)</f>
        <v>General</v>
      </c>
      <c r="C7" s="132">
        <f>(inputPrYr!E17)</f>
        <v>25610</v>
      </c>
      <c r="D7" s="132">
        <f>IF(inputPrYr!E17=0,0,D22-SUM(D8:D19))</f>
        <v>7556</v>
      </c>
      <c r="E7" s="132">
        <f>IF(inputPrYr!E17=0,0,E23-SUM(E8:E19))</f>
        <v>45</v>
      </c>
      <c r="F7" s="132">
        <f>IF(inputPrYr!E17=0,0,F24-SUM(F8:F19))</f>
        <v>308</v>
      </c>
      <c r="G7" s="510"/>
    </row>
    <row r="8" spans="1:7" ht="15">
      <c r="A8" s="510"/>
      <c r="B8" s="68" t="str">
        <f>IF(inputPrYr!$B18&gt;"  ",(inputPrYr!$B18),"  ")</f>
        <v>Debt Service</v>
      </c>
      <c r="C8" s="132" t="str">
        <f>IF(inputPrYr!$E18&gt;0,(inputPrYr!$E18),"  ")</f>
        <v>  </v>
      </c>
      <c r="D8" s="132" t="str">
        <f>IF(inputPrYr!E18&gt;0,ROUND(C8*$D$26,0),"  ")</f>
        <v>  </v>
      </c>
      <c r="E8" s="132" t="str">
        <f>IF(inputPrYr!E18&gt;0,ROUND(+C8*E$27,0)," ")</f>
        <v> </v>
      </c>
      <c r="F8" s="132" t="str">
        <f>IF(inputPrYr!E18&gt;0,ROUND(C8*F$28,0)," ")</f>
        <v> </v>
      </c>
      <c r="G8" s="510"/>
    </row>
    <row r="9" spans="1:7" ht="15">
      <c r="A9" s="510"/>
      <c r="B9" s="68" t="str">
        <f>IF(inputPrYr!$B19&gt;"  ",(inputPrYr!$B19),"  ")</f>
        <v>Library</v>
      </c>
      <c r="C9" s="132">
        <f>IF(inputPrYr!$E19&gt;0,(inputPrYr!$E19),"  ")</f>
        <v>3104</v>
      </c>
      <c r="D9" s="132">
        <f>IF(inputPrYr!E19&gt;0,ROUND(C9*$D$26,0),"  ")</f>
        <v>916</v>
      </c>
      <c r="E9" s="132">
        <f>IF(inputPrYr!E19&gt;0,ROUND(+C9*E$27,0)," ")</f>
        <v>6</v>
      </c>
      <c r="F9" s="132">
        <f>IF(inputPrYr!E19&gt;0,ROUND(+C9*F$28,0)," ")</f>
        <v>37</v>
      </c>
      <c r="G9" s="510"/>
    </row>
    <row r="10" spans="1:7" ht="15">
      <c r="A10" s="510"/>
      <c r="B10" s="68" t="str">
        <f>IF(inputPrYr!$B21&gt;"  ",(inputPrYr!$B21),"  ")</f>
        <v>Employee Benefit</v>
      </c>
      <c r="C10" s="132">
        <f>IF(inputPrYr!$E21&gt;0,(inputPrYr!$E21),"  ")</f>
        <v>18960</v>
      </c>
      <c r="D10" s="132">
        <f>IF(inputPrYr!E21&gt;0,ROUND(C10*$D$26,0),"  ")</f>
        <v>5594</v>
      </c>
      <c r="E10" s="132">
        <f>IF(inputPrYr!E21&gt;0,ROUND(+C10*E$27,0)," ")</f>
        <v>34</v>
      </c>
      <c r="F10" s="132">
        <f>IF(inputPrYr!E21&gt;0,ROUND(+C10*F$28,0)," ")</f>
        <v>227</v>
      </c>
      <c r="G10" s="510"/>
    </row>
    <row r="11" spans="1:7" ht="15">
      <c r="A11" s="510"/>
      <c r="B11" s="68" t="str">
        <f>IF(inputPrYr!$B22&gt;"  ",(inputPrYr!$B22),"  ")</f>
        <v>  </v>
      </c>
      <c r="C11" s="132" t="str">
        <f>IF(inputPrYr!$E22&gt;0,(inputPrYr!$E22),"  ")</f>
        <v>  </v>
      </c>
      <c r="D11" s="132" t="str">
        <f>IF(inputPrYr!E22&gt;0,ROUND(C11*$D$26,0),"  ")</f>
        <v>  </v>
      </c>
      <c r="E11" s="132" t="str">
        <f>IF(inputPrYr!E22&gt;0,ROUND(+C11*E$27,0)," ")</f>
        <v> </v>
      </c>
      <c r="F11" s="132" t="str">
        <f>IF(inputPrYr!E22&gt;0,ROUND(+C11*F$28,0)," ")</f>
        <v> </v>
      </c>
      <c r="G11" s="510"/>
    </row>
    <row r="12" spans="1:7" ht="15">
      <c r="A12" s="510"/>
      <c r="B12" s="68" t="str">
        <f>IF(inputPrYr!$B23&gt;"  ",(inputPrYr!$B23),"  ")</f>
        <v>  </v>
      </c>
      <c r="C12" s="132" t="str">
        <f>IF(inputPrYr!$E23&gt;0,(inputPrYr!$E23),"  ")</f>
        <v>  </v>
      </c>
      <c r="D12" s="132" t="str">
        <f>IF(inputPrYr!E23&gt;0,ROUND(C12*$D$26,0),"  ")</f>
        <v>  </v>
      </c>
      <c r="E12" s="132" t="str">
        <f>IF(inputPrYr!E23&gt;0,ROUND(+C12*E$27,0)," ")</f>
        <v> </v>
      </c>
      <c r="F12" s="132" t="str">
        <f>IF(inputPrYr!E23&gt;0,ROUND(+C12*F$28,0)," ")</f>
        <v> </v>
      </c>
      <c r="G12" s="510"/>
    </row>
    <row r="13" spans="1:7" ht="15">
      <c r="A13" s="510"/>
      <c r="B13" s="68" t="str">
        <f>IF(inputPrYr!$B24&gt;"  ",(inputPrYr!$B24),"  ")</f>
        <v>  </v>
      </c>
      <c r="C13" s="132" t="str">
        <f>IF(inputPrYr!$E24&gt;0,(inputPrYr!$E24),"  ")</f>
        <v>  </v>
      </c>
      <c r="D13" s="132" t="str">
        <f>IF(inputPrYr!E24&gt;0,ROUND(C13*$D$26,0),"  ")</f>
        <v>  </v>
      </c>
      <c r="E13" s="132" t="str">
        <f>IF(inputPrYr!E24&gt;0,ROUND(+C13*E$27,0)," ")</f>
        <v> </v>
      </c>
      <c r="F13" s="132" t="str">
        <f>IF(inputPrYr!E24&gt;0,ROUND(+C13*F$28,0)," ")</f>
        <v> </v>
      </c>
      <c r="G13" s="510"/>
    </row>
    <row r="14" spans="1:7" ht="15">
      <c r="A14" s="510"/>
      <c r="B14" s="68" t="str">
        <f>IF(inputPrYr!$B25&gt;"  ",(inputPrYr!$B25),"  ")</f>
        <v>  </v>
      </c>
      <c r="C14" s="132" t="str">
        <f>IF(inputPrYr!$E25&gt;0,(inputPrYr!$E25),"  ")</f>
        <v>  </v>
      </c>
      <c r="D14" s="132" t="str">
        <f>IF(inputPrYr!E25&gt;0,ROUND(C14*$D$26,0),"  ")</f>
        <v>  </v>
      </c>
      <c r="E14" s="132" t="str">
        <f>IF(inputPrYr!E25&gt;0,ROUND(+C14*E$27,0)," ")</f>
        <v> </v>
      </c>
      <c r="F14" s="132" t="str">
        <f>IF(inputPrYr!E25&gt;0,ROUND(+C14*F$28,0)," ")</f>
        <v> </v>
      </c>
      <c r="G14" s="510"/>
    </row>
    <row r="15" spans="1:7" ht="15">
      <c r="A15" s="510"/>
      <c r="B15" s="68" t="str">
        <f>IF(inputPrYr!$B26&gt;"  ",(inputPrYr!$B26),"  ")</f>
        <v>  </v>
      </c>
      <c r="C15" s="132" t="str">
        <f>IF(inputPrYr!$E26&gt;0,(inputPrYr!$E26),"  ")</f>
        <v>  </v>
      </c>
      <c r="D15" s="132" t="str">
        <f>IF(inputPrYr!E26&gt;0,ROUND(C15*$D$26,0),"  ")</f>
        <v>  </v>
      </c>
      <c r="E15" s="132" t="str">
        <f>IF(inputPrYr!E26&gt;0,ROUND(+C15*E$27,0)," ")</f>
        <v> </v>
      </c>
      <c r="F15" s="132" t="str">
        <f>IF(inputPrYr!E26&gt;0,ROUND(+C15*F$28,0)," ")</f>
        <v> </v>
      </c>
      <c r="G15" s="510"/>
    </row>
    <row r="16" spans="1:7" ht="15">
      <c r="A16" s="510"/>
      <c r="B16" s="68" t="str">
        <f>IF(inputPrYr!$B27&gt;"  ",(inputPrYr!$B27),"  ")</f>
        <v>  </v>
      </c>
      <c r="C16" s="132" t="str">
        <f>IF(inputPrYr!$E27&gt;0,(inputPrYr!$E27),"  ")</f>
        <v>  </v>
      </c>
      <c r="D16" s="132" t="str">
        <f>IF(inputPrYr!E27&gt;0,ROUND(C16*$D$26,0),"  ")</f>
        <v>  </v>
      </c>
      <c r="E16" s="132" t="str">
        <f>IF(inputPrYr!E27&gt;0,ROUND(+C16*E$27,0)," ")</f>
        <v> </v>
      </c>
      <c r="F16" s="132" t="str">
        <f>IF(inputPrYr!E27&gt;0,ROUND(+C16*F$28,0)," ")</f>
        <v> </v>
      </c>
      <c r="G16" s="510"/>
    </row>
    <row r="17" spans="1:7" ht="15">
      <c r="A17" s="510"/>
      <c r="B17" s="68" t="str">
        <f>IF(inputPrYr!$B28&gt;"  ",(inputPrYr!$B28),"  ")</f>
        <v>  </v>
      </c>
      <c r="C17" s="132" t="str">
        <f>IF(inputPrYr!$E28&gt;0,(inputPrYr!$E28),"  ")</f>
        <v>  </v>
      </c>
      <c r="D17" s="132" t="str">
        <f>IF(inputPrYr!E28&gt;0,ROUND(C17*$D$26,0),"  ")</f>
        <v>  </v>
      </c>
      <c r="E17" s="132" t="str">
        <f>IF(inputPrYr!E28&gt;0,ROUND(+C17*E$27,0)," ")</f>
        <v> </v>
      </c>
      <c r="F17" s="132" t="str">
        <f>IF(inputPrYr!E28&gt;0,ROUND(+C17*F$28,0)," ")</f>
        <v> </v>
      </c>
      <c r="G17" s="510"/>
    </row>
    <row r="18" spans="1:7" ht="15">
      <c r="A18" s="510"/>
      <c r="B18" s="68" t="str">
        <f>IF(inputPrYr!$B29&gt;"  ",(inputPrYr!$B29),"  ")</f>
        <v>  </v>
      </c>
      <c r="C18" s="132" t="str">
        <f>IF(inputPrYr!$E29&gt;0,(inputPrYr!$E29),"  ")</f>
        <v>  </v>
      </c>
      <c r="D18" s="132" t="str">
        <f>IF(inputPrYr!E29&gt;0,ROUND(C18*$D$26,0),"  ")</f>
        <v>  </v>
      </c>
      <c r="E18" s="132" t="str">
        <f>IF(inputPrYr!E29&gt;0,ROUND(+C18*E$27,0)," ")</f>
        <v> </v>
      </c>
      <c r="F18" s="132" t="str">
        <f>IF(inputPrYr!E29&gt;0,ROUND(+C18*F$28,0)," ")</f>
        <v> </v>
      </c>
      <c r="G18" s="510"/>
    </row>
    <row r="19" spans="1:7" ht="15">
      <c r="A19" s="510"/>
      <c r="B19" s="68" t="str">
        <f>IF(inputPrYr!B30&gt;"  ",(inputPrYr!B30),"  ")</f>
        <v>  </v>
      </c>
      <c r="C19" s="132" t="str">
        <f>IF(inputPrYr!E30&gt;0,(inputPrYr!E30),"  ")</f>
        <v>  </v>
      </c>
      <c r="D19" s="132" t="str">
        <f>IF(inputPrYr!E30&gt;0,ROUND(C19*$D$26,0),"  ")</f>
        <v>  </v>
      </c>
      <c r="E19" s="132" t="str">
        <f>IF(inputPrYr!E30&gt;0,ROUND(+C19*E$27,0)," ")</f>
        <v> </v>
      </c>
      <c r="F19" s="132" t="str">
        <f>IF(inputPrYr!E30&gt;0,ROUND(+C19*F$28,0)," ")</f>
        <v> </v>
      </c>
      <c r="G19" s="510"/>
    </row>
    <row r="20" spans="1:7" ht="15">
      <c r="A20" s="510"/>
      <c r="B20" s="32" t="s">
        <v>44</v>
      </c>
      <c r="C20" s="139">
        <f>SUM(C7:C19)</f>
        <v>47674</v>
      </c>
      <c r="D20" s="139">
        <f>SUM(D7:D19)</f>
        <v>14066</v>
      </c>
      <c r="E20" s="139">
        <f>SUM(E7:E19)</f>
        <v>85</v>
      </c>
      <c r="F20" s="139">
        <f>SUM(F7:F19)</f>
        <v>572</v>
      </c>
      <c r="G20" s="32"/>
    </row>
    <row r="21" spans="1:7" ht="15">
      <c r="A21" s="510"/>
      <c r="B21" s="32"/>
      <c r="C21" s="58"/>
      <c r="D21" s="58"/>
      <c r="E21" s="58"/>
      <c r="F21" s="58"/>
      <c r="G21" s="32"/>
    </row>
    <row r="22" spans="1:7" ht="15">
      <c r="A22" s="510"/>
      <c r="B22" s="33" t="s">
        <v>45</v>
      </c>
      <c r="C22" s="179"/>
      <c r="D22" s="180">
        <f>(inputOth!E39)</f>
        <v>14066</v>
      </c>
      <c r="E22" s="179"/>
      <c r="F22" s="32"/>
      <c r="G22" s="32"/>
    </row>
    <row r="23" spans="1:7" ht="15">
      <c r="A23" s="510"/>
      <c r="B23" s="33" t="s">
        <v>46</v>
      </c>
      <c r="C23" s="32"/>
      <c r="D23" s="32"/>
      <c r="E23" s="180">
        <f>(inputOth!E40)</f>
        <v>85</v>
      </c>
      <c r="F23" s="32"/>
      <c r="G23" s="32"/>
    </row>
    <row r="24" spans="1:7" ht="15">
      <c r="A24" s="510"/>
      <c r="B24" s="33" t="s">
        <v>118</v>
      </c>
      <c r="C24" s="32"/>
      <c r="D24" s="32"/>
      <c r="E24" s="32"/>
      <c r="F24" s="180">
        <f>inputOth!E41</f>
        <v>572</v>
      </c>
      <c r="G24" s="32"/>
    </row>
    <row r="25" spans="1:7" ht="15">
      <c r="A25" s="510"/>
      <c r="B25" s="33"/>
      <c r="C25" s="32"/>
      <c r="D25" s="32"/>
      <c r="E25" s="32"/>
      <c r="F25" s="58"/>
      <c r="G25" s="314"/>
    </row>
    <row r="26" spans="1:7" ht="15">
      <c r="A26" s="510"/>
      <c r="B26" s="33" t="s">
        <v>47</v>
      </c>
      <c r="C26" s="32"/>
      <c r="D26" s="181">
        <f>IF(C20=0,0,D22/C20)</f>
        <v>0.29504551747283636</v>
      </c>
      <c r="E26" s="32"/>
      <c r="F26" s="32"/>
      <c r="G26" s="32"/>
    </row>
    <row r="27" spans="1:7" ht="15">
      <c r="A27" s="510"/>
      <c r="B27" s="32"/>
      <c r="C27" s="33" t="s">
        <v>48</v>
      </c>
      <c r="D27" s="32"/>
      <c r="E27" s="181">
        <f>IF(C20=0,0,E23/C20)</f>
        <v>0.0017829424843730335</v>
      </c>
      <c r="F27" s="32"/>
      <c r="G27" s="32"/>
    </row>
    <row r="28" spans="1:7" ht="15">
      <c r="A28" s="510"/>
      <c r="B28" s="32"/>
      <c r="C28" s="32"/>
      <c r="D28" s="33" t="s">
        <v>119</v>
      </c>
      <c r="E28" s="32"/>
      <c r="F28" s="181">
        <f>IF(C20=0,0,F24/C20)</f>
        <v>0.011998154130133826</v>
      </c>
      <c r="G28" s="32"/>
    </row>
    <row r="29" spans="1:7" ht="15">
      <c r="A29" s="510"/>
      <c r="B29" s="32"/>
      <c r="C29" s="32"/>
      <c r="D29" s="32"/>
      <c r="E29" s="32"/>
      <c r="F29" s="32"/>
      <c r="G29" s="32"/>
    </row>
    <row r="30" spans="1:7" ht="15">
      <c r="A30" s="510"/>
      <c r="B30" s="49"/>
      <c r="C30" s="49"/>
      <c r="D30" s="49"/>
      <c r="E30" s="49"/>
      <c r="F30" s="49"/>
      <c r="G30" s="49"/>
    </row>
  </sheetData>
  <sheetProtection sheet="1"/>
  <mergeCells count="2">
    <mergeCell ref="B3:F3"/>
    <mergeCell ref="D5:F5"/>
  </mergeCells>
  <printOptions/>
  <pageMargins left="0.5" right="0.5" top="1" bottom="0.5" header="0.5" footer="0.5"/>
  <pageSetup blackAndWhite="1" fitToHeight="1" fitToWidth="1" horizontalDpi="600" verticalDpi="60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
      <selection activeCell="F16" sqref="F16"/>
    </sheetView>
  </sheetViews>
  <sheetFormatPr defaultColWidth="8.796875" defaultRowHeight="15"/>
  <cols>
    <col min="1" max="1" width="4.19921875" style="28" customWidth="1"/>
    <col min="2" max="3" width="17.69921875" style="28" customWidth="1"/>
    <col min="4" max="7" width="12.69921875" style="28" customWidth="1"/>
    <col min="8" max="16384" width="8.796875" style="28" customWidth="1"/>
  </cols>
  <sheetData>
    <row r="1" spans="2:7" ht="15">
      <c r="B1" s="154" t="str">
        <f>inputPrYr!D2</f>
        <v>City of Moran</v>
      </c>
      <c r="C1" s="154"/>
      <c r="D1" s="153"/>
      <c r="E1" s="153"/>
      <c r="F1" s="153"/>
      <c r="G1" s="153">
        <f>inputPrYr!$C$5</f>
        <v>2015</v>
      </c>
    </row>
    <row r="2" spans="2:7" ht="15">
      <c r="B2" s="153"/>
      <c r="C2" s="153"/>
      <c r="D2" s="153"/>
      <c r="E2" s="153"/>
      <c r="F2" s="153"/>
      <c r="G2" s="153"/>
    </row>
    <row r="3" spans="2:7" ht="15">
      <c r="B3" s="619" t="s">
        <v>159</v>
      </c>
      <c r="C3" s="619"/>
      <c r="D3" s="619"/>
      <c r="E3" s="619"/>
      <c r="F3" s="619"/>
      <c r="G3" s="619"/>
    </row>
    <row r="4" spans="2:7" ht="15">
      <c r="B4" s="182"/>
      <c r="C4" s="182"/>
      <c r="D4" s="182"/>
      <c r="E4" s="182"/>
      <c r="F4" s="182"/>
      <c r="G4" s="182"/>
    </row>
    <row r="5" spans="2:7" ht="15">
      <c r="B5" s="183" t="s">
        <v>240</v>
      </c>
      <c r="C5" s="183" t="s">
        <v>241</v>
      </c>
      <c r="D5" s="183" t="s">
        <v>69</v>
      </c>
      <c r="E5" s="183" t="s">
        <v>164</v>
      </c>
      <c r="F5" s="183" t="s">
        <v>165</v>
      </c>
      <c r="G5" s="183" t="s">
        <v>198</v>
      </c>
    </row>
    <row r="6" spans="2:7" ht="15">
      <c r="B6" s="184" t="s">
        <v>242</v>
      </c>
      <c r="C6" s="184" t="s">
        <v>243</v>
      </c>
      <c r="D6" s="184" t="s">
        <v>199</v>
      </c>
      <c r="E6" s="184" t="s">
        <v>199</v>
      </c>
      <c r="F6" s="184" t="s">
        <v>199</v>
      </c>
      <c r="G6" s="184" t="s">
        <v>200</v>
      </c>
    </row>
    <row r="7" spans="2:7" ht="15" customHeight="1">
      <c r="B7" s="185" t="s">
        <v>201</v>
      </c>
      <c r="C7" s="185" t="s">
        <v>202</v>
      </c>
      <c r="D7" s="186">
        <f>G1-2</f>
        <v>2013</v>
      </c>
      <c r="E7" s="186">
        <f>G1-1</f>
        <v>2014</v>
      </c>
      <c r="F7" s="186">
        <f>G1</f>
        <v>2015</v>
      </c>
      <c r="G7" s="185" t="s">
        <v>203</v>
      </c>
    </row>
    <row r="8" spans="2:7" ht="14.25" customHeight="1">
      <c r="B8" s="574" t="s">
        <v>422</v>
      </c>
      <c r="C8" s="574" t="s">
        <v>423</v>
      </c>
      <c r="D8" s="575">
        <v>5000</v>
      </c>
      <c r="E8" s="575">
        <v>5000</v>
      </c>
      <c r="F8" s="575">
        <v>17000</v>
      </c>
      <c r="G8" s="574" t="s">
        <v>424</v>
      </c>
    </row>
    <row r="9" spans="2:7" ht="15" customHeight="1">
      <c r="B9" s="576" t="s">
        <v>422</v>
      </c>
      <c r="C9" s="576" t="s">
        <v>378</v>
      </c>
      <c r="D9" s="577">
        <v>4200</v>
      </c>
      <c r="E9" s="577">
        <v>4200</v>
      </c>
      <c r="F9" s="577">
        <v>4200</v>
      </c>
      <c r="G9" s="574" t="s">
        <v>424</v>
      </c>
    </row>
    <row r="10" spans="2:7" ht="15" customHeight="1">
      <c r="B10" s="576" t="s">
        <v>422</v>
      </c>
      <c r="C10" s="576" t="s">
        <v>425</v>
      </c>
      <c r="D10" s="577">
        <v>0</v>
      </c>
      <c r="E10" s="577">
        <v>0</v>
      </c>
      <c r="F10" s="577">
        <v>10000</v>
      </c>
      <c r="G10" s="574" t="s">
        <v>426</v>
      </c>
    </row>
    <row r="11" spans="2:7" ht="15" customHeight="1">
      <c r="B11" s="576" t="s">
        <v>374</v>
      </c>
      <c r="C11" s="576" t="s">
        <v>423</v>
      </c>
      <c r="D11" s="577">
        <v>5000</v>
      </c>
      <c r="E11" s="577">
        <v>5000</v>
      </c>
      <c r="F11" s="577">
        <v>5000</v>
      </c>
      <c r="G11" s="574" t="s">
        <v>424</v>
      </c>
    </row>
    <row r="12" spans="2:7" ht="15" customHeight="1">
      <c r="B12" s="576" t="s">
        <v>374</v>
      </c>
      <c r="C12" s="576" t="s">
        <v>378</v>
      </c>
      <c r="D12" s="577">
        <v>19000</v>
      </c>
      <c r="E12" s="577">
        <v>19000</v>
      </c>
      <c r="F12" s="577">
        <v>19000</v>
      </c>
      <c r="G12" s="574" t="s">
        <v>424</v>
      </c>
    </row>
    <row r="13" spans="2:7" ht="15" customHeight="1">
      <c r="B13" s="576" t="s">
        <v>374</v>
      </c>
      <c r="C13" s="576" t="s">
        <v>425</v>
      </c>
      <c r="D13" s="577">
        <v>31500</v>
      </c>
      <c r="E13" s="577">
        <v>31500</v>
      </c>
      <c r="F13" s="577">
        <v>31500</v>
      </c>
      <c r="G13" s="574" t="s">
        <v>426</v>
      </c>
    </row>
    <row r="14" spans="2:7" ht="15" customHeight="1">
      <c r="B14" s="576" t="s">
        <v>374</v>
      </c>
      <c r="C14" s="576" t="s">
        <v>382</v>
      </c>
      <c r="D14" s="577">
        <v>10000</v>
      </c>
      <c r="E14" s="577">
        <v>10000</v>
      </c>
      <c r="F14" s="577">
        <v>10000</v>
      </c>
      <c r="G14" s="576" t="s">
        <v>427</v>
      </c>
    </row>
    <row r="15" spans="2:7" ht="15" customHeight="1">
      <c r="B15" s="576" t="s">
        <v>374</v>
      </c>
      <c r="C15" s="576" t="s">
        <v>19</v>
      </c>
      <c r="D15" s="577">
        <v>50000</v>
      </c>
      <c r="E15" s="577">
        <v>50000</v>
      </c>
      <c r="F15" s="577">
        <v>50000</v>
      </c>
      <c r="G15" s="576" t="s">
        <v>427</v>
      </c>
    </row>
    <row r="16" spans="2:7" ht="15" customHeight="1">
      <c r="B16" s="576" t="s">
        <v>375</v>
      </c>
      <c r="C16" s="576" t="s">
        <v>380</v>
      </c>
      <c r="D16" s="577">
        <v>5000</v>
      </c>
      <c r="E16" s="577">
        <v>5000</v>
      </c>
      <c r="F16" s="577">
        <v>5000</v>
      </c>
      <c r="G16" s="576" t="s">
        <v>427</v>
      </c>
    </row>
    <row r="17" spans="2:7" ht="15" customHeight="1">
      <c r="B17" s="576" t="s">
        <v>376</v>
      </c>
      <c r="C17" s="576" t="s">
        <v>378</v>
      </c>
      <c r="D17" s="577">
        <v>2500</v>
      </c>
      <c r="E17" s="577">
        <v>2500</v>
      </c>
      <c r="F17" s="577">
        <v>2500</v>
      </c>
      <c r="G17" s="574" t="s">
        <v>424</v>
      </c>
    </row>
    <row r="18" spans="2:7" ht="15" customHeight="1">
      <c r="B18" s="576" t="s">
        <v>376</v>
      </c>
      <c r="C18" s="576" t="s">
        <v>428</v>
      </c>
      <c r="D18" s="577">
        <v>2000</v>
      </c>
      <c r="E18" s="577">
        <v>4000</v>
      </c>
      <c r="F18" s="577">
        <v>4000</v>
      </c>
      <c r="G18" s="576" t="s">
        <v>427</v>
      </c>
    </row>
    <row r="19" spans="2:7" ht="15" customHeight="1">
      <c r="B19" s="576" t="s">
        <v>376</v>
      </c>
      <c r="C19" s="576" t="s">
        <v>382</v>
      </c>
      <c r="D19" s="577">
        <v>2000</v>
      </c>
      <c r="E19" s="577">
        <v>2000</v>
      </c>
      <c r="F19" s="577">
        <v>2000</v>
      </c>
      <c r="G19" s="576" t="s">
        <v>427</v>
      </c>
    </row>
    <row r="20" spans="2:7" ht="15" customHeight="1">
      <c r="B20" s="188"/>
      <c r="C20" s="188"/>
      <c r="D20" s="189"/>
      <c r="E20" s="189"/>
      <c r="F20" s="189"/>
      <c r="G20" s="187"/>
    </row>
    <row r="21" spans="2:7" ht="15" customHeight="1">
      <c r="B21" s="188"/>
      <c r="C21" s="188"/>
      <c r="D21" s="189"/>
      <c r="E21" s="189"/>
      <c r="F21" s="189"/>
      <c r="G21" s="187"/>
    </row>
    <row r="22" spans="2:7" ht="15" customHeight="1">
      <c r="B22" s="188"/>
      <c r="C22" s="188"/>
      <c r="D22" s="189"/>
      <c r="E22" s="189"/>
      <c r="F22" s="189"/>
      <c r="G22" s="187"/>
    </row>
    <row r="23" spans="2:7" ht="15" customHeight="1">
      <c r="B23" s="188"/>
      <c r="C23" s="188"/>
      <c r="D23" s="189"/>
      <c r="E23" s="189"/>
      <c r="F23" s="189"/>
      <c r="G23" s="187"/>
    </row>
    <row r="24" spans="2:7" ht="15" customHeight="1">
      <c r="B24" s="188"/>
      <c r="C24" s="188"/>
      <c r="D24" s="189"/>
      <c r="E24" s="189"/>
      <c r="F24" s="189"/>
      <c r="G24" s="187"/>
    </row>
    <row r="25" spans="2:7" ht="15" customHeight="1">
      <c r="B25" s="188"/>
      <c r="C25" s="188"/>
      <c r="D25" s="189"/>
      <c r="E25" s="189"/>
      <c r="F25" s="189"/>
      <c r="G25" s="187"/>
    </row>
    <row r="26" spans="2:7" ht="15" customHeight="1">
      <c r="B26" s="79"/>
      <c r="C26" s="190" t="s">
        <v>37</v>
      </c>
      <c r="D26" s="191">
        <f>SUM(D8:D25)</f>
        <v>136200</v>
      </c>
      <c r="E26" s="191">
        <f>SUM(E8:E25)</f>
        <v>138200</v>
      </c>
      <c r="F26" s="191">
        <f>SUM(F8:F25)</f>
        <v>160200</v>
      </c>
      <c r="G26" s="192"/>
    </row>
    <row r="27" spans="2:7" ht="15" customHeight="1">
      <c r="B27" s="79"/>
      <c r="C27" s="193" t="s">
        <v>204</v>
      </c>
      <c r="D27" s="137"/>
      <c r="E27" s="194"/>
      <c r="F27" s="194"/>
      <c r="G27" s="192"/>
    </row>
    <row r="28" spans="2:7" ht="15" customHeight="1">
      <c r="B28" s="79"/>
      <c r="C28" s="190" t="s">
        <v>205</v>
      </c>
      <c r="D28" s="191">
        <f>D26</f>
        <v>136200</v>
      </c>
      <c r="E28" s="191">
        <f>SUM(E26-E27)</f>
        <v>138200</v>
      </c>
      <c r="F28" s="191">
        <f>SUM(F26-F27)</f>
        <v>160200</v>
      </c>
      <c r="G28" s="192"/>
    </row>
    <row r="29" spans="2:7" ht="15" customHeight="1">
      <c r="B29" s="79"/>
      <c r="C29" s="79"/>
      <c r="D29" s="79"/>
      <c r="E29" s="79"/>
      <c r="F29" s="79"/>
      <c r="G29" s="79"/>
    </row>
    <row r="30" spans="2:7" ht="15" customHeight="1">
      <c r="B30" s="79"/>
      <c r="C30" s="79"/>
      <c r="D30" s="79"/>
      <c r="E30" s="79"/>
      <c r="F30" s="79"/>
      <c r="G30" s="79"/>
    </row>
    <row r="31" spans="2:7" ht="15" customHeight="1">
      <c r="B31" s="309" t="s">
        <v>239</v>
      </c>
      <c r="C31" s="310" t="str">
        <f>CONCATENATE("Adjustments are required only if the transfer is being made in ",E7," and/or ",F7," from a non-budgeted fund.")</f>
        <v>Adjustments are required only if the transfer is being made in 2014 and/or 2015 from a non-budgeted fund.</v>
      </c>
      <c r="D31" s="79"/>
      <c r="E31" s="79"/>
      <c r="F31" s="79"/>
      <c r="G31" s="79"/>
    </row>
    <row r="32" ht="15" customHeight="1"/>
  </sheetData>
  <sheetProtection/>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7">
      <selection activeCell="L42" sqref="L42"/>
    </sheetView>
  </sheetViews>
  <sheetFormatPr defaultColWidth="8.796875" defaultRowHeight="15"/>
  <cols>
    <col min="1" max="1" width="4.69921875" style="30" customWidth="1"/>
    <col min="2" max="2" width="20.69921875" style="30" customWidth="1"/>
    <col min="3" max="3" width="9.296875" style="30" customWidth="1"/>
    <col min="4" max="5" width="8.69921875" style="30" customWidth="1"/>
    <col min="6" max="6" width="12.69921875" style="30" customWidth="1"/>
    <col min="7" max="7" width="14.296875" style="30" customWidth="1"/>
    <col min="8" max="13" width="9.69921875" style="30" customWidth="1"/>
    <col min="14" max="16384" width="8.796875" style="30" customWidth="1"/>
  </cols>
  <sheetData>
    <row r="1" spans="2:13" ht="15">
      <c r="B1" s="175" t="str">
        <f>inputPrYr!$D$2</f>
        <v>City of Moran</v>
      </c>
      <c r="C1" s="32"/>
      <c r="D1" s="32"/>
      <c r="E1" s="32"/>
      <c r="F1" s="32"/>
      <c r="G1" s="32"/>
      <c r="H1" s="32"/>
      <c r="I1" s="32"/>
      <c r="J1" s="32"/>
      <c r="K1" s="32"/>
      <c r="L1" s="32"/>
      <c r="M1" s="195">
        <f>inputPrYr!$C$5</f>
        <v>2015</v>
      </c>
    </row>
    <row r="2" spans="2:13" ht="15">
      <c r="B2" s="175"/>
      <c r="C2" s="32"/>
      <c r="D2" s="32"/>
      <c r="E2" s="32"/>
      <c r="F2" s="32"/>
      <c r="G2" s="32"/>
      <c r="H2" s="32"/>
      <c r="I2" s="32"/>
      <c r="J2" s="32"/>
      <c r="K2" s="32"/>
      <c r="L2" s="32"/>
      <c r="M2" s="149"/>
    </row>
    <row r="3" spans="2:13" ht="15">
      <c r="B3" s="196" t="s">
        <v>114</v>
      </c>
      <c r="C3" s="37"/>
      <c r="D3" s="37"/>
      <c r="E3" s="37"/>
      <c r="F3" s="37"/>
      <c r="G3" s="37"/>
      <c r="H3" s="37"/>
      <c r="I3" s="37"/>
      <c r="J3" s="37"/>
      <c r="K3" s="37"/>
      <c r="L3" s="37"/>
      <c r="M3" s="37"/>
    </row>
    <row r="4" spans="2:13" ht="10.5" customHeight="1">
      <c r="B4" s="32"/>
      <c r="C4" s="197"/>
      <c r="D4" s="197"/>
      <c r="E4" s="197"/>
      <c r="F4" s="197"/>
      <c r="G4" s="197"/>
      <c r="H4" s="197"/>
      <c r="I4" s="197"/>
      <c r="J4" s="197"/>
      <c r="K4" s="197"/>
      <c r="L4" s="197"/>
      <c r="M4" s="197"/>
    </row>
    <row r="5" spans="2:13" ht="18" customHeight="1">
      <c r="B5" s="133"/>
      <c r="C5" s="177" t="s">
        <v>84</v>
      </c>
      <c r="D5" s="177" t="s">
        <v>84</v>
      </c>
      <c r="E5" s="177" t="s">
        <v>98</v>
      </c>
      <c r="F5" s="177"/>
      <c r="G5" s="177" t="s">
        <v>193</v>
      </c>
      <c r="H5" s="32"/>
      <c r="I5" s="32"/>
      <c r="J5" s="198" t="s">
        <v>85</v>
      </c>
      <c r="K5" s="199"/>
      <c r="L5" s="198" t="s">
        <v>85</v>
      </c>
      <c r="M5" s="199"/>
    </row>
    <row r="6" spans="2:13" ht="15">
      <c r="B6" s="200" t="s">
        <v>263</v>
      </c>
      <c r="C6" s="200" t="s">
        <v>86</v>
      </c>
      <c r="D6" s="200" t="s">
        <v>194</v>
      </c>
      <c r="E6" s="200" t="s">
        <v>87</v>
      </c>
      <c r="F6" s="200" t="s">
        <v>42</v>
      </c>
      <c r="G6" s="200" t="s">
        <v>195</v>
      </c>
      <c r="H6" s="620" t="s">
        <v>88</v>
      </c>
      <c r="I6" s="621"/>
      <c r="J6" s="622">
        <f>M1-1</f>
        <v>2014</v>
      </c>
      <c r="K6" s="623"/>
      <c r="L6" s="622">
        <f>M1</f>
        <v>2015</v>
      </c>
      <c r="M6" s="623"/>
    </row>
    <row r="7" spans="2:13" ht="15">
      <c r="B7" s="178" t="s">
        <v>262</v>
      </c>
      <c r="C7" s="178" t="s">
        <v>89</v>
      </c>
      <c r="D7" s="178" t="s">
        <v>196</v>
      </c>
      <c r="E7" s="178" t="s">
        <v>66</v>
      </c>
      <c r="F7" s="178" t="s">
        <v>90</v>
      </c>
      <c r="G7" s="201" t="str">
        <f>CONCATENATE("Jan 1,",M1-1,"")</f>
        <v>Jan 1,2014</v>
      </c>
      <c r="H7" s="137" t="s">
        <v>98</v>
      </c>
      <c r="I7" s="137" t="s">
        <v>100</v>
      </c>
      <c r="J7" s="137" t="s">
        <v>98</v>
      </c>
      <c r="K7" s="137" t="s">
        <v>100</v>
      </c>
      <c r="L7" s="137" t="s">
        <v>98</v>
      </c>
      <c r="M7" s="137" t="s">
        <v>100</v>
      </c>
    </row>
    <row r="8" spans="2:13" ht="15">
      <c r="B8" s="202" t="s">
        <v>91</v>
      </c>
      <c r="C8" s="46"/>
      <c r="D8" s="46"/>
      <c r="E8" s="203"/>
      <c r="F8" s="204"/>
      <c r="G8" s="204"/>
      <c r="H8" s="46"/>
      <c r="I8" s="46"/>
      <c r="J8" s="204"/>
      <c r="K8" s="204"/>
      <c r="L8" s="204"/>
      <c r="M8" s="204"/>
    </row>
    <row r="9" spans="2:13" ht="15">
      <c r="B9" s="50"/>
      <c r="C9" s="311"/>
      <c r="D9" s="311"/>
      <c r="E9" s="205"/>
      <c r="F9" s="206"/>
      <c r="G9" s="207"/>
      <c r="H9" s="208"/>
      <c r="I9" s="208"/>
      <c r="J9" s="207"/>
      <c r="K9" s="207"/>
      <c r="L9" s="207"/>
      <c r="M9" s="207"/>
    </row>
    <row r="10" spans="2:13" ht="15">
      <c r="B10" s="50"/>
      <c r="C10" s="311"/>
      <c r="D10" s="311"/>
      <c r="E10" s="205"/>
      <c r="F10" s="206"/>
      <c r="G10" s="207"/>
      <c r="H10" s="208"/>
      <c r="I10" s="208"/>
      <c r="J10" s="207"/>
      <c r="K10" s="207"/>
      <c r="L10" s="207"/>
      <c r="M10" s="207"/>
    </row>
    <row r="11" spans="2:13" ht="15">
      <c r="B11" s="50"/>
      <c r="C11" s="311"/>
      <c r="D11" s="311"/>
      <c r="E11" s="205"/>
      <c r="F11" s="206"/>
      <c r="G11" s="207"/>
      <c r="H11" s="208"/>
      <c r="I11" s="208"/>
      <c r="J11" s="207"/>
      <c r="K11" s="207"/>
      <c r="L11" s="207"/>
      <c r="M11" s="207"/>
    </row>
    <row r="12" spans="2:13" ht="15">
      <c r="B12" s="50"/>
      <c r="C12" s="311"/>
      <c r="D12" s="311"/>
      <c r="E12" s="205"/>
      <c r="F12" s="206"/>
      <c r="G12" s="207"/>
      <c r="H12" s="208"/>
      <c r="I12" s="208"/>
      <c r="J12" s="207"/>
      <c r="K12" s="207"/>
      <c r="L12" s="207"/>
      <c r="M12" s="207"/>
    </row>
    <row r="13" spans="2:13" ht="15">
      <c r="B13" s="50"/>
      <c r="C13" s="311"/>
      <c r="D13" s="311"/>
      <c r="E13" s="205"/>
      <c r="F13" s="206"/>
      <c r="G13" s="207"/>
      <c r="H13" s="208"/>
      <c r="I13" s="208"/>
      <c r="J13" s="207"/>
      <c r="K13" s="207"/>
      <c r="L13" s="207"/>
      <c r="M13" s="207"/>
    </row>
    <row r="14" spans="2:13" ht="15">
      <c r="B14" s="50"/>
      <c r="C14" s="311"/>
      <c r="D14" s="311"/>
      <c r="E14" s="205"/>
      <c r="F14" s="206"/>
      <c r="G14" s="207"/>
      <c r="H14" s="208"/>
      <c r="I14" s="208"/>
      <c r="J14" s="207"/>
      <c r="K14" s="207"/>
      <c r="L14" s="207"/>
      <c r="M14" s="207"/>
    </row>
    <row r="15" spans="2:13" ht="15">
      <c r="B15" s="50"/>
      <c r="C15" s="311"/>
      <c r="D15" s="311"/>
      <c r="E15" s="205"/>
      <c r="F15" s="206"/>
      <c r="G15" s="207"/>
      <c r="H15" s="208"/>
      <c r="I15" s="208"/>
      <c r="J15" s="207"/>
      <c r="K15" s="207"/>
      <c r="L15" s="207"/>
      <c r="M15" s="207"/>
    </row>
    <row r="16" spans="2:13" ht="15">
      <c r="B16" s="50"/>
      <c r="C16" s="311"/>
      <c r="D16" s="311"/>
      <c r="E16" s="205"/>
      <c r="F16" s="206"/>
      <c r="G16" s="207"/>
      <c r="H16" s="208"/>
      <c r="I16" s="208"/>
      <c r="J16" s="207"/>
      <c r="K16" s="207"/>
      <c r="L16" s="207"/>
      <c r="M16" s="207"/>
    </row>
    <row r="17" spans="2:13" ht="15">
      <c r="B17" s="50"/>
      <c r="C17" s="311"/>
      <c r="D17" s="311"/>
      <c r="E17" s="205"/>
      <c r="F17" s="206"/>
      <c r="G17" s="207"/>
      <c r="H17" s="208"/>
      <c r="I17" s="208"/>
      <c r="J17" s="207"/>
      <c r="K17" s="207"/>
      <c r="L17" s="207"/>
      <c r="M17" s="207"/>
    </row>
    <row r="18" spans="2:13" ht="15">
      <c r="B18" s="50"/>
      <c r="C18" s="311"/>
      <c r="D18" s="311"/>
      <c r="E18" s="205"/>
      <c r="F18" s="206"/>
      <c r="G18" s="207"/>
      <c r="H18" s="208"/>
      <c r="I18" s="208"/>
      <c r="J18" s="207"/>
      <c r="K18" s="207"/>
      <c r="L18" s="207"/>
      <c r="M18" s="207"/>
    </row>
    <row r="19" spans="2:13" ht="15">
      <c r="B19" s="50"/>
      <c r="C19" s="311"/>
      <c r="D19" s="311"/>
      <c r="E19" s="205"/>
      <c r="F19" s="206"/>
      <c r="G19" s="207"/>
      <c r="H19" s="208"/>
      <c r="I19" s="208"/>
      <c r="J19" s="207"/>
      <c r="K19" s="207"/>
      <c r="L19" s="207"/>
      <c r="M19" s="207"/>
    </row>
    <row r="20" spans="2:13" ht="15">
      <c r="B20" s="209" t="s">
        <v>92</v>
      </c>
      <c r="C20" s="210"/>
      <c r="D20" s="210"/>
      <c r="E20" s="211"/>
      <c r="F20" s="212"/>
      <c r="G20" s="213">
        <f>SUM(G9:G19)</f>
        <v>0</v>
      </c>
      <c r="H20" s="214"/>
      <c r="I20" s="214"/>
      <c r="J20" s="213">
        <f>SUM(J9:J19)</f>
        <v>0</v>
      </c>
      <c r="K20" s="213">
        <f>SUM(K9:K19)</f>
        <v>0</v>
      </c>
      <c r="L20" s="213">
        <f>SUM(L9:L19)</f>
        <v>0</v>
      </c>
      <c r="M20" s="213">
        <f>SUM(M9:M19)</f>
        <v>0</v>
      </c>
    </row>
    <row r="21" spans="2:13" ht="15">
      <c r="B21" s="202" t="s">
        <v>93</v>
      </c>
      <c r="C21" s="215"/>
      <c r="D21" s="215"/>
      <c r="E21" s="216"/>
      <c r="F21" s="217"/>
      <c r="G21" s="217"/>
      <c r="H21" s="218"/>
      <c r="I21" s="218"/>
      <c r="J21" s="217"/>
      <c r="K21" s="217"/>
      <c r="L21" s="217"/>
      <c r="M21" s="217"/>
    </row>
    <row r="22" spans="2:13" ht="15">
      <c r="B22" s="50"/>
      <c r="C22" s="311"/>
      <c r="D22" s="311"/>
      <c r="E22" s="205"/>
      <c r="F22" s="206"/>
      <c r="G22" s="207"/>
      <c r="H22" s="208"/>
      <c r="I22" s="208"/>
      <c r="J22" s="207"/>
      <c r="K22" s="207"/>
      <c r="L22" s="207"/>
      <c r="M22" s="207"/>
    </row>
    <row r="23" spans="2:13" ht="15">
      <c r="B23" s="50"/>
      <c r="C23" s="311"/>
      <c r="D23" s="311"/>
      <c r="E23" s="205"/>
      <c r="F23" s="206"/>
      <c r="G23" s="207"/>
      <c r="H23" s="208"/>
      <c r="I23" s="208"/>
      <c r="J23" s="207"/>
      <c r="K23" s="207"/>
      <c r="L23" s="207"/>
      <c r="M23" s="207"/>
    </row>
    <row r="24" spans="2:13" ht="15">
      <c r="B24" s="50"/>
      <c r="C24" s="311"/>
      <c r="D24" s="311"/>
      <c r="E24" s="205"/>
      <c r="F24" s="206"/>
      <c r="G24" s="207"/>
      <c r="H24" s="208"/>
      <c r="I24" s="208"/>
      <c r="J24" s="207"/>
      <c r="K24" s="207"/>
      <c r="L24" s="207"/>
      <c r="M24" s="207"/>
    </row>
    <row r="25" spans="2:13" ht="15">
      <c r="B25" s="50"/>
      <c r="C25" s="311"/>
      <c r="D25" s="311"/>
      <c r="E25" s="205"/>
      <c r="F25" s="206"/>
      <c r="G25" s="207"/>
      <c r="H25" s="208"/>
      <c r="I25" s="208"/>
      <c r="J25" s="207"/>
      <c r="K25" s="207"/>
      <c r="L25" s="207"/>
      <c r="M25" s="207"/>
    </row>
    <row r="26" spans="2:13" ht="15">
      <c r="B26" s="50"/>
      <c r="C26" s="311"/>
      <c r="D26" s="311"/>
      <c r="E26" s="205"/>
      <c r="F26" s="206"/>
      <c r="G26" s="207"/>
      <c r="H26" s="208"/>
      <c r="I26" s="208"/>
      <c r="J26" s="207"/>
      <c r="K26" s="207"/>
      <c r="L26" s="207"/>
      <c r="M26" s="207"/>
    </row>
    <row r="27" spans="2:13" ht="15">
      <c r="B27" s="50"/>
      <c r="C27" s="311"/>
      <c r="D27" s="311"/>
      <c r="E27" s="205"/>
      <c r="F27" s="206"/>
      <c r="G27" s="207"/>
      <c r="H27" s="208"/>
      <c r="I27" s="208"/>
      <c r="J27" s="207"/>
      <c r="K27" s="207"/>
      <c r="L27" s="207"/>
      <c r="M27" s="207"/>
    </row>
    <row r="28" spans="2:13" ht="15">
      <c r="B28" s="50"/>
      <c r="C28" s="311"/>
      <c r="D28" s="311"/>
      <c r="E28" s="205"/>
      <c r="F28" s="206"/>
      <c r="G28" s="207"/>
      <c r="H28" s="208"/>
      <c r="I28" s="208"/>
      <c r="J28" s="207"/>
      <c r="K28" s="207"/>
      <c r="L28" s="207"/>
      <c r="M28" s="207"/>
    </row>
    <row r="29" spans="2:13" ht="15">
      <c r="B29" s="50"/>
      <c r="C29" s="311"/>
      <c r="D29" s="311"/>
      <c r="E29" s="205"/>
      <c r="F29" s="206"/>
      <c r="G29" s="207"/>
      <c r="H29" s="208"/>
      <c r="I29" s="208"/>
      <c r="J29" s="207"/>
      <c r="K29" s="207"/>
      <c r="L29" s="207"/>
      <c r="M29" s="207"/>
    </row>
    <row r="30" spans="2:13" ht="15">
      <c r="B30" s="50"/>
      <c r="C30" s="311"/>
      <c r="D30" s="311"/>
      <c r="E30" s="205"/>
      <c r="F30" s="206"/>
      <c r="G30" s="207"/>
      <c r="H30" s="208"/>
      <c r="I30" s="208"/>
      <c r="J30" s="207"/>
      <c r="K30" s="207"/>
      <c r="L30" s="207"/>
      <c r="M30" s="207"/>
    </row>
    <row r="31" spans="2:13" ht="15">
      <c r="B31" s="50"/>
      <c r="C31" s="311"/>
      <c r="D31" s="311"/>
      <c r="E31" s="205"/>
      <c r="F31" s="206"/>
      <c r="G31" s="207"/>
      <c r="H31" s="208"/>
      <c r="I31" s="208"/>
      <c r="J31" s="207"/>
      <c r="K31" s="207"/>
      <c r="L31" s="207"/>
      <c r="M31" s="207"/>
    </row>
    <row r="32" spans="2:13" ht="15">
      <c r="B32" s="209" t="s">
        <v>94</v>
      </c>
      <c r="C32" s="210"/>
      <c r="D32" s="210"/>
      <c r="E32" s="219"/>
      <c r="F32" s="212"/>
      <c r="G32" s="220">
        <f>SUM(G22:G31)</f>
        <v>0</v>
      </c>
      <c r="H32" s="214"/>
      <c r="I32" s="214"/>
      <c r="J32" s="220">
        <f>SUM(J22:J31)</f>
        <v>0</v>
      </c>
      <c r="K32" s="220">
        <f>SUM(K22:K31)</f>
        <v>0</v>
      </c>
      <c r="L32" s="213">
        <f>SUM(L22:L31)</f>
        <v>0</v>
      </c>
      <c r="M32" s="220">
        <f>SUM(M22:M31)</f>
        <v>0</v>
      </c>
    </row>
    <row r="33" spans="2:13" ht="15">
      <c r="B33" s="202" t="s">
        <v>95</v>
      </c>
      <c r="C33" s="215"/>
      <c r="D33" s="215"/>
      <c r="E33" s="216"/>
      <c r="F33" s="217"/>
      <c r="G33" s="221"/>
      <c r="H33" s="218"/>
      <c r="I33" s="218"/>
      <c r="J33" s="217"/>
      <c r="K33" s="217"/>
      <c r="L33" s="217"/>
      <c r="M33" s="217"/>
    </row>
    <row r="34" spans="2:13" ht="15">
      <c r="B34" s="3" t="s">
        <v>394</v>
      </c>
      <c r="C34" s="311"/>
      <c r="D34" s="311"/>
      <c r="E34" s="205"/>
      <c r="F34" s="206"/>
      <c r="G34" s="207"/>
      <c r="H34" s="208"/>
      <c r="I34" s="208"/>
      <c r="J34" s="207"/>
      <c r="K34" s="207"/>
      <c r="L34" s="207"/>
      <c r="M34" s="207"/>
    </row>
    <row r="35" spans="2:13" ht="15">
      <c r="B35" s="3" t="s">
        <v>395</v>
      </c>
      <c r="C35" s="311"/>
      <c r="D35" s="311"/>
      <c r="E35" s="205"/>
      <c r="F35" s="206"/>
      <c r="G35" s="207"/>
      <c r="H35" s="208"/>
      <c r="I35" s="208"/>
      <c r="J35" s="207"/>
      <c r="K35" s="207"/>
      <c r="L35" s="207"/>
      <c r="M35" s="207"/>
    </row>
    <row r="36" spans="2:13" ht="15">
      <c r="B36" s="3" t="s">
        <v>396</v>
      </c>
      <c r="C36" s="568">
        <v>36367</v>
      </c>
      <c r="D36" s="568">
        <v>44038</v>
      </c>
      <c r="E36" s="21">
        <v>3.12</v>
      </c>
      <c r="F36" s="22">
        <v>450000</v>
      </c>
      <c r="G36" s="207">
        <v>136727</v>
      </c>
      <c r="H36" s="570" t="s">
        <v>399</v>
      </c>
      <c r="I36" s="570" t="s">
        <v>399</v>
      </c>
      <c r="J36" s="207">
        <v>4117</v>
      </c>
      <c r="K36" s="207">
        <v>19286</v>
      </c>
      <c r="L36" s="207">
        <v>3510</v>
      </c>
      <c r="M36" s="207">
        <v>19893</v>
      </c>
    </row>
    <row r="37" spans="2:13" ht="15">
      <c r="B37" s="3" t="s">
        <v>397</v>
      </c>
      <c r="C37" s="568"/>
      <c r="D37" s="568"/>
      <c r="E37" s="21"/>
      <c r="F37" s="22"/>
      <c r="G37" s="207"/>
      <c r="H37" s="570"/>
      <c r="I37" s="570"/>
      <c r="J37" s="207"/>
      <c r="K37" s="207"/>
      <c r="L37" s="207"/>
      <c r="M37" s="207"/>
    </row>
    <row r="38" spans="2:13" ht="15">
      <c r="B38" s="3" t="s">
        <v>398</v>
      </c>
      <c r="C38" s="568">
        <v>39339</v>
      </c>
      <c r="D38" s="568">
        <v>46966</v>
      </c>
      <c r="E38" s="21">
        <v>3.34</v>
      </c>
      <c r="F38" s="22">
        <v>234664</v>
      </c>
      <c r="G38" s="207">
        <v>182091</v>
      </c>
      <c r="H38" s="570" t="s">
        <v>400</v>
      </c>
      <c r="I38" s="570" t="s">
        <v>400</v>
      </c>
      <c r="J38" s="207">
        <v>6634</v>
      </c>
      <c r="K38" s="207">
        <v>9282</v>
      </c>
      <c r="L38" s="207">
        <v>6289</v>
      </c>
      <c r="M38" s="207">
        <v>9628</v>
      </c>
    </row>
    <row r="39" spans="2:13" ht="15">
      <c r="B39" s="3" t="s">
        <v>394</v>
      </c>
      <c r="C39" s="311"/>
      <c r="D39" s="311"/>
      <c r="E39" s="205"/>
      <c r="F39" s="206"/>
      <c r="G39" s="207"/>
      <c r="H39" s="208"/>
      <c r="I39" s="208"/>
      <c r="J39" s="207"/>
      <c r="K39" s="207"/>
      <c r="L39" s="207"/>
      <c r="M39" s="207"/>
    </row>
    <row r="40" spans="2:13" ht="15">
      <c r="B40" s="3" t="s">
        <v>395</v>
      </c>
      <c r="C40" s="311"/>
      <c r="D40" s="311"/>
      <c r="E40" s="205"/>
      <c r="F40" s="206"/>
      <c r="G40" s="207"/>
      <c r="H40" s="208"/>
      <c r="I40" s="208"/>
      <c r="J40" s="207"/>
      <c r="K40" s="207"/>
      <c r="L40" s="207"/>
      <c r="M40" s="207"/>
    </row>
    <row r="41" spans="2:29" ht="15">
      <c r="B41" s="3" t="s">
        <v>396</v>
      </c>
      <c r="C41" s="569">
        <v>40485</v>
      </c>
      <c r="D41" s="569">
        <v>11933</v>
      </c>
      <c r="E41" s="205">
        <v>2.35</v>
      </c>
      <c r="F41" s="206">
        <v>353389</v>
      </c>
      <c r="G41" s="207">
        <v>330671</v>
      </c>
      <c r="H41" s="208" t="s">
        <v>399</v>
      </c>
      <c r="I41" s="208" t="s">
        <v>399</v>
      </c>
      <c r="J41" s="207">
        <v>7891</v>
      </c>
      <c r="K41" s="207">
        <v>14356</v>
      </c>
      <c r="L41" s="207">
        <v>7552</v>
      </c>
      <c r="M41" s="207">
        <v>14696</v>
      </c>
      <c r="N41" s="28"/>
      <c r="O41" s="28"/>
      <c r="P41" s="28"/>
      <c r="Q41" s="28"/>
      <c r="R41" s="28"/>
      <c r="S41" s="28"/>
      <c r="T41" s="28"/>
      <c r="U41" s="28"/>
      <c r="V41" s="28"/>
      <c r="W41" s="28"/>
      <c r="X41" s="28"/>
      <c r="Y41" s="28"/>
      <c r="Z41" s="28"/>
      <c r="AA41" s="28"/>
      <c r="AB41" s="28"/>
      <c r="AC41" s="28"/>
    </row>
    <row r="42" spans="2:13" ht="15">
      <c r="B42" s="209" t="s">
        <v>197</v>
      </c>
      <c r="C42" s="190"/>
      <c r="D42" s="190"/>
      <c r="E42" s="219"/>
      <c r="F42" s="212"/>
      <c r="G42" s="220">
        <f>SUM(G34:G41)</f>
        <v>649489</v>
      </c>
      <c r="H42" s="212"/>
      <c r="I42" s="212"/>
      <c r="J42" s="220">
        <f>SUM(J34:J41)</f>
        <v>18642</v>
      </c>
      <c r="K42" s="220">
        <f>SUM(K34:K41)</f>
        <v>42924</v>
      </c>
      <c r="L42" s="220">
        <f>SUM(L34:L41)</f>
        <v>17351</v>
      </c>
      <c r="M42" s="220">
        <f>SUM(M34:M41)</f>
        <v>44217</v>
      </c>
    </row>
    <row r="43" spans="2:13" ht="15">
      <c r="B43" s="209" t="s">
        <v>96</v>
      </c>
      <c r="C43" s="190"/>
      <c r="D43" s="190"/>
      <c r="E43" s="190"/>
      <c r="F43" s="212"/>
      <c r="G43" s="220">
        <f>SUM(G20+G32+G42)</f>
        <v>649489</v>
      </c>
      <c r="H43" s="212"/>
      <c r="I43" s="212"/>
      <c r="J43" s="220">
        <f>SUM(J20+J32+J42)</f>
        <v>18642</v>
      </c>
      <c r="K43" s="220">
        <f>SUM(K20+K32+K42)</f>
        <v>42924</v>
      </c>
      <c r="L43" s="220">
        <f>SUM(L20+L32+L42)</f>
        <v>17351</v>
      </c>
      <c r="M43" s="220">
        <f>SUM(M20+M32+M42)</f>
        <v>44217</v>
      </c>
    </row>
    <row r="44" spans="2:13" ht="15">
      <c r="B44" s="28"/>
      <c r="C44" s="28"/>
      <c r="D44" s="28"/>
      <c r="E44" s="28"/>
      <c r="F44" s="28"/>
      <c r="G44" s="28"/>
      <c r="H44" s="28"/>
      <c r="I44" s="28"/>
      <c r="J44" s="28"/>
      <c r="K44" s="28"/>
      <c r="L44" s="28"/>
      <c r="M44" s="28"/>
    </row>
    <row r="45" spans="6:13" ht="15">
      <c r="F45" s="222"/>
      <c r="G45" s="222"/>
      <c r="J45" s="222"/>
      <c r="K45" s="222"/>
      <c r="L45" s="222"/>
      <c r="M45" s="222"/>
    </row>
    <row r="46" spans="6:14" ht="15">
      <c r="F46" s="28"/>
      <c r="H46" s="223"/>
      <c r="N46" s="28"/>
    </row>
    <row r="47" spans="2:13" ht="15">
      <c r="B47" s="28"/>
      <c r="C47" s="28"/>
      <c r="D47" s="28"/>
      <c r="E47" s="28"/>
      <c r="F47" s="28"/>
      <c r="G47" s="28"/>
      <c r="H47" s="28"/>
      <c r="I47" s="28"/>
      <c r="J47" s="28"/>
      <c r="K47" s="28"/>
      <c r="L47" s="28"/>
      <c r="M47" s="28"/>
    </row>
    <row r="48" spans="2:13" ht="15">
      <c r="B48" s="28"/>
      <c r="C48" s="28"/>
      <c r="D48" s="28"/>
      <c r="E48" s="28"/>
      <c r="F48" s="28"/>
      <c r="G48" s="28"/>
      <c r="H48" s="28"/>
      <c r="I48" s="28"/>
      <c r="J48" s="28"/>
      <c r="K48" s="28"/>
      <c r="L48" s="28"/>
      <c r="M48" s="28"/>
    </row>
  </sheetData>
  <sheetProtection sheet="1"/>
  <mergeCells count="3">
    <mergeCell ref="H6:I6"/>
    <mergeCell ref="J6:K6"/>
    <mergeCell ref="L6:M6"/>
  </mergeCells>
  <printOptions/>
  <pageMargins left="0.25" right="0.25" top="1" bottom="0.5" header="0.5" footer="0.25"/>
  <pageSetup blackAndWhite="1" fitToHeight="1" fitToWidth="1" horizontalDpi="600" verticalDpi="600" orientation="landscape" scale="75" r:id="rId1"/>
  <headerFooter alignWithMargins="0">
    <oddHeader>&amp;RState of Kansas
City</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Sherrie Riebel</cp:lastModifiedBy>
  <cp:lastPrinted>2014-07-08T14:18:11Z</cp:lastPrinted>
  <dcterms:created xsi:type="dcterms:W3CDTF">1999-08-03T13:11:47Z</dcterms:created>
  <dcterms:modified xsi:type="dcterms:W3CDTF">2014-11-10T22:27:05Z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