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activeTab="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lpform" sheetId="10" r:id="rId10"/>
    <sheet name="general" sheetId="11" r:id="rId11"/>
    <sheet name="Ambul &amp; Fire Equip" sheetId="12" r:id="rId12"/>
    <sheet name="Sp Hwy &amp; Sp Prks Rec" sheetId="13" r:id="rId13"/>
    <sheet name="Water Op &amp; Sani Op" sheetId="14" r:id="rId14"/>
    <sheet name="Sewer &amp; Storm Wtr Op" sheetId="15" r:id="rId15"/>
    <sheet name="NonBudA" sheetId="16" r:id="rId16"/>
    <sheet name="NonBudB" sheetId="17" r:id="rId17"/>
    <sheet name="NonBudC" sheetId="18" r:id="rId18"/>
    <sheet name="summ" sheetId="19" r:id="rId19"/>
    <sheet name="nhood" sheetId="20" r:id="rId20"/>
    <sheet name="Pub. Notice Option 1" sheetId="21" r:id="rId21"/>
    <sheet name="Pub. Notice Option 2" sheetId="22" r:id="rId22"/>
    <sheet name="Helpful Links" sheetId="23" r:id="rId23"/>
  </sheets>
  <definedNames>
    <definedName name="_xlnm.Print_Area" localSheetId="11">'Ambul &amp; Fire Equip'!$A$1:$E$81</definedName>
    <definedName name="_xlnm.Print_Area" localSheetId="10">'general'!$B$1:$E$108</definedName>
    <definedName name="_xlnm.Print_Area" localSheetId="1">'inputPrYr'!$A$1:$E$125</definedName>
    <definedName name="_xlnm.Print_Area" localSheetId="9">'lpform'!$B$1:$I$38</definedName>
    <definedName name="_xlnm.Print_Area" localSheetId="18">'summ'!$A$1:$H$46</definedName>
  </definedNames>
  <calcPr fullCalcOnLoad="1"/>
</workbook>
</file>

<file path=xl/sharedStrings.xml><?xml version="1.0" encoding="utf-8"?>
<sst xmlns="http://schemas.openxmlformats.org/spreadsheetml/2006/main" count="1052" uniqueCount="526">
  <si>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</si>
  <si>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</si>
  <si>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</si>
  <si>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</si>
  <si>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</si>
  <si>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</si>
  <si>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</si>
  <si>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</si>
  <si>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</si>
  <si>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</si>
  <si>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</si>
  <si>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</si>
  <si>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</si>
  <si>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</si>
  <si>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</si>
  <si>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</si>
  <si>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</si>
  <si>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</si>
  <si>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</si>
  <si>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Debt Service</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</si>
  <si>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</si>
  <si>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</si>
  <si>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</si>
  <si>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</si>
  <si>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</si>
  <si>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</si>
  <si>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</si>
  <si>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</si>
  <si>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</si>
  <si>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</si>
  <si>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</si>
  <si>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</si>
  <si>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</si>
  <si>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</si>
  <si>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</si>
  <si>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</si>
  <si>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</si>
  <si>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</si>
  <si>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</si>
  <si>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</si>
  <si>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</si>
  <si>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</si>
  <si>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</si>
  <si>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</si>
  <si>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</si>
  <si>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</si>
  <si>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</si>
  <si>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</si>
  <si>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</si>
  <si>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</si>
  <si>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</si>
  <si>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</si>
  <si>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</si>
  <si>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</si>
  <si>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</si>
  <si>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</si>
  <si>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</si>
  <si>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</si>
  <si>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</si>
  <si>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</si>
  <si>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</si>
  <si>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</si>
  <si>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</si>
  <si>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</si>
  <si>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</si>
  <si>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</si>
  <si>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</si>
  <si>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</si>
  <si>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Commodities</t>
  </si>
  <si>
    <t>Total Expenditures</t>
  </si>
  <si>
    <t>Tax Required</t>
  </si>
  <si>
    <t>%</t>
  </si>
  <si>
    <t>Page No.</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</si>
  <si>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</si>
  <si>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</si>
  <si>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</si>
  <si>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</si>
  <si>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</si>
  <si>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</si>
  <si>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</si>
  <si>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</si>
  <si>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</si>
  <si>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</si>
  <si>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</si>
  <si>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</si>
  <si>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</si>
  <si>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</si>
  <si>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</si>
  <si>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</si>
  <si>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</si>
  <si>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</si>
  <si>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</si>
  <si>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</si>
  <si>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</si>
  <si>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</si>
  <si>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</si>
  <si>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</si>
  <si>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</si>
  <si>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</si>
  <si>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</si>
  <si>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</si>
  <si>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</si>
  <si>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</si>
  <si>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</si>
  <si>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</si>
  <si>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</si>
  <si>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</si>
  <si>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</si>
  <si>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</si>
  <si>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</si>
  <si>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</si>
  <si>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</si>
  <si>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</si>
  <si>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</si>
  <si>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</si>
  <si>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</si>
  <si>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</si>
  <si>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</si>
  <si>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</si>
  <si>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</si>
  <si>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</si>
  <si>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</si>
  <si>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</si>
  <si>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</si>
  <si>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</si>
  <si>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</si>
  <si>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</si>
  <si>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</si>
  <si>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</si>
  <si>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</si>
  <si>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</si>
  <si>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</si>
  <si>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</si>
  <si>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</si>
  <si>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</si>
  <si>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</si>
  <si>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</si>
  <si>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</si>
  <si>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</si>
  <si>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</si>
  <si>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</si>
  <si>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</si>
  <si>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</si>
  <si>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</si>
  <si>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</si>
  <si>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</si>
  <si>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</si>
  <si>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</si>
  <si>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</si>
  <si>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</si>
  <si>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</si>
  <si>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</si>
  <si>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</si>
  <si>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</si>
  <si>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</si>
  <si>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</si>
  <si>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</si>
  <si>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</si>
  <si>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</si>
  <si>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</si>
  <si>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</si>
  <si>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</si>
  <si>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</si>
  <si>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</si>
  <si>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</si>
  <si>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</si>
  <si>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</si>
  <si>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</si>
  <si>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</si>
  <si>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</si>
  <si>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</si>
  <si>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</si>
  <si>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</si>
  <si>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</si>
  <si>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</si>
  <si>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</si>
  <si>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</si>
  <si>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</si>
  <si>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</si>
  <si>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</si>
  <si>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</si>
  <si>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</si>
  <si>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</si>
  <si>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</si>
  <si>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</si>
  <si>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</si>
  <si>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</si>
  <si>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Territory Added: (Current Year Only)</t>
  </si>
  <si>
    <t>Neighborhood Revitalization</t>
  </si>
  <si>
    <t>16\20 M Vehicle Tax</t>
  </si>
  <si>
    <t>LAVTR</t>
  </si>
  <si>
    <t>City and County Revenue Sharing</t>
  </si>
  <si>
    <t xml:space="preserve">   </t>
  </si>
  <si>
    <t>Enter year being budgeted (YYYY)</t>
  </si>
  <si>
    <t xml:space="preserve">  G.O. Bonds</t>
  </si>
  <si>
    <t xml:space="preserve">  Revenue Bonds</t>
  </si>
  <si>
    <t xml:space="preserve">  Other</t>
  </si>
  <si>
    <t xml:space="preserve">  Lease Purchase Principal</t>
  </si>
  <si>
    <t>Other (non-tax levy) fund names:</t>
  </si>
  <si>
    <t xml:space="preserve">City Official Title: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</si>
  <si>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</si>
  <si>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</si>
  <si>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</si>
  <si>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</si>
  <si>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</si>
  <si>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</si>
  <si>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</si>
  <si>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</si>
  <si>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</si>
  <si>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</si>
  <si>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</si>
  <si>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</si>
  <si>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</si>
  <si>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</si>
  <si>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</si>
  <si>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</si>
  <si>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</si>
  <si>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Non-Budgeted Funds-C</t>
  </si>
  <si>
    <t>Non-Budgeted Funds-B</t>
  </si>
  <si>
    <t>Non-Budgeted Funds-A</t>
  </si>
  <si>
    <t>Estimate</t>
  </si>
  <si>
    <t>Single Non Tax Levy:</t>
  </si>
  <si>
    <t>Non-Budgeted (A):</t>
  </si>
  <si>
    <t>Non-Budgeted (B):</t>
  </si>
  <si>
    <t>Non-Budgeted (C):</t>
  </si>
  <si>
    <t>Non-Budgeted (D):</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</si>
  <si>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</si>
  <si>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</si>
  <si>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</si>
  <si>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</si>
  <si>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</si>
  <si>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</si>
  <si>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</si>
  <si>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</si>
  <si>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Note:  All amounts are to be entered in as whole numbers only.</t>
  </si>
  <si>
    <t xml:space="preserve">The input for the following comes directly from </t>
  </si>
  <si>
    <t>Budget Summary</t>
  </si>
  <si>
    <t>**</t>
  </si>
  <si>
    <t>**Note: These two block figures should agree.</t>
  </si>
  <si>
    <t xml:space="preserve">K.S.A. 79-2926 requires budgets to be submited by electronic means. Contact your County Clerk for the specify instruction as to submission of the budget.  </t>
  </si>
  <si>
    <t>Valuation Factor:</t>
  </si>
  <si>
    <t>Neighborhood Revitalization Subj to Rebate:</t>
  </si>
  <si>
    <t>Neighborhood Revitalization factor:</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</si>
  <si>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</si>
  <si>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</si>
  <si>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</si>
  <si>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</si>
  <si>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</si>
  <si>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</si>
  <si>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</si>
  <si>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</si>
  <si>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</si>
  <si>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</si>
  <si>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</si>
  <si>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</si>
  <si>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</si>
  <si>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</si>
  <si>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</si>
  <si>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</si>
  <si>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</si>
  <si>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</si>
  <si>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</si>
  <si>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</si>
  <si>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</si>
  <si>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</si>
  <si>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the Neighborhood Revitalization Rebate table.</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</si>
  <si>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</si>
  <si>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</si>
  <si>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</si>
  <si>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</si>
  <si>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</si>
  <si>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</si>
  <si>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</si>
  <si>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</si>
  <si>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We, the undersigned, officers of</t>
  </si>
  <si>
    <t>Delinquent Comp Rate:</t>
  </si>
  <si>
    <t>Non-Appropriated Balance</t>
  </si>
  <si>
    <t>Total Expenditure/Non-Appr Balance</t>
  </si>
  <si>
    <t>for Expenditures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</si>
  <si>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</si>
  <si>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</si>
  <si>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</si>
  <si>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</si>
  <si>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</si>
  <si>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</si>
  <si>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</si>
  <si>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</si>
  <si>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</si>
  <si>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</si>
  <si>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</si>
  <si>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</si>
  <si>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</si>
  <si>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</si>
  <si>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</si>
  <si>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</si>
  <si>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</si>
  <si>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</si>
  <si>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</si>
  <si>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</si>
  <si>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</si>
  <si>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</si>
  <si>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</si>
  <si>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The estimated value of one mill would be:</t>
  </si>
  <si>
    <t>Change in Ad Valorem Tax Revenue:</t>
  </si>
  <si>
    <t>What Mill Rate Would Be Desired?</t>
  </si>
  <si>
    <t>Official Title:</t>
  </si>
  <si>
    <t>City Clerk, City Treasurer, Mayor</t>
  </si>
  <si>
    <t>Compensating Use Tax</t>
  </si>
  <si>
    <t>Franchise Tax</t>
  </si>
  <si>
    <t>Desired Carryover Amount:</t>
  </si>
  <si>
    <t>Estimated Mill Rate Impact:</t>
  </si>
  <si>
    <t xml:space="preserve">Totals </t>
  </si>
  <si>
    <t>Does miscellaneous exceed 10% Total Rec</t>
  </si>
  <si>
    <t>Does miscellaneous exceed 10% Total Exp</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</si>
  <si>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</si>
  <si>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</si>
  <si>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</si>
  <si>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</si>
  <si>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</si>
  <si>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</si>
  <si>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</si>
  <si>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</si>
  <si>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</si>
  <si>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</si>
  <si>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</si>
  <si>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</si>
  <si>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</si>
  <si>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</si>
  <si>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</si>
  <si>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</si>
  <si>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</si>
  <si>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</si>
  <si>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</si>
  <si>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</si>
  <si>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</si>
  <si>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</si>
  <si>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</si>
  <si>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</si>
  <si>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</si>
  <si>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</si>
  <si>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</si>
  <si>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</si>
  <si>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</si>
  <si>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</si>
  <si>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</si>
  <si>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</si>
  <si>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</si>
  <si>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</si>
  <si>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</si>
  <si>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</si>
  <si>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</si>
  <si>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</si>
  <si>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</si>
  <si>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</si>
  <si>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</si>
  <si>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</si>
  <si>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</si>
  <si>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</si>
  <si>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</si>
  <si>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</si>
  <si>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</si>
  <si>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</si>
  <si>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</si>
  <si>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</si>
  <si>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</si>
  <si>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</si>
  <si>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</si>
  <si>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</si>
  <si>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</si>
  <si>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</si>
  <si>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</si>
  <si>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</si>
  <si>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</si>
  <si>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</si>
  <si>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</si>
  <si>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</si>
  <si>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</si>
  <si>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</si>
  <si>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</si>
  <si>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</si>
  <si>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</si>
  <si>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</si>
  <si>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Please read these instructions carefully.  If after reviewing them you still have questions, call Rogers Brazier at 785.296.2846 or email to armunis@da.ks.gov </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</si>
  <si>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</si>
  <si>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</si>
  <si>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</si>
  <si>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</si>
  <si>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</si>
  <si>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</si>
  <si>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</si>
  <si>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</si>
  <si>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</si>
  <si>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</si>
  <si>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</si>
  <si>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</si>
  <si>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</si>
  <si>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</si>
  <si>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</si>
  <si>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</si>
  <si>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</si>
  <si>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</si>
  <si>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</si>
  <si>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</si>
  <si>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</si>
  <si>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</si>
  <si>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</si>
  <si>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</si>
  <si>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</si>
  <si>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</si>
  <si>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</si>
  <si>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</si>
  <si>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In no event will published notice of the vote be required if the total budget year tax levy is $1,000 or less.</t>
  </si>
  <si>
    <t>City of Leoti</t>
  </si>
  <si>
    <t>Wichita County</t>
  </si>
  <si>
    <t>12-110b</t>
  </si>
  <si>
    <t>Special Parks and Recreation</t>
  </si>
  <si>
    <t>Water Operating</t>
  </si>
  <si>
    <t>Sanitation Operating</t>
  </si>
  <si>
    <t>Sewer Operating</t>
  </si>
  <si>
    <t>Storm Water Operating</t>
  </si>
  <si>
    <t>Fire Equipment Reserve</t>
  </si>
  <si>
    <t>Equipment Reserve</t>
  </si>
  <si>
    <t>Saturday Cinema</t>
  </si>
  <si>
    <t>Water Reserve</t>
  </si>
  <si>
    <t>Water Bond and Interest</t>
  </si>
  <si>
    <t>Sanitation Reserve</t>
  </si>
  <si>
    <t>Sewer Reserve</t>
  </si>
  <si>
    <t>Kasper Lechtenberg</t>
  </si>
  <si>
    <t>City Clerk</t>
  </si>
  <si>
    <t>Leoti City Hall, Leoti, Kansas</t>
  </si>
  <si>
    <t>James W Kennedy</t>
  </si>
  <si>
    <t>Kennedy McKee &amp; Company LLP</t>
  </si>
  <si>
    <t>PO Box 1477</t>
  </si>
  <si>
    <t>Dodge City, KS  67801-1477</t>
  </si>
  <si>
    <t>jkennedy@kmc-cpa.com</t>
  </si>
  <si>
    <t>Sanitation</t>
  </si>
  <si>
    <t>12-1, 117</t>
  </si>
  <si>
    <t>12-825d</t>
  </si>
  <si>
    <t>10-1204</t>
  </si>
  <si>
    <t>Water System</t>
  </si>
  <si>
    <t>None</t>
  </si>
  <si>
    <t>KDHE Loan - Sewer</t>
  </si>
  <si>
    <t>Local Retail Sales Tax</t>
  </si>
  <si>
    <t>Licenses and Permits</t>
  </si>
  <si>
    <t>Fines and Fees</t>
  </si>
  <si>
    <t>County Fire Contract</t>
  </si>
  <si>
    <t>Debt Service:</t>
  </si>
  <si>
    <t xml:space="preserve">  Principal</t>
  </si>
  <si>
    <t xml:space="preserve">  Interest</t>
  </si>
  <si>
    <t>Appropriations:</t>
  </si>
  <si>
    <t xml:space="preserve">  Airport</t>
  </si>
  <si>
    <t xml:space="preserve">  Cemetery</t>
  </si>
  <si>
    <t xml:space="preserve">  WCED</t>
  </si>
  <si>
    <t>Capital Outlay</t>
  </si>
  <si>
    <t>Contractual Services</t>
  </si>
  <si>
    <t>Liquor Tax</t>
  </si>
  <si>
    <t>Water Sales</t>
  </si>
  <si>
    <t>Penalties, Installations, Interest</t>
  </si>
  <si>
    <t>Coin Sales and Connection Fees</t>
  </si>
  <si>
    <t>Personal Services</t>
  </si>
  <si>
    <t>Commodities</t>
  </si>
  <si>
    <t>Transfer to Water Reserve</t>
  </si>
  <si>
    <t>Transfer to Water Bond and Interest</t>
  </si>
  <si>
    <t xml:space="preserve">Sanitation Collection Fees </t>
  </si>
  <si>
    <t>Penalties</t>
  </si>
  <si>
    <t>Containers Sold</t>
  </si>
  <si>
    <t xml:space="preserve"> Commodities</t>
  </si>
  <si>
    <t>Transfer to Sanitation Reserve</t>
  </si>
  <si>
    <t>Sewer Service</t>
  </si>
  <si>
    <t>Additional Charges</t>
  </si>
  <si>
    <t xml:space="preserve">  Interest and Fees</t>
  </si>
  <si>
    <t>Storm Water Services</t>
  </si>
  <si>
    <t>Grants</t>
  </si>
  <si>
    <t>Transfer from:</t>
  </si>
  <si>
    <t xml:space="preserve">  General</t>
  </si>
  <si>
    <t>Licensing</t>
  </si>
  <si>
    <t>Transfer to:</t>
  </si>
  <si>
    <t>Loan Proceeds</t>
  </si>
  <si>
    <t xml:space="preserve">  Water Operating</t>
  </si>
  <si>
    <t>Capital outlay</t>
  </si>
  <si>
    <t>Sale of land</t>
  </si>
  <si>
    <t xml:space="preserve">  Sanitation Operating</t>
  </si>
  <si>
    <t>Water Capital Project</t>
  </si>
  <si>
    <t>Water Treatment</t>
  </si>
  <si>
    <t>General Government:</t>
  </si>
  <si>
    <t xml:space="preserve">    Total </t>
  </si>
  <si>
    <t xml:space="preserve">    Total</t>
  </si>
  <si>
    <t>Public Safety:</t>
  </si>
  <si>
    <t xml:space="preserve">  Golf course</t>
  </si>
  <si>
    <t xml:space="preserve">  Personal services</t>
  </si>
  <si>
    <t xml:space="preserve">  Contractual services</t>
  </si>
  <si>
    <t xml:space="preserve">  Capital outlay</t>
  </si>
  <si>
    <t xml:space="preserve">  Fire department:</t>
  </si>
  <si>
    <t xml:space="preserve">    Personal services</t>
  </si>
  <si>
    <t xml:space="preserve">    Contractual services</t>
  </si>
  <si>
    <t xml:space="preserve">    Commodities</t>
  </si>
  <si>
    <t xml:space="preserve">    Capital outlay</t>
  </si>
  <si>
    <t xml:space="preserve">      Total </t>
  </si>
  <si>
    <t>Public works:</t>
  </si>
  <si>
    <t>Culture and recreation - parks:</t>
  </si>
  <si>
    <t>Municipal court:</t>
  </si>
  <si>
    <t>Transfers:</t>
  </si>
  <si>
    <t xml:space="preserve">  Fire equipment reserve</t>
  </si>
  <si>
    <t xml:space="preserve">  Equipment reserve</t>
  </si>
  <si>
    <t>Residual equity transfer</t>
  </si>
  <si>
    <t>7a</t>
  </si>
  <si>
    <t>Residual equity transfer to General</t>
  </si>
  <si>
    <t>12-1,118</t>
  </si>
  <si>
    <t>Temporary Notes</t>
  </si>
  <si>
    <t xml:space="preserve">Is a Notice of Vote Publication required?  </t>
  </si>
  <si>
    <t>Capital Impr - Fire</t>
  </si>
  <si>
    <t>Capital Impr - General</t>
  </si>
  <si>
    <t>Tech Equip Reserve</t>
  </si>
  <si>
    <t xml:space="preserve">  Sanitation</t>
  </si>
  <si>
    <t xml:space="preserve">Water Treatment </t>
  </si>
  <si>
    <t>`</t>
  </si>
  <si>
    <t>xxxxxxxxxxxxxxxx</t>
  </si>
  <si>
    <t>August 18, 2014</t>
  </si>
  <si>
    <t>7:00 PM</t>
  </si>
  <si>
    <t>No</t>
  </si>
  <si>
    <t xml:space="preserve">  Historical society</t>
  </si>
  <si>
    <t xml:space="preserve">Ambulance and Fire Equip. </t>
  </si>
  <si>
    <t xml:space="preserve">  Law Enforcement Agreement</t>
  </si>
  <si>
    <t>Yard Waste Collection Fees</t>
  </si>
  <si>
    <t xml:space="preserve">  Water Capital Proj</t>
  </si>
  <si>
    <t xml:space="preserve">  Water Treatment</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</si>
</sst>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s>
  <fonts count="84">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u val="single"/>
      <sz val="8"/>
      <color indexed="10"/>
      <name val="Times New Roman"/>
      <family val="1"/>
    </font>
    <font>
      <sz val="12"/>
      <name val="Courier New"/>
      <family val="3"/>
    </font>
    <font>
      <sz val="9"/>
      <color indexed="10"/>
      <name val="Times New Roman"/>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u val="single"/>
      <sz val="12"/>
      <color indexed="12"/>
      <name val="Courier New"/>
      <family val="3"/>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
      <b/>
      <sz val="14"/>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rgb="FF00FF00"/>
        <bgColor indexed="64"/>
      </patternFill>
    </fill>
    <fill>
      <patternFill patternType="solid">
        <fgColor rgb="FFFFFFC0"/>
        <bgColor indexed="64"/>
      </patternFill>
    </fill>
    <fill>
      <patternFill patternType="solid">
        <fgColor rgb="FFFFFF00"/>
        <bgColor indexed="64"/>
      </patternFill>
    </fill>
    <fill>
      <patternFill patternType="solid">
        <fgColor indexed="34"/>
        <bgColor indexed="64"/>
      </patternFill>
    </fill>
    <fill>
      <patternFill patternType="solid">
        <fgColor rgb="FFFFFF9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right style="medium"/>
      <top>
        <color indexed="63"/>
      </top>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right/>
      <top style="medium"/>
      <bottom/>
    </border>
    <border>
      <left/>
      <right style="medium"/>
      <top style="medium"/>
      <bottom/>
    </border>
  </borders>
  <cellStyleXfs count="5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45">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569"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568"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6"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7" xfId="0" applyNumberFormat="1" applyFont="1" applyFill="1" applyBorder="1" applyAlignment="1" applyProtection="1">
      <alignment horizontal="left" vertical="center"/>
      <protection/>
    </xf>
    <xf numFmtId="0" fontId="5" fillId="37" borderId="17"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6"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7"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7"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7"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7"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6" xfId="0" applyFill="1" applyBorder="1" applyAlignment="1">
      <alignment vertical="center"/>
    </xf>
    <xf numFmtId="0" fontId="5" fillId="34" borderId="17" xfId="0" applyFont="1" applyFill="1" applyBorder="1" applyAlignment="1">
      <alignment vertical="center"/>
    </xf>
    <xf numFmtId="0" fontId="0" fillId="34" borderId="17"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7" xfId="0" applyNumberFormat="1" applyFont="1" applyFill="1" applyBorder="1" applyAlignment="1" applyProtection="1">
      <alignment horizontal="right" vertical="center"/>
      <protection/>
    </xf>
    <xf numFmtId="3" fontId="5" fillId="34" borderId="17"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7"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569"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0" fontId="5" fillId="33" borderId="0" xfId="0" applyFont="1" applyFill="1" applyAlignment="1" applyProtection="1">
      <alignment horizontal="left" vertical="center"/>
      <protection locked="0"/>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3" fontId="22" fillId="40" borderId="0" xfId="0" applyNumberFormat="1" applyFont="1" applyFill="1" applyAlignment="1">
      <alignment horizontal="center" vertical="center"/>
    </xf>
    <xf numFmtId="0" fontId="5" fillId="0" borderId="0" xfId="181" applyFont="1" applyAlignment="1">
      <alignment vertical="center" wrapText="1"/>
      <protection/>
    </xf>
    <xf numFmtId="0" fontId="5" fillId="33" borderId="11"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23" fillId="0" borderId="0" xfId="533">
      <alignment/>
      <protection/>
    </xf>
    <xf numFmtId="0" fontId="5" fillId="0" borderId="0" xfId="533" applyFont="1" applyAlignment="1">
      <alignment horizontal="left" vertical="center"/>
      <protection/>
    </xf>
    <xf numFmtId="189" fontId="13" fillId="0" borderId="0" xfId="533" applyNumberFormat="1" applyFont="1" applyAlignment="1">
      <alignment horizontal="left" vertical="center"/>
      <protection/>
    </xf>
    <xf numFmtId="49" fontId="5" fillId="0" borderId="0" xfId="533" applyNumberFormat="1" applyFont="1" applyAlignment="1">
      <alignment horizontal="left" vertical="center"/>
      <protection/>
    </xf>
    <xf numFmtId="0" fontId="13" fillId="0" borderId="0" xfId="533" applyFont="1" applyAlignment="1">
      <alignment horizontal="left" vertical="center"/>
      <protection/>
    </xf>
    <xf numFmtId="190" fontId="13" fillId="0" borderId="0" xfId="533" applyNumberFormat="1" applyFont="1" applyAlignment="1">
      <alignment horizontal="left" vertical="center"/>
      <protection/>
    </xf>
    <xf numFmtId="0" fontId="5" fillId="34" borderId="0" xfId="0" applyFont="1" applyFill="1" applyAlignment="1">
      <alignment/>
    </xf>
    <xf numFmtId="0" fontId="74"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34" borderId="0" xfId="0" applyNumberFormat="1" applyFont="1" applyFill="1" applyBorder="1" applyAlignment="1" applyProtection="1">
      <alignment vertical="center"/>
      <protection/>
    </xf>
    <xf numFmtId="49" fontId="5" fillId="33" borderId="10" xfId="0" applyNumberFormat="1" applyFont="1" applyFill="1" applyBorder="1" applyAlignment="1" applyProtection="1">
      <alignment horizontal="center" vertical="center"/>
      <protection locked="0"/>
    </xf>
    <xf numFmtId="0" fontId="5" fillId="34" borderId="0" xfId="116" applyFont="1" applyFill="1" applyAlignment="1" applyProtection="1">
      <alignment horizontal="right" vertical="center"/>
      <protection/>
    </xf>
    <xf numFmtId="0" fontId="4" fillId="34" borderId="0" xfId="111" applyFont="1" applyFill="1" applyAlignment="1" applyProtection="1">
      <alignment vertical="center"/>
      <protection/>
    </xf>
    <xf numFmtId="37" fontId="5" fillId="34" borderId="0" xfId="111" applyNumberFormat="1" applyFont="1" applyFill="1" applyAlignment="1" applyProtection="1">
      <alignment horizontal="right" vertical="center"/>
      <protection/>
    </xf>
    <xf numFmtId="37" fontId="4" fillId="34" borderId="20" xfId="111" applyNumberFormat="1" applyFont="1" applyFill="1" applyBorder="1" applyAlignment="1" applyProtection="1">
      <alignment horizontal="left" vertical="center"/>
      <protection/>
    </xf>
    <xf numFmtId="0" fontId="9" fillId="37" borderId="10" xfId="0" applyFont="1" applyFill="1" applyBorder="1" applyAlignment="1" applyProtection="1">
      <alignment vertical="center" shrinkToFit="1"/>
      <protection/>
    </xf>
    <xf numFmtId="37" fontId="5" fillId="34" borderId="13" xfId="111" applyNumberFormat="1" applyFont="1" applyFill="1" applyBorder="1" applyAlignment="1" applyProtection="1">
      <alignment horizontal="center" vertical="center"/>
      <protection/>
    </xf>
    <xf numFmtId="37" fontId="5" fillId="34" borderId="14" xfId="111" applyNumberFormat="1" applyFont="1" applyFill="1" applyBorder="1" applyAlignment="1" applyProtection="1">
      <alignment horizontal="center" vertical="center"/>
      <protection/>
    </xf>
    <xf numFmtId="0" fontId="24" fillId="0" borderId="0" xfId="0" applyFont="1" applyAlignment="1" applyProtection="1">
      <alignment vertical="center"/>
      <protection/>
    </xf>
    <xf numFmtId="0" fontId="25" fillId="0" borderId="0" xfId="0" applyFont="1" applyAlignment="1">
      <alignment horizontal="center"/>
    </xf>
    <xf numFmtId="0" fontId="5" fillId="0" borderId="0" xfId="0" applyFont="1" applyAlignment="1">
      <alignment wrapText="1"/>
    </xf>
    <xf numFmtId="0" fontId="26" fillId="0" borderId="0" xfId="70" applyFont="1" applyAlignment="1" applyProtection="1">
      <alignment/>
      <protection/>
    </xf>
    <xf numFmtId="0" fontId="5" fillId="0" borderId="0" xfId="116" applyFont="1" applyAlignment="1">
      <alignment vertical="center" wrapText="1"/>
      <protection/>
    </xf>
    <xf numFmtId="188" fontId="5" fillId="41" borderId="21" xfId="111" applyNumberFormat="1" applyFont="1" applyFill="1" applyBorder="1" applyAlignment="1" applyProtection="1">
      <alignment horizontal="center"/>
      <protection locked="0"/>
    </xf>
    <xf numFmtId="0" fontId="27" fillId="42" borderId="26" xfId="111" applyFont="1" applyFill="1" applyBorder="1" applyProtection="1">
      <alignment/>
      <protection/>
    </xf>
    <xf numFmtId="0" fontId="5" fillId="42" borderId="0" xfId="111" applyFont="1" applyFill="1" applyBorder="1" applyProtection="1">
      <alignment/>
      <protection/>
    </xf>
    <xf numFmtId="195" fontId="5" fillId="42" borderId="21" xfId="111" applyNumberFormat="1" applyFont="1" applyFill="1" applyBorder="1" applyAlignment="1" applyProtection="1">
      <alignment horizontal="center"/>
      <protection/>
    </xf>
    <xf numFmtId="0" fontId="5" fillId="42" borderId="25" xfId="111" applyFont="1" applyFill="1" applyBorder="1" applyProtection="1">
      <alignment/>
      <protection/>
    </xf>
    <xf numFmtId="0" fontId="5" fillId="42" borderId="11" xfId="111" applyFont="1" applyFill="1" applyBorder="1" applyProtection="1">
      <alignment/>
      <protection/>
    </xf>
    <xf numFmtId="195" fontId="5" fillId="43" borderId="16" xfId="111" applyNumberFormat="1" applyFont="1" applyFill="1" applyBorder="1" applyAlignment="1" applyProtection="1">
      <alignment horizontal="center"/>
      <protection/>
    </xf>
    <xf numFmtId="0" fontId="5" fillId="0" borderId="0" xfId="111" applyFont="1" applyFill="1" applyBorder="1" applyProtection="1">
      <alignment/>
      <protection/>
    </xf>
    <xf numFmtId="0" fontId="5" fillId="42" borderId="26" xfId="111" applyFont="1" applyFill="1" applyBorder="1" applyProtection="1">
      <alignment/>
      <protection/>
    </xf>
    <xf numFmtId="0" fontId="5" fillId="42" borderId="21" xfId="111" applyFont="1" applyFill="1" applyBorder="1" applyProtection="1">
      <alignment/>
      <protection/>
    </xf>
    <xf numFmtId="178" fontId="5" fillId="42" borderId="21" xfId="111" applyNumberFormat="1" applyFont="1" applyFill="1" applyBorder="1" applyAlignment="1" applyProtection="1">
      <alignment horizontal="center"/>
      <protection/>
    </xf>
    <xf numFmtId="0" fontId="5" fillId="43" borderId="26" xfId="111" applyFont="1" applyFill="1" applyBorder="1" applyProtection="1">
      <alignment/>
      <protection/>
    </xf>
    <xf numFmtId="0" fontId="5" fillId="43" borderId="0" xfId="111" applyFont="1" applyFill="1" applyBorder="1" applyProtection="1">
      <alignment/>
      <protection/>
    </xf>
    <xf numFmtId="0" fontId="5" fillId="43" borderId="25" xfId="111" applyFont="1" applyFill="1" applyBorder="1" applyProtection="1">
      <alignment/>
      <protection/>
    </xf>
    <xf numFmtId="0" fontId="5" fillId="43" borderId="11" xfId="111" applyFont="1" applyFill="1" applyBorder="1" applyProtection="1">
      <alignment/>
      <protection/>
    </xf>
    <xf numFmtId="0" fontId="5" fillId="0" borderId="0" xfId="111" applyFont="1" applyProtection="1">
      <alignment/>
      <protection/>
    </xf>
    <xf numFmtId="195" fontId="5" fillId="42" borderId="16" xfId="111" applyNumberFormat="1" applyFont="1" applyFill="1" applyBorder="1" applyAlignment="1" applyProtection="1">
      <alignment horizontal="center"/>
      <protection/>
    </xf>
    <xf numFmtId="0" fontId="75" fillId="0" borderId="0" xfId="0" applyFont="1" applyAlignment="1">
      <alignment vertical="center"/>
    </xf>
    <xf numFmtId="0" fontId="76" fillId="0" borderId="0" xfId="0" applyFont="1" applyAlignment="1" applyProtection="1">
      <alignment horizontal="center" vertical="center"/>
      <protection locked="0"/>
    </xf>
    <xf numFmtId="0" fontId="77" fillId="34" borderId="0" xfId="0" applyFont="1" applyFill="1" applyAlignment="1" applyProtection="1">
      <alignment horizontal="center" vertical="center"/>
      <protection/>
    </xf>
    <xf numFmtId="37" fontId="5" fillId="34" borderId="27" xfId="0" applyNumberFormat="1" applyFont="1" applyFill="1" applyBorder="1" applyAlignment="1" applyProtection="1">
      <alignment vertical="center"/>
      <protection/>
    </xf>
    <xf numFmtId="0" fontId="5" fillId="34" borderId="27"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95" applyNumberFormat="1" applyFont="1" applyFill="1" applyBorder="1" applyAlignment="1" applyProtection="1">
      <alignment horizontal="left" vertical="center"/>
      <protection locked="0"/>
    </xf>
    <xf numFmtId="0" fontId="5" fillId="33" borderId="20" xfId="116" applyNumberFormat="1" applyFont="1" applyFill="1" applyBorder="1" applyAlignment="1" applyProtection="1">
      <alignment horizontal="left" vertical="center"/>
      <protection locked="0"/>
    </xf>
    <xf numFmtId="0" fontId="5" fillId="42" borderId="0" xfId="111" applyFont="1" applyFill="1" applyBorder="1" applyAlignment="1" applyProtection="1">
      <alignment vertical="center"/>
      <protection/>
    </xf>
    <xf numFmtId="195" fontId="27" fillId="41" borderId="10" xfId="111" applyNumberFormat="1" applyFont="1" applyFill="1" applyBorder="1" applyAlignment="1" applyProtection="1">
      <alignment horizontal="center" vertical="center"/>
      <protection locked="0"/>
    </xf>
    <xf numFmtId="0" fontId="5" fillId="42" borderId="26" xfId="111" applyFont="1" applyFill="1" applyBorder="1" applyAlignment="1" applyProtection="1">
      <alignment vertical="center"/>
      <protection/>
    </xf>
    <xf numFmtId="0" fontId="5" fillId="42" borderId="21" xfId="111" applyFont="1" applyFill="1" applyBorder="1" applyAlignment="1" applyProtection="1">
      <alignment vertical="center"/>
      <protection/>
    </xf>
    <xf numFmtId="195" fontId="27" fillId="42" borderId="26" xfId="111" applyNumberFormat="1" applyFont="1" applyFill="1" applyBorder="1" applyAlignment="1" applyProtection="1">
      <alignment horizontal="center" vertical="center"/>
      <protection/>
    </xf>
    <xf numFmtId="0" fontId="27" fillId="42" borderId="0" xfId="111" applyFont="1" applyFill="1" applyBorder="1" applyAlignment="1" applyProtection="1">
      <alignment horizontal="left" vertical="center"/>
      <protection/>
    </xf>
    <xf numFmtId="0" fontId="27" fillId="42" borderId="21" xfId="111" applyFont="1" applyFill="1" applyBorder="1" applyAlignment="1" applyProtection="1">
      <alignment vertical="center"/>
      <protection/>
    </xf>
    <xf numFmtId="0" fontId="27" fillId="42" borderId="0" xfId="111" applyFont="1" applyFill="1" applyBorder="1" applyAlignment="1" applyProtection="1">
      <alignment vertical="center"/>
      <protection/>
    </xf>
    <xf numFmtId="195" fontId="27" fillId="42" borderId="25" xfId="111" applyNumberFormat="1" applyFont="1" applyFill="1" applyBorder="1" applyAlignment="1" applyProtection="1">
      <alignment horizontal="center" vertical="center"/>
      <protection/>
    </xf>
    <xf numFmtId="195" fontId="27" fillId="42" borderId="26" xfId="111" applyNumberFormat="1" applyFont="1" applyFill="1" applyBorder="1" applyAlignment="1" applyProtection="1">
      <alignment vertical="center"/>
      <protection/>
    </xf>
    <xf numFmtId="0" fontId="29" fillId="43" borderId="11" xfId="111" applyFont="1" applyFill="1" applyBorder="1" applyAlignment="1" applyProtection="1">
      <alignment vertical="center"/>
      <protection/>
    </xf>
    <xf numFmtId="0" fontId="27" fillId="43" borderId="16" xfId="111" applyFont="1" applyFill="1" applyBorder="1" applyAlignment="1" applyProtection="1">
      <alignment vertical="center"/>
      <protection/>
    </xf>
    <xf numFmtId="0" fontId="5" fillId="43" borderId="16" xfId="111" applyFont="1" applyFill="1" applyBorder="1" applyAlignment="1" applyProtection="1">
      <alignment vertical="center"/>
      <protection/>
    </xf>
    <xf numFmtId="0" fontId="27" fillId="42" borderId="26" xfId="111" applyFont="1" applyFill="1" applyBorder="1" applyAlignment="1" applyProtection="1">
      <alignment horizontal="left" vertical="center"/>
      <protection/>
    </xf>
    <xf numFmtId="195" fontId="29" fillId="43" borderId="25" xfId="111" applyNumberFormat="1" applyFont="1" applyFill="1" applyBorder="1" applyAlignment="1" applyProtection="1">
      <alignment horizontal="center" vertical="center"/>
      <protection/>
    </xf>
    <xf numFmtId="195" fontId="29" fillId="43" borderId="16" xfId="111" applyNumberFormat="1" applyFont="1" applyFill="1" applyBorder="1" applyAlignment="1" applyProtection="1">
      <alignment horizontal="center" vertical="center"/>
      <protection locked="0"/>
    </xf>
    <xf numFmtId="3" fontId="5" fillId="0" borderId="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2" xfId="95" applyNumberFormat="1" applyFont="1" applyFill="1" applyBorder="1" applyAlignment="1" applyProtection="1">
      <alignment horizontal="center"/>
      <protection/>
    </xf>
    <xf numFmtId="37" fontId="5" fillId="34" borderId="14" xfId="95" applyNumberFormat="1" applyFont="1" applyFill="1" applyBorder="1" applyAlignment="1" applyProtection="1">
      <alignment horizontal="center"/>
      <protection/>
    </xf>
    <xf numFmtId="195" fontId="5" fillId="43" borderId="21" xfId="111" applyNumberFormat="1" applyFont="1" applyFill="1" applyBorder="1" applyAlignment="1" applyProtection="1">
      <alignment horizontal="center"/>
      <protection/>
    </xf>
    <xf numFmtId="0" fontId="5" fillId="43" borderId="25" xfId="0" applyFont="1" applyFill="1" applyBorder="1" applyAlignment="1">
      <alignment vertical="center"/>
    </xf>
    <xf numFmtId="0" fontId="5" fillId="43" borderId="11" xfId="0" applyFont="1" applyFill="1" applyBorder="1" applyAlignment="1">
      <alignment vertical="center"/>
    </xf>
    <xf numFmtId="195" fontId="5" fillId="43" borderId="16" xfId="0" applyNumberFormat="1" applyFont="1" applyFill="1" applyBorder="1" applyAlignment="1">
      <alignment horizontal="center" vertical="center"/>
    </xf>
    <xf numFmtId="0" fontId="5" fillId="34" borderId="13" xfId="0" applyFont="1" applyFill="1" applyBorder="1" applyAlignment="1" applyProtection="1">
      <alignment/>
      <protection/>
    </xf>
    <xf numFmtId="0" fontId="5" fillId="42" borderId="0" xfId="0" applyFont="1" applyFill="1" applyAlignment="1" applyProtection="1">
      <alignment vertical="center"/>
      <protection locked="0"/>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78" fillId="0" borderId="0" xfId="0" applyFont="1" applyAlignment="1">
      <alignment/>
    </xf>
    <xf numFmtId="49" fontId="5" fillId="0" borderId="0" xfId="533" applyNumberFormat="1" applyFont="1" applyFill="1" applyAlignment="1" applyProtection="1">
      <alignment horizontal="left" vertical="center"/>
      <protection locked="0"/>
    </xf>
    <xf numFmtId="0" fontId="79" fillId="0" borderId="0" xfId="533" applyFont="1">
      <alignment/>
      <protection/>
    </xf>
    <xf numFmtId="189" fontId="80" fillId="0" borderId="0" xfId="533" applyNumberFormat="1" applyFont="1" applyAlignment="1">
      <alignment horizontal="left" vertical="center"/>
      <protection/>
    </xf>
    <xf numFmtId="0" fontId="80" fillId="0" borderId="0" xfId="533" applyNumberFormat="1" applyFont="1" applyAlignment="1">
      <alignment horizontal="left" vertical="center"/>
      <protection/>
    </xf>
    <xf numFmtId="1" fontId="80" fillId="0" borderId="0" xfId="533" applyNumberFormat="1" applyFont="1" applyAlignment="1">
      <alignment horizontal="left" vertical="center"/>
      <protection/>
    </xf>
    <xf numFmtId="0" fontId="81" fillId="0" borderId="0" xfId="533" applyFont="1" applyAlignment="1">
      <alignment horizontal="left" vertical="center"/>
      <protection/>
    </xf>
    <xf numFmtId="49" fontId="5" fillId="34" borderId="0" xfId="0" applyNumberFormat="1" applyFont="1" applyFill="1" applyAlignment="1" applyProtection="1">
      <alignment horizontal="left" vertical="center"/>
      <protection/>
    </xf>
    <xf numFmtId="0" fontId="29" fillId="43" borderId="26" xfId="111" applyFont="1" applyFill="1" applyBorder="1" applyAlignment="1" applyProtection="1">
      <alignment vertical="center"/>
      <protection locked="0"/>
    </xf>
    <xf numFmtId="0" fontId="5" fillId="43" borderId="0" xfId="111" applyFont="1" applyFill="1" applyBorder="1" applyAlignment="1" applyProtection="1">
      <alignment vertical="center"/>
      <protection locked="0"/>
    </xf>
    <xf numFmtId="0" fontId="27" fillId="43" borderId="0" xfId="111"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27" fillId="42" borderId="25" xfId="0" applyFont="1" applyFill="1" applyBorder="1" applyAlignment="1" applyProtection="1">
      <alignment vertical="center"/>
      <protection locked="0"/>
    </xf>
    <xf numFmtId="0" fontId="27" fillId="42" borderId="11" xfId="0" applyFont="1" applyFill="1" applyBorder="1" applyAlignment="1" applyProtection="1">
      <alignment vertical="center"/>
      <protection locked="0"/>
    </xf>
    <xf numFmtId="0" fontId="5" fillId="42" borderId="11" xfId="0" applyFont="1" applyFill="1" applyBorder="1" applyAlignment="1" applyProtection="1">
      <alignment vertical="center"/>
      <protection locked="0"/>
    </xf>
    <xf numFmtId="188" fontId="27" fillId="42" borderId="26"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8" fillId="42" borderId="0" xfId="0"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8" fontId="27" fillId="43" borderId="25" xfId="0" applyNumberFormat="1" applyFont="1" applyFill="1" applyBorder="1" applyAlignment="1" applyProtection="1">
      <alignment horizontal="center" vertical="center"/>
      <protection/>
    </xf>
    <xf numFmtId="188" fontId="27" fillId="42" borderId="20" xfId="0" applyNumberFormat="1" applyFont="1" applyFill="1" applyBorder="1" applyAlignment="1" applyProtection="1">
      <alignment horizontal="center" vertical="center"/>
      <protection/>
    </xf>
    <xf numFmtId="188" fontId="27" fillId="43" borderId="20" xfId="0" applyNumberFormat="1" applyFont="1" applyFill="1" applyBorder="1" applyAlignment="1" applyProtection="1">
      <alignment horizontal="center" vertical="center"/>
      <protection/>
    </xf>
    <xf numFmtId="0" fontId="27" fillId="42" borderId="11" xfId="0" applyFont="1" applyFill="1" applyBorder="1" applyAlignment="1" applyProtection="1">
      <alignment horizontal="left" vertical="center"/>
      <protection/>
    </xf>
    <xf numFmtId="0" fontId="28" fillId="42" borderId="11"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0" fontId="75" fillId="0" borderId="0" xfId="0" applyFont="1" applyAlignment="1" applyProtection="1">
      <alignment/>
      <protection locked="0"/>
    </xf>
    <xf numFmtId="0" fontId="5" fillId="42" borderId="21" xfId="0" applyFont="1" applyFill="1" applyBorder="1" applyAlignment="1" applyProtection="1">
      <alignment vertical="center"/>
      <protection locked="0"/>
    </xf>
    <xf numFmtId="3" fontId="5" fillId="44"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27" fillId="42" borderId="26" xfId="0" applyFont="1" applyFill="1" applyBorder="1" applyAlignment="1" applyProtection="1">
      <alignment vertical="center"/>
      <protection/>
    </xf>
    <xf numFmtId="0" fontId="5" fillId="42" borderId="0" xfId="0" applyFont="1" applyFill="1" applyBorder="1" applyAlignment="1" applyProtection="1">
      <alignment vertical="center"/>
      <protection/>
    </xf>
    <xf numFmtId="0" fontId="27" fillId="42" borderId="0" xfId="0" applyFont="1" applyFill="1" applyBorder="1" applyAlignment="1" applyProtection="1">
      <alignment vertical="center"/>
      <protection/>
    </xf>
    <xf numFmtId="195" fontId="27" fillId="42" borderId="21" xfId="0" applyNumberFormat="1" applyFont="1" applyFill="1" applyBorder="1" applyAlignment="1" applyProtection="1">
      <alignment horizontal="center" vertical="center"/>
      <protection/>
    </xf>
    <xf numFmtId="0" fontId="27" fillId="42" borderId="26" xfId="0" applyFont="1" applyFill="1" applyBorder="1" applyAlignment="1" applyProtection="1">
      <alignment horizontal="left" vertical="center"/>
      <protection/>
    </xf>
    <xf numFmtId="195" fontId="27" fillId="41" borderId="10" xfId="0" applyNumberFormat="1" applyFont="1" applyFill="1" applyBorder="1" applyAlignment="1" applyProtection="1">
      <alignment horizontal="center" vertical="center"/>
      <protection locked="0"/>
    </xf>
    <xf numFmtId="188" fontId="29" fillId="42" borderId="18" xfId="0" applyNumberFormat="1" applyFont="1" applyFill="1" applyBorder="1" applyAlignment="1" applyProtection="1">
      <alignment horizontal="center" vertical="center"/>
      <protection/>
    </xf>
    <xf numFmtId="0" fontId="29" fillId="43" borderId="26"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27" fillId="43" borderId="0" xfId="0" applyFont="1" applyFill="1" applyBorder="1" applyAlignment="1" applyProtection="1">
      <alignment vertical="center"/>
      <protection/>
    </xf>
    <xf numFmtId="195" fontId="29" fillId="43" borderId="18" xfId="0" applyNumberFormat="1" applyFont="1" applyFill="1" applyBorder="1" applyAlignment="1" applyProtection="1">
      <alignment horizontal="center" vertical="center"/>
      <protection/>
    </xf>
    <xf numFmtId="37" fontId="27" fillId="34" borderId="25" xfId="0" applyNumberFormat="1" applyFont="1" applyFill="1" applyBorder="1" applyAlignment="1" applyProtection="1">
      <alignment horizontal="left" vertical="center"/>
      <protection/>
    </xf>
    <xf numFmtId="0" fontId="31" fillId="42" borderId="11" xfId="0" applyFont="1" applyFill="1" applyBorder="1" applyAlignment="1">
      <alignment horizontal="left" vertical="center"/>
    </xf>
    <xf numFmtId="195" fontId="29" fillId="43" borderId="16" xfId="0" applyNumberFormat="1" applyFont="1" applyFill="1" applyBorder="1" applyAlignment="1" applyProtection="1">
      <alignment horizontal="center" vertical="center"/>
      <protection locked="0"/>
    </xf>
    <xf numFmtId="0" fontId="5" fillId="42" borderId="26" xfId="0" applyFont="1" applyFill="1" applyBorder="1" applyAlignment="1" applyProtection="1">
      <alignment vertical="center"/>
      <protection/>
    </xf>
    <xf numFmtId="0" fontId="5" fillId="42" borderId="21" xfId="0" applyFont="1" applyFill="1" applyBorder="1" applyAlignment="1" applyProtection="1">
      <alignment/>
      <protection locked="0"/>
    </xf>
    <xf numFmtId="195" fontId="27" fillId="42" borderId="26" xfId="0" applyNumberFormat="1" applyFont="1" applyFill="1" applyBorder="1" applyAlignment="1" applyProtection="1">
      <alignment horizontal="center" vertical="center"/>
      <protection/>
    </xf>
    <xf numFmtId="0" fontId="27" fillId="42" borderId="21" xfId="0" applyFont="1" applyFill="1" applyBorder="1" applyAlignment="1" applyProtection="1">
      <alignment vertical="center"/>
      <protection/>
    </xf>
    <xf numFmtId="195" fontId="27" fillId="42" borderId="25" xfId="0" applyNumberFormat="1" applyFont="1" applyFill="1" applyBorder="1" applyAlignment="1" applyProtection="1">
      <alignment horizontal="center" vertical="center"/>
      <protection/>
    </xf>
    <xf numFmtId="195" fontId="13" fillId="42" borderId="26" xfId="0" applyNumberFormat="1" applyFont="1" applyFill="1" applyBorder="1" applyAlignment="1" applyProtection="1">
      <alignment horizontal="center" vertical="center"/>
      <protection/>
    </xf>
    <xf numFmtId="0" fontId="5" fillId="42" borderId="21" xfId="0" applyFont="1" applyFill="1" applyBorder="1" applyAlignment="1" applyProtection="1">
      <alignment vertical="center"/>
      <protection/>
    </xf>
    <xf numFmtId="195" fontId="13" fillId="42" borderId="26" xfId="0" applyNumberFormat="1" applyFont="1" applyFill="1" applyBorder="1" applyAlignment="1" applyProtection="1">
      <alignment vertical="center"/>
      <protection/>
    </xf>
    <xf numFmtId="0" fontId="13" fillId="42" borderId="0" xfId="0" applyFont="1" applyFill="1" applyBorder="1" applyAlignment="1" applyProtection="1">
      <alignment vertical="center"/>
      <protection/>
    </xf>
    <xf numFmtId="195" fontId="13" fillId="42" borderId="25" xfId="0" applyNumberFormat="1" applyFont="1" applyFill="1" applyBorder="1" applyAlignment="1" applyProtection="1">
      <alignment horizontal="center" vertical="center"/>
      <protection/>
    </xf>
    <xf numFmtId="195" fontId="13" fillId="43" borderId="25" xfId="0" applyNumberFormat="1" applyFont="1" applyFill="1" applyBorder="1" applyAlignment="1" applyProtection="1">
      <alignment horizontal="center" vertical="center"/>
      <protection/>
    </xf>
    <xf numFmtId="0" fontId="13" fillId="43" borderId="11" xfId="0" applyFont="1" applyFill="1" applyBorder="1" applyAlignment="1" applyProtection="1">
      <alignment vertical="center"/>
      <protection/>
    </xf>
    <xf numFmtId="0" fontId="5" fillId="43" borderId="16" xfId="0" applyFont="1" applyFill="1" applyBorder="1" applyAlignment="1" applyProtection="1">
      <alignment vertical="center"/>
      <protection/>
    </xf>
    <xf numFmtId="0" fontId="5" fillId="43" borderId="16" xfId="0" applyFont="1" applyFill="1" applyBorder="1" applyAlignment="1" applyProtection="1">
      <alignment/>
      <protection locked="0"/>
    </xf>
    <xf numFmtId="195" fontId="27" fillId="42" borderId="26" xfId="0" applyNumberFormat="1" applyFont="1" applyFill="1" applyBorder="1" applyAlignment="1" applyProtection="1">
      <alignment vertical="center"/>
      <protection/>
    </xf>
    <xf numFmtId="195" fontId="27" fillId="43" borderId="25" xfId="0" applyNumberFormat="1" applyFont="1" applyFill="1" applyBorder="1" applyAlignment="1" applyProtection="1">
      <alignment horizontal="center" vertical="center"/>
      <protection/>
    </xf>
    <xf numFmtId="0" fontId="27" fillId="43" borderId="11" xfId="0" applyFont="1" applyFill="1" applyBorder="1" applyAlignment="1" applyProtection="1">
      <alignment vertical="center"/>
      <protection/>
    </xf>
    <xf numFmtId="0" fontId="27" fillId="43" borderId="16"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27" xfId="0" applyNumberFormat="1" applyFont="1" applyFill="1" applyBorder="1" applyAlignment="1" applyProtection="1">
      <alignment horizontal="right" vertical="center"/>
      <protection/>
    </xf>
    <xf numFmtId="0" fontId="5" fillId="34" borderId="27" xfId="0" applyFont="1" applyFill="1" applyBorder="1" applyAlignment="1" applyProtection="1">
      <alignment horizontal="right" vertical="center"/>
      <protection/>
    </xf>
    <xf numFmtId="3" fontId="5" fillId="45" borderId="14" xfId="0" applyNumberFormat="1" applyFont="1" applyFill="1" applyBorder="1" applyAlignment="1" applyProtection="1">
      <alignment horizontal="right" vertical="center"/>
      <protection/>
    </xf>
    <xf numFmtId="188" fontId="5" fillId="45" borderId="14" xfId="0" applyNumberFormat="1" applyFont="1" applyFill="1" applyBorder="1" applyAlignment="1" applyProtection="1">
      <alignment horizontal="right" vertical="center"/>
      <protection/>
    </xf>
    <xf numFmtId="198" fontId="5" fillId="34" borderId="0" xfId="553" applyNumberFormat="1" applyFont="1" applyFill="1" applyAlignment="1" applyProtection="1">
      <alignment horizontal="center" vertical="center"/>
      <protection/>
    </xf>
    <xf numFmtId="37" fontId="5" fillId="0" borderId="0" xfId="89" applyNumberFormat="1" applyFont="1" applyFill="1" applyAlignment="1" applyProtection="1">
      <alignment horizontal="left" vertical="center" wrapText="1"/>
      <protection/>
    </xf>
    <xf numFmtId="0" fontId="5" fillId="0" borderId="0" xfId="556" applyFont="1" applyAlignment="1">
      <alignment vertical="center" wrapText="1"/>
      <protection/>
    </xf>
    <xf numFmtId="0" fontId="5" fillId="0" borderId="0" xfId="88" applyFont="1" applyAlignment="1">
      <alignment vertical="center" wrapText="1"/>
      <protection/>
    </xf>
    <xf numFmtId="0" fontId="5" fillId="0" borderId="0" xfId="89" applyFont="1" applyAlignment="1">
      <alignment vertical="center" wrapText="1"/>
      <protection/>
    </xf>
    <xf numFmtId="0" fontId="5" fillId="0" borderId="0" xfId="458" applyFont="1" applyAlignment="1">
      <alignment vertical="center" wrapText="1"/>
      <protection/>
    </xf>
    <xf numFmtId="0" fontId="5" fillId="0" borderId="0" xfId="491" applyNumberFormat="1" applyFont="1" applyAlignment="1">
      <alignment vertical="center" wrapText="1"/>
      <protection/>
    </xf>
    <xf numFmtId="0" fontId="5" fillId="0" borderId="0" xfId="100" applyFont="1" applyAlignment="1">
      <alignment vertical="center" wrapText="1"/>
      <protection/>
    </xf>
    <xf numFmtId="0" fontId="5" fillId="0" borderId="0" xfId="139" applyFont="1" applyAlignment="1">
      <alignment vertical="center" wrapText="1"/>
      <protection/>
    </xf>
    <xf numFmtId="0" fontId="5" fillId="0" borderId="0" xfId="146" applyFont="1" applyAlignment="1">
      <alignment vertical="center" wrapText="1"/>
      <protection/>
    </xf>
    <xf numFmtId="0" fontId="30" fillId="0" borderId="0" xfId="0" applyFont="1" applyAlignment="1" applyProtection="1">
      <alignment vertical="center"/>
      <protection/>
    </xf>
    <xf numFmtId="0" fontId="82" fillId="42" borderId="18" xfId="0" applyFont="1" applyFill="1" applyBorder="1" applyAlignment="1">
      <alignment horizontal="center" vertical="center"/>
    </xf>
    <xf numFmtId="0" fontId="4" fillId="42" borderId="17" xfId="0" applyFont="1" applyFill="1" applyBorder="1" applyAlignment="1">
      <alignment horizontal="centerContinuous" vertical="center"/>
    </xf>
    <xf numFmtId="0" fontId="82" fillId="42" borderId="18" xfId="0" applyFont="1" applyFill="1" applyBorder="1" applyAlignment="1">
      <alignment horizontal="center" vertical="center"/>
    </xf>
    <xf numFmtId="0" fontId="4" fillId="42" borderId="17" xfId="0" applyFont="1" applyFill="1" applyBorder="1" applyAlignment="1">
      <alignment horizontal="centerContinuous" vertical="center"/>
    </xf>
    <xf numFmtId="3" fontId="5" fillId="42" borderId="10" xfId="0" applyNumberFormat="1" applyFont="1" applyFill="1" applyBorder="1" applyAlignment="1" applyProtection="1">
      <alignment vertical="center"/>
      <protection/>
    </xf>
    <xf numFmtId="3" fontId="5" fillId="35" borderId="12" xfId="0" applyNumberFormat="1" applyFont="1" applyFill="1" applyBorder="1" applyAlignment="1" applyProtection="1">
      <alignment vertical="center"/>
      <protection/>
    </xf>
    <xf numFmtId="37" fontId="15" fillId="34" borderId="19" xfId="0" applyNumberFormat="1" applyFont="1" applyFill="1" applyBorder="1" applyAlignment="1" applyProtection="1">
      <alignment horizontal="center" vertical="center"/>
      <protection/>
    </xf>
    <xf numFmtId="37" fontId="5" fillId="33" borderId="20" xfId="0" applyNumberFormat="1" applyFont="1" applyFill="1" applyBorder="1" applyAlignment="1" applyProtection="1">
      <alignment horizontal="left" vertical="center"/>
      <protection locked="0"/>
    </xf>
    <xf numFmtId="0" fontId="5" fillId="33" borderId="18" xfId="0" applyFont="1" applyFill="1" applyBorder="1" applyAlignment="1" applyProtection="1">
      <alignment vertical="center"/>
      <protection/>
    </xf>
    <xf numFmtId="49" fontId="5" fillId="33" borderId="20" xfId="533" applyNumberFormat="1" applyFont="1" applyFill="1" applyBorder="1" applyAlignment="1" applyProtection="1">
      <alignment horizontal="left" vertical="center"/>
      <protection locked="0"/>
    </xf>
    <xf numFmtId="49" fontId="5" fillId="33" borderId="18" xfId="533" applyNumberFormat="1" applyFont="1" applyFill="1" applyBorder="1" applyAlignment="1" applyProtection="1">
      <alignment horizontal="left" vertical="center"/>
      <protection locked="0"/>
    </xf>
    <xf numFmtId="49" fontId="5" fillId="33" borderId="10" xfId="533" applyNumberFormat="1" applyFont="1" applyFill="1" applyBorder="1" applyAlignment="1" applyProtection="1">
      <alignment horizontal="left" vertical="center"/>
      <protection locked="0"/>
    </xf>
    <xf numFmtId="0" fontId="5" fillId="33" borderId="20" xfId="533" applyFont="1" applyFill="1" applyBorder="1" applyAlignment="1" applyProtection="1">
      <alignment horizontal="left" vertical="center"/>
      <protection locked="0"/>
    </xf>
    <xf numFmtId="0" fontId="5" fillId="33" borderId="17" xfId="533" applyFont="1" applyFill="1" applyBorder="1" applyAlignment="1" applyProtection="1">
      <alignment horizontal="left" vertical="center"/>
      <protection locked="0"/>
    </xf>
    <xf numFmtId="0" fontId="23" fillId="33" borderId="18" xfId="533" applyFill="1" applyBorder="1" applyAlignment="1" applyProtection="1">
      <alignment horizontal="left" vertical="center"/>
      <protection locked="0"/>
    </xf>
    <xf numFmtId="0" fontId="7" fillId="34" borderId="0" xfId="89" applyFont="1" applyFill="1" applyAlignment="1" applyProtection="1">
      <alignment horizontal="center" vertical="center"/>
      <protection/>
    </xf>
    <xf numFmtId="3" fontId="5" fillId="34" borderId="0" xfId="89" applyNumberFormat="1" applyFont="1" applyFill="1" applyAlignment="1" applyProtection="1">
      <alignment vertical="center"/>
      <protection/>
    </xf>
    <xf numFmtId="3" fontId="5" fillId="34" borderId="11" xfId="89" applyNumberFormat="1" applyFont="1" applyFill="1" applyBorder="1" applyAlignment="1" applyProtection="1">
      <alignment vertical="center"/>
      <protection/>
    </xf>
    <xf numFmtId="3" fontId="5" fillId="34" borderId="0" xfId="89" applyNumberFormat="1" applyFont="1" applyFill="1" applyBorder="1" applyAlignment="1" applyProtection="1">
      <alignment vertical="center"/>
      <protection/>
    </xf>
    <xf numFmtId="0" fontId="5" fillId="34" borderId="0" xfId="89" applyFont="1" applyFill="1" applyAlignment="1" applyProtection="1">
      <alignment horizontal="left" vertical="center"/>
      <protection/>
    </xf>
    <xf numFmtId="0" fontId="5" fillId="42" borderId="0" xfId="89" applyFont="1" applyFill="1" applyAlignment="1" applyProtection="1">
      <alignment vertical="center"/>
      <protection/>
    </xf>
    <xf numFmtId="0" fontId="5" fillId="34" borderId="0" xfId="89" applyFont="1" applyFill="1" applyAlignment="1" applyProtection="1" quotePrefix="1">
      <alignment vertical="center"/>
      <protection/>
    </xf>
    <xf numFmtId="3" fontId="5" fillId="34" borderId="23" xfId="89" applyNumberFormat="1" applyFont="1" applyFill="1" applyBorder="1" applyAlignment="1" applyProtection="1">
      <alignment vertical="center"/>
      <protection/>
    </xf>
    <xf numFmtId="0" fontId="5" fillId="34" borderId="0" xfId="89" applyFont="1" applyFill="1" applyAlignment="1" applyProtection="1" quotePrefix="1">
      <alignment horizontal="left" vertical="center"/>
      <protection/>
    </xf>
    <xf numFmtId="10" fontId="5" fillId="34" borderId="11" xfId="89" applyNumberFormat="1" applyFont="1" applyFill="1" applyBorder="1" applyAlignment="1" applyProtection="1">
      <alignment vertical="center"/>
      <protection/>
    </xf>
    <xf numFmtId="10" fontId="5" fillId="34" borderId="0" xfId="89" applyNumberFormat="1" applyFont="1" applyFill="1" applyBorder="1" applyAlignment="1" applyProtection="1">
      <alignment vertical="center"/>
      <protection/>
    </xf>
    <xf numFmtId="0" fontId="7" fillId="34" borderId="0" xfId="89" applyFont="1" applyFill="1" applyAlignment="1" applyProtection="1">
      <alignment horizontal="left" vertical="center"/>
      <protection/>
    </xf>
    <xf numFmtId="37" fontId="5" fillId="43" borderId="10" xfId="0" applyNumberFormat="1" applyFont="1" applyFill="1" applyBorder="1" applyAlignment="1" applyProtection="1">
      <alignment horizontal="left" vertical="center"/>
      <protection/>
    </xf>
    <xf numFmtId="0" fontId="5" fillId="0" borderId="0" xfId="350" applyFont="1" applyAlignment="1">
      <alignment vertical="center" wrapText="1"/>
      <protection/>
    </xf>
    <xf numFmtId="0" fontId="5" fillId="0" borderId="0" xfId="161" applyFont="1" applyAlignment="1">
      <alignment vertical="center" wrapText="1"/>
      <protection/>
    </xf>
    <xf numFmtId="0" fontId="5" fillId="0" borderId="0" xfId="172" applyFont="1" applyAlignment="1">
      <alignment vertical="center" wrapText="1"/>
      <protection/>
    </xf>
    <xf numFmtId="0" fontId="29" fillId="42" borderId="10" xfId="230" applyFont="1" applyFill="1" applyBorder="1" applyAlignment="1">
      <alignment horizontal="left" vertical="center"/>
      <protection/>
    </xf>
    <xf numFmtId="0" fontId="29" fillId="42" borderId="10" xfId="230" applyFont="1" applyFill="1" applyBorder="1" applyAlignment="1">
      <alignment horizontal="left" vertical="center"/>
      <protection/>
    </xf>
    <xf numFmtId="0" fontId="57" fillId="46" borderId="0" xfId="438" applyFill="1" applyBorder="1">
      <alignment/>
      <protection/>
    </xf>
    <xf numFmtId="0" fontId="57" fillId="46" borderId="0" xfId="438" applyFill="1" applyBorder="1" applyAlignment="1">
      <alignment horizontal="left" vertical="center"/>
      <protection/>
    </xf>
    <xf numFmtId="0" fontId="57" fillId="46" borderId="0" xfId="438" applyFill="1" applyBorder="1" applyAlignment="1">
      <alignment horizontal="center" vertical="center"/>
      <protection/>
    </xf>
    <xf numFmtId="0" fontId="34" fillId="0" borderId="0" xfId="0" applyFont="1" applyAlignment="1">
      <alignment/>
    </xf>
    <xf numFmtId="0" fontId="57" fillId="46" borderId="0" xfId="438" applyFill="1">
      <alignment/>
      <protection/>
    </xf>
    <xf numFmtId="0" fontId="72" fillId="46" borderId="0" xfId="438" applyFont="1" applyFill="1" applyBorder="1">
      <alignment/>
      <protection/>
    </xf>
    <xf numFmtId="0" fontId="72" fillId="46" borderId="28" xfId="438" applyFont="1" applyFill="1" applyBorder="1">
      <alignment/>
      <protection/>
    </xf>
    <xf numFmtId="0" fontId="72" fillId="46" borderId="29" xfId="438" applyFont="1" applyFill="1" applyBorder="1">
      <alignment/>
      <protection/>
    </xf>
    <xf numFmtId="0" fontId="72" fillId="46" borderId="30" xfId="438" applyFont="1" applyFill="1" applyBorder="1">
      <alignment/>
      <protection/>
    </xf>
    <xf numFmtId="0" fontId="72" fillId="46" borderId="31" xfId="438" applyFont="1" applyFill="1" applyBorder="1">
      <alignment/>
      <protection/>
    </xf>
    <xf numFmtId="0" fontId="72" fillId="46" borderId="0" xfId="438" applyFont="1" applyFill="1" applyBorder="1" applyAlignment="1">
      <alignment horizontal="center"/>
      <protection/>
    </xf>
    <xf numFmtId="0" fontId="72" fillId="46" borderId="0" xfId="438" applyFont="1" applyFill="1" applyBorder="1" applyAlignment="1">
      <alignment horizontal="right"/>
      <protection/>
    </xf>
    <xf numFmtId="0" fontId="72" fillId="46" borderId="32" xfId="438" applyFont="1" applyFill="1" applyBorder="1">
      <alignment/>
      <protection/>
    </xf>
    <xf numFmtId="3" fontId="72" fillId="46" borderId="11" xfId="438" applyNumberFormat="1" applyFont="1" applyFill="1" applyBorder="1">
      <alignment/>
      <protection/>
    </xf>
    <xf numFmtId="3" fontId="72" fillId="46" borderId="17" xfId="438" applyNumberFormat="1" applyFont="1" applyFill="1" applyBorder="1">
      <alignment/>
      <protection/>
    </xf>
    <xf numFmtId="0" fontId="72" fillId="46" borderId="11" xfId="438" applyFont="1" applyFill="1" applyBorder="1" applyAlignment="1" applyProtection="1">
      <alignment horizontal="center"/>
      <protection locked="0"/>
    </xf>
    <xf numFmtId="0" fontId="72" fillId="46" borderId="33" xfId="438" applyFont="1" applyFill="1" applyBorder="1" applyAlignment="1" applyProtection="1">
      <alignment horizontal="center"/>
      <protection locked="0"/>
    </xf>
    <xf numFmtId="37" fontId="5" fillId="34" borderId="11" xfId="0" applyNumberFormat="1" applyFont="1" applyFill="1" applyBorder="1" applyAlignment="1" applyProtection="1">
      <alignment horizontal="center" vertical="center"/>
      <protection locked="0"/>
    </xf>
    <xf numFmtId="0" fontId="11" fillId="33" borderId="17" xfId="70" applyFill="1" applyBorder="1" applyAlignment="1" applyProtection="1">
      <alignment vertical="center"/>
      <protection locked="0"/>
    </xf>
    <xf numFmtId="3" fontId="5" fillId="34" borderId="34" xfId="0" applyNumberFormat="1" applyFont="1" applyFill="1" applyBorder="1" applyAlignment="1" applyProtection="1">
      <alignment horizontal="right" vertical="center"/>
      <protection/>
    </xf>
    <xf numFmtId="188" fontId="5" fillId="34" borderId="34" xfId="0" applyNumberFormat="1" applyFont="1" applyFill="1" applyBorder="1" applyAlignment="1" applyProtection="1">
      <alignment horizontal="right" vertical="center"/>
      <protection/>
    </xf>
    <xf numFmtId="3" fontId="5" fillId="34" borderId="14" xfId="0" applyNumberFormat="1" applyFont="1" applyFill="1" applyBorder="1" applyAlignment="1" applyProtection="1">
      <alignment horizontal="right" vertical="center"/>
      <protection/>
    </xf>
    <xf numFmtId="178" fontId="5" fillId="34" borderId="0" xfId="0" applyNumberFormat="1" applyFont="1" applyFill="1" applyBorder="1" applyAlignment="1" applyProtection="1">
      <alignment horizontal="right" vertical="center"/>
      <protection/>
    </xf>
    <xf numFmtId="188" fontId="5" fillId="34" borderId="0" xfId="0" applyNumberFormat="1" applyFont="1" applyFill="1" applyBorder="1" applyAlignment="1" applyProtection="1">
      <alignment horizontal="right" vertical="center"/>
      <protection/>
    </xf>
    <xf numFmtId="3" fontId="5" fillId="34" borderId="0" xfId="0" applyNumberFormat="1" applyFont="1" applyFill="1" applyBorder="1" applyAlignment="1" applyProtection="1">
      <alignment horizontal="right" vertical="center"/>
      <protection/>
    </xf>
    <xf numFmtId="3" fontId="5" fillId="34" borderId="15" xfId="0" applyNumberFormat="1" applyFont="1" applyFill="1" applyBorder="1" applyAlignment="1" applyProtection="1">
      <alignment horizontal="right" vertical="center"/>
      <protection/>
    </xf>
    <xf numFmtId="37" fontId="5" fillId="34" borderId="14"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0" applyNumberFormat="1" applyFont="1" applyFill="1" applyBorder="1" applyAlignment="1" applyProtection="1">
      <alignment horizontal="right" vertical="center"/>
      <protection/>
    </xf>
    <xf numFmtId="166" fontId="5" fillId="34" borderId="0" xfId="0" applyNumberFormat="1" applyFont="1" applyFill="1" applyAlignment="1" applyProtection="1">
      <alignment horizontal="right" vertical="center"/>
      <protection/>
    </xf>
    <xf numFmtId="3" fontId="5" fillId="45" borderId="15" xfId="0" applyNumberFormat="1" applyFont="1" applyFill="1" applyBorder="1" applyAlignment="1" applyProtection="1">
      <alignment horizontal="right" vertical="center"/>
      <protection/>
    </xf>
    <xf numFmtId="3" fontId="13" fillId="33" borderId="10" xfId="0" applyNumberFormat="1" applyFont="1" applyFill="1" applyBorder="1" applyAlignment="1" applyProtection="1">
      <alignment horizontal="right" vertical="center"/>
      <protection locked="0"/>
    </xf>
    <xf numFmtId="3" fontId="13" fillId="34" borderId="0" xfId="0" applyNumberFormat="1" applyFont="1" applyFill="1" applyAlignment="1">
      <alignment horizontal="right" vertical="center"/>
    </xf>
    <xf numFmtId="3" fontId="13" fillId="35" borderId="10" xfId="0" applyNumberFormat="1" applyFont="1" applyFill="1" applyBorder="1" applyAlignment="1">
      <alignment horizontal="right" vertical="center"/>
    </xf>
    <xf numFmtId="0" fontId="13" fillId="34" borderId="0" xfId="0" applyFont="1" applyFill="1" applyAlignment="1">
      <alignment horizontal="right" vertical="center"/>
    </xf>
    <xf numFmtId="3" fontId="13" fillId="35" borderId="14" xfId="0" applyNumberFormat="1" applyFont="1" applyFill="1" applyBorder="1" applyAlignment="1">
      <alignment horizontal="right" vertical="center"/>
    </xf>
    <xf numFmtId="3" fontId="19" fillId="40" borderId="10" xfId="0" applyNumberFormat="1" applyFont="1" applyFill="1" applyBorder="1" applyAlignment="1">
      <alignment horizontal="right" vertical="center"/>
    </xf>
    <xf numFmtId="3" fontId="22" fillId="40" borderId="0" xfId="0" applyNumberFormat="1" applyFont="1" applyFill="1" applyAlignment="1">
      <alignment horizontal="right" vertical="center"/>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533" applyFont="1" applyAlignment="1">
      <alignment horizontal="left" vertical="center" wrapText="1"/>
      <protection/>
    </xf>
    <xf numFmtId="0" fontId="23" fillId="0" borderId="0" xfId="533" applyAlignment="1">
      <alignment horizontal="left" vertical="center" wrapText="1"/>
      <protection/>
    </xf>
    <xf numFmtId="0" fontId="14" fillId="0" borderId="0" xfId="533"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5" fillId="34" borderId="0" xfId="90" applyFont="1" applyFill="1" applyAlignment="1">
      <alignment horizontal="center" vertical="center"/>
      <protection/>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0" fontId="7" fillId="34" borderId="0" xfId="89"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28" fillId="42" borderId="24" xfId="111" applyFont="1" applyFill="1" applyBorder="1" applyAlignment="1" applyProtection="1">
      <alignment horizontal="center" vertical="center"/>
      <protection/>
    </xf>
    <xf numFmtId="0" fontId="0" fillId="0" borderId="19" xfId="0" applyBorder="1" applyAlignment="1">
      <alignment vertical="center"/>
    </xf>
    <xf numFmtId="0" fontId="0" fillId="0" borderId="22" xfId="0" applyBorder="1" applyAlignment="1">
      <alignment vertical="center"/>
    </xf>
    <xf numFmtId="3" fontId="5" fillId="34" borderId="19" xfId="116" applyNumberFormat="1" applyFont="1" applyFill="1" applyBorder="1" applyAlignment="1" applyProtection="1">
      <alignment horizontal="right" vertical="center"/>
      <protection/>
    </xf>
    <xf numFmtId="0" fontId="0" fillId="0" borderId="22" xfId="116" applyBorder="1" applyAlignment="1">
      <alignment horizontal="right" vertical="center"/>
      <protection/>
    </xf>
    <xf numFmtId="0" fontId="5" fillId="34" borderId="0" xfId="116" applyFont="1" applyFill="1" applyAlignment="1" applyProtection="1">
      <alignment horizontal="right" vertical="center"/>
      <protection/>
    </xf>
    <xf numFmtId="0" fontId="5" fillId="0" borderId="21" xfId="116"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8" fillId="42" borderId="19" xfId="111" applyFont="1" applyFill="1" applyBorder="1" applyAlignment="1" applyProtection="1">
      <alignment horizontal="center" vertical="center"/>
      <protection/>
    </xf>
    <xf numFmtId="0" fontId="0" fillId="0" borderId="22" xfId="111" applyBorder="1" applyAlignment="1" applyProtection="1">
      <alignment vertical="center"/>
      <protection/>
    </xf>
    <xf numFmtId="0" fontId="28" fillId="42" borderId="24" xfId="0" applyFont="1" applyFill="1" applyBorder="1" applyAlignment="1" applyProtection="1">
      <alignment horizontal="center" vertical="center"/>
      <protection/>
    </xf>
    <xf numFmtId="0" fontId="0" fillId="0" borderId="19" xfId="0" applyBorder="1" applyAlignment="1">
      <alignment horizontal="center" vertical="center"/>
    </xf>
    <xf numFmtId="0" fontId="0" fillId="0" borderId="22" xfId="0" applyBorder="1" applyAlignment="1">
      <alignment/>
    </xf>
    <xf numFmtId="188" fontId="28" fillId="42"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31" fillId="0" borderId="19" xfId="0" applyFont="1" applyBorder="1" applyAlignment="1">
      <alignment horizontal="center" vertical="center"/>
    </xf>
    <xf numFmtId="0" fontId="0" fillId="0" borderId="0" xfId="0" applyBorder="1" applyAlignment="1">
      <alignment horizontal="right"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14" fillId="42" borderId="24" xfId="111"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2" borderId="0" xfId="138" applyNumberFormat="1" applyFont="1" applyFill="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0" fillId="0" borderId="19" xfId="111" applyBorder="1" applyAlignment="1" applyProtection="1">
      <alignment horizontal="center"/>
      <protection/>
    </xf>
    <xf numFmtId="0" fontId="0" fillId="0" borderId="22" xfId="111" applyBorder="1" applyAlignment="1" applyProtection="1">
      <alignment horizontal="center"/>
      <protection/>
    </xf>
    <xf numFmtId="0" fontId="14" fillId="42" borderId="19" xfId="111" applyFont="1" applyFill="1" applyBorder="1" applyAlignment="1" applyProtection="1">
      <alignment horizontal="center"/>
      <protection/>
    </xf>
    <xf numFmtId="0" fontId="14" fillId="42" borderId="22" xfId="111" applyFont="1" applyFill="1" applyBorder="1" applyAlignment="1" applyProtection="1">
      <alignment horizontal="center"/>
      <protection/>
    </xf>
    <xf numFmtId="37" fontId="5" fillId="42"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72" fillId="46" borderId="30" xfId="438" applyFont="1" applyFill="1" applyBorder="1" applyAlignment="1">
      <alignment horizontal="left" vertical="top" wrapText="1"/>
      <protection/>
    </xf>
    <xf numFmtId="0" fontId="72" fillId="46" borderId="31" xfId="438" applyFont="1" applyFill="1" applyBorder="1" applyAlignment="1">
      <alignment horizontal="left" vertical="top" wrapText="1"/>
      <protection/>
    </xf>
    <xf numFmtId="0" fontId="72" fillId="46" borderId="32" xfId="438" applyFont="1" applyFill="1" applyBorder="1" applyAlignment="1">
      <alignment horizontal="left" vertical="top" wrapText="1"/>
      <protection/>
    </xf>
    <xf numFmtId="0" fontId="83" fillId="46" borderId="35" xfId="438" applyFont="1" applyFill="1" applyBorder="1" applyAlignment="1">
      <alignment horizontal="center"/>
      <protection/>
    </xf>
    <xf numFmtId="0" fontId="57" fillId="46" borderId="36" xfId="438" applyFill="1" applyBorder="1" applyAlignment="1">
      <alignment horizontal="center"/>
      <protection/>
    </xf>
    <xf numFmtId="0" fontId="57" fillId="46" borderId="37" xfId="438" applyFill="1" applyBorder="1" applyAlignment="1">
      <alignment horizontal="center"/>
      <protection/>
    </xf>
    <xf numFmtId="0" fontId="72" fillId="46" borderId="38" xfId="438" applyFont="1" applyFill="1" applyBorder="1" applyAlignment="1">
      <alignment horizontal="center"/>
      <protection/>
    </xf>
    <xf numFmtId="0" fontId="72" fillId="46" borderId="39" xfId="438" applyFont="1" applyFill="1" applyBorder="1" applyAlignment="1">
      <alignment horizontal="center"/>
      <protection/>
    </xf>
    <xf numFmtId="0" fontId="72" fillId="46" borderId="40" xfId="438" applyFont="1" applyFill="1" applyBorder="1" applyAlignment="1">
      <alignment horizontal="center"/>
      <protection/>
    </xf>
    <xf numFmtId="0" fontId="83" fillId="0" borderId="35" xfId="438" applyFont="1" applyBorder="1" applyAlignment="1">
      <alignment horizontal="center"/>
      <protection/>
    </xf>
    <xf numFmtId="0" fontId="83" fillId="0" borderId="36" xfId="438" applyFont="1" applyBorder="1" applyAlignment="1">
      <alignment horizontal="center"/>
      <protection/>
    </xf>
    <xf numFmtId="0" fontId="83" fillId="0" borderId="37" xfId="438" applyFont="1" applyBorder="1" applyAlignment="1">
      <alignment horizontal="center"/>
      <protection/>
    </xf>
    <xf numFmtId="0" fontId="72" fillId="46" borderId="29" xfId="438" applyFont="1" applyFill="1" applyBorder="1" applyAlignment="1">
      <alignment horizontal="center"/>
      <protection/>
    </xf>
    <xf numFmtId="0" fontId="72" fillId="46" borderId="0" xfId="438" applyFont="1" applyFill="1" applyBorder="1" applyAlignment="1">
      <alignment horizontal="center"/>
      <protection/>
    </xf>
    <xf numFmtId="0" fontId="72" fillId="46" borderId="28" xfId="438" applyFont="1" applyFill="1" applyBorder="1" applyAlignment="1">
      <alignment horizontal="center"/>
      <protection/>
    </xf>
  </cellXfs>
  <cellStyles count="5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2 2 2" xfId="187"/>
    <cellStyle name="Normal 2 10 11 3" xfId="188"/>
    <cellStyle name="Normal 2 10 11 4" xfId="189"/>
    <cellStyle name="Normal 2 10 11 5" xfId="190"/>
    <cellStyle name="Normal 2 10 12" xfId="191"/>
    <cellStyle name="Normal 2 10 2" xfId="192"/>
    <cellStyle name="Normal 2 10 2 2" xfId="193"/>
    <cellStyle name="Normal 2 10 3" xfId="194"/>
    <cellStyle name="Normal 2 10 3 2" xfId="195"/>
    <cellStyle name="Normal 2 10 4" xfId="196"/>
    <cellStyle name="Normal 2 10 4 2" xfId="197"/>
    <cellStyle name="Normal 2 10 5" xfId="198"/>
    <cellStyle name="Normal 2 10 5 2" xfId="199"/>
    <cellStyle name="Normal 2 10 6" xfId="200"/>
    <cellStyle name="Normal 2 10 6 2" xfId="201"/>
    <cellStyle name="Normal 2 10 7" xfId="202"/>
    <cellStyle name="Normal 2 10 7 2" xfId="203"/>
    <cellStyle name="Normal 2 10 8" xfId="204"/>
    <cellStyle name="Normal 2 10 8 2" xfId="205"/>
    <cellStyle name="Normal 2 10 9" xfId="206"/>
    <cellStyle name="Normal 2 11" xfId="207"/>
    <cellStyle name="Normal 2 11 10" xfId="208"/>
    <cellStyle name="Normal 2 11 11" xfId="209"/>
    <cellStyle name="Normal 2 11 2" xfId="210"/>
    <cellStyle name="Normal 2 11 2 2" xfId="211"/>
    <cellStyle name="Normal 2 11 3" xfId="212"/>
    <cellStyle name="Normal 2 11 3 2" xfId="213"/>
    <cellStyle name="Normal 2 11 4" xfId="214"/>
    <cellStyle name="Normal 2 11 4 2" xfId="215"/>
    <cellStyle name="Normal 2 11 5" xfId="216"/>
    <cellStyle name="Normal 2 11 5 2" xfId="217"/>
    <cellStyle name="Normal 2 11 6" xfId="218"/>
    <cellStyle name="Normal 2 11 6 2" xfId="219"/>
    <cellStyle name="Normal 2 11 7" xfId="220"/>
    <cellStyle name="Normal 2 11 7 2" xfId="221"/>
    <cellStyle name="Normal 2 11 8" xfId="222"/>
    <cellStyle name="Normal 2 11 8 2" xfId="223"/>
    <cellStyle name="Normal 2 11 9" xfId="224"/>
    <cellStyle name="Normal 2 12" xfId="225"/>
    <cellStyle name="Normal 2 13" xfId="226"/>
    <cellStyle name="Normal 2 14" xfId="227"/>
    <cellStyle name="Normal 2 15" xfId="228"/>
    <cellStyle name="Normal 2 16" xfId="229"/>
    <cellStyle name="Normal 2 17" xfId="230"/>
    <cellStyle name="Normal 2 17 2" xfId="231"/>
    <cellStyle name="Normal 2 17 3" xfId="232"/>
    <cellStyle name="Normal 2 2" xfId="233"/>
    <cellStyle name="Normal 2 2 10" xfId="234"/>
    <cellStyle name="Normal 2 2 10 2" xfId="235"/>
    <cellStyle name="Normal 2 2 11" xfId="236"/>
    <cellStyle name="Normal 2 2 11 2" xfId="237"/>
    <cellStyle name="Normal 2 2 12" xfId="238"/>
    <cellStyle name="Normal 2 2 12 2" xfId="239"/>
    <cellStyle name="Normal 2 2 12 2 2" xfId="240"/>
    <cellStyle name="Normal 2 2 12 2 3" xfId="241"/>
    <cellStyle name="Normal 2 2 12 2 4" xfId="242"/>
    <cellStyle name="Normal 2 2 12 3" xfId="243"/>
    <cellStyle name="Normal 2 2 12 4" xfId="244"/>
    <cellStyle name="Normal 2 2 13" xfId="245"/>
    <cellStyle name="Normal 2 2 13 2" xfId="246"/>
    <cellStyle name="Normal 2 2 13 2 2" xfId="247"/>
    <cellStyle name="Normal 2 2 13 2 3" xfId="248"/>
    <cellStyle name="Normal 2 2 13 2 4" xfId="249"/>
    <cellStyle name="Normal 2 2 13 3" xfId="250"/>
    <cellStyle name="Normal 2 2 13 4" xfId="251"/>
    <cellStyle name="Normal 2 2 14" xfId="252"/>
    <cellStyle name="Normal 2 2 14 2" xfId="253"/>
    <cellStyle name="Normal 2 2 15" xfId="254"/>
    <cellStyle name="Normal 2 2 15 2" xfId="255"/>
    <cellStyle name="Normal 2 2 16" xfId="256"/>
    <cellStyle name="Normal 2 2 16 2" xfId="257"/>
    <cellStyle name="Normal 2 2 16 3" xfId="258"/>
    <cellStyle name="Normal 2 2 17" xfId="259"/>
    <cellStyle name="Normal 2 2 18" xfId="260"/>
    <cellStyle name="Normal 2 2 19" xfId="261"/>
    <cellStyle name="Normal 2 2 2" xfId="262"/>
    <cellStyle name="Normal 2 2 2 2" xfId="263"/>
    <cellStyle name="Normal 2 2 2 2 2" xfId="264"/>
    <cellStyle name="Normal 2 2 2 2 3" xfId="265"/>
    <cellStyle name="Normal 2 2 2 2 3 2" xfId="266"/>
    <cellStyle name="Normal 2 2 2 2 3 3" xfId="267"/>
    <cellStyle name="Normal 2 2 2 3" xfId="268"/>
    <cellStyle name="Normal 2 2 2 3 2" xfId="269"/>
    <cellStyle name="Normal 2 2 2 3 3" xfId="270"/>
    <cellStyle name="Normal 2 2 2 3 4" xfId="271"/>
    <cellStyle name="Normal 2 2 2 4" xfId="272"/>
    <cellStyle name="Normal 2 2 2 4 2" xfId="273"/>
    <cellStyle name="Normal 2 2 2 5" xfId="274"/>
    <cellStyle name="Normal 2 2 2 5 2" xfId="275"/>
    <cellStyle name="Normal 2 2 2 5 3" xfId="276"/>
    <cellStyle name="Normal 2 2 2 5 4" xfId="277"/>
    <cellStyle name="Normal 2 2 2 6" xfId="278"/>
    <cellStyle name="Normal 2 2 2 6 2" xfId="279"/>
    <cellStyle name="Normal 2 2 2 7" xfId="280"/>
    <cellStyle name="Normal 2 2 2 7 2" xfId="281"/>
    <cellStyle name="Normal 2 2 2 7 3" xfId="282"/>
    <cellStyle name="Normal 2 2 2 8" xfId="283"/>
    <cellStyle name="Normal 2 2 20" xfId="284"/>
    <cellStyle name="Normal 2 2 21" xfId="285"/>
    <cellStyle name="Normal 2 2 22" xfId="286"/>
    <cellStyle name="Normal 2 2 3" xfId="287"/>
    <cellStyle name="Normal 2 2 3 2" xfId="288"/>
    <cellStyle name="Normal 2 2 4" xfId="289"/>
    <cellStyle name="Normal 2 2 4 2" xfId="290"/>
    <cellStyle name="Normal 2 2 5" xfId="291"/>
    <cellStyle name="Normal 2 2 5 2" xfId="292"/>
    <cellStyle name="Normal 2 2 6" xfId="293"/>
    <cellStyle name="Normal 2 2 6 2" xfId="294"/>
    <cellStyle name="Normal 2 2 7" xfId="295"/>
    <cellStyle name="Normal 2 2 7 2" xfId="296"/>
    <cellStyle name="Normal 2 2 8" xfId="297"/>
    <cellStyle name="Normal 2 2 8 2" xfId="298"/>
    <cellStyle name="Normal 2 2 9" xfId="299"/>
    <cellStyle name="Normal 2 2 9 2" xfId="300"/>
    <cellStyle name="Normal 2 3" xfId="301"/>
    <cellStyle name="Normal 2 3 10" xfId="302"/>
    <cellStyle name="Normal 2 3 11" xfId="303"/>
    <cellStyle name="Normal 2 3 12" xfId="304"/>
    <cellStyle name="Normal 2 3 13" xfId="305"/>
    <cellStyle name="Normal 2 3 14" xfId="306"/>
    <cellStyle name="Normal 2 3 15" xfId="307"/>
    <cellStyle name="Normal 2 3 2" xfId="308"/>
    <cellStyle name="Normal 2 3 2 2" xfId="309"/>
    <cellStyle name="Normal 2 3 2 2 2" xfId="310"/>
    <cellStyle name="Normal 2 3 2 2 3" xfId="311"/>
    <cellStyle name="Normal 2 3 2 3" xfId="312"/>
    <cellStyle name="Normal 2 3 2 4" xfId="313"/>
    <cellStyle name="Normal 2 3 2 5" xfId="314"/>
    <cellStyle name="Normal 2 3 3" xfId="315"/>
    <cellStyle name="Normal 2 3 3 2" xfId="316"/>
    <cellStyle name="Normal 2 3 3 3" xfId="317"/>
    <cellStyle name="Normal 2 3 4" xfId="318"/>
    <cellStyle name="Normal 2 3 5" xfId="319"/>
    <cellStyle name="Normal 2 3 6" xfId="320"/>
    <cellStyle name="Normal 2 3 7" xfId="321"/>
    <cellStyle name="Normal 2 3 8" xfId="322"/>
    <cellStyle name="Normal 2 3 9" xfId="323"/>
    <cellStyle name="Normal 2 4" xfId="324"/>
    <cellStyle name="Normal 2 4 10" xfId="325"/>
    <cellStyle name="Normal 2 4 11" xfId="326"/>
    <cellStyle name="Normal 2 4 12" xfId="327"/>
    <cellStyle name="Normal 2 4 12 2" xfId="328"/>
    <cellStyle name="Normal 2 4 12 3" xfId="329"/>
    <cellStyle name="Normal 2 4 13" xfId="330"/>
    <cellStyle name="Normal 2 4 13 2" xfId="331"/>
    <cellStyle name="Normal 2 4 13 3" xfId="332"/>
    <cellStyle name="Normal 2 4 2" xfId="333"/>
    <cellStyle name="Normal 2 4 2 2" xfId="334"/>
    <cellStyle name="Normal 2 4 2 2 2" xfId="335"/>
    <cellStyle name="Normal 2 4 2 2 3" xfId="336"/>
    <cellStyle name="Normal 2 4 2 3" xfId="337"/>
    <cellStyle name="Normal 2 4 2 4" xfId="338"/>
    <cellStyle name="Normal 2 4 2 5" xfId="339"/>
    <cellStyle name="Normal 2 4 3" xfId="340"/>
    <cellStyle name="Normal 2 4 3 2" xfId="341"/>
    <cellStyle name="Normal 2 4 3 3" xfId="342"/>
    <cellStyle name="Normal 2 4 4" xfId="343"/>
    <cellStyle name="Normal 2 4 5" xfId="344"/>
    <cellStyle name="Normal 2 4 6" xfId="345"/>
    <cellStyle name="Normal 2 4 7" xfId="346"/>
    <cellStyle name="Normal 2 4 8" xfId="347"/>
    <cellStyle name="Normal 2 4 9" xfId="348"/>
    <cellStyle name="Normal 2 5" xfId="349"/>
    <cellStyle name="Normal 2 5 10" xfId="350"/>
    <cellStyle name="Normal 2 5 11" xfId="351"/>
    <cellStyle name="Normal 2 5 12" xfId="352"/>
    <cellStyle name="Normal 2 5 12 2" xfId="353"/>
    <cellStyle name="Normal 2 5 12 3" xfId="354"/>
    <cellStyle name="Normal 2 5 2" xfId="355"/>
    <cellStyle name="Normal 2 5 2 2" xfId="356"/>
    <cellStyle name="Normal 2 5 3" xfId="357"/>
    <cellStyle name="Normal 2 5 3 2" xfId="358"/>
    <cellStyle name="Normal 2 5 4" xfId="359"/>
    <cellStyle name="Normal 2 5 5" xfId="360"/>
    <cellStyle name="Normal 2 5 6" xfId="361"/>
    <cellStyle name="Normal 2 5 7" xfId="362"/>
    <cellStyle name="Normal 2 5 8" xfId="363"/>
    <cellStyle name="Normal 2 5 9" xfId="364"/>
    <cellStyle name="Normal 2 6" xfId="365"/>
    <cellStyle name="Normal 2 6 10" xfId="366"/>
    <cellStyle name="Normal 2 6 11" xfId="367"/>
    <cellStyle name="Normal 2 6 12" xfId="368"/>
    <cellStyle name="Normal 2 6 2" xfId="369"/>
    <cellStyle name="Normal 2 6 2 2" xfId="370"/>
    <cellStyle name="Normal 2 6 3" xfId="371"/>
    <cellStyle name="Normal 2 6 3 2" xfId="372"/>
    <cellStyle name="Normal 2 6 4" xfId="373"/>
    <cellStyle name="Normal 2 6 5" xfId="374"/>
    <cellStyle name="Normal 2 6 6" xfId="375"/>
    <cellStyle name="Normal 2 6 7" xfId="376"/>
    <cellStyle name="Normal 2 6 8" xfId="377"/>
    <cellStyle name="Normal 2 6 9" xfId="378"/>
    <cellStyle name="Normal 2 7" xfId="379"/>
    <cellStyle name="Normal 2 7 10" xfId="380"/>
    <cellStyle name="Normal 2 7 11" xfId="381"/>
    <cellStyle name="Normal 2 7 2" xfId="382"/>
    <cellStyle name="Normal 2 7 2 2" xfId="383"/>
    <cellStyle name="Normal 2 7 2 3" xfId="384"/>
    <cellStyle name="Normal 2 7 3" xfId="385"/>
    <cellStyle name="Normal 2 7 3 2" xfId="386"/>
    <cellStyle name="Normal 2 7 4" xfId="387"/>
    <cellStyle name="Normal 2 7 4 2" xfId="388"/>
    <cellStyle name="Normal 2 7 5" xfId="389"/>
    <cellStyle name="Normal 2 7 5 2" xfId="390"/>
    <cellStyle name="Normal 2 7 6" xfId="391"/>
    <cellStyle name="Normal 2 7 6 2" xfId="392"/>
    <cellStyle name="Normal 2 7 7" xfId="393"/>
    <cellStyle name="Normal 2 7 7 2" xfId="394"/>
    <cellStyle name="Normal 2 7 8" xfId="395"/>
    <cellStyle name="Normal 2 7 8 2" xfId="396"/>
    <cellStyle name="Normal 2 7 9" xfId="397"/>
    <cellStyle name="Normal 2 8" xfId="398"/>
    <cellStyle name="Normal 2 8 10" xfId="399"/>
    <cellStyle name="Normal 2 8 11" xfId="400"/>
    <cellStyle name="Normal 2 8 2" xfId="401"/>
    <cellStyle name="Normal 2 8 2 2" xfId="402"/>
    <cellStyle name="Normal 2 8 3" xfId="403"/>
    <cellStyle name="Normal 2 8 3 2" xfId="404"/>
    <cellStyle name="Normal 2 8 4" xfId="405"/>
    <cellStyle name="Normal 2 8 4 2" xfId="406"/>
    <cellStyle name="Normal 2 8 5" xfId="407"/>
    <cellStyle name="Normal 2 8 5 2" xfId="408"/>
    <cellStyle name="Normal 2 8 6" xfId="409"/>
    <cellStyle name="Normal 2 8 6 2" xfId="410"/>
    <cellStyle name="Normal 2 8 7" xfId="411"/>
    <cellStyle name="Normal 2 8 7 2" xfId="412"/>
    <cellStyle name="Normal 2 8 8" xfId="413"/>
    <cellStyle name="Normal 2 8 8 2" xfId="414"/>
    <cellStyle name="Normal 2 8 9" xfId="415"/>
    <cellStyle name="Normal 2 9" xfId="416"/>
    <cellStyle name="Normal 2 9 10" xfId="417"/>
    <cellStyle name="Normal 2 9 11" xfId="418"/>
    <cellStyle name="Normal 2 9 2" xfId="419"/>
    <cellStyle name="Normal 2 9 2 2" xfId="420"/>
    <cellStyle name="Normal 2 9 3" xfId="421"/>
    <cellStyle name="Normal 2 9 3 2" xfId="422"/>
    <cellStyle name="Normal 2 9 4" xfId="423"/>
    <cellStyle name="Normal 2 9 4 2" xfId="424"/>
    <cellStyle name="Normal 2 9 5" xfId="425"/>
    <cellStyle name="Normal 2 9 5 2" xfId="426"/>
    <cellStyle name="Normal 2 9 6" xfId="427"/>
    <cellStyle name="Normal 2 9 6 2" xfId="428"/>
    <cellStyle name="Normal 2 9 7" xfId="429"/>
    <cellStyle name="Normal 2 9 7 2" xfId="430"/>
    <cellStyle name="Normal 2 9 8" xfId="431"/>
    <cellStyle name="Normal 2 9 8 2" xfId="432"/>
    <cellStyle name="Normal 2 9 9" xfId="433"/>
    <cellStyle name="Normal 20" xfId="434"/>
    <cellStyle name="Normal 20 2" xfId="435"/>
    <cellStyle name="Normal 20 3" xfId="436"/>
    <cellStyle name="Normal 21" xfId="437"/>
    <cellStyle name="Normal 21 2" xfId="438"/>
    <cellStyle name="Normal 21 2 2" xfId="439"/>
    <cellStyle name="Normal 21 2 3" xfId="440"/>
    <cellStyle name="Normal 21 3" xfId="441"/>
    <cellStyle name="Normal 21 4" xfId="442"/>
    <cellStyle name="Normal 21 5" xfId="443"/>
    <cellStyle name="Normal 22" xfId="444"/>
    <cellStyle name="Normal 22 2" xfId="445"/>
    <cellStyle name="Normal 22 3" xfId="446"/>
    <cellStyle name="Normal 23" xfId="447"/>
    <cellStyle name="Normal 23 2" xfId="448"/>
    <cellStyle name="Normal 23 3" xfId="449"/>
    <cellStyle name="Normal 24" xfId="450"/>
    <cellStyle name="Normal 24 2" xfId="451"/>
    <cellStyle name="Normal 24 3" xfId="452"/>
    <cellStyle name="Normal 25" xfId="453"/>
    <cellStyle name="Normal 25 2" xfId="454"/>
    <cellStyle name="Normal 25 3" xfId="455"/>
    <cellStyle name="Normal 26" xfId="456"/>
    <cellStyle name="Normal 27" xfId="457"/>
    <cellStyle name="Normal 3" xfId="458"/>
    <cellStyle name="Normal 3 10" xfId="459"/>
    <cellStyle name="Normal 3 10 2" xfId="460"/>
    <cellStyle name="Normal 3 11" xfId="461"/>
    <cellStyle name="Normal 3 12" xfId="462"/>
    <cellStyle name="Normal 3 13" xfId="463"/>
    <cellStyle name="Normal 3 14" xfId="464"/>
    <cellStyle name="Normal 3 15" xfId="465"/>
    <cellStyle name="Normal 3 2" xfId="466"/>
    <cellStyle name="Normal 3 2 2" xfId="467"/>
    <cellStyle name="Normal 3 2 2 2" xfId="468"/>
    <cellStyle name="Normal 3 2 2 3" xfId="469"/>
    <cellStyle name="Normal 3 2 3" xfId="470"/>
    <cellStyle name="Normal 3 2 4" xfId="471"/>
    <cellStyle name="Normal 3 2 5" xfId="472"/>
    <cellStyle name="Normal 3 3" xfId="473"/>
    <cellStyle name="Normal 3 3 2" xfId="474"/>
    <cellStyle name="Normal 3 3 2 2" xfId="475"/>
    <cellStyle name="Normal 3 3 2 3" xfId="476"/>
    <cellStyle name="Normal 3 3 3" xfId="477"/>
    <cellStyle name="Normal 3 3 4" xfId="478"/>
    <cellStyle name="Normal 3 4" xfId="479"/>
    <cellStyle name="Normal 3 5" xfId="480"/>
    <cellStyle name="Normal 3 6" xfId="481"/>
    <cellStyle name="Normal 3 7" xfId="482"/>
    <cellStyle name="Normal 3 7 2" xfId="483"/>
    <cellStyle name="Normal 3 7 3" xfId="484"/>
    <cellStyle name="Normal 3 8" xfId="485"/>
    <cellStyle name="Normal 3 8 2" xfId="486"/>
    <cellStyle name="Normal 3 8 3" xfId="487"/>
    <cellStyle name="Normal 3 9" xfId="488"/>
    <cellStyle name="Normal 3 9 2" xfId="489"/>
    <cellStyle name="Normal 3 9 3" xfId="490"/>
    <cellStyle name="Normal 4" xfId="491"/>
    <cellStyle name="Normal 4 10" xfId="492"/>
    <cellStyle name="Normal 4 11" xfId="493"/>
    <cellStyle name="Normal 4 12" xfId="494"/>
    <cellStyle name="Normal 4 13" xfId="495"/>
    <cellStyle name="Normal 4 2" xfId="496"/>
    <cellStyle name="Normal 4 2 2" xfId="497"/>
    <cellStyle name="Normal 4 2 2 2" xfId="498"/>
    <cellStyle name="Normal 4 2 2 3" xfId="499"/>
    <cellStyle name="Normal 4 2 2 3 2" xfId="500"/>
    <cellStyle name="Normal 4 2 3" xfId="501"/>
    <cellStyle name="Normal 4 2 4" xfId="502"/>
    <cellStyle name="Normal 4 2 5" xfId="503"/>
    <cellStyle name="Normal 4 3" xfId="504"/>
    <cellStyle name="Normal 4 3 2" xfId="505"/>
    <cellStyle name="Normal 4 3 3" xfId="506"/>
    <cellStyle name="Normal 4 4" xfId="507"/>
    <cellStyle name="Normal 4 5" xfId="508"/>
    <cellStyle name="Normal 4 5 2" xfId="509"/>
    <cellStyle name="Normal 4 5 3" xfId="510"/>
    <cellStyle name="Normal 4 6" xfId="511"/>
    <cellStyle name="Normal 4 6 2" xfId="512"/>
    <cellStyle name="Normal 4 6 3" xfId="513"/>
    <cellStyle name="Normal 4 7" xfId="514"/>
    <cellStyle name="Normal 4 8" xfId="515"/>
    <cellStyle name="Normal 4 9" xfId="516"/>
    <cellStyle name="Normal 5" xfId="517"/>
    <cellStyle name="Normal 5 2" xfId="518"/>
    <cellStyle name="Normal 5 3" xfId="519"/>
    <cellStyle name="Normal 5 3 2" xfId="520"/>
    <cellStyle name="Normal 5 3 3" xfId="521"/>
    <cellStyle name="Normal 5 4" xfId="522"/>
    <cellStyle name="Normal 5 5" xfId="523"/>
    <cellStyle name="Normal 5 5 2" xfId="524"/>
    <cellStyle name="Normal 5 5 3" xfId="525"/>
    <cellStyle name="Normal 5 6" xfId="526"/>
    <cellStyle name="Normal 6" xfId="527"/>
    <cellStyle name="Normal 6 2" xfId="528"/>
    <cellStyle name="Normal 6 3" xfId="529"/>
    <cellStyle name="Normal 6 4" xfId="530"/>
    <cellStyle name="Normal 6 5" xfId="531"/>
    <cellStyle name="Normal 7" xfId="532"/>
    <cellStyle name="Normal 7 2" xfId="533"/>
    <cellStyle name="Normal 7 2 2" xfId="534"/>
    <cellStyle name="Normal 7 2 2 2" xfId="535"/>
    <cellStyle name="Normal 7 2 2 3" xfId="536"/>
    <cellStyle name="Normal 7 2 3" xfId="537"/>
    <cellStyle name="Normal 7 2 4" xfId="538"/>
    <cellStyle name="Normal 7 2 4 2" xfId="539"/>
    <cellStyle name="Normal 7 2 4 3" xfId="540"/>
    <cellStyle name="Normal 7 2 5" xfId="541"/>
    <cellStyle name="Normal 7 3" xfId="542"/>
    <cellStyle name="Normal 7 4" xfId="543"/>
    <cellStyle name="Normal 7 4 2" xfId="544"/>
    <cellStyle name="Normal 7 4 3" xfId="545"/>
    <cellStyle name="Normal 7 5" xfId="546"/>
    <cellStyle name="Normal 7 5 2" xfId="547"/>
    <cellStyle name="Normal 7 5 3" xfId="548"/>
    <cellStyle name="Normal 7 5 4" xfId="549"/>
    <cellStyle name="Normal 7 5 5" xfId="550"/>
    <cellStyle name="Normal 7 6" xfId="551"/>
    <cellStyle name="Normal 7 7" xfId="552"/>
    <cellStyle name="Normal 8" xfId="553"/>
    <cellStyle name="Normal 8 2" xfId="554"/>
    <cellStyle name="Normal 8 3" xfId="555"/>
    <cellStyle name="Normal 9" xfId="556"/>
    <cellStyle name="Normal 9 2" xfId="557"/>
    <cellStyle name="Normal 9 2 2" xfId="558"/>
    <cellStyle name="Normal 9 2 3" xfId="559"/>
    <cellStyle name="Normal 9 3" xfId="560"/>
    <cellStyle name="Normal 9 4" xfId="561"/>
    <cellStyle name="Normal 9 5" xfId="562"/>
    <cellStyle name="Normal 9 5 2" xfId="563"/>
    <cellStyle name="Normal 9 5 3" xfId="564"/>
    <cellStyle name="Normal 9 6" xfId="565"/>
    <cellStyle name="Normal 9 6 2" xfId="566"/>
    <cellStyle name="Normal 9 6 3" xfId="567"/>
    <cellStyle name="Normal_debt" xfId="568"/>
    <cellStyle name="Normal_lpform" xfId="569"/>
    <cellStyle name="Note" xfId="570"/>
    <cellStyle name="Output" xfId="571"/>
    <cellStyle name="Percent" xfId="572"/>
    <cellStyle name="Title" xfId="573"/>
    <cellStyle name="Total" xfId="574"/>
    <cellStyle name="Warning Text" xfId="575"/>
  </cellStyles>
  <dxfs count="93">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kennedy@kmc-cpa.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3"/>
  <sheetViews>
    <sheetView zoomScalePageLayoutView="0" workbookViewId="0" topLeftCell="A1">
      <selection activeCell="M77" sqref="M77"/>
    </sheetView>
  </sheetViews>
  <sheetFormatPr defaultColWidth="8.796875" defaultRowHeight="15"/>
  <cols>
    <col min="1" max="1" width="75.8984375" style="0" customWidth="1"/>
  </cols>
  <sheetData>
    <row r="1" ht="15.75">
      <c r="A1" s="28" t="s">
        <v>174</v>
      </c>
    </row>
    <row r="3" ht="37.5" customHeight="1">
      <c r="A3" s="342" t="s">
        <v>382</v>
      </c>
    </row>
    <row r="4" ht="15.75">
      <c r="A4" s="30"/>
    </row>
    <row r="5" ht="57" customHeight="1">
      <c r="A5" s="31" t="s">
        <v>4</v>
      </c>
    </row>
    <row r="6" ht="15.75">
      <c r="A6" s="31"/>
    </row>
    <row r="7" ht="71.25" customHeight="1">
      <c r="A7" s="31" t="s">
        <v>346</v>
      </c>
    </row>
    <row r="8" ht="15.75">
      <c r="A8" s="31"/>
    </row>
    <row r="9" ht="37.5" customHeight="1">
      <c r="A9" s="31" t="s">
        <v>226</v>
      </c>
    </row>
    <row r="11" ht="69.75" customHeight="1">
      <c r="A11" s="31" t="s">
        <v>21</v>
      </c>
    </row>
    <row r="13" ht="15.75">
      <c r="A13" s="28" t="s">
        <v>13</v>
      </c>
    </row>
    <row r="14" ht="15.75">
      <c r="A14" s="28"/>
    </row>
    <row r="15" ht="15.75">
      <c r="A15" s="30" t="s">
        <v>14</v>
      </c>
    </row>
    <row r="17" ht="47.25" customHeight="1">
      <c r="A17" s="32" t="s">
        <v>239</v>
      </c>
    </row>
    <row r="18" ht="15.75">
      <c r="A18" s="32"/>
    </row>
    <row r="20" ht="15.75">
      <c r="A20" s="28" t="s">
        <v>23</v>
      </c>
    </row>
    <row r="22" ht="48.75" customHeight="1">
      <c r="A22" s="31" t="s">
        <v>227</v>
      </c>
    </row>
    <row r="23" ht="15.75">
      <c r="A23" s="31"/>
    </row>
    <row r="24" ht="27" customHeight="1">
      <c r="A24" s="33" t="s">
        <v>228</v>
      </c>
    </row>
    <row r="25" ht="15.75">
      <c r="A25" s="31"/>
    </row>
    <row r="26" ht="15.75">
      <c r="A26" s="34" t="s">
        <v>165</v>
      </c>
    </row>
    <row r="27" ht="15.75">
      <c r="A27" s="35"/>
    </row>
    <row r="28" ht="102" customHeight="1">
      <c r="A28" s="36" t="s">
        <v>0</v>
      </c>
    </row>
    <row r="29" ht="15.75">
      <c r="A29" s="37"/>
    </row>
    <row r="30" ht="34.5" customHeight="1">
      <c r="A30" s="38" t="s">
        <v>229</v>
      </c>
    </row>
    <row r="31" ht="15.75">
      <c r="A31" s="37"/>
    </row>
    <row r="32" ht="15.75">
      <c r="A32" s="39" t="s">
        <v>12</v>
      </c>
    </row>
    <row r="33" ht="15.75">
      <c r="A33" s="37"/>
    </row>
    <row r="34" ht="27.75" customHeight="1">
      <c r="A34" s="31" t="s">
        <v>112</v>
      </c>
    </row>
    <row r="36" ht="15.75">
      <c r="A36" s="28" t="s">
        <v>113</v>
      </c>
    </row>
    <row r="38" ht="54.75" customHeight="1">
      <c r="A38" s="31" t="s">
        <v>300</v>
      </c>
    </row>
    <row r="39" ht="49.5" customHeight="1">
      <c r="A39" s="31" t="s">
        <v>176</v>
      </c>
    </row>
    <row r="40" ht="53.25" customHeight="1">
      <c r="A40" s="40" t="s">
        <v>230</v>
      </c>
    </row>
    <row r="41" ht="94.5">
      <c r="A41" s="477" t="s">
        <v>347</v>
      </c>
    </row>
    <row r="43" ht="63">
      <c r="A43" s="31" t="s">
        <v>301</v>
      </c>
    </row>
    <row r="44" ht="47.25">
      <c r="A44" s="31" t="s">
        <v>231</v>
      </c>
    </row>
    <row r="45" ht="94.5">
      <c r="A45" s="31" t="s">
        <v>22</v>
      </c>
    </row>
    <row r="46" ht="15.75">
      <c r="A46" s="31"/>
    </row>
    <row r="47" ht="47.25" customHeight="1">
      <c r="A47" s="478" t="s">
        <v>348</v>
      </c>
    </row>
    <row r="48" ht="59.25" customHeight="1">
      <c r="A48" s="516" t="s">
        <v>256</v>
      </c>
    </row>
    <row r="49" ht="56.25" customHeight="1">
      <c r="A49" s="479" t="s">
        <v>349</v>
      </c>
    </row>
    <row r="50" ht="15.75">
      <c r="A50" s="31"/>
    </row>
    <row r="51" ht="69" customHeight="1">
      <c r="A51" s="31" t="s">
        <v>257</v>
      </c>
    </row>
    <row r="52" ht="57.75" customHeight="1">
      <c r="A52" s="31" t="s">
        <v>258</v>
      </c>
    </row>
    <row r="53" ht="90.75" customHeight="1">
      <c r="A53" s="31" t="s">
        <v>400</v>
      </c>
    </row>
    <row r="54" ht="78.75">
      <c r="A54" s="480" t="s">
        <v>381</v>
      </c>
    </row>
    <row r="56" ht="71.25" customHeight="1">
      <c r="A56" s="31" t="s">
        <v>401</v>
      </c>
    </row>
    <row r="57" ht="135.75" customHeight="1">
      <c r="A57" s="31" t="s">
        <v>402</v>
      </c>
    </row>
    <row r="58" ht="35.25" customHeight="1">
      <c r="A58" s="31" t="s">
        <v>403</v>
      </c>
    </row>
    <row r="59" ht="15.75">
      <c r="A59" s="31"/>
    </row>
    <row r="60" ht="63">
      <c r="A60" s="480" t="s">
        <v>350</v>
      </c>
    </row>
    <row r="61" ht="15.75">
      <c r="A61" s="31"/>
    </row>
    <row r="62" ht="63">
      <c r="A62" s="31" t="s">
        <v>259</v>
      </c>
    </row>
    <row r="63" ht="15.75">
      <c r="A63" s="31" t="s">
        <v>266</v>
      </c>
    </row>
    <row r="64" ht="63">
      <c r="A64" s="31" t="s">
        <v>267</v>
      </c>
    </row>
    <row r="65" ht="15.75">
      <c r="A65" s="317" t="s">
        <v>268</v>
      </c>
    </row>
    <row r="67" ht="47.25">
      <c r="A67" s="31" t="s">
        <v>260</v>
      </c>
    </row>
    <row r="69" ht="63">
      <c r="A69" s="31" t="s">
        <v>261</v>
      </c>
    </row>
    <row r="70" ht="15.75">
      <c r="A70" s="31"/>
    </row>
    <row r="71" ht="126">
      <c r="A71" s="480" t="s">
        <v>351</v>
      </c>
    </row>
    <row r="73" ht="94.5">
      <c r="A73" s="31" t="s">
        <v>352</v>
      </c>
    </row>
    <row r="74" ht="47.25">
      <c r="A74" s="480" t="s">
        <v>380</v>
      </c>
    </row>
    <row r="75" ht="78.75">
      <c r="A75" s="344" t="s">
        <v>353</v>
      </c>
    </row>
    <row r="76" ht="63">
      <c r="A76" s="344" t="s">
        <v>354</v>
      </c>
    </row>
    <row r="77" ht="63">
      <c r="A77" s="344" t="s">
        <v>355</v>
      </c>
    </row>
    <row r="78" ht="110.25">
      <c r="A78" s="31" t="s">
        <v>356</v>
      </c>
    </row>
    <row r="79" ht="63">
      <c r="A79" s="480" t="s">
        <v>357</v>
      </c>
    </row>
    <row r="80" ht="110.25">
      <c r="A80" s="31" t="s">
        <v>358</v>
      </c>
    </row>
    <row r="81" ht="126">
      <c r="A81" s="31" t="s">
        <v>359</v>
      </c>
    </row>
    <row r="82" ht="47.25">
      <c r="A82" s="31" t="s">
        <v>360</v>
      </c>
    </row>
    <row r="83" ht="78.75">
      <c r="A83" s="31" t="s">
        <v>361</v>
      </c>
    </row>
    <row r="84" ht="31.5">
      <c r="A84" s="31" t="s">
        <v>362</v>
      </c>
    </row>
    <row r="85" ht="78.75">
      <c r="A85" s="31" t="s">
        <v>363</v>
      </c>
    </row>
    <row r="86" ht="94.5">
      <c r="A86" s="481" t="s">
        <v>364</v>
      </c>
    </row>
    <row r="87" ht="78.75">
      <c r="A87" s="482" t="s">
        <v>365</v>
      </c>
    </row>
    <row r="88" ht="31.5">
      <c r="A88" s="515" t="s">
        <v>366</v>
      </c>
    </row>
    <row r="89" ht="47.25">
      <c r="A89" s="480" t="s">
        <v>262</v>
      </c>
    </row>
    <row r="90" ht="15.75">
      <c r="A90" s="483" t="s">
        <v>263</v>
      </c>
    </row>
    <row r="91" ht="31.5">
      <c r="A91" s="344" t="s">
        <v>371</v>
      </c>
    </row>
    <row r="92" ht="110.25">
      <c r="A92" s="344" t="s">
        <v>372</v>
      </c>
    </row>
    <row r="93" ht="126">
      <c r="A93" s="344" t="s">
        <v>373</v>
      </c>
    </row>
    <row r="94" ht="63">
      <c r="A94" s="484" t="s">
        <v>374</v>
      </c>
    </row>
    <row r="95" ht="63">
      <c r="A95" s="485" t="s">
        <v>375</v>
      </c>
    </row>
    <row r="97" ht="126">
      <c r="A97" s="31" t="s">
        <v>367</v>
      </c>
    </row>
    <row r="98" ht="126">
      <c r="A98" s="31" t="s">
        <v>368</v>
      </c>
    </row>
    <row r="99" ht="47.25">
      <c r="A99" s="31" t="s">
        <v>369</v>
      </c>
    </row>
    <row r="100" ht="15.75">
      <c r="A100" s="31" t="s">
        <v>370</v>
      </c>
    </row>
    <row r="102" ht="47.25">
      <c r="A102" s="480" t="s">
        <v>376</v>
      </c>
    </row>
    <row r="103" ht="15.75">
      <c r="A103" s="517"/>
    </row>
    <row r="104" ht="47.25">
      <c r="A104" s="344" t="s">
        <v>377</v>
      </c>
    </row>
    <row r="105" ht="94.5">
      <c r="A105" s="344" t="s">
        <v>378</v>
      </c>
    </row>
    <row r="106" ht="94.5">
      <c r="A106" s="344" t="s">
        <v>379</v>
      </c>
    </row>
    <row r="107" ht="15.75">
      <c r="A107" s="344"/>
    </row>
    <row r="108" ht="15.75">
      <c r="A108" s="517"/>
    </row>
    <row r="109" ht="15.75">
      <c r="A109" s="517"/>
    </row>
    <row r="110" ht="15.75">
      <c r="A110" s="31"/>
    </row>
    <row r="111" ht="15.75">
      <c r="A111" s="31"/>
    </row>
    <row r="113" ht="15.75">
      <c r="A113" s="344"/>
    </row>
  </sheetData>
  <sheetProtection sheet="1"/>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F17" sqref="F17"/>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Leoti</v>
      </c>
      <c r="C1" s="5"/>
      <c r="D1" s="5"/>
      <c r="E1" s="5"/>
      <c r="F1" s="5"/>
      <c r="G1" s="5"/>
      <c r="H1" s="5"/>
      <c r="I1" s="20">
        <f>inputPrYr!C5</f>
        <v>2015</v>
      </c>
    </row>
    <row r="2" spans="2:9" ht="15.75">
      <c r="B2" s="10"/>
      <c r="C2" s="5"/>
      <c r="D2" s="5"/>
      <c r="E2" s="5"/>
      <c r="F2" s="5"/>
      <c r="G2" s="5"/>
      <c r="H2" s="5"/>
      <c r="I2" s="7"/>
    </row>
    <row r="3" spans="2:9" ht="15.75">
      <c r="B3" s="5"/>
      <c r="C3" s="5"/>
      <c r="D3" s="5"/>
      <c r="E3" s="5"/>
      <c r="F3" s="5"/>
      <c r="G3" s="5"/>
      <c r="H3" s="5"/>
      <c r="I3" s="6"/>
    </row>
    <row r="4" spans="2:9" ht="15.75">
      <c r="B4" s="11" t="s">
        <v>115</v>
      </c>
      <c r="C4" s="8"/>
      <c r="D4" s="8"/>
      <c r="E4" s="8"/>
      <c r="F4" s="8"/>
      <c r="G4" s="8"/>
      <c r="H4" s="8"/>
      <c r="I4" s="8"/>
    </row>
    <row r="5" spans="2:9" ht="15.75">
      <c r="B5" s="4"/>
      <c r="C5" s="16"/>
      <c r="D5" s="16"/>
      <c r="E5" s="16"/>
      <c r="F5" s="16"/>
      <c r="G5" s="16"/>
      <c r="H5" s="16"/>
      <c r="I5" s="16"/>
    </row>
    <row r="6" spans="2:9" ht="15.75">
      <c r="B6" s="9"/>
      <c r="C6" s="9"/>
      <c r="D6" s="9"/>
      <c r="E6" s="9"/>
      <c r="F6" s="12" t="s">
        <v>29</v>
      </c>
      <c r="G6" s="9"/>
      <c r="H6" s="9"/>
      <c r="I6" s="9"/>
    </row>
    <row r="7" spans="2:9" ht="15.75">
      <c r="B7" s="395"/>
      <c r="C7" s="13"/>
      <c r="D7" s="13" t="s">
        <v>102</v>
      </c>
      <c r="E7" s="13" t="s">
        <v>103</v>
      </c>
      <c r="F7" s="13" t="s">
        <v>49</v>
      </c>
      <c r="G7" s="13" t="s">
        <v>105</v>
      </c>
      <c r="H7" s="13" t="s">
        <v>106</v>
      </c>
      <c r="I7" s="13" t="s">
        <v>106</v>
      </c>
    </row>
    <row r="8" spans="2:9" ht="15.75">
      <c r="B8" s="13" t="s">
        <v>317</v>
      </c>
      <c r="C8" s="13" t="s">
        <v>107</v>
      </c>
      <c r="D8" s="13" t="s">
        <v>108</v>
      </c>
      <c r="E8" s="13" t="s">
        <v>92</v>
      </c>
      <c r="F8" s="13" t="s">
        <v>109</v>
      </c>
      <c r="G8" s="13" t="s">
        <v>155</v>
      </c>
      <c r="H8" s="13" t="s">
        <v>110</v>
      </c>
      <c r="I8" s="13" t="s">
        <v>110</v>
      </c>
    </row>
    <row r="9" spans="2:9" ht="15.75">
      <c r="B9" s="14" t="s">
        <v>316</v>
      </c>
      <c r="C9" s="14" t="s">
        <v>89</v>
      </c>
      <c r="D9" s="18" t="s">
        <v>111</v>
      </c>
      <c r="E9" s="14" t="s">
        <v>71</v>
      </c>
      <c r="F9" s="18" t="s">
        <v>168</v>
      </c>
      <c r="G9" s="15" t="str">
        <f>CONCATENATE("Jan 1,",I1-1,"")</f>
        <v>Jan 1,2014</v>
      </c>
      <c r="H9" s="14">
        <f>I1-1</f>
        <v>2014</v>
      </c>
      <c r="I9" s="14">
        <f>I1</f>
        <v>2015</v>
      </c>
    </row>
    <row r="10" spans="2:9" ht="15.75">
      <c r="B10" s="3" t="s">
        <v>440</v>
      </c>
      <c r="C10" s="25"/>
      <c r="D10" s="23"/>
      <c r="E10" s="21"/>
      <c r="F10" s="22"/>
      <c r="G10" s="22"/>
      <c r="H10" s="22"/>
      <c r="I10" s="22"/>
    </row>
    <row r="11" spans="2:9" ht="15.75">
      <c r="B11" s="3"/>
      <c r="C11" s="25"/>
      <c r="D11" s="23"/>
      <c r="E11" s="21"/>
      <c r="F11" s="22"/>
      <c r="G11" s="22"/>
      <c r="H11" s="22"/>
      <c r="I11" s="22"/>
    </row>
    <row r="12" spans="2:9" ht="15.75">
      <c r="B12" s="3"/>
      <c r="C12" s="25"/>
      <c r="D12" s="23"/>
      <c r="E12" s="21"/>
      <c r="F12" s="22"/>
      <c r="G12" s="22"/>
      <c r="H12" s="22"/>
      <c r="I12" s="22"/>
    </row>
    <row r="13" spans="2:9" ht="15.75">
      <c r="B13" s="3"/>
      <c r="C13" s="25"/>
      <c r="D13" s="23"/>
      <c r="E13" s="21"/>
      <c r="F13" s="22"/>
      <c r="G13" s="22"/>
      <c r="H13" s="22"/>
      <c r="I13" s="22"/>
    </row>
    <row r="14" spans="2:9" ht="15.75">
      <c r="B14" s="3"/>
      <c r="C14" s="25"/>
      <c r="D14" s="23"/>
      <c r="E14" s="21"/>
      <c r="F14" s="22"/>
      <c r="G14" s="22"/>
      <c r="H14" s="22"/>
      <c r="I14" s="22"/>
    </row>
    <row r="15" spans="2:9" ht="15.75">
      <c r="B15" s="3"/>
      <c r="C15" s="25"/>
      <c r="D15" s="23"/>
      <c r="E15" s="21"/>
      <c r="F15" s="22"/>
      <c r="G15" s="22"/>
      <c r="H15" s="22"/>
      <c r="I15" s="22"/>
    </row>
    <row r="16" spans="2:9" ht="15.75">
      <c r="B16" s="3"/>
      <c r="C16" s="25"/>
      <c r="D16" s="23"/>
      <c r="E16" s="21"/>
      <c r="F16" s="22"/>
      <c r="G16" s="22"/>
      <c r="H16" s="22"/>
      <c r="I16" s="22"/>
    </row>
    <row r="17" spans="2:9" ht="15.75">
      <c r="B17" s="3"/>
      <c r="C17" s="25"/>
      <c r="D17" s="23"/>
      <c r="E17" s="21"/>
      <c r="F17" s="22"/>
      <c r="G17" s="22"/>
      <c r="H17" s="22"/>
      <c r="I17" s="22"/>
    </row>
    <row r="18" spans="2:9" ht="15.75">
      <c r="B18" s="3"/>
      <c r="C18" s="25"/>
      <c r="D18" s="23"/>
      <c r="E18" s="21"/>
      <c r="F18" s="22"/>
      <c r="G18" s="22"/>
      <c r="H18" s="22"/>
      <c r="I18" s="22"/>
    </row>
    <row r="19" spans="2:9" ht="15.75">
      <c r="B19" s="3"/>
      <c r="C19" s="25"/>
      <c r="D19" s="23"/>
      <c r="E19" s="21"/>
      <c r="F19" s="22"/>
      <c r="G19" s="22"/>
      <c r="H19" s="22"/>
      <c r="I19" s="22"/>
    </row>
    <row r="20" spans="2:9" ht="15.75">
      <c r="B20" s="3"/>
      <c r="C20" s="25"/>
      <c r="D20" s="23"/>
      <c r="E20" s="21"/>
      <c r="F20" s="22"/>
      <c r="G20" s="22"/>
      <c r="H20" s="22"/>
      <c r="I20" s="22"/>
    </row>
    <row r="21" spans="2:9" ht="15.75">
      <c r="B21" s="3"/>
      <c r="C21" s="25"/>
      <c r="D21" s="23"/>
      <c r="E21" s="21"/>
      <c r="F21" s="22"/>
      <c r="G21" s="22"/>
      <c r="H21" s="22"/>
      <c r="I21" s="22"/>
    </row>
    <row r="22" spans="2:9" ht="15.75">
      <c r="B22" s="3"/>
      <c r="C22" s="25"/>
      <c r="D22" s="23"/>
      <c r="E22" s="21"/>
      <c r="F22" s="22"/>
      <c r="G22" s="22"/>
      <c r="H22" s="22"/>
      <c r="I22" s="22"/>
    </row>
    <row r="23" spans="2:9" ht="15.75">
      <c r="B23" s="3"/>
      <c r="C23" s="25"/>
      <c r="D23" s="23"/>
      <c r="E23" s="21"/>
      <c r="F23" s="22"/>
      <c r="G23" s="22"/>
      <c r="H23" s="22"/>
      <c r="I23" s="22"/>
    </row>
    <row r="24" spans="2:9" ht="15.75">
      <c r="B24" s="3"/>
      <c r="C24" s="25"/>
      <c r="D24" s="23"/>
      <c r="E24" s="21"/>
      <c r="F24" s="22"/>
      <c r="G24" s="22"/>
      <c r="H24" s="22"/>
      <c r="I24" s="22"/>
    </row>
    <row r="25" spans="2:9" ht="15.75">
      <c r="B25" s="3"/>
      <c r="C25" s="25"/>
      <c r="D25" s="23"/>
      <c r="E25" s="21"/>
      <c r="F25" s="22"/>
      <c r="G25" s="22"/>
      <c r="H25" s="22"/>
      <c r="I25" s="22"/>
    </row>
    <row r="26" spans="2:9" ht="15.75">
      <c r="B26" s="3"/>
      <c r="C26" s="25"/>
      <c r="D26" s="23"/>
      <c r="E26" s="21"/>
      <c r="F26" s="22"/>
      <c r="G26" s="22"/>
      <c r="H26" s="22"/>
      <c r="I26" s="22"/>
    </row>
    <row r="27" spans="2:9" ht="15.75">
      <c r="B27" s="3"/>
      <c r="C27" s="25"/>
      <c r="D27" s="23"/>
      <c r="E27" s="21"/>
      <c r="F27" s="22"/>
      <c r="G27" s="22"/>
      <c r="H27" s="22"/>
      <c r="I27" s="22"/>
    </row>
    <row r="28" spans="2:9" ht="16.5" thickBot="1">
      <c r="B28" s="17"/>
      <c r="C28" s="19"/>
      <c r="D28" s="19"/>
      <c r="E28" s="19"/>
      <c r="F28" s="465" t="s">
        <v>45</v>
      </c>
      <c r="G28" s="24">
        <f>SUM(G10:G27)</f>
        <v>0</v>
      </c>
      <c r="H28" s="24">
        <f>SUM(H10:H27)</f>
        <v>0</v>
      </c>
      <c r="I28" s="24">
        <f>SUM(I10:I27)</f>
        <v>0</v>
      </c>
    </row>
    <row r="29" spans="2:9" ht="16.5" thickTop="1">
      <c r="B29" s="5"/>
      <c r="C29" s="5"/>
      <c r="D29" s="5"/>
      <c r="E29" s="5"/>
      <c r="F29" s="5"/>
      <c r="G29" s="5"/>
      <c r="H29" s="10"/>
      <c r="I29" s="10"/>
    </row>
    <row r="30" spans="2:9" ht="15.75">
      <c r="B30" s="26" t="s">
        <v>18</v>
      </c>
      <c r="C30" s="27"/>
      <c r="D30" s="27"/>
      <c r="E30" s="27"/>
      <c r="F30" s="27"/>
      <c r="G30" s="27"/>
      <c r="H30" s="10"/>
      <c r="I30" s="10"/>
    </row>
  </sheetData>
  <sheetProtection/>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1.xml><?xml version="1.0" encoding="utf-8"?>
<worksheet xmlns="http://schemas.openxmlformats.org/spreadsheetml/2006/main" xmlns:r="http://schemas.openxmlformats.org/officeDocument/2006/relationships">
  <dimension ref="B1:K108"/>
  <sheetViews>
    <sheetView view="pageBreakPreview" zoomScaleSheetLayoutView="100" zoomScalePageLayoutView="0" workbookViewId="0" topLeftCell="A32">
      <selection activeCell="B44" sqref="B44"/>
    </sheetView>
  </sheetViews>
  <sheetFormatPr defaultColWidth="8.796875" defaultRowHeight="15"/>
  <cols>
    <col min="1" max="1" width="2.3984375" style="41" customWidth="1"/>
    <col min="2" max="2" width="31.09765625" style="41" customWidth="1"/>
    <col min="3" max="4" width="15.796875" style="41" customWidth="1"/>
    <col min="5" max="5" width="16.296875" style="41" customWidth="1"/>
    <col min="6" max="6" width="6.8984375" style="41" customWidth="1"/>
    <col min="7" max="7" width="10.19921875" style="41" customWidth="1"/>
    <col min="8" max="8" width="8.8984375" style="41" customWidth="1"/>
    <col min="9" max="9" width="5" style="41" customWidth="1"/>
    <col min="10" max="10" width="10" style="41" customWidth="1"/>
    <col min="11" max="16384" width="8.8984375" style="41" customWidth="1"/>
  </cols>
  <sheetData>
    <row r="1" spans="2:5" ht="15.75">
      <c r="B1" s="186" t="str">
        <f>inputPrYr!D2</f>
        <v>City of Leoti</v>
      </c>
      <c r="C1" s="43"/>
      <c r="D1" s="43"/>
      <c r="E1" s="237">
        <f>inputPrYr!C5</f>
        <v>2015</v>
      </c>
    </row>
    <row r="2" spans="2:5" ht="15.75">
      <c r="B2" s="43"/>
      <c r="C2" s="43"/>
      <c r="D2" s="43"/>
      <c r="E2" s="160"/>
    </row>
    <row r="3" spans="2:5" ht="15.75">
      <c r="B3" s="238"/>
      <c r="C3" s="43"/>
      <c r="D3" s="43"/>
      <c r="E3" s="128"/>
    </row>
    <row r="4" spans="2:5" ht="15.75">
      <c r="B4" s="334" t="s">
        <v>119</v>
      </c>
      <c r="C4" s="239"/>
      <c r="D4" s="239"/>
      <c r="E4" s="239"/>
    </row>
    <row r="5" spans="2:5" ht="15.75">
      <c r="B5" s="162" t="s">
        <v>56</v>
      </c>
      <c r="C5" s="466" t="s">
        <v>343</v>
      </c>
      <c r="D5" s="467" t="s">
        <v>344</v>
      </c>
      <c r="E5" s="136" t="s">
        <v>345</v>
      </c>
    </row>
    <row r="6" spans="2:5" ht="15.75">
      <c r="B6" s="368" t="str">
        <f>inputPrYr!B17</f>
        <v>General</v>
      </c>
      <c r="C6" s="214" t="str">
        <f>CONCATENATE("Actual for ",E1-2,"")</f>
        <v>Actual for 2013</v>
      </c>
      <c r="D6" s="214" t="str">
        <f>CONCATENATE("Estimate for ",E1-1,"")</f>
        <v>Estimate for 2014</v>
      </c>
      <c r="E6" s="197" t="str">
        <f>CONCATENATE("Year for ",E1,"")</f>
        <v>Year for 2015</v>
      </c>
    </row>
    <row r="7" spans="2:5" ht="15.75">
      <c r="B7" s="240" t="s">
        <v>162</v>
      </c>
      <c r="C7" s="241">
        <v>153178</v>
      </c>
      <c r="D7" s="242">
        <f>C100</f>
        <v>176641</v>
      </c>
      <c r="E7" s="217">
        <f>D100</f>
        <v>142333</v>
      </c>
    </row>
    <row r="8" spans="2:5" ht="15.75">
      <c r="B8" s="243" t="s">
        <v>164</v>
      </c>
      <c r="C8" s="151"/>
      <c r="D8" s="151"/>
      <c r="E8" s="79"/>
    </row>
    <row r="9" spans="2:5" ht="15.75">
      <c r="B9" s="240" t="s">
        <v>57</v>
      </c>
      <c r="C9" s="244">
        <v>394098</v>
      </c>
      <c r="D9" s="242">
        <f>IF(inputPrYr!H16&gt;0,inputPrYr!G17,inputPrYr!E17)</f>
        <v>421844</v>
      </c>
      <c r="E9" s="246" t="s">
        <v>46</v>
      </c>
    </row>
    <row r="10" spans="2:5" ht="15.75">
      <c r="B10" s="240" t="s">
        <v>58</v>
      </c>
      <c r="C10" s="244">
        <v>5449</v>
      </c>
      <c r="D10" s="244">
        <v>2076</v>
      </c>
      <c r="E10" s="247">
        <v>2197</v>
      </c>
    </row>
    <row r="11" spans="2:5" ht="15.75">
      <c r="B11" s="240" t="s">
        <v>59</v>
      </c>
      <c r="C11" s="244">
        <v>92088</v>
      </c>
      <c r="D11" s="244">
        <v>95366</v>
      </c>
      <c r="E11" s="217">
        <f>mvalloc!D7</f>
        <v>96469</v>
      </c>
    </row>
    <row r="12" spans="2:5" ht="15.75">
      <c r="B12" s="240" t="s">
        <v>60</v>
      </c>
      <c r="C12" s="244">
        <v>655</v>
      </c>
      <c r="D12" s="244">
        <v>614</v>
      </c>
      <c r="E12" s="217">
        <f>mvalloc!E7</f>
        <v>611</v>
      </c>
    </row>
    <row r="13" spans="2:5" ht="15.75">
      <c r="B13" s="240" t="s">
        <v>151</v>
      </c>
      <c r="C13" s="244">
        <v>2576</v>
      </c>
      <c r="D13" s="244">
        <v>2598</v>
      </c>
      <c r="E13" s="217">
        <f>mvalloc!F7</f>
        <v>2656</v>
      </c>
    </row>
    <row r="14" spans="2:5" ht="15.75">
      <c r="B14" s="240" t="s">
        <v>152</v>
      </c>
      <c r="C14" s="244"/>
      <c r="D14" s="244"/>
      <c r="E14" s="217">
        <f>inputOth!E16</f>
        <v>0</v>
      </c>
    </row>
    <row r="15" spans="2:5" ht="15.75">
      <c r="B15" s="240" t="s">
        <v>190</v>
      </c>
      <c r="C15" s="244"/>
      <c r="D15" s="244"/>
      <c r="E15" s="217">
        <f>inputOth!E42</f>
        <v>0</v>
      </c>
    </row>
    <row r="16" spans="2:5" ht="15.75">
      <c r="B16" s="240" t="s">
        <v>191</v>
      </c>
      <c r="C16" s="244"/>
      <c r="D16" s="244"/>
      <c r="E16" s="217">
        <f>inputOth!E43</f>
        <v>0</v>
      </c>
    </row>
    <row r="17" spans="2:5" ht="15.75">
      <c r="B17" s="241"/>
      <c r="C17" s="244"/>
      <c r="D17" s="244"/>
      <c r="E17" s="247"/>
    </row>
    <row r="18" spans="2:5" ht="15.75">
      <c r="B18" s="241"/>
      <c r="C18" s="244"/>
      <c r="D18" s="244"/>
      <c r="E18" s="247"/>
    </row>
    <row r="19" spans="2:5" ht="15.75">
      <c r="B19" s="241" t="s">
        <v>61</v>
      </c>
      <c r="C19" s="244">
        <v>490</v>
      </c>
      <c r="D19" s="244"/>
      <c r="E19" s="247"/>
    </row>
    <row r="20" spans="2:5" ht="15.75">
      <c r="B20" s="370" t="s">
        <v>307</v>
      </c>
      <c r="C20" s="244">
        <v>34236</v>
      </c>
      <c r="D20" s="244">
        <v>28500</v>
      </c>
      <c r="E20" s="59">
        <v>25000</v>
      </c>
    </row>
    <row r="21" spans="2:5" ht="15.75">
      <c r="B21" s="369" t="s">
        <v>442</v>
      </c>
      <c r="C21" s="244">
        <v>134057</v>
      </c>
      <c r="D21" s="244">
        <v>120000</v>
      </c>
      <c r="E21" s="59">
        <v>120000</v>
      </c>
    </row>
    <row r="22" spans="2:5" ht="15.75">
      <c r="B22" s="369" t="s">
        <v>308</v>
      </c>
      <c r="C22" s="244">
        <v>132958</v>
      </c>
      <c r="D22" s="244">
        <v>125000</v>
      </c>
      <c r="E22" s="59">
        <v>125000</v>
      </c>
    </row>
    <row r="23" spans="2:5" ht="15.75">
      <c r="B23" s="369" t="s">
        <v>443</v>
      </c>
      <c r="C23" s="244">
        <v>3285</v>
      </c>
      <c r="D23" s="244">
        <v>3000</v>
      </c>
      <c r="E23" s="59">
        <v>2000</v>
      </c>
    </row>
    <row r="24" spans="2:5" ht="15.75">
      <c r="B24" s="241" t="s">
        <v>444</v>
      </c>
      <c r="C24" s="244">
        <v>814</v>
      </c>
      <c r="D24" s="244">
        <v>1000</v>
      </c>
      <c r="E24" s="59">
        <v>500</v>
      </c>
    </row>
    <row r="25" spans="2:5" ht="15.75">
      <c r="B25" s="241"/>
      <c r="C25" s="244"/>
      <c r="D25" s="244"/>
      <c r="E25" s="59"/>
    </row>
    <row r="26" spans="2:5" ht="15.75">
      <c r="B26" s="241" t="s">
        <v>445</v>
      </c>
      <c r="C26" s="244">
        <v>20000</v>
      </c>
      <c r="D26" s="244">
        <v>20000</v>
      </c>
      <c r="E26" s="59">
        <v>20000</v>
      </c>
    </row>
    <row r="27" spans="2:5" ht="15.75">
      <c r="B27" s="241"/>
      <c r="C27" s="244"/>
      <c r="D27" s="244"/>
      <c r="E27" s="247"/>
    </row>
    <row r="28" spans="2:5" ht="15.75">
      <c r="B28" s="241" t="s">
        <v>480</v>
      </c>
      <c r="C28" s="244">
        <v>40496</v>
      </c>
      <c r="D28" s="244"/>
      <c r="E28" s="247"/>
    </row>
    <row r="29" spans="2:5" ht="15.75">
      <c r="B29" s="241"/>
      <c r="C29" s="244"/>
      <c r="D29" s="244"/>
      <c r="E29" s="247"/>
    </row>
    <row r="30" spans="2:5" ht="15.75">
      <c r="B30" s="241" t="s">
        <v>504</v>
      </c>
      <c r="C30" s="244">
        <v>5801</v>
      </c>
      <c r="D30" s="244"/>
      <c r="E30" s="247"/>
    </row>
    <row r="31" spans="2:5" ht="15.75">
      <c r="B31" s="241"/>
      <c r="C31" s="244"/>
      <c r="D31" s="244"/>
      <c r="E31" s="247"/>
    </row>
    <row r="32" spans="2:5" ht="15.75">
      <c r="B32" s="241"/>
      <c r="C32" s="244"/>
      <c r="D32" s="244"/>
      <c r="E32" s="247"/>
    </row>
    <row r="33" spans="2:5" ht="15.75">
      <c r="B33" s="241"/>
      <c r="C33" s="244"/>
      <c r="D33" s="244"/>
      <c r="E33" s="247"/>
    </row>
    <row r="34" spans="2:5" ht="15.75">
      <c r="B34" s="241"/>
      <c r="C34" s="244"/>
      <c r="D34" s="244"/>
      <c r="E34" s="247"/>
    </row>
    <row r="35" spans="2:5" ht="15.75">
      <c r="B35" s="241"/>
      <c r="C35" s="244"/>
      <c r="D35" s="244"/>
      <c r="E35" s="247"/>
    </row>
    <row r="36" spans="2:5" ht="15.75">
      <c r="B36" s="241"/>
      <c r="C36" s="244"/>
      <c r="D36" s="244"/>
      <c r="E36" s="247"/>
    </row>
    <row r="37" spans="2:5" ht="15.75">
      <c r="B37" s="241"/>
      <c r="C37" s="244"/>
      <c r="D37" s="244"/>
      <c r="E37" s="247"/>
    </row>
    <row r="38" spans="2:5" ht="15.75">
      <c r="B38" s="241"/>
      <c r="C38" s="244"/>
      <c r="D38" s="244"/>
      <c r="E38" s="247"/>
    </row>
    <row r="39" spans="2:5" ht="15.75">
      <c r="B39" s="241"/>
      <c r="C39" s="244"/>
      <c r="D39" s="244"/>
      <c r="E39" s="247"/>
    </row>
    <row r="40" spans="2:5" ht="15.75">
      <c r="B40" s="241"/>
      <c r="C40" s="244"/>
      <c r="D40" s="244"/>
      <c r="E40" s="247"/>
    </row>
    <row r="41" spans="2:5" ht="15.75">
      <c r="B41" s="241" t="s">
        <v>62</v>
      </c>
      <c r="C41" s="244"/>
      <c r="D41" s="244"/>
      <c r="E41" s="247"/>
    </row>
    <row r="42" spans="2:5" ht="15.75">
      <c r="B42" s="248" t="s">
        <v>63</v>
      </c>
      <c r="C42" s="244">
        <v>4179</v>
      </c>
      <c r="D42" s="244">
        <v>5000</v>
      </c>
      <c r="E42" s="247">
        <v>5000</v>
      </c>
    </row>
    <row r="43" spans="2:5" ht="15.75">
      <c r="B43" s="151" t="s">
        <v>11</v>
      </c>
      <c r="C43" s="244">
        <v>35031</v>
      </c>
      <c r="D43" s="244">
        <v>10000</v>
      </c>
      <c r="E43" s="247">
        <v>10000</v>
      </c>
    </row>
    <row r="44" spans="2:5" ht="15.75">
      <c r="B44" s="240" t="s">
        <v>312</v>
      </c>
      <c r="C44" s="249">
        <f>IF(C45*0.1&lt;C43,"Exceed 10% Rule","")</f>
      </c>
      <c r="D44" s="249">
        <f>IF(D45*0.1&lt;D43,"Exceed 10% Rule","")</f>
      </c>
      <c r="E44" s="273"/>
    </row>
    <row r="45" spans="2:5" ht="15.75">
      <c r="B45" s="251" t="s">
        <v>64</v>
      </c>
      <c r="C45" s="252">
        <f>SUM(C9:C43)</f>
        <v>906213</v>
      </c>
      <c r="D45" s="252">
        <f>SUM(D9:D43)</f>
        <v>834998</v>
      </c>
      <c r="E45" s="253">
        <f>SUM(E10:E43)</f>
        <v>409433</v>
      </c>
    </row>
    <row r="46" spans="2:5" ht="15.75">
      <c r="B46" s="251" t="s">
        <v>65</v>
      </c>
      <c r="C46" s="252">
        <f>C7+C45</f>
        <v>1059391</v>
      </c>
      <c r="D46" s="252">
        <f>D7+D45</f>
        <v>1011639</v>
      </c>
      <c r="E46" s="253">
        <f>E7+E45</f>
        <v>551766</v>
      </c>
    </row>
    <row r="47" spans="2:5" ht="15.75">
      <c r="B47" s="43"/>
      <c r="C47" s="43"/>
      <c r="D47" s="43"/>
      <c r="E47" s="43"/>
    </row>
    <row r="48" spans="2:5" ht="15.75">
      <c r="B48" s="128" t="s">
        <v>72</v>
      </c>
      <c r="C48" s="162">
        <f>IF(inputPrYr!D19&gt;0,8,7)</f>
        <v>7</v>
      </c>
      <c r="D48" s="163"/>
      <c r="E48" s="163"/>
    </row>
    <row r="49" spans="2:5" ht="15.75">
      <c r="B49" s="163"/>
      <c r="C49" s="163"/>
      <c r="D49" s="163"/>
      <c r="E49" s="163"/>
    </row>
    <row r="50" spans="2:5" ht="15.75">
      <c r="B50" s="186" t="str">
        <f>inputPrYr!D2</f>
        <v>City of Leoti</v>
      </c>
      <c r="C50" s="43"/>
      <c r="D50" s="43"/>
      <c r="E50" s="160"/>
    </row>
    <row r="51" spans="2:5" ht="15.75">
      <c r="B51" s="254" t="s">
        <v>118</v>
      </c>
      <c r="C51" s="210"/>
      <c r="D51" s="210"/>
      <c r="E51" s="210"/>
    </row>
    <row r="52" spans="2:5" ht="15.75">
      <c r="B52" s="43" t="s">
        <v>56</v>
      </c>
      <c r="C52" s="466" t="s">
        <v>343</v>
      </c>
      <c r="D52" s="467" t="s">
        <v>344</v>
      </c>
      <c r="E52" s="136" t="s">
        <v>345</v>
      </c>
    </row>
    <row r="53" spans="2:5" ht="15.75">
      <c r="B53" s="69" t="str">
        <f>inputPrYr!B17</f>
        <v>General</v>
      </c>
      <c r="C53" s="214" t="str">
        <f>CONCATENATE("Actual for ",E1-2,"")</f>
        <v>Actual for 2013</v>
      </c>
      <c r="D53" s="214" t="str">
        <f>CONCATENATE("Estimate for ",E1-1,"")</f>
        <v>Estimate for 2014</v>
      </c>
      <c r="E53" s="197" t="str">
        <f>CONCATENATE("Year for ",E1,"")</f>
        <v>Year for 2015</v>
      </c>
    </row>
    <row r="54" spans="2:5" ht="15.75">
      <c r="B54" s="255" t="s">
        <v>65</v>
      </c>
      <c r="C54" s="242">
        <f>C46</f>
        <v>1059391</v>
      </c>
      <c r="D54" s="242">
        <f>D46</f>
        <v>1011639</v>
      </c>
      <c r="E54" s="217">
        <f>E46</f>
        <v>551766</v>
      </c>
    </row>
    <row r="55" spans="2:5" ht="15.75">
      <c r="B55" s="243" t="s">
        <v>67</v>
      </c>
      <c r="C55" s="151"/>
      <c r="D55" s="151"/>
      <c r="E55" s="79"/>
    </row>
    <row r="56" spans="2:6" ht="15.75">
      <c r="B56" s="240" t="s">
        <v>484</v>
      </c>
      <c r="C56" s="256"/>
      <c r="D56" s="256"/>
      <c r="E56" s="74"/>
      <c r="F56" s="257"/>
    </row>
    <row r="57" spans="2:6" ht="15.75">
      <c r="B57" s="240" t="s">
        <v>489</v>
      </c>
      <c r="C57" s="256">
        <v>155874</v>
      </c>
      <c r="D57" s="256">
        <v>165000</v>
      </c>
      <c r="E57" s="74">
        <v>272000</v>
      </c>
      <c r="F57" s="257"/>
    </row>
    <row r="58" spans="2:5" ht="15.75">
      <c r="B58" s="240" t="s">
        <v>490</v>
      </c>
      <c r="C58" s="256">
        <v>86403</v>
      </c>
      <c r="D58" s="256">
        <v>125000</v>
      </c>
      <c r="E58" s="74">
        <v>125000</v>
      </c>
    </row>
    <row r="59" spans="2:5" ht="15.75">
      <c r="B59" s="240" t="s">
        <v>68</v>
      </c>
      <c r="C59" s="256">
        <v>33785</v>
      </c>
      <c r="D59" s="256">
        <v>50000</v>
      </c>
      <c r="E59" s="74">
        <v>50000</v>
      </c>
    </row>
    <row r="60" spans="2:5" ht="15.75">
      <c r="B60" s="240" t="s">
        <v>491</v>
      </c>
      <c r="C60" s="256"/>
      <c r="D60" s="256"/>
      <c r="E60" s="74">
        <v>20000</v>
      </c>
    </row>
    <row r="61" spans="2:5" ht="15.75">
      <c r="B61" s="240" t="s">
        <v>485</v>
      </c>
      <c r="C61" s="256">
        <f>SUM(C57:C60)</f>
        <v>276062</v>
      </c>
      <c r="D61" s="256">
        <f>SUM(D57:D60)</f>
        <v>340000</v>
      </c>
      <c r="E61" s="74">
        <f>SUM(E57:E60)</f>
        <v>467000</v>
      </c>
    </row>
    <row r="62" spans="2:5" ht="15.75">
      <c r="B62" s="240" t="s">
        <v>449</v>
      </c>
      <c r="C62" s="256"/>
      <c r="D62" s="256"/>
      <c r="E62" s="74"/>
    </row>
    <row r="63" spans="2:5" ht="15.75">
      <c r="B63" s="240" t="s">
        <v>450</v>
      </c>
      <c r="C63" s="256">
        <v>1400</v>
      </c>
      <c r="D63" s="256">
        <v>1400</v>
      </c>
      <c r="E63" s="74">
        <v>1400</v>
      </c>
    </row>
    <row r="64" spans="2:5" ht="15.75">
      <c r="B64" s="240" t="s">
        <v>451</v>
      </c>
      <c r="C64" s="256">
        <v>1400</v>
      </c>
      <c r="D64" s="256">
        <v>1400</v>
      </c>
      <c r="E64" s="74">
        <v>1400</v>
      </c>
    </row>
    <row r="65" spans="2:5" ht="15.75">
      <c r="B65" s="240" t="s">
        <v>452</v>
      </c>
      <c r="C65" s="256">
        <v>34500</v>
      </c>
      <c r="D65" s="256">
        <v>38625</v>
      </c>
      <c r="E65" s="74">
        <v>42750</v>
      </c>
    </row>
    <row r="66" spans="2:5" ht="15.75">
      <c r="B66" s="240" t="s">
        <v>488</v>
      </c>
      <c r="C66" s="256">
        <v>17500</v>
      </c>
      <c r="D66" s="256">
        <v>17500</v>
      </c>
      <c r="E66" s="74">
        <v>17500</v>
      </c>
    </row>
    <row r="67" spans="2:5" ht="15.75">
      <c r="B67" s="240" t="s">
        <v>520</v>
      </c>
      <c r="C67" s="256"/>
      <c r="D67" s="256"/>
      <c r="E67" s="74">
        <v>6000</v>
      </c>
    </row>
    <row r="68" spans="2:5" ht="15.75">
      <c r="B68" s="240" t="s">
        <v>486</v>
      </c>
      <c r="C68" s="256">
        <f>SUM(C63:C67)</f>
        <v>54800</v>
      </c>
      <c r="D68" s="256">
        <f>SUM(D63:D67)</f>
        <v>58925</v>
      </c>
      <c r="E68" s="256">
        <f>SUM(E63:E67)</f>
        <v>69050</v>
      </c>
    </row>
    <row r="69" spans="2:5" ht="15.75">
      <c r="B69" s="240" t="s">
        <v>487</v>
      </c>
      <c r="C69" s="256"/>
      <c r="D69" s="256"/>
      <c r="E69" s="74"/>
    </row>
    <row r="70" spans="2:5" ht="15.75">
      <c r="B70" s="240" t="s">
        <v>522</v>
      </c>
      <c r="C70" s="256">
        <v>87000</v>
      </c>
      <c r="D70" s="256">
        <v>87000</v>
      </c>
      <c r="E70" s="74">
        <v>87000</v>
      </c>
    </row>
    <row r="71" spans="2:5" ht="15.75">
      <c r="B71" s="240" t="s">
        <v>492</v>
      </c>
      <c r="C71" s="256"/>
      <c r="D71" s="256"/>
      <c r="E71" s="74"/>
    </row>
    <row r="72" spans="2:5" ht="15.75">
      <c r="B72" s="240" t="s">
        <v>493</v>
      </c>
      <c r="C72" s="256">
        <v>7731</v>
      </c>
      <c r="D72" s="256">
        <v>8500</v>
      </c>
      <c r="E72" s="74">
        <v>8500</v>
      </c>
    </row>
    <row r="73" spans="2:5" ht="15.75">
      <c r="B73" s="240" t="s">
        <v>494</v>
      </c>
      <c r="C73" s="256">
        <v>32445</v>
      </c>
      <c r="D73" s="256">
        <v>38200</v>
      </c>
      <c r="E73" s="74">
        <v>39500</v>
      </c>
    </row>
    <row r="74" spans="2:5" ht="15.75">
      <c r="B74" s="240" t="s">
        <v>495</v>
      </c>
      <c r="C74" s="256">
        <v>40317</v>
      </c>
      <c r="D74" s="256">
        <v>47500</v>
      </c>
      <c r="E74" s="74">
        <v>40000</v>
      </c>
    </row>
    <row r="75" spans="2:5" ht="15.75">
      <c r="B75" s="240" t="s">
        <v>496</v>
      </c>
      <c r="C75" s="256"/>
      <c r="D75" s="256"/>
      <c r="E75" s="74">
        <v>28000</v>
      </c>
    </row>
    <row r="76" spans="2:5" ht="15.75">
      <c r="B76" s="240" t="s">
        <v>497</v>
      </c>
      <c r="C76" s="256">
        <f>SUM(C72:C75)</f>
        <v>80493</v>
      </c>
      <c r="D76" s="256">
        <f>SUM(D72:D75)</f>
        <v>94200</v>
      </c>
      <c r="E76" s="74">
        <f>SUM(E72:E75)</f>
        <v>116000</v>
      </c>
    </row>
    <row r="77" spans="2:5" ht="15.75">
      <c r="B77" s="240" t="s">
        <v>498</v>
      </c>
      <c r="C77" s="256"/>
      <c r="D77" s="256"/>
      <c r="E77" s="74"/>
    </row>
    <row r="78" spans="2:5" ht="15.75">
      <c r="B78" s="240" t="s">
        <v>493</v>
      </c>
      <c r="C78" s="256">
        <v>38074</v>
      </c>
      <c r="D78" s="256">
        <v>62000</v>
      </c>
      <c r="E78" s="74">
        <v>85000</v>
      </c>
    </row>
    <row r="79" spans="2:5" ht="15.75">
      <c r="B79" s="240" t="s">
        <v>494</v>
      </c>
      <c r="C79" s="256">
        <v>59464</v>
      </c>
      <c r="D79" s="256">
        <v>140000</v>
      </c>
      <c r="E79" s="74">
        <v>60000</v>
      </c>
    </row>
    <row r="80" spans="2:5" ht="15.75">
      <c r="B80" s="240" t="s">
        <v>495</v>
      </c>
      <c r="C80" s="256">
        <v>45391</v>
      </c>
      <c r="D80" s="256">
        <v>35000</v>
      </c>
      <c r="E80" s="74">
        <v>35000</v>
      </c>
    </row>
    <row r="81" spans="2:5" ht="15.75">
      <c r="B81" s="240" t="s">
        <v>496</v>
      </c>
      <c r="C81" s="256">
        <v>4296</v>
      </c>
      <c r="D81" s="256"/>
      <c r="E81" s="74"/>
    </row>
    <row r="82" spans="2:5" ht="15.75">
      <c r="B82" s="240" t="s">
        <v>497</v>
      </c>
      <c r="C82" s="256">
        <f>SUM(C78:C81)</f>
        <v>147225</v>
      </c>
      <c r="D82" s="256">
        <f>SUM(D78:D81)</f>
        <v>237000</v>
      </c>
      <c r="E82" s="74">
        <f>SUM(E78:E81)</f>
        <v>180000</v>
      </c>
    </row>
    <row r="83" spans="2:5" ht="15.75">
      <c r="B83" s="240" t="s">
        <v>499</v>
      </c>
      <c r="C83" s="256"/>
      <c r="D83" s="256"/>
      <c r="E83" s="74"/>
    </row>
    <row r="84" spans="2:10" ht="15.75">
      <c r="B84" s="240" t="s">
        <v>493</v>
      </c>
      <c r="C84" s="256">
        <v>15000</v>
      </c>
      <c r="D84" s="256">
        <v>15000</v>
      </c>
      <c r="E84" s="74">
        <v>18000</v>
      </c>
      <c r="G84" s="596" t="str">
        <f>CONCATENATE("Desired Carryover Into ",E1+1,"")</f>
        <v>Desired Carryover Into 2016</v>
      </c>
      <c r="H84" s="605"/>
      <c r="I84" s="605"/>
      <c r="J84" s="606"/>
    </row>
    <row r="85" spans="2:10" ht="15.75">
      <c r="B85" s="240" t="s">
        <v>494</v>
      </c>
      <c r="C85" s="256">
        <v>260</v>
      </c>
      <c r="D85" s="256">
        <v>1000</v>
      </c>
      <c r="E85" s="74">
        <v>1000</v>
      </c>
      <c r="G85" s="373"/>
      <c r="H85" s="371"/>
      <c r="I85" s="371"/>
      <c r="J85" s="374"/>
    </row>
    <row r="86" spans="2:10" ht="15.75">
      <c r="B86" s="240" t="s">
        <v>486</v>
      </c>
      <c r="C86" s="256">
        <f>SUM(C84:C85)</f>
        <v>15260</v>
      </c>
      <c r="D86" s="256">
        <f>SUM(D84:D85)</f>
        <v>16000</v>
      </c>
      <c r="E86" s="74">
        <f>SUM(E84:E85)</f>
        <v>19000</v>
      </c>
      <c r="G86" s="384" t="s">
        <v>309</v>
      </c>
      <c r="H86" s="378"/>
      <c r="I86" s="378"/>
      <c r="J86" s="372">
        <v>0</v>
      </c>
    </row>
    <row r="87" spans="2:10" ht="15.75">
      <c r="B87" s="240" t="s">
        <v>500</v>
      </c>
      <c r="C87" s="256"/>
      <c r="D87" s="256"/>
      <c r="E87" s="74"/>
      <c r="G87" s="408" t="str">
        <f>CONCATENATE("",E1," Total Expenditures Must Be:")</f>
        <v>2015 Total Expenditures Must Be:</v>
      </c>
      <c r="H87" s="409"/>
      <c r="I87" s="410"/>
      <c r="J87" s="386">
        <f>IF(J86&gt;0,IF(E95&lt;E46,IF(J86=#REF!,E95,((J86-#REF!)*(1-#REF!))+E46),E95+(J86-#REF!)),0)</f>
        <v>0</v>
      </c>
    </row>
    <row r="88" spans="2:10" ht="15.75">
      <c r="B88" s="240" t="s">
        <v>493</v>
      </c>
      <c r="C88" s="256">
        <v>9342</v>
      </c>
      <c r="D88" s="256">
        <v>10300</v>
      </c>
      <c r="E88" s="74">
        <v>10300</v>
      </c>
      <c r="G88" s="412" t="s">
        <v>335</v>
      </c>
      <c r="H88" s="413"/>
      <c r="I88" s="414"/>
      <c r="J88" s="442">
        <f>IF(J86&gt;0,J87-E95,0)</f>
        <v>0</v>
      </c>
    </row>
    <row r="89" spans="2:5" ht="15.75">
      <c r="B89" s="240" t="s">
        <v>494</v>
      </c>
      <c r="C89" s="256">
        <v>24974</v>
      </c>
      <c r="D89" s="256">
        <v>23500</v>
      </c>
      <c r="E89" s="74">
        <v>23500</v>
      </c>
    </row>
    <row r="90" spans="2:10" ht="15.75">
      <c r="B90" s="240" t="s">
        <v>495</v>
      </c>
      <c r="C90" s="256">
        <v>88</v>
      </c>
      <c r="D90" s="256">
        <v>200</v>
      </c>
      <c r="E90" s="74">
        <v>200</v>
      </c>
      <c r="G90" s="596" t="str">
        <f>CONCATENATE("Projected Carryover Into ",E1+1,"")</f>
        <v>Projected Carryover Into 2016</v>
      </c>
      <c r="H90" s="597"/>
      <c r="I90" s="597"/>
      <c r="J90" s="598"/>
    </row>
    <row r="91" spans="2:10" ht="15.75">
      <c r="B91" s="240" t="s">
        <v>486</v>
      </c>
      <c r="C91" s="256">
        <f>SUM(C88:C90)</f>
        <v>34404</v>
      </c>
      <c r="D91" s="256">
        <f>SUM(D88:D90)</f>
        <v>34000</v>
      </c>
      <c r="E91" s="74">
        <f>SUM(E88:E90)</f>
        <v>34000</v>
      </c>
      <c r="G91" s="373"/>
      <c r="H91" s="371"/>
      <c r="I91" s="371"/>
      <c r="J91" s="374"/>
    </row>
    <row r="92" spans="2:10" ht="15.75">
      <c r="B92" s="240" t="s">
        <v>501</v>
      </c>
      <c r="C92" s="256"/>
      <c r="D92" s="256"/>
      <c r="E92" s="74"/>
      <c r="G92" s="375">
        <f>E45</f>
        <v>409433</v>
      </c>
      <c r="H92" s="378" t="str">
        <f>CONCATENATE("",E1," Non-AV Receipts (est.)")</f>
        <v>2015 Non-AV Receipts (est.)</v>
      </c>
      <c r="I92" s="377"/>
      <c r="J92" s="374"/>
    </row>
    <row r="93" spans="2:11" ht="15.75">
      <c r="B93" s="240" t="s">
        <v>502</v>
      </c>
      <c r="C93" s="256">
        <v>21506</v>
      </c>
      <c r="D93" s="256"/>
      <c r="E93" s="74"/>
      <c r="F93" s="261"/>
      <c r="G93" s="379" t="e">
        <f>IF(#REF!&gt;0,#REF!,#REF!)</f>
        <v>#REF!</v>
      </c>
      <c r="H93" s="378" t="str">
        <f>CONCATENATE("",E1," Ad Valorem Tax (est.)")</f>
        <v>2015 Ad Valorem Tax (est.)</v>
      </c>
      <c r="I93" s="377"/>
      <c r="J93" s="374"/>
      <c r="K93" s="425" t="e">
        <f>IF(G93=#REF!,"","Note: Does not include Delinquent Taxes")</f>
        <v>#REF!</v>
      </c>
    </row>
    <row r="94" spans="2:10" ht="15.75">
      <c r="B94" s="240" t="s">
        <v>503</v>
      </c>
      <c r="C94" s="256">
        <v>166000</v>
      </c>
      <c r="D94" s="256"/>
      <c r="E94" s="74"/>
      <c r="F94" s="340"/>
      <c r="G94" s="375" t="e">
        <f>SUM(G92:G93)</f>
        <v>#REF!</v>
      </c>
      <c r="H94" s="378" t="str">
        <f>CONCATENATE("Total ",E1," Resources Available")</f>
        <v>Total 2015 Resources Available</v>
      </c>
      <c r="I94" s="377"/>
      <c r="J94" s="374"/>
    </row>
    <row r="95" spans="2:10" ht="15.75">
      <c r="B95" s="240" t="s">
        <v>486</v>
      </c>
      <c r="C95" s="256">
        <f>SUM(C93:C94)</f>
        <v>187506</v>
      </c>
      <c r="D95" s="256">
        <f>SUM(D93:D94)</f>
        <v>0</v>
      </c>
      <c r="E95" s="74">
        <f>SUM(E93:E94)</f>
        <v>0</v>
      </c>
      <c r="G95" s="380"/>
      <c r="H95" s="378"/>
      <c r="I95" s="378"/>
      <c r="J95" s="374"/>
    </row>
    <row r="96" spans="2:5" ht="15.75">
      <c r="B96" s="259" t="s">
        <v>10</v>
      </c>
      <c r="C96" s="244"/>
      <c r="D96" s="244">
        <v>2181</v>
      </c>
      <c r="E96" s="260">
        <v>3467</v>
      </c>
    </row>
    <row r="97" spans="2:10" ht="15.75">
      <c r="B97" s="259" t="s">
        <v>11</v>
      </c>
      <c r="C97" s="244"/>
      <c r="D97" s="244"/>
      <c r="E97" s="247"/>
      <c r="G97" s="596" t="e">
        <f>CONCATENATE("Projected Carryover Into ",#REF!+1,"")</f>
        <v>#REF!</v>
      </c>
      <c r="H97" s="597"/>
      <c r="I97" s="597"/>
      <c r="J97" s="598"/>
    </row>
    <row r="98" spans="2:10" ht="15.75">
      <c r="B98" s="259" t="s">
        <v>313</v>
      </c>
      <c r="C98" s="249">
        <f>IF(C99*0.1&lt;C97,"Exceed 10% Rule","")</f>
      </c>
      <c r="D98" s="249">
        <f>IF(D99*0.1&lt;D97,"Exceed 10% Rule","")</f>
      </c>
      <c r="E98" s="273"/>
      <c r="G98" s="373"/>
      <c r="H98" s="371"/>
      <c r="I98" s="371"/>
      <c r="J98" s="374"/>
    </row>
    <row r="99" spans="2:10" ht="15.75">
      <c r="B99" s="251" t="s">
        <v>69</v>
      </c>
      <c r="C99" s="252">
        <f>C61+C68+C70+C76+C82+C86+C91+C95</f>
        <v>882750</v>
      </c>
      <c r="D99" s="252">
        <f>D61+D68+D70+D76+D82+D86+D91+D95+D96</f>
        <v>869306</v>
      </c>
      <c r="E99" s="252">
        <f>E61+E68+E70+E76+E82+E86+E91+E95+E96</f>
        <v>975517</v>
      </c>
      <c r="F99" s="41" t="s">
        <v>515</v>
      </c>
      <c r="G99" s="375">
        <f>D100</f>
        <v>142333</v>
      </c>
      <c r="H99" s="376" t="e">
        <f>CONCATENATE("",#REF!-1," Ending Cash Balance (est.)")</f>
        <v>#REF!</v>
      </c>
      <c r="I99" s="377"/>
      <c r="J99" s="374"/>
    </row>
    <row r="100" spans="2:10" ht="15.75">
      <c r="B100" s="142" t="s">
        <v>163</v>
      </c>
      <c r="C100" s="256">
        <f>C54-C99</f>
        <v>176641</v>
      </c>
      <c r="D100" s="256">
        <f>D54-D99</f>
        <v>142333</v>
      </c>
      <c r="E100" s="246" t="s">
        <v>46</v>
      </c>
      <c r="G100" s="375" t="e">
        <f>#REF!</f>
        <v>#REF!</v>
      </c>
      <c r="H100" s="378" t="e">
        <f>CONCATENATE("",#REF!," Non-AV Receipts (est.)")</f>
        <v>#REF!</v>
      </c>
      <c r="I100" s="377"/>
      <c r="J100" s="374"/>
    </row>
    <row r="101" spans="2:11" ht="15.75">
      <c r="B101" s="162" t="e">
        <f>CONCATENATE("",#REF!-2,"/",#REF!-1,"/",#REF!," Budget Authority Amount:")</f>
        <v>#REF!</v>
      </c>
      <c r="C101" s="468">
        <f>inputOth!B60</f>
        <v>934012</v>
      </c>
      <c r="D101" s="468">
        <f>inputPrYr!D17</f>
        <v>926106</v>
      </c>
      <c r="E101" s="491">
        <f>E99</f>
        <v>975517</v>
      </c>
      <c r="F101" s="261"/>
      <c r="G101" s="379">
        <f>IF(E105&gt;0,E104,E106)</f>
        <v>423751</v>
      </c>
      <c r="H101" s="378" t="e">
        <f>CONCATENATE("",#REF!," Ad Valorem Tax (est.)")</f>
        <v>#REF!</v>
      </c>
      <c r="I101" s="377"/>
      <c r="J101" s="374"/>
      <c r="K101" s="425" t="str">
        <f>IF(G101=E106,"","Note: Does not include Delinquent Taxes")</f>
        <v>Note: Does not include Delinquent Taxes</v>
      </c>
    </row>
    <row r="102" spans="2:10" ht="15.75">
      <c r="B102" s="128"/>
      <c r="C102" s="599" t="s">
        <v>276</v>
      </c>
      <c r="D102" s="600"/>
      <c r="E102" s="247"/>
      <c r="F102" s="340">
        <f>IF(E99/0.95-E99&lt;E102,"Exceeds 5%","")</f>
      </c>
      <c r="G102" s="375" t="e">
        <f>SUM(G99:G101)</f>
        <v>#REF!</v>
      </c>
      <c r="H102" s="378" t="e">
        <f>CONCATENATE("Total ",#REF!," Resources Available")</f>
        <v>#REF!</v>
      </c>
      <c r="I102" s="377"/>
      <c r="J102" s="374"/>
    </row>
    <row r="103" spans="2:10" ht="15.75">
      <c r="B103" s="364" t="str">
        <f>CONCATENATE(C119,"     ",D119)</f>
        <v>     </v>
      </c>
      <c r="C103" s="601" t="s">
        <v>277</v>
      </c>
      <c r="D103" s="602"/>
      <c r="E103" s="217">
        <f>SUM(E101:E102)</f>
        <v>975517</v>
      </c>
      <c r="G103" s="380"/>
      <c r="H103" s="378"/>
      <c r="I103" s="378"/>
      <c r="J103" s="374"/>
    </row>
    <row r="104" spans="2:10" ht="15.75">
      <c r="B104" s="364" t="str">
        <f>CONCATENATE(C120,"     ",D120)</f>
        <v>     </v>
      </c>
      <c r="C104" s="262"/>
      <c r="D104" s="160" t="s">
        <v>70</v>
      </c>
      <c r="E104" s="74">
        <f>E103-E54</f>
        <v>423751</v>
      </c>
      <c r="G104" s="379">
        <f>C99*0.05+C99</f>
        <v>926887.5</v>
      </c>
      <c r="H104" s="378" t="e">
        <f>CONCATENATE("Less ",#REF!-2," Expenditures + 5%")</f>
        <v>#REF!</v>
      </c>
      <c r="I104" s="377"/>
      <c r="J104" s="374"/>
    </row>
    <row r="105" spans="2:10" ht="15.75">
      <c r="B105" s="160"/>
      <c r="C105" s="333" t="s">
        <v>275</v>
      </c>
      <c r="D105" s="476">
        <f>inputOth!$E$47</f>
        <v>0.05</v>
      </c>
      <c r="E105" s="217">
        <f>ROUND(IF(D105&gt;0,(E104*D105),0),0)</f>
        <v>21188</v>
      </c>
      <c r="G105" s="385" t="e">
        <f>G102-G104</f>
        <v>#REF!</v>
      </c>
      <c r="H105" s="381" t="e">
        <f>CONCATENATE("Projected ",#REF!+1," Carryover (est.)")</f>
        <v>#REF!</v>
      </c>
      <c r="I105" s="382"/>
      <c r="J105" s="383"/>
    </row>
    <row r="106" spans="2:5" ht="16.5" thickBot="1">
      <c r="B106" s="43"/>
      <c r="C106" s="603"/>
      <c r="D106" s="604"/>
      <c r="E106" s="427">
        <f>E104+E105</f>
        <v>444939</v>
      </c>
    </row>
    <row r="107" spans="3:4" ht="15.75" hidden="1">
      <c r="C107" s="363">
        <f>IF(C92&lt;0,"See Tab B","")</f>
      </c>
      <c r="D107" s="363">
        <f>IF(D92&lt;0,"See Tab D","")</f>
      </c>
    </row>
    <row r="108" spans="2:3" ht="16.5" thickTop="1">
      <c r="B108" s="128" t="s">
        <v>72</v>
      </c>
      <c r="C108" s="41" t="s">
        <v>505</v>
      </c>
    </row>
  </sheetData>
  <sheetProtection/>
  <mergeCells count="6">
    <mergeCell ref="G97:J97"/>
    <mergeCell ref="C102:D102"/>
    <mergeCell ref="C103:D103"/>
    <mergeCell ref="C106:D106"/>
    <mergeCell ref="G84:J84"/>
    <mergeCell ref="G90:J90"/>
  </mergeCells>
  <conditionalFormatting sqref="D43">
    <cfRule type="cellIs" priority="21" dxfId="0" operator="greaterThan" stopIfTrue="1">
      <formula>$D$45*0.1</formula>
    </cfRule>
  </conditionalFormatting>
  <conditionalFormatting sqref="C43">
    <cfRule type="cellIs" priority="22" dxfId="0" operator="greaterThan" stopIfTrue="1">
      <formula>$C$45*0.1</formula>
    </cfRule>
  </conditionalFormatting>
  <conditionalFormatting sqref="D100">
    <cfRule type="cellIs" priority="5" dxfId="2" operator="lessThan" stopIfTrue="1">
      <formula>0</formula>
    </cfRule>
  </conditionalFormatting>
  <conditionalFormatting sqref="E97">
    <cfRule type="cellIs" priority="12" dxfId="92" operator="greaterThan" stopIfTrue="1">
      <formula>$E$53*0.1</formula>
    </cfRule>
  </conditionalFormatting>
  <conditionalFormatting sqref="E102">
    <cfRule type="cellIs" priority="11" dxfId="92" operator="greaterThan" stopIfTrue="1">
      <formula>$E$53/0.95-$E$53</formula>
    </cfRule>
  </conditionalFormatting>
  <conditionalFormatting sqref="D99:E99">
    <cfRule type="cellIs" priority="10" dxfId="0" operator="greaterThan" stopIfTrue="1">
      <formula>$D$55</formula>
    </cfRule>
  </conditionalFormatting>
  <conditionalFormatting sqref="C99:E99">
    <cfRule type="cellIs" priority="9" dxfId="0" operator="greaterThan" stopIfTrue="1">
      <formula>$C$55</formula>
    </cfRule>
  </conditionalFormatting>
  <conditionalFormatting sqref="C100:D100">
    <cfRule type="cellIs" priority="8" dxfId="0" operator="lessThan" stopIfTrue="1">
      <formula>0</formula>
    </cfRule>
  </conditionalFormatting>
  <conditionalFormatting sqref="C97">
    <cfRule type="cellIs" priority="7" dxfId="0" operator="greaterThan" stopIfTrue="1">
      <formula>$C$53*0.1</formula>
    </cfRule>
  </conditionalFormatting>
  <conditionalFormatting sqref="D97">
    <cfRule type="cellIs" priority="6" dxfId="0" operator="greaterThan" stopIfTrue="1">
      <formula>$D$53*0.1</formula>
    </cfRule>
  </conditionalFormatting>
  <conditionalFormatting sqref="E43">
    <cfRule type="cellIs" priority="26" dxfId="92" operator="greaterThan" stopIfTrue="1">
      <formula>$E$45*0.1+#REF!</formula>
    </cfRule>
  </conditionalFormatting>
  <printOptions/>
  <pageMargins left="0.5" right="0.5" top="1" bottom="0.5" header="0.5" footer="0.5"/>
  <pageSetup blackAndWhite="1" fitToHeight="2" horizontalDpi="120" verticalDpi="120" orientation="portrait" scale="75" r:id="rId1"/>
  <headerFooter alignWithMargins="0">
    <oddHeader>&amp;RState of Kansas
City</oddHeader>
  </headerFooter>
  <rowBreaks count="1" manualBreakCount="1">
    <brk id="49" min="1" max="4" man="1"/>
  </rowBreaks>
</worksheet>
</file>

<file path=xl/worksheets/sheet12.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65">
      <selection activeCell="C77" sqref="C77:D77"/>
    </sheetView>
  </sheetViews>
  <sheetFormatPr defaultColWidth="8.796875" defaultRowHeight="15"/>
  <cols>
    <col min="1" max="1" width="2.3984375" style="41" customWidth="1"/>
    <col min="2" max="2" width="31.09765625" style="41" customWidth="1"/>
    <col min="3" max="4" width="15.796875" style="41" customWidth="1"/>
    <col min="5" max="5" width="16.19921875" style="41" customWidth="1"/>
    <col min="6" max="6" width="8.8984375" style="41" customWidth="1"/>
    <col min="7" max="7" width="10.19921875" style="41" customWidth="1"/>
    <col min="8" max="8" width="8.8984375" style="41" customWidth="1"/>
    <col min="9" max="9" width="5" style="41" customWidth="1"/>
    <col min="10" max="10" width="10" style="41" customWidth="1"/>
    <col min="11" max="16384" width="8.8984375" style="41" customWidth="1"/>
  </cols>
  <sheetData>
    <row r="1" spans="2:5" ht="15.75">
      <c r="B1" s="186" t="str">
        <f>(inputPrYr!D2)</f>
        <v>City of Leoti</v>
      </c>
      <c r="C1" s="43"/>
      <c r="D1" s="43"/>
      <c r="E1" s="237">
        <f>inputPrYr!C5</f>
        <v>2015</v>
      </c>
    </row>
    <row r="2" spans="2:5" ht="15.75">
      <c r="B2" s="43"/>
      <c r="C2" s="43"/>
      <c r="D2" s="43"/>
      <c r="E2" s="160"/>
    </row>
    <row r="3" spans="2:5" ht="15.75">
      <c r="B3" s="238" t="s">
        <v>119</v>
      </c>
      <c r="C3" s="190"/>
      <c r="D3" s="190"/>
      <c r="E3" s="267"/>
    </row>
    <row r="4" spans="2:5" ht="15.75">
      <c r="B4" s="44" t="s">
        <v>56</v>
      </c>
      <c r="C4" s="466" t="s">
        <v>343</v>
      </c>
      <c r="D4" s="467" t="s">
        <v>344</v>
      </c>
      <c r="E4" s="136" t="s">
        <v>345</v>
      </c>
    </row>
    <row r="5" spans="2:5" ht="15.75">
      <c r="B5" s="368" t="str">
        <f>inputPrYr!B21</f>
        <v>Ambulance and Fire Equip. </v>
      </c>
      <c r="C5" s="214" t="str">
        <f>CONCATENATE("Actual for ",E1-2,"")</f>
        <v>Actual for 2013</v>
      </c>
      <c r="D5" s="214" t="str">
        <f>CONCATENATE("Estimate for ",E1-1,"")</f>
        <v>Estimate for 2014</v>
      </c>
      <c r="E5" s="197" t="str">
        <f>CONCATENATE("Year for ",E1,"")</f>
        <v>Year for 2015</v>
      </c>
    </row>
    <row r="6" spans="2:5" ht="15.75">
      <c r="B6" s="240" t="s">
        <v>162</v>
      </c>
      <c r="C6" s="244">
        <v>38510</v>
      </c>
      <c r="D6" s="242">
        <f>C34</f>
        <v>66374</v>
      </c>
      <c r="E6" s="217">
        <f>D34</f>
        <v>92413</v>
      </c>
    </row>
    <row r="7" spans="2:5" ht="15.75">
      <c r="B7" s="243" t="s">
        <v>164</v>
      </c>
      <c r="C7" s="151"/>
      <c r="D7" s="151"/>
      <c r="E7" s="79"/>
    </row>
    <row r="8" spans="2:5" ht="15.75">
      <c r="B8" s="142" t="s">
        <v>57</v>
      </c>
      <c r="C8" s="244">
        <v>22106</v>
      </c>
      <c r="D8" s="242">
        <f>IF(inputPrYr!H16&gt;0,inputPrYr!G21,inputPrYr!E21)</f>
        <v>20499</v>
      </c>
      <c r="E8" s="266" t="s">
        <v>46</v>
      </c>
    </row>
    <row r="9" spans="2:5" ht="15.75">
      <c r="B9" s="142" t="s">
        <v>58</v>
      </c>
      <c r="C9" s="244">
        <v>310</v>
      </c>
      <c r="D9" s="244">
        <v>116</v>
      </c>
      <c r="E9" s="59">
        <v>107</v>
      </c>
    </row>
    <row r="10" spans="2:5" ht="15.75">
      <c r="B10" s="142" t="s">
        <v>59</v>
      </c>
      <c r="C10" s="244">
        <v>5273</v>
      </c>
      <c r="D10" s="244">
        <v>5350</v>
      </c>
      <c r="E10" s="217">
        <f>mvalloc!D10</f>
        <v>4688</v>
      </c>
    </row>
    <row r="11" spans="2:5" ht="15.75">
      <c r="B11" s="142" t="s">
        <v>60</v>
      </c>
      <c r="C11" s="244">
        <v>38</v>
      </c>
      <c r="D11" s="244">
        <v>34</v>
      </c>
      <c r="E11" s="217">
        <f>mvalloc!E10</f>
        <v>30</v>
      </c>
    </row>
    <row r="12" spans="2:5" ht="15.75">
      <c r="B12" s="151" t="s">
        <v>151</v>
      </c>
      <c r="C12" s="244">
        <v>137</v>
      </c>
      <c r="D12" s="244">
        <v>146</v>
      </c>
      <c r="E12" s="217">
        <f>mvalloc!F10</f>
        <v>129</v>
      </c>
    </row>
    <row r="13" spans="2:5" ht="15.75">
      <c r="B13" s="59"/>
      <c r="C13" s="244"/>
      <c r="D13" s="244"/>
      <c r="E13" s="59"/>
    </row>
    <row r="14" spans="2:5" ht="15.75">
      <c r="B14" s="59"/>
      <c r="C14" s="244"/>
      <c r="D14" s="244"/>
      <c r="E14" s="59"/>
    </row>
    <row r="15" spans="2:5" ht="15.75">
      <c r="B15" s="258"/>
      <c r="C15" s="244"/>
      <c r="D15" s="244"/>
      <c r="E15" s="59"/>
    </row>
    <row r="16" spans="2:5" ht="15.75">
      <c r="B16" s="258"/>
      <c r="C16" s="244"/>
      <c r="D16" s="244"/>
      <c r="E16" s="59"/>
    </row>
    <row r="17" spans="2:5" ht="15.75">
      <c r="B17" s="248" t="s">
        <v>63</v>
      </c>
      <c r="C17" s="244"/>
      <c r="D17" s="244"/>
      <c r="E17" s="59"/>
    </row>
    <row r="18" spans="2:5" ht="15.75">
      <c r="B18" s="151" t="s">
        <v>11</v>
      </c>
      <c r="C18" s="244"/>
      <c r="D18" s="244"/>
      <c r="E18" s="59"/>
    </row>
    <row r="19" spans="2:5" ht="15.75">
      <c r="B19" s="240" t="s">
        <v>312</v>
      </c>
      <c r="C19" s="249">
        <f>IF(C20*0.1&lt;C18,"Exceed 10% Rule","")</f>
      </c>
      <c r="D19" s="249">
        <f>IF(D20*0.1&lt;D18,"Exceed 10% Rule","")</f>
      </c>
      <c r="E19" s="273">
        <f>IF(E20*0.1+E40&lt;E18,"Exceed 10% Rule","")</f>
      </c>
    </row>
    <row r="20" spans="2:5" ht="15.75">
      <c r="B20" s="251" t="s">
        <v>64</v>
      </c>
      <c r="C20" s="252">
        <f>SUM(C8:C18)</f>
        <v>27864</v>
      </c>
      <c r="D20" s="252">
        <f>SUM(D8:D18)</f>
        <v>26145</v>
      </c>
      <c r="E20" s="253">
        <f>SUM(E8:E18)</f>
        <v>4954</v>
      </c>
    </row>
    <row r="21" spans="2:5" ht="15.75">
      <c r="B21" s="251" t="s">
        <v>65</v>
      </c>
      <c r="C21" s="256">
        <f>C6+C20</f>
        <v>66374</v>
      </c>
      <c r="D21" s="256">
        <f>D6+D20</f>
        <v>92519</v>
      </c>
      <c r="E21" s="74">
        <f>E6+E20</f>
        <v>97367</v>
      </c>
    </row>
    <row r="22" spans="2:5" ht="15.75">
      <c r="B22" s="142" t="s">
        <v>67</v>
      </c>
      <c r="C22" s="259"/>
      <c r="D22" s="259"/>
      <c r="E22" s="57"/>
    </row>
    <row r="23" spans="2:5" ht="15.75">
      <c r="B23" s="258" t="s">
        <v>453</v>
      </c>
      <c r="C23" s="244"/>
      <c r="D23" s="244"/>
      <c r="E23" s="59">
        <v>119000</v>
      </c>
    </row>
    <row r="24" spans="2:10" ht="15.75">
      <c r="B24" s="258"/>
      <c r="C24" s="244"/>
      <c r="D24" s="244"/>
      <c r="E24" s="59"/>
      <c r="G24" s="607" t="str">
        <f>CONCATENATE("Desired Carryover Into ",E1+1,"")</f>
        <v>Desired Carryover Into 2016</v>
      </c>
      <c r="H24" s="597"/>
      <c r="I24" s="597"/>
      <c r="J24" s="598"/>
    </row>
    <row r="25" spans="2:10" ht="15.75">
      <c r="B25" s="258"/>
      <c r="C25" s="244"/>
      <c r="D25" s="244"/>
      <c r="E25" s="59"/>
      <c r="G25" s="429"/>
      <c r="H25" s="430"/>
      <c r="I25" s="431"/>
      <c r="J25" s="432"/>
    </row>
    <row r="26" spans="2:10" ht="15.75">
      <c r="B26" s="258"/>
      <c r="C26" s="244"/>
      <c r="D26" s="244"/>
      <c r="E26" s="59"/>
      <c r="G26" s="433" t="s">
        <v>309</v>
      </c>
      <c r="H26" s="431"/>
      <c r="I26" s="431"/>
      <c r="J26" s="434">
        <v>0</v>
      </c>
    </row>
    <row r="27" spans="2:10" ht="15.75">
      <c r="B27" s="258"/>
      <c r="C27" s="244"/>
      <c r="D27" s="244"/>
      <c r="E27" s="59"/>
      <c r="G27" s="429" t="s">
        <v>310</v>
      </c>
      <c r="H27" s="430"/>
      <c r="I27" s="430"/>
      <c r="J27" s="435">
        <f>IF(J26=0,"",ROUND((J26+E40-G39)/inputOth!E7*1000,3)-G44)</f>
      </c>
    </row>
    <row r="28" spans="2:10" ht="15.75">
      <c r="B28" s="258"/>
      <c r="C28" s="244"/>
      <c r="D28" s="244"/>
      <c r="E28" s="59"/>
      <c r="G28" s="436" t="str">
        <f>CONCATENATE("",E1," Tot Exp/Non-Appr Must Be:")</f>
        <v>2015 Tot Exp/Non-Appr Must Be:</v>
      </c>
      <c r="H28" s="437"/>
      <c r="I28" s="438"/>
      <c r="J28" s="439">
        <f>IF(J26&gt;0,IF(E37&lt;E21,IF(J26=G39,E37,((J26-G39)*(1-D39))+E21),E37+(J26-G39)),0)</f>
        <v>0</v>
      </c>
    </row>
    <row r="29" spans="2:10" ht="15.75">
      <c r="B29" s="258"/>
      <c r="C29" s="244"/>
      <c r="D29" s="244"/>
      <c r="E29" s="59"/>
      <c r="G29" s="440" t="s">
        <v>337</v>
      </c>
      <c r="H29" s="441"/>
      <c r="I29" s="441"/>
      <c r="J29" s="442">
        <f>IF(J26&gt;0,J28-E37,0)</f>
        <v>0</v>
      </c>
    </row>
    <row r="30" spans="2:10" ht="15.75">
      <c r="B30" s="259" t="s">
        <v>10</v>
      </c>
      <c r="C30" s="244"/>
      <c r="D30" s="244">
        <v>106</v>
      </c>
      <c r="E30" s="74">
        <f>nhood!E9</f>
        <v>178</v>
      </c>
      <c r="J30" s="2"/>
    </row>
    <row r="31" spans="2:10" ht="15.75">
      <c r="B31" s="259" t="s">
        <v>11</v>
      </c>
      <c r="C31" s="244"/>
      <c r="D31" s="244"/>
      <c r="E31" s="59"/>
      <c r="G31" s="607" t="str">
        <f>CONCATENATE("Projected Carryover Into ",E1+1,"")</f>
        <v>Projected Carryover Into 2016</v>
      </c>
      <c r="H31" s="608"/>
      <c r="I31" s="608"/>
      <c r="J31" s="609"/>
    </row>
    <row r="32" spans="2:10" ht="15.75">
      <c r="B32" s="259" t="s">
        <v>313</v>
      </c>
      <c r="C32" s="249">
        <f>IF(C33*0.1&lt;C31,"Exceed 10% Rule","")</f>
      </c>
      <c r="D32" s="249">
        <f>IF(D33*0.1&lt;D31,"Exceed 10% Rule","")</f>
      </c>
      <c r="E32" s="273">
        <f>IF(E33*0.1&lt;E31,"Exceed 10% Rule","")</f>
      </c>
      <c r="G32" s="429"/>
      <c r="H32" s="431"/>
      <c r="I32" s="431"/>
      <c r="J32" s="444"/>
    </row>
    <row r="33" spans="2:10" ht="15.75">
      <c r="B33" s="251" t="s">
        <v>69</v>
      </c>
      <c r="C33" s="252">
        <f>SUM(C23:C31)</f>
        <v>0</v>
      </c>
      <c r="D33" s="252">
        <f>SUM(D23:D31)</f>
        <v>106</v>
      </c>
      <c r="E33" s="253">
        <f>SUM(E23:E31)</f>
        <v>119178</v>
      </c>
      <c r="G33" s="445">
        <f>D34</f>
        <v>92413</v>
      </c>
      <c r="H33" s="416" t="str">
        <f>CONCATENATE("",E1-1," Ending Cash Balance (est.)")</f>
        <v>2014 Ending Cash Balance (est.)</v>
      </c>
      <c r="I33" s="446"/>
      <c r="J33" s="444"/>
    </row>
    <row r="34" spans="2:10" ht="15.75">
      <c r="B34" s="142" t="s">
        <v>163</v>
      </c>
      <c r="C34" s="256">
        <f>C21-C33</f>
        <v>66374</v>
      </c>
      <c r="D34" s="256">
        <f>D21-D33</f>
        <v>92413</v>
      </c>
      <c r="E34" s="266" t="s">
        <v>46</v>
      </c>
      <c r="G34" s="445">
        <f>E20</f>
        <v>4954</v>
      </c>
      <c r="H34" s="431" t="str">
        <f>CONCATENATE("",E1," Non-AV Receipts (est.)")</f>
        <v>2015 Non-AV Receipts (est.)</v>
      </c>
      <c r="I34" s="446"/>
      <c r="J34" s="444"/>
    </row>
    <row r="35" spans="2:11" ht="15.75">
      <c r="B35" s="162" t="str">
        <f>CONCATENATE("",E1-2,"/",E1-1,"/",E1," Budget Authority Amount:")</f>
        <v>2013/2014/2015 Budget Authority Amount:</v>
      </c>
      <c r="C35" s="468">
        <f>inputOth!B63</f>
        <v>88107</v>
      </c>
      <c r="D35" s="468">
        <f>inputPrYr!D21</f>
        <v>92106</v>
      </c>
      <c r="E35" s="217">
        <f>E33</f>
        <v>119178</v>
      </c>
      <c r="F35" s="261"/>
      <c r="G35" s="447">
        <f>IF(E39&gt;0,E38,E40)</f>
        <v>21811</v>
      </c>
      <c r="H35" s="431" t="str">
        <f>CONCATENATE("",E1," Ad Valorem Tax (est.)")</f>
        <v>2015 Ad Valorem Tax (est.)</v>
      </c>
      <c r="I35" s="446"/>
      <c r="J35" s="426"/>
      <c r="K35" s="425" t="str">
        <f>IF(G35=E40,"","Note: Does not include Delinquent Taxes")</f>
        <v>Note: Does not include Delinquent Taxes</v>
      </c>
    </row>
    <row r="36" spans="2:10" ht="15.75">
      <c r="B36" s="128"/>
      <c r="C36" s="599" t="s">
        <v>276</v>
      </c>
      <c r="D36" s="600"/>
      <c r="E36" s="59"/>
      <c r="F36" s="486">
        <f>IF(E33/0.95-E33&lt;E36,"Exceeds 5%","")</f>
      </c>
      <c r="G36" s="445">
        <f>SUM(G33:G35)</f>
        <v>119178</v>
      </c>
      <c r="H36" s="431" t="str">
        <f>CONCATENATE("Total ",E1," Resources Available")</f>
        <v>Total 2015 Resources Available</v>
      </c>
      <c r="I36" s="446"/>
      <c r="J36" s="444"/>
    </row>
    <row r="37" spans="2:10" ht="15.75">
      <c r="B37" s="364" t="str">
        <f>CONCATENATE(C94,"     ",D94)</f>
        <v>     </v>
      </c>
      <c r="C37" s="601" t="s">
        <v>277</v>
      </c>
      <c r="D37" s="602"/>
      <c r="E37" s="217">
        <f>E33+E36</f>
        <v>119178</v>
      </c>
      <c r="G37" s="457"/>
      <c r="H37" s="431"/>
      <c r="I37" s="431"/>
      <c r="J37" s="444"/>
    </row>
    <row r="38" spans="2:10" ht="15.75">
      <c r="B38" s="364" t="str">
        <f>CONCATENATE(C95,"     ",D95)</f>
        <v>     </v>
      </c>
      <c r="C38" s="262"/>
      <c r="D38" s="160" t="s">
        <v>70</v>
      </c>
      <c r="E38" s="74">
        <f>IF(E37-E21&gt;0,E37-E21,0)</f>
        <v>21811</v>
      </c>
      <c r="G38" s="447">
        <f>ROUND(C33*0.05+C33,0)</f>
        <v>0</v>
      </c>
      <c r="H38" s="431" t="str">
        <f>CONCATENATE("Less ",E1-2," Expenditures + 5%")</f>
        <v>Less 2013 Expenditures + 5%</v>
      </c>
      <c r="I38" s="446"/>
      <c r="J38" s="444"/>
    </row>
    <row r="39" spans="2:10" ht="15.75">
      <c r="B39" s="160"/>
      <c r="C39" s="333" t="s">
        <v>275</v>
      </c>
      <c r="D39" s="476">
        <f>inputOth!$E$47</f>
        <v>0.05</v>
      </c>
      <c r="E39" s="217">
        <f>ROUND(IF(D39&gt;0,(E38*D39),0),0)</f>
        <v>1091</v>
      </c>
      <c r="G39" s="458">
        <f>G36-G38</f>
        <v>119178</v>
      </c>
      <c r="H39" s="459" t="str">
        <f>CONCATENATE("Projected ",E1+1," carryover (est.)")</f>
        <v>Projected 2016 carryover (est.)</v>
      </c>
      <c r="I39" s="460"/>
      <c r="J39" s="456"/>
    </row>
    <row r="40" spans="2:10" ht="16.5" thickBot="1">
      <c r="B40" s="160"/>
      <c r="C40" s="603" t="str">
        <f>CONCATENATE("Amount of  ",$E$1-1," Ad Valorem Tax")</f>
        <v>Amount of  2014 Ad Valorem Tax</v>
      </c>
      <c r="D40" s="604"/>
      <c r="E40" s="428">
        <f>E38+E39</f>
        <v>22902</v>
      </c>
      <c r="G40" s="2"/>
      <c r="H40" s="2"/>
      <c r="I40" s="2"/>
      <c r="J40" s="2"/>
    </row>
    <row r="41" spans="2:10" ht="16.5" thickTop="1">
      <c r="B41" s="43"/>
      <c r="C41" s="603"/>
      <c r="D41" s="614"/>
      <c r="E41" s="68"/>
      <c r="G41" s="610" t="s">
        <v>336</v>
      </c>
      <c r="H41" s="611"/>
      <c r="I41" s="611"/>
      <c r="J41" s="612"/>
    </row>
    <row r="42" spans="2:10" ht="15.75">
      <c r="B42" s="44"/>
      <c r="C42" s="268"/>
      <c r="D42" s="268"/>
      <c r="E42" s="268"/>
      <c r="G42" s="415"/>
      <c r="H42" s="416"/>
      <c r="I42" s="417"/>
      <c r="J42" s="418"/>
    </row>
    <row r="43" spans="2:10" ht="15.75">
      <c r="B43" s="44" t="s">
        <v>56</v>
      </c>
      <c r="C43" s="466" t="s">
        <v>343</v>
      </c>
      <c r="D43" s="467" t="s">
        <v>344</v>
      </c>
      <c r="E43" s="136" t="s">
        <v>345</v>
      </c>
      <c r="G43" s="419">
        <f>summ!H16</f>
        <v>3.602297656241521</v>
      </c>
      <c r="H43" s="416" t="str">
        <f>CONCATENATE("",E1," Fund Mill Rate")</f>
        <v>2015 Fund Mill Rate</v>
      </c>
      <c r="I43" s="417"/>
      <c r="J43" s="418"/>
    </row>
    <row r="44" spans="2:10" ht="15.75">
      <c r="B44" s="368">
        <f>(inputPrYr!B22)</f>
        <v>0</v>
      </c>
      <c r="C44" s="214" t="str">
        <f>CONCATENATE("Actual for ",E1-2,"")</f>
        <v>Actual for 2013</v>
      </c>
      <c r="D44" s="214" t="str">
        <f>CONCATENATE("Estimate for ",E1-1,"")</f>
        <v>Estimate for 2014</v>
      </c>
      <c r="E44" s="197" t="str">
        <f>CONCATENATE("Year for ",E1,"")</f>
        <v>Year for 2015</v>
      </c>
      <c r="G44" s="420">
        <f>summ!E16</f>
        <v>3.4</v>
      </c>
      <c r="H44" s="416" t="str">
        <f>CONCATENATE("",E1-1," Fund Mill Rate")</f>
        <v>2014 Fund Mill Rate</v>
      </c>
      <c r="I44" s="417"/>
      <c r="J44" s="418"/>
    </row>
    <row r="45" spans="2:10" ht="15.75">
      <c r="B45" s="240" t="s">
        <v>162</v>
      </c>
      <c r="C45" s="244"/>
      <c r="D45" s="242">
        <f>C74</f>
        <v>0</v>
      </c>
      <c r="E45" s="217">
        <f>D74</f>
        <v>0</v>
      </c>
      <c r="G45" s="421">
        <f>summ!H28</f>
        <v>73.58757042152168</v>
      </c>
      <c r="H45" s="416" t="str">
        <f>CONCATENATE("Total ",E1," Mill Rate")</f>
        <v>Total 2015 Mill Rate</v>
      </c>
      <c r="I45" s="417"/>
      <c r="J45" s="418"/>
    </row>
    <row r="46" spans="2:10" ht="15.75">
      <c r="B46" s="243" t="s">
        <v>164</v>
      </c>
      <c r="C46" s="151"/>
      <c r="D46" s="151"/>
      <c r="E46" s="79"/>
      <c r="G46" s="420">
        <f>summ!E28</f>
        <v>73.36</v>
      </c>
      <c r="H46" s="422" t="str">
        <f>CONCATENATE("Total ",E1-1," Mill Rate")</f>
        <v>Total 2014 Mill Rate</v>
      </c>
      <c r="I46" s="423"/>
      <c r="J46" s="424"/>
    </row>
    <row r="47" spans="2:5" ht="15.75">
      <c r="B47" s="142" t="s">
        <v>57</v>
      </c>
      <c r="C47" s="244"/>
      <c r="D47" s="242">
        <f>IF(inputPrYr!H16&gt;0,inputPrYr!G22,inputPrYr!E22)</f>
        <v>0</v>
      </c>
      <c r="E47" s="266" t="s">
        <v>46</v>
      </c>
    </row>
    <row r="48" spans="2:9" ht="15.75">
      <c r="B48" s="142" t="s">
        <v>58</v>
      </c>
      <c r="C48" s="244"/>
      <c r="D48" s="244"/>
      <c r="E48" s="59"/>
      <c r="G48" s="518" t="s">
        <v>404</v>
      </c>
      <c r="H48" s="488"/>
      <c r="I48" s="487" t="str">
        <f>cert!F33</f>
        <v>No</v>
      </c>
    </row>
    <row r="49" spans="2:5" ht="15.75">
      <c r="B49" s="142" t="s">
        <v>59</v>
      </c>
      <c r="C49" s="244"/>
      <c r="D49" s="244"/>
      <c r="E49" s="217" t="str">
        <f>mvalloc!D11</f>
        <v>  </v>
      </c>
    </row>
    <row r="50" spans="2:5" ht="15.75">
      <c r="B50" s="142" t="s">
        <v>60</v>
      </c>
      <c r="C50" s="244"/>
      <c r="D50" s="244"/>
      <c r="E50" s="217" t="str">
        <f>mvalloc!E11</f>
        <v> </v>
      </c>
    </row>
    <row r="51" spans="2:5" ht="15.75">
      <c r="B51" s="151" t="s">
        <v>151</v>
      </c>
      <c r="C51" s="244"/>
      <c r="D51" s="244"/>
      <c r="E51" s="217" t="str">
        <f>mvalloc!F11</f>
        <v> </v>
      </c>
    </row>
    <row r="52" spans="2:5" ht="15.75">
      <c r="B52" s="258"/>
      <c r="C52" s="244"/>
      <c r="D52" s="244"/>
      <c r="E52" s="59"/>
    </row>
    <row r="53" spans="2:5" ht="15.75">
      <c r="B53" s="258"/>
      <c r="C53" s="244"/>
      <c r="D53" s="244"/>
      <c r="E53" s="59"/>
    </row>
    <row r="54" spans="2:5" ht="15.75">
      <c r="B54" s="258"/>
      <c r="C54" s="244"/>
      <c r="D54" s="244"/>
      <c r="E54" s="59"/>
    </row>
    <row r="55" spans="2:5" ht="15.75">
      <c r="B55" s="258"/>
      <c r="C55" s="244"/>
      <c r="D55" s="244"/>
      <c r="E55" s="59"/>
    </row>
    <row r="56" spans="2:5" ht="15.75">
      <c r="B56" s="258"/>
      <c r="C56" s="244"/>
      <c r="D56" s="244"/>
      <c r="E56" s="59"/>
    </row>
    <row r="57" spans="2:5" ht="15.75">
      <c r="B57" s="248" t="s">
        <v>63</v>
      </c>
      <c r="C57" s="244"/>
      <c r="D57" s="244"/>
      <c r="E57" s="59"/>
    </row>
    <row r="58" spans="2:5" ht="15.75">
      <c r="B58" s="151" t="s">
        <v>11</v>
      </c>
      <c r="C58" s="244"/>
      <c r="D58" s="244"/>
      <c r="E58" s="59"/>
    </row>
    <row r="59" spans="2:5" ht="15.75">
      <c r="B59" s="240" t="s">
        <v>312</v>
      </c>
      <c r="C59" s="249">
        <f>IF(C60*0.1&lt;C58,"Exceed 10% Rule","")</f>
      </c>
      <c r="D59" s="249">
        <f>IF(D60*0.1&lt;D58,"Exceed 10% Rule","")</f>
      </c>
      <c r="E59" s="273">
        <f>IF(E60*0.1+E80&lt;E58,"Exceed 10% Rule","")</f>
      </c>
    </row>
    <row r="60" spans="2:5" ht="15.75">
      <c r="B60" s="251" t="s">
        <v>64</v>
      </c>
      <c r="C60" s="252">
        <f>SUM(C47:C58)</f>
        <v>0</v>
      </c>
      <c r="D60" s="252">
        <f>SUM(D47:D58)</f>
        <v>0</v>
      </c>
      <c r="E60" s="253">
        <f>SUM(E47:E58)</f>
        <v>0</v>
      </c>
    </row>
    <row r="61" spans="2:5" ht="15.75">
      <c r="B61" s="251" t="s">
        <v>65</v>
      </c>
      <c r="C61" s="252">
        <f>C45+C60</f>
        <v>0</v>
      </c>
      <c r="D61" s="252">
        <f>D45+D60</f>
        <v>0</v>
      </c>
      <c r="E61" s="253">
        <f>E45+E60</f>
        <v>0</v>
      </c>
    </row>
    <row r="62" spans="2:5" ht="15.75">
      <c r="B62" s="142" t="s">
        <v>67</v>
      </c>
      <c r="C62" s="259"/>
      <c r="D62" s="259"/>
      <c r="E62" s="57"/>
    </row>
    <row r="63" spans="2:5" ht="15.75">
      <c r="B63" s="258"/>
      <c r="C63" s="244"/>
      <c r="D63" s="244"/>
      <c r="E63" s="59"/>
    </row>
    <row r="64" spans="2:10" ht="15.75">
      <c r="B64" s="258"/>
      <c r="C64" s="244"/>
      <c r="D64" s="244"/>
      <c r="E64" s="59"/>
      <c r="G64" s="607" t="str">
        <f>CONCATENATE("Desired Carryover Into ",E1+1,"")</f>
        <v>Desired Carryover Into 2016</v>
      </c>
      <c r="H64" s="597"/>
      <c r="I64" s="597"/>
      <c r="J64" s="598"/>
    </row>
    <row r="65" spans="2:10" ht="15.75">
      <c r="B65" s="258"/>
      <c r="C65" s="244"/>
      <c r="D65" s="244"/>
      <c r="E65" s="59"/>
      <c r="G65" s="429"/>
      <c r="H65" s="430"/>
      <c r="I65" s="431"/>
      <c r="J65" s="432"/>
    </row>
    <row r="66" spans="2:10" ht="15.75">
      <c r="B66" s="258"/>
      <c r="C66" s="244"/>
      <c r="D66" s="244"/>
      <c r="E66" s="59"/>
      <c r="G66" s="433" t="s">
        <v>309</v>
      </c>
      <c r="H66" s="431"/>
      <c r="I66" s="431"/>
      <c r="J66" s="434">
        <v>0</v>
      </c>
    </row>
    <row r="67" spans="2:10" ht="15.75">
      <c r="B67" s="258"/>
      <c r="C67" s="244"/>
      <c r="D67" s="244"/>
      <c r="E67" s="59"/>
      <c r="G67" s="429" t="s">
        <v>310</v>
      </c>
      <c r="H67" s="430"/>
      <c r="I67" s="430"/>
      <c r="J67" s="435">
        <f>IF(J66=0,"",ROUND((J66+E80-G79)/inputOth!E7*1000,3)-G84)</f>
      </c>
    </row>
    <row r="68" spans="2:10" ht="15.75">
      <c r="B68" s="258"/>
      <c r="C68" s="244"/>
      <c r="D68" s="244"/>
      <c r="E68" s="59"/>
      <c r="G68" s="436" t="str">
        <f>CONCATENATE("",E1," Tot Exp/Non-Appr Must Be:")</f>
        <v>2015 Tot Exp/Non-Appr Must Be:</v>
      </c>
      <c r="H68" s="437"/>
      <c r="I68" s="438"/>
      <c r="J68" s="439">
        <f>IF(J66&gt;0,IF(E77&lt;E61,IF(J66=G79,E77,((J66-G79)*(1-D79))+E61),E77+(J66-G79)),0)</f>
        <v>0</v>
      </c>
    </row>
    <row r="69" spans="2:10" ht="15.75">
      <c r="B69" s="258"/>
      <c r="C69" s="244"/>
      <c r="D69" s="244"/>
      <c r="E69" s="59"/>
      <c r="G69" s="440" t="s">
        <v>337</v>
      </c>
      <c r="H69" s="441"/>
      <c r="I69" s="441"/>
      <c r="J69" s="442">
        <f>IF(J66&gt;0,J68-E77,0)</f>
        <v>0</v>
      </c>
    </row>
    <row r="70" spans="2:10" ht="15.75">
      <c r="B70" s="259" t="s">
        <v>10</v>
      </c>
      <c r="C70" s="244"/>
      <c r="D70" s="244"/>
      <c r="E70" s="74">
        <f>nhood!E10</f>
      </c>
      <c r="J70" s="2"/>
    </row>
    <row r="71" spans="2:10" ht="15.75">
      <c r="B71" s="259" t="s">
        <v>11</v>
      </c>
      <c r="C71" s="244"/>
      <c r="D71" s="244"/>
      <c r="E71" s="59"/>
      <c r="G71" s="607" t="str">
        <f>CONCATENATE("Projected Carryover Into ",E1+1,"")</f>
        <v>Projected Carryover Into 2016</v>
      </c>
      <c r="H71" s="613"/>
      <c r="I71" s="613"/>
      <c r="J71" s="609"/>
    </row>
    <row r="72" spans="2:10" ht="15.75">
      <c r="B72" s="259" t="s">
        <v>313</v>
      </c>
      <c r="C72" s="249">
        <f>IF(C73*0.1&lt;C71,"Exceed 10% Rule","")</f>
      </c>
      <c r="D72" s="249">
        <f>IF(D73*0.1&lt;D71,"Exceed 10% Rule","")</f>
      </c>
      <c r="E72" s="273">
        <f>IF(E73*0.1&lt;E71,"Exceed 10% Rule","")</f>
      </c>
      <c r="G72" s="443"/>
      <c r="H72" s="430"/>
      <c r="I72" s="430"/>
      <c r="J72" s="449"/>
    </row>
    <row r="73" spans="2:10" ht="15.75">
      <c r="B73" s="251" t="s">
        <v>69</v>
      </c>
      <c r="C73" s="252">
        <f>SUM(C63:C71)</f>
        <v>0</v>
      </c>
      <c r="D73" s="252">
        <f>SUM(D63:D71)</f>
        <v>0</v>
      </c>
      <c r="E73" s="253">
        <f>SUM(E63:E71)</f>
        <v>0</v>
      </c>
      <c r="G73" s="445">
        <f>D74</f>
        <v>0</v>
      </c>
      <c r="H73" s="416" t="str">
        <f>CONCATENATE("",E1-1," Ending Cash Balance (est.)")</f>
        <v>2014 Ending Cash Balance (est.)</v>
      </c>
      <c r="I73" s="446"/>
      <c r="J73" s="449"/>
    </row>
    <row r="74" spans="2:10" ht="15.75">
      <c r="B74" s="142" t="s">
        <v>163</v>
      </c>
      <c r="C74" s="256">
        <f>C61-C73</f>
        <v>0</v>
      </c>
      <c r="D74" s="256">
        <f>D61-D73</f>
        <v>0</v>
      </c>
      <c r="E74" s="266" t="s">
        <v>46</v>
      </c>
      <c r="G74" s="445">
        <f>E60</f>
        <v>0</v>
      </c>
      <c r="H74" s="431" t="str">
        <f>CONCATENATE("",E1," Non-AV Receipts (est.)")</f>
        <v>2015 Non-AV Receipts (est.)</v>
      </c>
      <c r="I74" s="446"/>
      <c r="J74" s="449"/>
    </row>
    <row r="75" spans="2:11" ht="15.75">
      <c r="B75" s="162" t="str">
        <f>CONCATENATE("",E1-2,"/",E1-1,"/",E1," Budget Authority Amount:")</f>
        <v>2013/2014/2015 Budget Authority Amount:</v>
      </c>
      <c r="C75" s="468">
        <f>inputOth!B64</f>
        <v>0</v>
      </c>
      <c r="D75" s="468">
        <f>inputPrYr!D22</f>
        <v>0</v>
      </c>
      <c r="E75" s="217">
        <f>E73</f>
        <v>0</v>
      </c>
      <c r="F75" s="261"/>
      <c r="G75" s="447">
        <f>IF(D79&gt;0,E78,E80)</f>
        <v>0</v>
      </c>
      <c r="H75" s="431" t="str">
        <f>CONCATENATE("",E1," Ad Valorem Tax (est.)")</f>
        <v>2015 Ad Valorem Tax (est.)</v>
      </c>
      <c r="I75" s="446"/>
      <c r="J75" s="449"/>
      <c r="K75" s="425">
        <f>IF(G75=E80,"","Note: Does not include Delinquent Taxes")</f>
      </c>
    </row>
    <row r="76" spans="2:10" ht="15.75">
      <c r="B76" s="128"/>
      <c r="C76" s="599" t="s">
        <v>276</v>
      </c>
      <c r="D76" s="600"/>
      <c r="E76" s="59"/>
      <c r="F76" s="486">
        <f>IF(E73/0.95-E73&lt;E76,"Exceeds 5%","")</f>
      </c>
      <c r="G76" s="448">
        <f>SUM(G73:G75)</f>
        <v>0</v>
      </c>
      <c r="H76" s="431" t="str">
        <f>CONCATENATE("Total ",E1," Resources Available")</f>
        <v>Total 2015 Resources Available</v>
      </c>
      <c r="I76" s="449"/>
      <c r="J76" s="449"/>
    </row>
    <row r="77" spans="2:10" ht="15.75">
      <c r="B77" s="364" t="str">
        <f>CONCATENATE(C96,"     ",D96)</f>
        <v>     </v>
      </c>
      <c r="C77" s="601" t="s">
        <v>277</v>
      </c>
      <c r="D77" s="602"/>
      <c r="E77" s="217">
        <f>E73+E76</f>
        <v>0</v>
      </c>
      <c r="G77" s="450"/>
      <c r="H77" s="451"/>
      <c r="I77" s="430"/>
      <c r="J77" s="449"/>
    </row>
    <row r="78" spans="2:10" ht="15.75">
      <c r="B78" s="364" t="str">
        <f>CONCATENATE(C97,"     ",D97)</f>
        <v>     </v>
      </c>
      <c r="C78" s="262"/>
      <c r="D78" s="160" t="s">
        <v>70</v>
      </c>
      <c r="E78" s="74">
        <f>IF(E77-E61&gt;0,E77-E61,0)</f>
        <v>0</v>
      </c>
      <c r="G78" s="452">
        <f>ROUND(C73*0.05+C73,0)</f>
        <v>0</v>
      </c>
      <c r="H78" s="451" t="str">
        <f>CONCATENATE("Less ",E1-2," Expenditures + 5%")</f>
        <v>Less 2013 Expenditures + 5%</v>
      </c>
      <c r="I78" s="449"/>
      <c r="J78" s="449"/>
    </row>
    <row r="79" spans="2:10" ht="15.75">
      <c r="B79" s="160"/>
      <c r="C79" s="333" t="s">
        <v>275</v>
      </c>
      <c r="D79" s="476">
        <f>inputOth!$E$47</f>
        <v>0.05</v>
      </c>
      <c r="E79" s="217">
        <f>ROUND(IF(D79&gt;0,(E78*D79),0),0)</f>
        <v>0</v>
      </c>
      <c r="G79" s="453">
        <f>G76-G78</f>
        <v>0</v>
      </c>
      <c r="H79" s="454" t="str">
        <f>CONCATENATE("Projected ",E1+1," carryover (est.)")</f>
        <v>Projected 2016 carryover (est.)</v>
      </c>
      <c r="I79" s="455"/>
      <c r="J79" s="456"/>
    </row>
    <row r="80" spans="2:9" ht="16.5" thickBot="1">
      <c r="B80" s="43"/>
      <c r="C80" s="603" t="str">
        <f>CONCATENATE("Amount of  ",$E$1-1," Ad Valorem Tax")</f>
        <v>Amount of  2014 Ad Valorem Tax</v>
      </c>
      <c r="D80" s="604"/>
      <c r="E80" s="428">
        <f>E78+E79</f>
        <v>0</v>
      </c>
      <c r="G80" s="2"/>
      <c r="H80" s="2"/>
      <c r="I80" s="2"/>
    </row>
    <row r="81" spans="2:10" ht="16.5" thickTop="1">
      <c r="B81" s="335" t="s">
        <v>72</v>
      </c>
      <c r="C81" s="264">
        <v>8</v>
      </c>
      <c r="D81" s="43"/>
      <c r="E81" s="43"/>
      <c r="G81" s="610" t="s">
        <v>336</v>
      </c>
      <c r="H81" s="611"/>
      <c r="I81" s="611"/>
      <c r="J81" s="612"/>
    </row>
    <row r="82" spans="2:10" ht="15.75">
      <c r="B82" s="29"/>
      <c r="G82" s="415"/>
      <c r="H82" s="416"/>
      <c r="I82" s="417"/>
      <c r="J82" s="418"/>
    </row>
    <row r="83" spans="7:10" ht="15.75">
      <c r="G83" s="419" t="str">
        <f>summ!H17</f>
        <v>  </v>
      </c>
      <c r="H83" s="416" t="str">
        <f>CONCATENATE("",E1," Fund Mill Rate")</f>
        <v>2015 Fund Mill Rate</v>
      </c>
      <c r="I83" s="417"/>
      <c r="J83" s="418"/>
    </row>
    <row r="84" spans="7:10" ht="15.75">
      <c r="G84" s="420" t="str">
        <f>summ!E17</f>
        <v>  </v>
      </c>
      <c r="H84" s="416" t="str">
        <f>CONCATENATE("",E1-1," Fund Mill Rate")</f>
        <v>2014 Fund Mill Rate</v>
      </c>
      <c r="I84" s="417"/>
      <c r="J84" s="418"/>
    </row>
    <row r="85" spans="7:10" ht="15.75">
      <c r="G85" s="421">
        <f>summ!H28</f>
        <v>73.58757042152168</v>
      </c>
      <c r="H85" s="416" t="str">
        <f>CONCATENATE("Total ",E1," Mill Rate")</f>
        <v>Total 2015 Mill Rate</v>
      </c>
      <c r="I85" s="417"/>
      <c r="J85" s="418"/>
    </row>
    <row r="86" spans="7:10" ht="15.75">
      <c r="G86" s="420">
        <f>summ!E28</f>
        <v>73.36</v>
      </c>
      <c r="H86" s="422" t="str">
        <f>CONCATENATE("Total ",E1-1," Mill Rate")</f>
        <v>Total 2014 Mill Rate</v>
      </c>
      <c r="I86" s="423"/>
      <c r="J86" s="424"/>
    </row>
    <row r="88" spans="7:9" ht="15.75">
      <c r="G88" s="519" t="s">
        <v>404</v>
      </c>
      <c r="H88" s="490"/>
      <c r="I88" s="489" t="str">
        <f>cert!F33</f>
        <v>No</v>
      </c>
    </row>
    <row r="94" spans="3:4" ht="15.75" hidden="1">
      <c r="C94" s="363">
        <f>IF(C33&gt;C35,"See Tab A","")</f>
      </c>
      <c r="D94" s="363">
        <f>IF(D31&gt;D35,"See Tab C","")</f>
      </c>
    </row>
    <row r="95" spans="3:4" ht="15.75" hidden="1">
      <c r="C95" s="363">
        <f>IF(C34&lt;0,"See Tab B","")</f>
      </c>
      <c r="D95" s="363">
        <f>IF(D34&lt;0,"See Tab D","")</f>
      </c>
    </row>
    <row r="96" spans="3:4" ht="15.75" hidden="1">
      <c r="C96" s="363">
        <f>IF(C71&gt;C75,"See Tab A","")</f>
      </c>
      <c r="D96" s="363">
        <f>IF(D71&gt;D75,"See Tab C","")</f>
      </c>
    </row>
    <row r="97" spans="3:4" ht="15.75" hidden="1">
      <c r="C97" s="363">
        <f>IF(C74&lt;0,"See Tab B","")</f>
      </c>
      <c r="D97" s="363">
        <f>IF(D74&lt;0,"See Tab D","")</f>
      </c>
    </row>
  </sheetData>
  <sheetProtection/>
  <mergeCells count="13">
    <mergeCell ref="C76:D76"/>
    <mergeCell ref="C77:D77"/>
    <mergeCell ref="C36:D36"/>
    <mergeCell ref="C37:D37"/>
    <mergeCell ref="C41:D41"/>
    <mergeCell ref="C80:D80"/>
    <mergeCell ref="C40:D40"/>
    <mergeCell ref="G24:J24"/>
    <mergeCell ref="G31:J31"/>
    <mergeCell ref="G41:J41"/>
    <mergeCell ref="G64:J64"/>
    <mergeCell ref="G71:J71"/>
    <mergeCell ref="G81:J81"/>
  </mergeCells>
  <conditionalFormatting sqref="E71">
    <cfRule type="cellIs" priority="3" dxfId="92" operator="greaterThan" stopIfTrue="1">
      <formula>$E$73*0.1</formula>
    </cfRule>
  </conditionalFormatting>
  <conditionalFormatting sqref="E76">
    <cfRule type="cellIs" priority="4" dxfId="92" operator="greaterThan" stopIfTrue="1">
      <formula>$E$73/0.95-$E$73</formula>
    </cfRule>
  </conditionalFormatting>
  <conditionalFormatting sqref="E31">
    <cfRule type="cellIs" priority="5" dxfId="92" operator="greaterThan" stopIfTrue="1">
      <formula>$E$33*0.1</formula>
    </cfRule>
  </conditionalFormatting>
  <conditionalFormatting sqref="E36">
    <cfRule type="cellIs" priority="6" dxfId="92" operator="greaterThan" stopIfTrue="1">
      <formula>$E$33/0.95-$E$33</formula>
    </cfRule>
  </conditionalFormatting>
  <conditionalFormatting sqref="C31">
    <cfRule type="cellIs" priority="7" dxfId="0" operator="greaterThan" stopIfTrue="1">
      <formula>$C$33*0.1</formula>
    </cfRule>
  </conditionalFormatting>
  <conditionalFormatting sqref="D31">
    <cfRule type="cellIs" priority="8" dxfId="0" operator="greaterThan" stopIfTrue="1">
      <formula>$D$33*0.1</formula>
    </cfRule>
  </conditionalFormatting>
  <conditionalFormatting sqref="D33">
    <cfRule type="cellIs" priority="9" dxfId="0" operator="greaterThan" stopIfTrue="1">
      <formula>$D$35</formula>
    </cfRule>
  </conditionalFormatting>
  <conditionalFormatting sqref="C33">
    <cfRule type="cellIs" priority="10" dxfId="0" operator="greaterThan" stopIfTrue="1">
      <formula>$C$35</formula>
    </cfRule>
  </conditionalFormatting>
  <conditionalFormatting sqref="C34 C74">
    <cfRule type="cellIs" priority="11" dxfId="0" operator="lessThan" stopIfTrue="1">
      <formula>0</formula>
    </cfRule>
  </conditionalFormatting>
  <conditionalFormatting sqref="C71">
    <cfRule type="cellIs" priority="12" dxfId="0" operator="greaterThan" stopIfTrue="1">
      <formula>$C$73*0.1</formula>
    </cfRule>
  </conditionalFormatting>
  <conditionalFormatting sqref="D71">
    <cfRule type="cellIs" priority="13" dxfId="0" operator="greaterThan" stopIfTrue="1">
      <formula>$D$73*0.1</formula>
    </cfRule>
  </conditionalFormatting>
  <conditionalFormatting sqref="D73">
    <cfRule type="cellIs" priority="14" dxfId="0" operator="greaterThan" stopIfTrue="1">
      <formula>$D$75</formula>
    </cfRule>
  </conditionalFormatting>
  <conditionalFormatting sqref="C73">
    <cfRule type="cellIs" priority="15" dxfId="0" operator="greaterThan" stopIfTrue="1">
      <formula>$C$75</formula>
    </cfRule>
  </conditionalFormatting>
  <conditionalFormatting sqref="D18">
    <cfRule type="cellIs" priority="16" dxfId="0" operator="greaterThan" stopIfTrue="1">
      <formula>$D$20*0.1</formula>
    </cfRule>
  </conditionalFormatting>
  <conditionalFormatting sqref="C18">
    <cfRule type="cellIs" priority="17" dxfId="0" operator="greaterThan" stopIfTrue="1">
      <formula>$C$20*0.1</formula>
    </cfRule>
  </conditionalFormatting>
  <conditionalFormatting sqref="D58">
    <cfRule type="cellIs" priority="18" dxfId="0" operator="greaterThan" stopIfTrue="1">
      <formula>$D$60*0.1</formula>
    </cfRule>
  </conditionalFormatting>
  <conditionalFormatting sqref="C58">
    <cfRule type="cellIs" priority="19" dxfId="0" operator="greaterThan" stopIfTrue="1">
      <formula>$C$60*0.1</formula>
    </cfRule>
  </conditionalFormatting>
  <conditionalFormatting sqref="E18">
    <cfRule type="cellIs" priority="20" dxfId="92" operator="greaterThan" stopIfTrue="1">
      <formula>$E$20*0.1+E40</formula>
    </cfRule>
  </conditionalFormatting>
  <conditionalFormatting sqref="E58">
    <cfRule type="cellIs" priority="21" dxfId="92" operator="greaterThan" stopIfTrue="1">
      <formula>$E$60*0.1+E80</formula>
    </cfRule>
  </conditionalFormatting>
  <conditionalFormatting sqref="D74 D34">
    <cfRule type="cellIs" priority="2" dxfId="2"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35">
      <selection activeCell="B47" sqref="B47"/>
    </sheetView>
  </sheetViews>
  <sheetFormatPr defaultColWidth="8.796875" defaultRowHeight="15"/>
  <cols>
    <col min="1" max="1" width="2.3984375" style="41" customWidth="1"/>
    <col min="2" max="2" width="31.09765625" style="41" customWidth="1"/>
    <col min="3" max="4" width="15.796875" style="41" customWidth="1"/>
    <col min="5" max="5" width="16.19921875" style="41" customWidth="1"/>
    <col min="6" max="16384" width="8.8984375" style="41" customWidth="1"/>
  </cols>
  <sheetData>
    <row r="1" spans="2:5" ht="15.75">
      <c r="B1" s="186" t="str">
        <f>(inputPrYr!D2)</f>
        <v>City of Leoti</v>
      </c>
      <c r="C1" s="43"/>
      <c r="D1" s="43"/>
      <c r="E1" s="237">
        <f>inputPrYr!C5</f>
        <v>2015</v>
      </c>
    </row>
    <row r="2" spans="2:5" ht="15.75">
      <c r="B2" s="43"/>
      <c r="C2" s="43"/>
      <c r="D2" s="43"/>
      <c r="E2" s="160"/>
    </row>
    <row r="3" spans="2:5" ht="15.75">
      <c r="B3" s="238" t="s">
        <v>120</v>
      </c>
      <c r="C3" s="268"/>
      <c r="D3" s="268"/>
      <c r="E3" s="268"/>
    </row>
    <row r="4" spans="2:5" ht="15.75">
      <c r="B4" s="44" t="s">
        <v>56</v>
      </c>
      <c r="C4" s="466" t="s">
        <v>343</v>
      </c>
      <c r="D4" s="467" t="s">
        <v>344</v>
      </c>
      <c r="E4" s="136" t="s">
        <v>345</v>
      </c>
    </row>
    <row r="5" spans="2:5" ht="15.75">
      <c r="B5" s="368" t="str">
        <f>(inputPrYr!B34)</f>
        <v>Special Highway</v>
      </c>
      <c r="C5" s="214" t="str">
        <f>CONCATENATE("Actual for ",E1-2,"")</f>
        <v>Actual for 2013</v>
      </c>
      <c r="D5" s="214" t="str">
        <f>CONCATENATE("Estimate for ",E1-1,"")</f>
        <v>Estimate for 2014</v>
      </c>
      <c r="E5" s="197" t="str">
        <f>CONCATENATE("Year for ",E1,"")</f>
        <v>Year for 2015</v>
      </c>
    </row>
    <row r="6" spans="2:5" ht="15.75">
      <c r="B6" s="240" t="s">
        <v>162</v>
      </c>
      <c r="C6" s="59">
        <v>126938</v>
      </c>
      <c r="D6" s="217">
        <f>C31</f>
        <v>101531</v>
      </c>
      <c r="E6" s="217">
        <f>D31</f>
        <v>141021</v>
      </c>
    </row>
    <row r="7" spans="2:5" ht="15.75">
      <c r="B7" s="243" t="s">
        <v>164</v>
      </c>
      <c r="C7" s="79"/>
      <c r="D7" s="79"/>
      <c r="E7" s="79"/>
    </row>
    <row r="8" spans="2:5" ht="15.75">
      <c r="B8" s="259" t="s">
        <v>154</v>
      </c>
      <c r="C8" s="59">
        <v>39188</v>
      </c>
      <c r="D8" s="269">
        <f>inputOth!E52</f>
        <v>39490</v>
      </c>
      <c r="E8" s="217">
        <f>inputOth!E50</f>
        <v>39810</v>
      </c>
    </row>
    <row r="9" spans="2:5" ht="15.75">
      <c r="B9" s="270" t="s">
        <v>200</v>
      </c>
      <c r="C9" s="59"/>
      <c r="D9" s="269">
        <f>inputOth!E53</f>
        <v>0</v>
      </c>
      <c r="E9" s="269">
        <f>inputOth!E51</f>
        <v>0</v>
      </c>
    </row>
    <row r="10" spans="2:5" ht="15.75">
      <c r="B10" s="258"/>
      <c r="C10" s="59"/>
      <c r="D10" s="59"/>
      <c r="E10" s="59"/>
    </row>
    <row r="11" spans="2:5" ht="15.75">
      <c r="B11" s="258"/>
      <c r="C11" s="59"/>
      <c r="D11" s="59"/>
      <c r="E11" s="59"/>
    </row>
    <row r="12" spans="2:5" ht="15.75">
      <c r="B12" s="258"/>
      <c r="C12" s="59"/>
      <c r="D12" s="59"/>
      <c r="E12" s="59"/>
    </row>
    <row r="13" spans="2:5" ht="15.75">
      <c r="B13" s="258"/>
      <c r="C13" s="59"/>
      <c r="D13" s="59"/>
      <c r="E13" s="59"/>
    </row>
    <row r="14" spans="2:5" ht="15.75">
      <c r="B14" s="248" t="s">
        <v>63</v>
      </c>
      <c r="C14" s="59"/>
      <c r="D14" s="59"/>
      <c r="E14" s="59"/>
    </row>
    <row r="15" spans="2:5" ht="15.75">
      <c r="B15" s="151" t="s">
        <v>11</v>
      </c>
      <c r="C15" s="59"/>
      <c r="D15" s="245"/>
      <c r="E15" s="245"/>
    </row>
    <row r="16" spans="2:5" ht="15.75">
      <c r="B16" s="240" t="s">
        <v>312</v>
      </c>
      <c r="C16" s="273">
        <f>IF(C17*0.1&lt;C15,"Exceed 10% Rule","")</f>
      </c>
      <c r="D16" s="250">
        <f>IF(D17*0.1&lt;D15,"Exceed 10% Rule","")</f>
      </c>
      <c r="E16" s="250">
        <f>IF(E17*0.1&lt;E15,"Exceed 10% Rule","")</f>
      </c>
    </row>
    <row r="17" spans="2:5" ht="15.75">
      <c r="B17" s="251" t="s">
        <v>64</v>
      </c>
      <c r="C17" s="253">
        <f>SUM(C8:C15)</f>
        <v>39188</v>
      </c>
      <c r="D17" s="253">
        <f>SUM(D8:D15)</f>
        <v>39490</v>
      </c>
      <c r="E17" s="253">
        <f>SUM(E8:E15)</f>
        <v>39810</v>
      </c>
    </row>
    <row r="18" spans="2:5" ht="15.75">
      <c r="B18" s="251" t="s">
        <v>65</v>
      </c>
      <c r="C18" s="253">
        <f>C6+C17</f>
        <v>166126</v>
      </c>
      <c r="D18" s="253">
        <f>D6+D17</f>
        <v>141021</v>
      </c>
      <c r="E18" s="253">
        <f>E6+E17</f>
        <v>180831</v>
      </c>
    </row>
    <row r="19" spans="2:5" ht="15.75">
      <c r="B19" s="142" t="s">
        <v>67</v>
      </c>
      <c r="C19" s="217"/>
      <c r="D19" s="217"/>
      <c r="E19" s="217"/>
    </row>
    <row r="20" spans="2:5" ht="15.75">
      <c r="B20" s="258" t="s">
        <v>454</v>
      </c>
      <c r="C20" s="59">
        <v>64595</v>
      </c>
      <c r="D20" s="59"/>
      <c r="E20" s="59">
        <v>180000</v>
      </c>
    </row>
    <row r="21" spans="2:5" ht="15.75">
      <c r="B21" s="258"/>
      <c r="C21" s="59"/>
      <c r="D21" s="59"/>
      <c r="E21" s="59"/>
    </row>
    <row r="22" spans="2:5" ht="15.75">
      <c r="B22" s="258"/>
      <c r="C22" s="59"/>
      <c r="D22" s="59"/>
      <c r="E22" s="59"/>
    </row>
    <row r="23" spans="2:5" ht="15.75">
      <c r="B23" s="258"/>
      <c r="C23" s="59"/>
      <c r="D23" s="59"/>
      <c r="E23" s="59"/>
    </row>
    <row r="24" spans="2:5" ht="15.75">
      <c r="B24" s="258"/>
      <c r="C24" s="59"/>
      <c r="D24" s="59"/>
      <c r="E24" s="59"/>
    </row>
    <row r="25" spans="2:5" ht="15.75">
      <c r="B25" s="258"/>
      <c r="C25" s="59"/>
      <c r="D25" s="59"/>
      <c r="E25" s="59"/>
    </row>
    <row r="26" spans="2:5" ht="15.75">
      <c r="B26" s="258"/>
      <c r="C26" s="59"/>
      <c r="D26" s="59"/>
      <c r="E26" s="59"/>
    </row>
    <row r="27" spans="2:5" ht="15.75">
      <c r="B27" s="258"/>
      <c r="C27" s="59"/>
      <c r="D27" s="59"/>
      <c r="E27" s="59"/>
    </row>
    <row r="28" spans="2:5" ht="15.75">
      <c r="B28" s="259" t="s">
        <v>11</v>
      </c>
      <c r="C28" s="59"/>
      <c r="D28" s="245"/>
      <c r="E28" s="245"/>
    </row>
    <row r="29" spans="2:5" ht="15.75">
      <c r="B29" s="259" t="s">
        <v>313</v>
      </c>
      <c r="C29" s="273">
        <f>IF(C30*0.1&lt;C28,"Exceed 10% Rule","")</f>
      </c>
      <c r="D29" s="250">
        <f>IF(D30*0.1&lt;D28,"Exceed 10% Rule","")</f>
      </c>
      <c r="E29" s="250">
        <f>IF(E30*0.1&lt;E28,"Exceed 10% Rule","")</f>
      </c>
    </row>
    <row r="30" spans="2:5" ht="15.75">
      <c r="B30" s="251" t="s">
        <v>69</v>
      </c>
      <c r="C30" s="253">
        <f>SUM(C20:C28)</f>
        <v>64595</v>
      </c>
      <c r="D30" s="253">
        <f>SUM(D20:D28)</f>
        <v>0</v>
      </c>
      <c r="E30" s="253">
        <f>SUM(E20:E28)</f>
        <v>180000</v>
      </c>
    </row>
    <row r="31" spans="2:5" ht="15.75">
      <c r="B31" s="142" t="s">
        <v>163</v>
      </c>
      <c r="C31" s="74">
        <f>C18-C30</f>
        <v>101531</v>
      </c>
      <c r="D31" s="74">
        <f>D18-D30</f>
        <v>141021</v>
      </c>
      <c r="E31" s="74">
        <f>E18-E30</f>
        <v>831</v>
      </c>
    </row>
    <row r="32" spans="2:5" ht="15.75">
      <c r="B32" s="162" t="str">
        <f>CONCATENATE("",E1-2,"/",E1-1,"/",E1," Budget Authority Amount:")</f>
        <v>2013/2014/2015 Budget Authority Amount:</v>
      </c>
      <c r="C32" s="468">
        <f>inputOth!B73</f>
        <v>95000</v>
      </c>
      <c r="D32" s="468">
        <f>inputPrYr!D34</f>
        <v>111968</v>
      </c>
      <c r="E32" s="492">
        <f>E30</f>
        <v>180000</v>
      </c>
    </row>
    <row r="33" spans="2:5" ht="15.75">
      <c r="B33" s="128"/>
      <c r="C33" s="262">
        <f>IF(C30&gt;C32,"See Tab A","")</f>
      </c>
      <c r="D33" s="262">
        <f>IF(D30&gt;D32,"See Tab C","")</f>
      </c>
      <c r="E33" s="493">
        <f>IF(E31&lt;0,"See Tab E","")</f>
      </c>
    </row>
    <row r="34" spans="2:5" ht="15.75">
      <c r="B34" s="128"/>
      <c r="C34" s="262">
        <f>IF(C31&lt;0,"See Tab B","")</f>
      </c>
      <c r="D34" s="262">
        <f>IF(D31&lt;0,"See Tab D","")</f>
      </c>
      <c r="E34" s="89"/>
    </row>
    <row r="35" spans="2:5" ht="15.75">
      <c r="B35" s="43"/>
      <c r="C35" s="89"/>
      <c r="D35" s="89"/>
      <c r="E35" s="89"/>
    </row>
    <row r="36" spans="2:5" ht="15.75">
      <c r="B36" s="44" t="s">
        <v>56</v>
      </c>
      <c r="C36" s="271"/>
      <c r="D36" s="271"/>
      <c r="E36" s="271"/>
    </row>
    <row r="37" spans="2:5" ht="15.75">
      <c r="B37" s="43"/>
      <c r="C37" s="466" t="s">
        <v>343</v>
      </c>
      <c r="D37" s="467" t="s">
        <v>344</v>
      </c>
      <c r="E37" s="136" t="s">
        <v>345</v>
      </c>
    </row>
    <row r="38" spans="2:5" ht="15.75">
      <c r="B38" s="368" t="str">
        <f>(inputPrYr!B35)</f>
        <v>Special Parks and Recreation</v>
      </c>
      <c r="C38" s="214" t="str">
        <f>CONCATENATE("Actual for ",$E$1-2,"")</f>
        <v>Actual for 2013</v>
      </c>
      <c r="D38" s="214" t="str">
        <f>CONCATENATE("Estimate for ",$E$1-1,"")</f>
        <v>Estimate for 2014</v>
      </c>
      <c r="E38" s="197" t="str">
        <f>CONCATENATE("Year for ",$E$1,"")</f>
        <v>Year for 2015</v>
      </c>
    </row>
    <row r="39" spans="2:5" ht="15.75">
      <c r="B39" s="240" t="s">
        <v>162</v>
      </c>
      <c r="C39" s="59">
        <v>2466</v>
      </c>
      <c r="D39" s="217">
        <f>C62</f>
        <v>0</v>
      </c>
      <c r="E39" s="217">
        <f>D62</f>
        <v>0</v>
      </c>
    </row>
    <row r="40" spans="2:5" ht="15.75">
      <c r="B40" s="243" t="s">
        <v>164</v>
      </c>
      <c r="C40" s="79"/>
      <c r="D40" s="79"/>
      <c r="E40" s="79"/>
    </row>
    <row r="41" spans="2:5" ht="15.75">
      <c r="B41" s="258" t="s">
        <v>455</v>
      </c>
      <c r="C41" s="59"/>
      <c r="D41" s="59"/>
      <c r="E41" s="59"/>
    </row>
    <row r="42" spans="2:5" ht="15.75">
      <c r="B42" s="258"/>
      <c r="C42" s="59"/>
      <c r="D42" s="59"/>
      <c r="E42" s="59"/>
    </row>
    <row r="43" spans="2:5" ht="15.75">
      <c r="B43" s="258"/>
      <c r="C43" s="59"/>
      <c r="D43" s="59"/>
      <c r="E43" s="59"/>
    </row>
    <row r="44" spans="2:5" ht="15.75">
      <c r="B44" s="258"/>
      <c r="C44" s="59"/>
      <c r="D44" s="59"/>
      <c r="E44" s="59"/>
    </row>
    <row r="45" spans="2:5" ht="15.75">
      <c r="B45" s="248" t="s">
        <v>63</v>
      </c>
      <c r="C45" s="59"/>
      <c r="D45" s="59"/>
      <c r="E45" s="59"/>
    </row>
    <row r="46" spans="2:5" ht="15.75">
      <c r="B46" s="151" t="s">
        <v>11</v>
      </c>
      <c r="C46" s="59"/>
      <c r="D46" s="245"/>
      <c r="E46" s="245"/>
    </row>
    <row r="47" spans="2:5" ht="15.75">
      <c r="B47" s="240" t="s">
        <v>312</v>
      </c>
      <c r="C47" s="273">
        <f>IF(C48*0.1&lt;C46,"Exceed 10% Rule","")</f>
      </c>
      <c r="D47" s="250">
        <f>IF(D48*0.1&lt;D46,"Exceed 10% Rule","")</f>
      </c>
      <c r="E47" s="250">
        <f>IF(E48*0.1&lt;E46,"Exceed 10% Rule","")</f>
      </c>
    </row>
    <row r="48" spans="2:5" ht="15.75">
      <c r="B48" s="251" t="s">
        <v>64</v>
      </c>
      <c r="C48" s="253">
        <f>SUM(C41:C46)</f>
        <v>0</v>
      </c>
      <c r="D48" s="253">
        <f>SUM(D41:D46)</f>
        <v>0</v>
      </c>
      <c r="E48" s="253">
        <f>SUM(E41:E46)</f>
        <v>0</v>
      </c>
    </row>
    <row r="49" spans="2:5" ht="15.75">
      <c r="B49" s="251" t="s">
        <v>65</v>
      </c>
      <c r="C49" s="253">
        <f>C39+C48</f>
        <v>2466</v>
      </c>
      <c r="D49" s="253">
        <f>D39+D48</f>
        <v>0</v>
      </c>
      <c r="E49" s="253">
        <f>E39+E48</f>
        <v>0</v>
      </c>
    </row>
    <row r="50" spans="2:5" ht="15.75">
      <c r="B50" s="142" t="s">
        <v>67</v>
      </c>
      <c r="C50" s="217"/>
      <c r="D50" s="217"/>
      <c r="E50" s="217"/>
    </row>
    <row r="51" spans="2:5" ht="15.75">
      <c r="B51" s="258" t="s">
        <v>506</v>
      </c>
      <c r="C51" s="59">
        <v>2466</v>
      </c>
      <c r="D51" s="59"/>
      <c r="E51" s="59"/>
    </row>
    <row r="52" spans="2:5" ht="15.75">
      <c r="B52" s="258"/>
      <c r="C52" s="59"/>
      <c r="D52" s="59"/>
      <c r="E52" s="59"/>
    </row>
    <row r="53" spans="2:5" ht="15.75">
      <c r="B53" s="258"/>
      <c r="C53" s="59"/>
      <c r="D53" s="59"/>
      <c r="E53" s="59"/>
    </row>
    <row r="54" spans="2:5" ht="15.75">
      <c r="B54" s="258"/>
      <c r="C54" s="59"/>
      <c r="D54" s="59"/>
      <c r="E54" s="59"/>
    </row>
    <row r="55" spans="2:5" ht="15.75">
      <c r="B55" s="258"/>
      <c r="C55" s="59"/>
      <c r="D55" s="59"/>
      <c r="E55" s="59"/>
    </row>
    <row r="56" spans="2:5" ht="15.75">
      <c r="B56" s="258"/>
      <c r="C56" s="59"/>
      <c r="D56" s="59"/>
      <c r="E56" s="59"/>
    </row>
    <row r="57" spans="2:5" ht="15.75">
      <c r="B57" s="258"/>
      <c r="C57" s="59"/>
      <c r="D57" s="59"/>
      <c r="E57" s="59"/>
    </row>
    <row r="58" spans="2:5" ht="15.75">
      <c r="B58" s="258"/>
      <c r="C58" s="59"/>
      <c r="D58" s="59"/>
      <c r="E58" s="59"/>
    </row>
    <row r="59" spans="2:5" ht="15.75">
      <c r="B59" s="259" t="s">
        <v>11</v>
      </c>
      <c r="C59" s="59"/>
      <c r="D59" s="245"/>
      <c r="E59" s="245"/>
    </row>
    <row r="60" spans="2:5" ht="15.75">
      <c r="B60" s="259" t="s">
        <v>313</v>
      </c>
      <c r="C60" s="273">
        <f>IF(C61*0.1&lt;C59,"Exceed 10% Rule","")</f>
      </c>
      <c r="D60" s="250">
        <f>IF(D61*0.1&lt;D59,"Exceed 10% Rule","")</f>
      </c>
      <c r="E60" s="250">
        <f>IF(E61*0.1&lt;E59,"Exceed 10% Rule","")</f>
      </c>
    </row>
    <row r="61" spans="2:5" ht="15.75">
      <c r="B61" s="251" t="s">
        <v>69</v>
      </c>
      <c r="C61" s="253">
        <f>SUM(C51:C59)</f>
        <v>2466</v>
      </c>
      <c r="D61" s="253">
        <f>SUM(D51:D59)</f>
        <v>0</v>
      </c>
      <c r="E61" s="253">
        <f>SUM(E51:E59)</f>
        <v>0</v>
      </c>
    </row>
    <row r="62" spans="2:5" ht="15.75">
      <c r="B62" s="142" t="s">
        <v>163</v>
      </c>
      <c r="C62" s="74">
        <f>C49-C61</f>
        <v>0</v>
      </c>
      <c r="D62" s="74">
        <f>D49-D61</f>
        <v>0</v>
      </c>
      <c r="E62" s="74">
        <f>E49-E61</f>
        <v>0</v>
      </c>
    </row>
    <row r="63" spans="2:5" ht="15.75">
      <c r="B63" s="162" t="str">
        <f>CONCATENATE("",E1-2,"/",E1-1,"/",E1," Budget Authority Amount:")</f>
        <v>2013/2014/2015 Budget Authority Amount:</v>
      </c>
      <c r="C63" s="468">
        <f>inputOth!B74</f>
        <v>2466</v>
      </c>
      <c r="D63" s="468">
        <f>inputPrYr!D35</f>
        <v>2466</v>
      </c>
      <c r="E63" s="492">
        <f>E61</f>
        <v>0</v>
      </c>
    </row>
    <row r="64" spans="2:5" ht="15.75">
      <c r="B64" s="128"/>
      <c r="C64" s="262">
        <f>IF(C61&gt;C63,"See Tab A","")</f>
      </c>
      <c r="D64" s="262">
        <f>IF(D61&gt;D63,"See Tab C","")</f>
      </c>
      <c r="E64" s="493">
        <f>IF(E62&lt;0,"See Tab E","")</f>
      </c>
    </row>
    <row r="65" spans="2:5" ht="15.75">
      <c r="B65" s="128"/>
      <c r="C65" s="262">
        <f>IF(C62&lt;0,"See Tab B","")</f>
      </c>
      <c r="D65" s="262">
        <f>IF(D62&lt;0,"See Tab D","")</f>
      </c>
      <c r="E65" s="43"/>
    </row>
    <row r="66" spans="2:5" ht="15.75">
      <c r="B66" s="43"/>
      <c r="C66" s="43"/>
      <c r="D66" s="43"/>
      <c r="E66" s="43"/>
    </row>
    <row r="67" spans="2:5" ht="15.75">
      <c r="B67" s="335" t="s">
        <v>72</v>
      </c>
      <c r="C67" s="264">
        <v>9</v>
      </c>
      <c r="D67" s="43"/>
      <c r="E67" s="43"/>
    </row>
  </sheetData>
  <sheetProtection/>
  <conditionalFormatting sqref="C15">
    <cfRule type="cellIs" priority="5" dxfId="92" operator="greaterThan" stopIfTrue="1">
      <formula>$C$17*0.1</formula>
    </cfRule>
  </conditionalFormatting>
  <conditionalFormatting sqref="D15">
    <cfRule type="cellIs" priority="6" dxfId="92" operator="greaterThan" stopIfTrue="1">
      <formula>$D$17*0.1</formula>
    </cfRule>
  </conditionalFormatting>
  <conditionalFormatting sqref="E15">
    <cfRule type="cellIs" priority="7" dxfId="92" operator="greaterThan" stopIfTrue="1">
      <formula>$E$17*0.1</formula>
    </cfRule>
  </conditionalFormatting>
  <conditionalFormatting sqref="C28">
    <cfRule type="cellIs" priority="8" dxfId="92" operator="greaterThan" stopIfTrue="1">
      <formula>$C$30*0.1</formula>
    </cfRule>
  </conditionalFormatting>
  <conditionalFormatting sqref="D28">
    <cfRule type="cellIs" priority="9" dxfId="92" operator="greaterThan" stopIfTrue="1">
      <formula>$D$30*0.1</formula>
    </cfRule>
  </conditionalFormatting>
  <conditionalFormatting sqref="E28">
    <cfRule type="cellIs" priority="10" dxfId="92" operator="greaterThan" stopIfTrue="1">
      <formula>$E$30*0.1</formula>
    </cfRule>
  </conditionalFormatting>
  <conditionalFormatting sqref="C46">
    <cfRule type="cellIs" priority="11" dxfId="92" operator="greaterThan" stopIfTrue="1">
      <formula>$C$48*0.1</formula>
    </cfRule>
  </conditionalFormatting>
  <conditionalFormatting sqref="D46">
    <cfRule type="cellIs" priority="12" dxfId="92" operator="greaterThan" stopIfTrue="1">
      <formula>$D$48*0.1</formula>
    </cfRule>
  </conditionalFormatting>
  <conditionalFormatting sqref="E46">
    <cfRule type="cellIs" priority="13" dxfId="92" operator="greaterThan" stopIfTrue="1">
      <formula>$E$48*0.1</formula>
    </cfRule>
  </conditionalFormatting>
  <conditionalFormatting sqref="C59">
    <cfRule type="cellIs" priority="14" dxfId="92" operator="greaterThan" stopIfTrue="1">
      <formula>$C$61*0.1</formula>
    </cfRule>
  </conditionalFormatting>
  <conditionalFormatting sqref="D59">
    <cfRule type="cellIs" priority="15" dxfId="92" operator="greaterThan" stopIfTrue="1">
      <formula>$D$61*0.1</formula>
    </cfRule>
  </conditionalFormatting>
  <conditionalFormatting sqref="E59">
    <cfRule type="cellIs" priority="16" dxfId="92" operator="greaterThan" stopIfTrue="1">
      <formula>$E$61*0.1</formula>
    </cfRule>
  </conditionalFormatting>
  <conditionalFormatting sqref="D61">
    <cfRule type="cellIs" priority="17" dxfId="0" operator="greaterThan" stopIfTrue="1">
      <formula>$D$63</formula>
    </cfRule>
  </conditionalFormatting>
  <conditionalFormatting sqref="C61">
    <cfRule type="cellIs" priority="18" dxfId="0" operator="greaterThan" stopIfTrue="1">
      <formula>$C$63</formula>
    </cfRule>
  </conditionalFormatting>
  <conditionalFormatting sqref="C62 E62 C31 E31">
    <cfRule type="cellIs" priority="19" dxfId="0" operator="lessThan" stopIfTrue="1">
      <formula>0</formula>
    </cfRule>
  </conditionalFormatting>
  <conditionalFormatting sqref="D30">
    <cfRule type="cellIs" priority="20" dxfId="0" operator="greaterThan" stopIfTrue="1">
      <formula>$D$32</formula>
    </cfRule>
  </conditionalFormatting>
  <conditionalFormatting sqref="C30">
    <cfRule type="cellIs" priority="21" dxfId="0" operator="greaterThan" stopIfTrue="1">
      <formula>$C$32</formula>
    </cfRule>
  </conditionalFormatting>
  <conditionalFormatting sqref="D31">
    <cfRule type="cellIs" priority="4" dxfId="2" operator="lessThan" stopIfTrue="1">
      <formula>0</formula>
    </cfRule>
  </conditionalFormatting>
  <conditionalFormatting sqref="D62">
    <cfRule type="cellIs" priority="3" dxfId="2" operator="lessThan" stopIfTrue="1">
      <formula>0</formula>
    </cfRule>
  </conditionalFormatting>
  <conditionalFormatting sqref="E63">
    <cfRule type="cellIs" priority="1" dxfId="0" operator="lessThan" stopIfTrue="1">
      <formula>0</formula>
    </cfRule>
  </conditionalFormatting>
  <conditionalFormatting sqref="E32">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8">
      <selection activeCell="B41" sqref="B41"/>
    </sheetView>
  </sheetViews>
  <sheetFormatPr defaultColWidth="8.796875" defaultRowHeight="15"/>
  <cols>
    <col min="1" max="1" width="2.3984375" style="41" customWidth="1"/>
    <col min="2" max="2" width="31.09765625" style="41" customWidth="1"/>
    <col min="3" max="4" width="15.796875" style="41" customWidth="1"/>
    <col min="5" max="5" width="16.296875" style="41" customWidth="1"/>
    <col min="6" max="16384" width="8.8984375" style="41" customWidth="1"/>
  </cols>
  <sheetData>
    <row r="1" spans="2:5" ht="15.75">
      <c r="B1" s="186" t="str">
        <f>(inputPrYr!D2)</f>
        <v>City of Leoti</v>
      </c>
      <c r="C1" s="43"/>
      <c r="D1" s="43"/>
      <c r="E1" s="237">
        <f>inputPrYr!C5</f>
        <v>2015</v>
      </c>
    </row>
    <row r="2" spans="2:5" ht="15.75">
      <c r="B2" s="43"/>
      <c r="C2" s="43"/>
      <c r="D2" s="43"/>
      <c r="E2" s="160"/>
    </row>
    <row r="3" spans="2:5" ht="15.75">
      <c r="B3" s="238" t="s">
        <v>120</v>
      </c>
      <c r="C3" s="268"/>
      <c r="D3" s="268"/>
      <c r="E3" s="268"/>
    </row>
    <row r="4" spans="2:5" ht="15.75">
      <c r="B4" s="44" t="s">
        <v>56</v>
      </c>
      <c r="C4" s="466" t="s">
        <v>343</v>
      </c>
      <c r="D4" s="467" t="s">
        <v>344</v>
      </c>
      <c r="E4" s="136" t="s">
        <v>345</v>
      </c>
    </row>
    <row r="5" spans="2:5" ht="15.75">
      <c r="B5" s="368" t="str">
        <f>(inputPrYr!B36)</f>
        <v>Water Operating</v>
      </c>
      <c r="C5" s="214" t="str">
        <f>CONCATENATE("Actual for ",E1-2,"")</f>
        <v>Actual for 2013</v>
      </c>
      <c r="D5" s="214" t="str">
        <f>CONCATENATE("Estimate for ",E1-1,"")</f>
        <v>Estimate for 2014</v>
      </c>
      <c r="E5" s="197" t="str">
        <f>CONCATENATE("Year for ",E1,"")</f>
        <v>Year for 2015</v>
      </c>
    </row>
    <row r="6" spans="2:5" ht="15.75">
      <c r="B6" s="240" t="s">
        <v>162</v>
      </c>
      <c r="C6" s="59">
        <v>386263</v>
      </c>
      <c r="D6" s="217">
        <f>C29</f>
        <v>523847</v>
      </c>
      <c r="E6" s="217">
        <f>D29</f>
        <v>454606</v>
      </c>
    </row>
    <row r="7" spans="2:5" ht="15.75">
      <c r="B7" s="243" t="s">
        <v>164</v>
      </c>
      <c r="C7" s="79"/>
      <c r="D7" s="79"/>
      <c r="E7" s="79"/>
    </row>
    <row r="8" spans="2:5" ht="15.75">
      <c r="B8" s="258" t="s">
        <v>456</v>
      </c>
      <c r="C8" s="59">
        <v>519269</v>
      </c>
      <c r="D8" s="59">
        <v>400000</v>
      </c>
      <c r="E8" s="59">
        <v>425000</v>
      </c>
    </row>
    <row r="9" spans="2:5" ht="15.75">
      <c r="B9" s="258" t="s">
        <v>457</v>
      </c>
      <c r="C9" s="59">
        <v>5938</v>
      </c>
      <c r="D9" s="59">
        <v>5000</v>
      </c>
      <c r="E9" s="59">
        <v>5000</v>
      </c>
    </row>
    <row r="10" spans="2:5" ht="15.75">
      <c r="B10" s="258" t="s">
        <v>458</v>
      </c>
      <c r="C10" s="59">
        <v>7646</v>
      </c>
      <c r="D10" s="59">
        <v>6000</v>
      </c>
      <c r="E10" s="59">
        <v>6000</v>
      </c>
    </row>
    <row r="11" spans="2:5" ht="15.75">
      <c r="B11" s="258"/>
      <c r="C11" s="59"/>
      <c r="D11" s="59"/>
      <c r="E11" s="59"/>
    </row>
    <row r="12" spans="2:5" ht="15.75">
      <c r="B12" s="248" t="s">
        <v>63</v>
      </c>
      <c r="C12" s="59"/>
      <c r="D12" s="59"/>
      <c r="E12" s="59"/>
    </row>
    <row r="13" spans="2:5" ht="15.75">
      <c r="B13" s="151" t="s">
        <v>11</v>
      </c>
      <c r="C13" s="59">
        <v>16281</v>
      </c>
      <c r="D13" s="245">
        <v>5000</v>
      </c>
      <c r="E13" s="245">
        <v>5000</v>
      </c>
    </row>
    <row r="14" spans="2:5" ht="15.75">
      <c r="B14" s="240" t="s">
        <v>312</v>
      </c>
      <c r="C14" s="273">
        <f>IF(C15*0.1&lt;C13,"Exceed 10% Rule","")</f>
      </c>
      <c r="D14" s="250">
        <f>IF(D15*0.1&lt;D13,"Exceed 10% Rule","")</f>
      </c>
      <c r="E14" s="250">
        <f>IF(E15*0.1&lt;E13,"Exceed 10% Rule","")</f>
      </c>
    </row>
    <row r="15" spans="2:5" ht="15.75">
      <c r="B15" s="251" t="s">
        <v>64</v>
      </c>
      <c r="C15" s="253">
        <f>SUM(C8:C13)</f>
        <v>549134</v>
      </c>
      <c r="D15" s="253">
        <f>SUM(D8:D13)</f>
        <v>416000</v>
      </c>
      <c r="E15" s="253">
        <f>SUM(E8:E13)</f>
        <v>441000</v>
      </c>
    </row>
    <row r="16" spans="2:5" ht="15.75">
      <c r="B16" s="251" t="s">
        <v>65</v>
      </c>
      <c r="C16" s="253">
        <f>C6+C15</f>
        <v>935397</v>
      </c>
      <c r="D16" s="253">
        <f>D6+D15</f>
        <v>939847</v>
      </c>
      <c r="E16" s="253">
        <f>E6+E15</f>
        <v>895606</v>
      </c>
    </row>
    <row r="17" spans="2:5" ht="15.75">
      <c r="B17" s="142" t="s">
        <v>67</v>
      </c>
      <c r="C17" s="217"/>
      <c r="D17" s="217"/>
      <c r="E17" s="217"/>
    </row>
    <row r="18" spans="2:5" ht="15.75">
      <c r="B18" s="258" t="s">
        <v>459</v>
      </c>
      <c r="C18" s="59">
        <v>102190</v>
      </c>
      <c r="D18" s="59">
        <v>117000</v>
      </c>
      <c r="E18" s="59">
        <v>117000</v>
      </c>
    </row>
    <row r="19" spans="2:5" ht="15.75">
      <c r="B19" s="258" t="s">
        <v>454</v>
      </c>
      <c r="C19" s="59">
        <v>109898</v>
      </c>
      <c r="D19" s="59">
        <v>130000</v>
      </c>
      <c r="E19" s="59">
        <v>130000</v>
      </c>
    </row>
    <row r="20" spans="2:5" ht="15.75">
      <c r="B20" s="258" t="s">
        <v>460</v>
      </c>
      <c r="C20" s="59">
        <v>46578</v>
      </c>
      <c r="D20" s="59">
        <v>52000</v>
      </c>
      <c r="E20" s="59">
        <v>55000</v>
      </c>
    </row>
    <row r="21" spans="2:5" ht="15.75">
      <c r="B21" s="258" t="s">
        <v>453</v>
      </c>
      <c r="C21" s="59">
        <v>18768</v>
      </c>
      <c r="D21" s="59">
        <v>50000</v>
      </c>
      <c r="E21" s="59">
        <v>150000</v>
      </c>
    </row>
    <row r="22" spans="2:5" ht="15.75">
      <c r="B22" s="258" t="s">
        <v>461</v>
      </c>
      <c r="C22" s="59">
        <v>90000</v>
      </c>
      <c r="D22" s="59">
        <v>90000</v>
      </c>
      <c r="E22" s="59">
        <v>150000</v>
      </c>
    </row>
    <row r="23" spans="2:5" ht="15.75">
      <c r="B23" s="258" t="s">
        <v>462</v>
      </c>
      <c r="C23" s="59">
        <v>44116</v>
      </c>
      <c r="D23" s="59">
        <v>46241</v>
      </c>
      <c r="E23" s="59">
        <v>280000</v>
      </c>
    </row>
    <row r="24" spans="2:5" ht="15.75">
      <c r="B24" s="258"/>
      <c r="C24" s="59"/>
      <c r="D24" s="59"/>
      <c r="E24" s="59"/>
    </row>
    <row r="25" spans="2:5" ht="15.75">
      <c r="B25" s="258"/>
      <c r="C25" s="59"/>
      <c r="D25" s="59"/>
      <c r="E25" s="59"/>
    </row>
    <row r="26" spans="2:5" ht="15.75">
      <c r="B26" s="259" t="s">
        <v>11</v>
      </c>
      <c r="C26" s="59"/>
      <c r="D26" s="245"/>
      <c r="E26" s="245"/>
    </row>
    <row r="27" spans="2:5" ht="15.75">
      <c r="B27" s="259" t="s">
        <v>313</v>
      </c>
      <c r="C27" s="273">
        <f>IF(C28*0.1&lt;C26,"Exceed 10% Rule","")</f>
      </c>
      <c r="D27" s="250">
        <f>IF(D28*0.1&lt;D26,"Exceed 10% Rule","")</f>
      </c>
      <c r="E27" s="250">
        <f>IF(E28*0.1&lt;E26,"Exceed 10% Rule","")</f>
      </c>
    </row>
    <row r="28" spans="2:5" ht="15.75">
      <c r="B28" s="251" t="s">
        <v>69</v>
      </c>
      <c r="C28" s="253">
        <f>SUM(C18:C26)</f>
        <v>411550</v>
      </c>
      <c r="D28" s="253">
        <f>SUM(D18:D26)</f>
        <v>485241</v>
      </c>
      <c r="E28" s="253">
        <f>SUM(E18:E26)</f>
        <v>882000</v>
      </c>
    </row>
    <row r="29" spans="2:5" ht="15.75">
      <c r="B29" s="142" t="s">
        <v>163</v>
      </c>
      <c r="C29" s="74">
        <f>C16-C28</f>
        <v>523847</v>
      </c>
      <c r="D29" s="74">
        <f>D16-D28</f>
        <v>454606</v>
      </c>
      <c r="E29" s="74">
        <f>E16-E28</f>
        <v>13606</v>
      </c>
    </row>
    <row r="30" spans="2:5" ht="15.75">
      <c r="B30" s="162" t="str">
        <f>CONCATENATE("",E1-2,"/",E1-1,"/",E1," Budget Authority Amount:")</f>
        <v>2013/2014/2015 Budget Authority Amount:</v>
      </c>
      <c r="C30" s="468">
        <f>inputOth!B75</f>
        <v>448241</v>
      </c>
      <c r="D30" s="468">
        <f>inputPrYr!D36</f>
        <v>485241</v>
      </c>
      <c r="E30" s="492">
        <f>E28</f>
        <v>882000</v>
      </c>
    </row>
    <row r="31" spans="2:5" ht="15.75">
      <c r="B31" s="128"/>
      <c r="C31" s="262">
        <f>IF(C28&gt;C30,"See Tab A","")</f>
      </c>
      <c r="D31" s="262">
        <f>IF(D28&gt;D30,"See Tab C","")</f>
      </c>
      <c r="E31" s="493">
        <f>IF(E29&lt;0,"See Tab E","")</f>
      </c>
    </row>
    <row r="32" spans="2:5" ht="15.75">
      <c r="B32" s="128"/>
      <c r="C32" s="262">
        <f>IF(C29&lt;0,"See Tab B","")</f>
      </c>
      <c r="D32" s="262">
        <f>IF(D29&lt;0,"See Tab D","")</f>
      </c>
      <c r="E32" s="89"/>
    </row>
    <row r="33" spans="2:5" ht="15.75">
      <c r="B33" s="43"/>
      <c r="C33" s="89"/>
      <c r="D33" s="89"/>
      <c r="E33" s="89"/>
    </row>
    <row r="34" spans="2:5" ht="15.75">
      <c r="B34" s="44" t="s">
        <v>56</v>
      </c>
      <c r="C34" s="271"/>
      <c r="D34" s="271"/>
      <c r="E34" s="271"/>
    </row>
    <row r="35" spans="2:5" ht="15.75">
      <c r="B35" s="43"/>
      <c r="C35" s="466" t="s">
        <v>343</v>
      </c>
      <c r="D35" s="467" t="s">
        <v>344</v>
      </c>
      <c r="E35" s="136" t="s">
        <v>345</v>
      </c>
    </row>
    <row r="36" spans="2:5" ht="15.75">
      <c r="B36" s="368" t="str">
        <f>(inputPrYr!B37)</f>
        <v>Sanitation Operating</v>
      </c>
      <c r="C36" s="214" t="str">
        <f>CONCATENATE("Actual for ",$E$1-2,"")</f>
        <v>Actual for 2013</v>
      </c>
      <c r="D36" s="214" t="str">
        <f>CONCATENATE("Estimate for ",$E$1-1,"")</f>
        <v>Estimate for 2014</v>
      </c>
      <c r="E36" s="197" t="str">
        <f>CONCATENATE("Year for ",$E$1,"")</f>
        <v>Year for 2015</v>
      </c>
    </row>
    <row r="37" spans="2:5" ht="15.75">
      <c r="B37" s="240" t="s">
        <v>162</v>
      </c>
      <c r="C37" s="59">
        <v>116376</v>
      </c>
      <c r="D37" s="217">
        <f>C60</f>
        <v>95611</v>
      </c>
      <c r="E37" s="217">
        <f>D60</f>
        <v>61411</v>
      </c>
    </row>
    <row r="38" spans="2:5" ht="15.75">
      <c r="B38" s="243" t="s">
        <v>164</v>
      </c>
      <c r="C38" s="79"/>
      <c r="D38" s="79"/>
      <c r="E38" s="79"/>
    </row>
    <row r="39" spans="2:5" ht="15.75">
      <c r="B39" s="258" t="s">
        <v>463</v>
      </c>
      <c r="C39" s="59">
        <v>113330</v>
      </c>
      <c r="D39" s="59">
        <v>115000</v>
      </c>
      <c r="E39" s="59">
        <v>115000</v>
      </c>
    </row>
    <row r="40" spans="2:5" ht="15.75">
      <c r="B40" s="258" t="s">
        <v>523</v>
      </c>
      <c r="C40" s="59">
        <v>4795</v>
      </c>
      <c r="D40" s="59"/>
      <c r="E40" s="59"/>
    </row>
    <row r="41" spans="2:5" ht="15.75">
      <c r="B41" s="258" t="s">
        <v>464</v>
      </c>
      <c r="C41" s="59">
        <v>1463</v>
      </c>
      <c r="D41" s="59">
        <v>1500</v>
      </c>
      <c r="E41" s="59">
        <v>1500</v>
      </c>
    </row>
    <row r="42" spans="2:5" ht="15.75">
      <c r="B42" s="258" t="s">
        <v>465</v>
      </c>
      <c r="C42" s="59">
        <v>6010</v>
      </c>
      <c r="D42" s="59">
        <v>4000</v>
      </c>
      <c r="E42" s="59">
        <v>4000</v>
      </c>
    </row>
    <row r="43" spans="2:5" ht="15.75">
      <c r="B43" s="248" t="s">
        <v>63</v>
      </c>
      <c r="C43" s="59"/>
      <c r="D43" s="59"/>
      <c r="E43" s="59"/>
    </row>
    <row r="44" spans="2:5" ht="15.75">
      <c r="B44" s="151" t="s">
        <v>11</v>
      </c>
      <c r="C44" s="59">
        <v>1640</v>
      </c>
      <c r="D44" s="245">
        <v>300</v>
      </c>
      <c r="E44" s="245">
        <v>500</v>
      </c>
    </row>
    <row r="45" spans="2:5" ht="15.75">
      <c r="B45" s="240" t="s">
        <v>312</v>
      </c>
      <c r="C45" s="273">
        <f>IF(C46*0.1&lt;C44,"Exceed 10% Rule","")</f>
      </c>
      <c r="D45" s="250">
        <f>IF(D46*0.1&lt;D44,"Exceed 10% Rule","")</f>
      </c>
      <c r="E45" s="250">
        <f>IF(E46*0.1&lt;E44,"Exceed 10% Rule","")</f>
      </c>
    </row>
    <row r="46" spans="2:5" ht="15.75">
      <c r="B46" s="251" t="s">
        <v>64</v>
      </c>
      <c r="C46" s="253">
        <f>SUM(C39:C44)</f>
        <v>127238</v>
      </c>
      <c r="D46" s="253">
        <f>SUM(D39:D44)</f>
        <v>120800</v>
      </c>
      <c r="E46" s="253">
        <f>SUM(E39:E44)</f>
        <v>121000</v>
      </c>
    </row>
    <row r="47" spans="2:5" ht="15.75">
      <c r="B47" s="251" t="s">
        <v>65</v>
      </c>
      <c r="C47" s="253">
        <f>C37+C46</f>
        <v>243614</v>
      </c>
      <c r="D47" s="253">
        <f>D37+D46</f>
        <v>216411</v>
      </c>
      <c r="E47" s="253">
        <f>E37+E46</f>
        <v>182411</v>
      </c>
    </row>
    <row r="48" spans="2:5" ht="15.75">
      <c r="B48" s="142" t="s">
        <v>67</v>
      </c>
      <c r="C48" s="217"/>
      <c r="D48" s="217"/>
      <c r="E48" s="217"/>
    </row>
    <row r="49" spans="2:5" ht="15.75">
      <c r="B49" s="258" t="s">
        <v>459</v>
      </c>
      <c r="C49" s="59">
        <v>80005</v>
      </c>
      <c r="D49" s="59">
        <v>85000</v>
      </c>
      <c r="E49" s="59">
        <v>91000</v>
      </c>
    </row>
    <row r="50" spans="2:5" ht="15.75">
      <c r="B50" s="258" t="s">
        <v>454</v>
      </c>
      <c r="C50" s="59">
        <v>23764</v>
      </c>
      <c r="D50" s="59">
        <v>25000</v>
      </c>
      <c r="E50" s="59">
        <v>30000</v>
      </c>
    </row>
    <row r="51" spans="2:5" ht="15.75">
      <c r="B51" s="258" t="s">
        <v>466</v>
      </c>
      <c r="C51" s="59">
        <v>29234</v>
      </c>
      <c r="D51" s="59">
        <v>30000</v>
      </c>
      <c r="E51" s="59">
        <v>30000</v>
      </c>
    </row>
    <row r="52" spans="2:5" ht="15.75">
      <c r="B52" s="258" t="s">
        <v>453</v>
      </c>
      <c r="C52" s="59"/>
      <c r="D52" s="59"/>
      <c r="E52" s="59"/>
    </row>
    <row r="53" spans="2:5" ht="15.75">
      <c r="B53" s="258" t="s">
        <v>467</v>
      </c>
      <c r="C53" s="59">
        <v>15000</v>
      </c>
      <c r="D53" s="59">
        <v>15000</v>
      </c>
      <c r="E53" s="59">
        <v>30000</v>
      </c>
    </row>
    <row r="54" spans="2:5" ht="15.75">
      <c r="B54" s="258"/>
      <c r="C54" s="59"/>
      <c r="D54" s="59"/>
      <c r="E54" s="59"/>
    </row>
    <row r="55" spans="2:5" ht="15.75">
      <c r="B55" s="258"/>
      <c r="C55" s="59"/>
      <c r="D55" s="59"/>
      <c r="E55" s="59"/>
    </row>
    <row r="56" spans="2:5" ht="15.75">
      <c r="B56" s="258"/>
      <c r="C56" s="59"/>
      <c r="D56" s="59"/>
      <c r="E56" s="59"/>
    </row>
    <row r="57" spans="2:5" ht="15.75">
      <c r="B57" s="259" t="s">
        <v>11</v>
      </c>
      <c r="C57" s="59"/>
      <c r="D57" s="245"/>
      <c r="E57" s="245"/>
    </row>
    <row r="58" spans="2:5" ht="15.75">
      <c r="B58" s="259" t="s">
        <v>313</v>
      </c>
      <c r="C58" s="273">
        <f>IF(C59*0.1&lt;C57,"Exceed 10% Rule","")</f>
      </c>
      <c r="D58" s="250">
        <f>IF(D59*0.1&lt;D57,"Exceed 10% Rule","")</f>
      </c>
      <c r="E58" s="250">
        <f>IF(E59*0.1&lt;E57,"Exceed 10% Rule","")</f>
      </c>
    </row>
    <row r="59" spans="2:5" ht="15.75">
      <c r="B59" s="251" t="s">
        <v>69</v>
      </c>
      <c r="C59" s="253">
        <f>SUM(C49:C57)</f>
        <v>148003</v>
      </c>
      <c r="D59" s="253">
        <f>SUM(D49:D57)</f>
        <v>155000</v>
      </c>
      <c r="E59" s="253">
        <f>SUM(E49:E57)</f>
        <v>181000</v>
      </c>
    </row>
    <row r="60" spans="2:5" ht="15.75">
      <c r="B60" s="142" t="s">
        <v>163</v>
      </c>
      <c r="C60" s="74">
        <f>C47-C59</f>
        <v>95611</v>
      </c>
      <c r="D60" s="74">
        <f>D47-D59</f>
        <v>61411</v>
      </c>
      <c r="E60" s="74">
        <f>E47-E59</f>
        <v>1411</v>
      </c>
    </row>
    <row r="61" spans="2:5" ht="15.75">
      <c r="B61" s="162" t="str">
        <f>CONCATENATE("",E1-2,"/",E1-1,"/",E1," Budget Authority Amount:")</f>
        <v>2013/2014/2015 Budget Authority Amount:</v>
      </c>
      <c r="C61" s="468">
        <f>inputOth!B76</f>
        <v>166000</v>
      </c>
      <c r="D61" s="468">
        <f>inputPrYr!D37</f>
        <v>166000</v>
      </c>
      <c r="E61" s="492">
        <f>E59</f>
        <v>181000</v>
      </c>
    </row>
    <row r="62" spans="2:5" ht="15.75">
      <c r="B62" s="128"/>
      <c r="C62" s="262">
        <f>IF(C59&gt;C61,"See Tab A","")</f>
      </c>
      <c r="D62" s="262">
        <f>IF(D59&gt;D61,"See Tab C","")</f>
      </c>
      <c r="E62" s="493">
        <f>IF(E60&lt;0,"See Tab E","")</f>
      </c>
    </row>
    <row r="63" spans="2:5" ht="15.75">
      <c r="B63" s="128"/>
      <c r="C63" s="262">
        <f>IF(C60&lt;0,"See Tab B","")</f>
      </c>
      <c r="D63" s="262">
        <f>IF(D60&lt;0,"See Tab D","")</f>
      </c>
      <c r="E63" s="43"/>
    </row>
    <row r="64" spans="2:5" ht="15.75">
      <c r="B64" s="43"/>
      <c r="C64" s="43"/>
      <c r="D64" s="43"/>
      <c r="E64" s="43"/>
    </row>
    <row r="65" spans="2:5" ht="15.75">
      <c r="B65" s="335" t="s">
        <v>72</v>
      </c>
      <c r="C65" s="264">
        <v>10</v>
      </c>
      <c r="D65" s="43"/>
      <c r="E65" s="43"/>
    </row>
  </sheetData>
  <sheetProtection/>
  <conditionalFormatting sqref="C13">
    <cfRule type="cellIs" priority="5" dxfId="92" operator="greaterThan" stopIfTrue="1">
      <formula>$C$15*0.1</formula>
    </cfRule>
  </conditionalFormatting>
  <conditionalFormatting sqref="D13">
    <cfRule type="cellIs" priority="6" dxfId="92" operator="greaterThan" stopIfTrue="1">
      <formula>$D$15*0.1</formula>
    </cfRule>
  </conditionalFormatting>
  <conditionalFormatting sqref="E13">
    <cfRule type="cellIs" priority="7" dxfId="92" operator="greaterThan" stopIfTrue="1">
      <formula>$E$15*0.1</formula>
    </cfRule>
  </conditionalFormatting>
  <conditionalFormatting sqref="C26">
    <cfRule type="cellIs" priority="8" dxfId="92" operator="greaterThan" stopIfTrue="1">
      <formula>$C$28*0.1</formula>
    </cfRule>
  </conditionalFormatting>
  <conditionalFormatting sqref="D26">
    <cfRule type="cellIs" priority="9" dxfId="92" operator="greaterThan" stopIfTrue="1">
      <formula>$D$28*0.1</formula>
    </cfRule>
  </conditionalFormatting>
  <conditionalFormatting sqref="E26">
    <cfRule type="cellIs" priority="10" dxfId="92" operator="greaterThan" stopIfTrue="1">
      <formula>$E$28*0.1</formula>
    </cfRule>
  </conditionalFormatting>
  <conditionalFormatting sqref="C44">
    <cfRule type="cellIs" priority="11" dxfId="92" operator="greaterThan" stopIfTrue="1">
      <formula>$C$46*0.1</formula>
    </cfRule>
  </conditionalFormatting>
  <conditionalFormatting sqref="D44">
    <cfRule type="cellIs" priority="12" dxfId="92" operator="greaterThan" stopIfTrue="1">
      <formula>$D$46*0.1</formula>
    </cfRule>
  </conditionalFormatting>
  <conditionalFormatting sqref="E44">
    <cfRule type="cellIs" priority="13" dxfId="92" operator="greaterThan" stopIfTrue="1">
      <formula>$E$46*0.1</formula>
    </cfRule>
  </conditionalFormatting>
  <conditionalFormatting sqref="C57">
    <cfRule type="cellIs" priority="14" dxfId="92" operator="greaterThan" stopIfTrue="1">
      <formula>$C$59*0.1</formula>
    </cfRule>
  </conditionalFormatting>
  <conditionalFormatting sqref="D57">
    <cfRule type="cellIs" priority="15" dxfId="92" operator="greaterThan" stopIfTrue="1">
      <formula>$D$59*0.1</formula>
    </cfRule>
  </conditionalFormatting>
  <conditionalFormatting sqref="E57">
    <cfRule type="cellIs" priority="16" dxfId="92" operator="greaterThan" stopIfTrue="1">
      <formula>$E$59*0.1</formula>
    </cfRule>
  </conditionalFormatting>
  <conditionalFormatting sqref="D59">
    <cfRule type="cellIs" priority="17" dxfId="0" operator="greaterThan" stopIfTrue="1">
      <formula>$D$61</formula>
    </cfRule>
  </conditionalFormatting>
  <conditionalFormatting sqref="C59">
    <cfRule type="cellIs" priority="18" dxfId="0" operator="greaterThan" stopIfTrue="1">
      <formula>$C$61</formula>
    </cfRule>
  </conditionalFormatting>
  <conditionalFormatting sqref="C60 E60 C29 E29:E30">
    <cfRule type="cellIs" priority="19" dxfId="0" operator="lessThan" stopIfTrue="1">
      <formula>0</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D29">
    <cfRule type="cellIs" priority="4" dxfId="2" operator="lessThan" stopIfTrue="1">
      <formula>0</formula>
    </cfRule>
  </conditionalFormatting>
  <conditionalFormatting sqref="E6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
      <selection activeCell="B14" sqref="B14"/>
    </sheetView>
  </sheetViews>
  <sheetFormatPr defaultColWidth="8.796875" defaultRowHeight="15"/>
  <cols>
    <col min="1" max="1" width="2.3984375" style="41" customWidth="1"/>
    <col min="2" max="2" width="31.09765625" style="41" customWidth="1"/>
    <col min="3" max="4" width="15.796875" style="41" customWidth="1"/>
    <col min="5" max="5" width="16.09765625" style="41" customWidth="1"/>
    <col min="6" max="16384" width="8.8984375" style="41" customWidth="1"/>
  </cols>
  <sheetData>
    <row r="1" spans="2:5" ht="15.75">
      <c r="B1" s="186" t="str">
        <f>(inputPrYr!D2)</f>
        <v>City of Leoti</v>
      </c>
      <c r="C1" s="43"/>
      <c r="D1" s="43"/>
      <c r="E1" s="237">
        <f>inputPrYr!C5</f>
        <v>2015</v>
      </c>
    </row>
    <row r="2" spans="2:5" ht="15.75">
      <c r="B2" s="43"/>
      <c r="C2" s="43"/>
      <c r="D2" s="43"/>
      <c r="E2" s="160"/>
    </row>
    <row r="3" spans="2:5" ht="15.75">
      <c r="B3" s="238" t="s">
        <v>120</v>
      </c>
      <c r="C3" s="268"/>
      <c r="D3" s="268"/>
      <c r="E3" s="268"/>
    </row>
    <row r="4" spans="2:5" ht="15.75">
      <c r="B4" s="44" t="s">
        <v>56</v>
      </c>
      <c r="C4" s="466" t="s">
        <v>343</v>
      </c>
      <c r="D4" s="467" t="s">
        <v>344</v>
      </c>
      <c r="E4" s="136" t="s">
        <v>345</v>
      </c>
    </row>
    <row r="5" spans="2:5" ht="15.75">
      <c r="B5" s="368" t="str">
        <f>(inputPrYr!B38)</f>
        <v>Sewer Operating</v>
      </c>
      <c r="C5" s="214" t="str">
        <f>CONCATENATE("Actual for ",E1-2,"")</f>
        <v>Actual for 2013</v>
      </c>
      <c r="D5" s="214" t="str">
        <f>CONCATENATE("Estimate for ",E1-1,"")</f>
        <v>Estimate for 2014</v>
      </c>
      <c r="E5" s="197" t="str">
        <f>CONCATENATE("Year for ",E1,"")</f>
        <v>Year for 2015</v>
      </c>
    </row>
    <row r="6" spans="2:5" ht="15.75">
      <c r="B6" s="240" t="s">
        <v>162</v>
      </c>
      <c r="C6" s="59">
        <v>247778</v>
      </c>
      <c r="D6" s="217">
        <f>C29</f>
        <v>266764</v>
      </c>
      <c r="E6" s="217">
        <f>D29</f>
        <v>151343</v>
      </c>
    </row>
    <row r="7" spans="2:5" ht="15.75">
      <c r="B7" s="243" t="s">
        <v>164</v>
      </c>
      <c r="C7" s="79"/>
      <c r="D7" s="79"/>
      <c r="E7" s="79"/>
    </row>
    <row r="8" spans="2:5" ht="15.75">
      <c r="B8" s="258" t="s">
        <v>468</v>
      </c>
      <c r="C8" s="59">
        <v>191590</v>
      </c>
      <c r="D8" s="59">
        <v>180000</v>
      </c>
      <c r="E8" s="59">
        <v>180000</v>
      </c>
    </row>
    <row r="9" spans="2:5" ht="15.75">
      <c r="B9" s="258" t="s">
        <v>464</v>
      </c>
      <c r="C9" s="59">
        <v>2082</v>
      </c>
      <c r="D9" s="59">
        <v>1500</v>
      </c>
      <c r="E9" s="59">
        <v>1500</v>
      </c>
    </row>
    <row r="10" spans="2:5" ht="15.75">
      <c r="B10" s="258" t="s">
        <v>469</v>
      </c>
      <c r="C10" s="59"/>
      <c r="D10" s="59"/>
      <c r="E10" s="59"/>
    </row>
    <row r="11" spans="2:5" ht="15.75">
      <c r="B11" s="258"/>
      <c r="C11" s="59"/>
      <c r="D11" s="59"/>
      <c r="E11" s="59"/>
    </row>
    <row r="12" spans="2:5" ht="15.75">
      <c r="B12" s="248" t="s">
        <v>63</v>
      </c>
      <c r="C12" s="59"/>
      <c r="D12" s="59"/>
      <c r="E12" s="59"/>
    </row>
    <row r="13" spans="2:5" ht="15.75">
      <c r="B13" s="151" t="s">
        <v>11</v>
      </c>
      <c r="C13" s="59">
        <v>25</v>
      </c>
      <c r="D13" s="245"/>
      <c r="E13" s="245"/>
    </row>
    <row r="14" spans="2:5" ht="15.75">
      <c r="B14" s="240" t="s">
        <v>312</v>
      </c>
      <c r="C14" s="273">
        <f>IF(C15*0.1&lt;C13,"Exceed 10% Rule","")</f>
      </c>
      <c r="D14" s="250">
        <f>IF(D15*0.1&lt;D13,"Exceed 10% Rule","")</f>
      </c>
      <c r="E14" s="250">
        <f>IF(E15*0.1&lt;E13,"Exceed 10% Rule","")</f>
      </c>
    </row>
    <row r="15" spans="2:5" ht="15.75">
      <c r="B15" s="251" t="s">
        <v>64</v>
      </c>
      <c r="C15" s="253">
        <f>SUM(C8:C13)</f>
        <v>193697</v>
      </c>
      <c r="D15" s="253">
        <f>SUM(D8:D13)</f>
        <v>181500</v>
      </c>
      <c r="E15" s="253">
        <f>SUM(E8:E13)</f>
        <v>181500</v>
      </c>
    </row>
    <row r="16" spans="2:5" ht="15.75">
      <c r="B16" s="251" t="s">
        <v>65</v>
      </c>
      <c r="C16" s="253">
        <f>C6+C15</f>
        <v>441475</v>
      </c>
      <c r="D16" s="253">
        <f>D6+D15</f>
        <v>448264</v>
      </c>
      <c r="E16" s="253">
        <f>E6+E15</f>
        <v>332843</v>
      </c>
    </row>
    <row r="17" spans="2:5" ht="15.75">
      <c r="B17" s="142" t="s">
        <v>67</v>
      </c>
      <c r="C17" s="217"/>
      <c r="D17" s="217"/>
      <c r="E17" s="217"/>
    </row>
    <row r="18" spans="2:5" ht="15.75">
      <c r="B18" s="258" t="s">
        <v>459</v>
      </c>
      <c r="C18" s="59">
        <v>83834</v>
      </c>
      <c r="D18" s="59">
        <v>82000</v>
      </c>
      <c r="E18" s="59">
        <v>82000</v>
      </c>
    </row>
    <row r="19" spans="2:5" ht="15.75">
      <c r="B19" s="258" t="s">
        <v>454</v>
      </c>
      <c r="C19" s="59">
        <v>25780</v>
      </c>
      <c r="D19" s="59">
        <v>30000</v>
      </c>
      <c r="E19" s="59">
        <v>30000</v>
      </c>
    </row>
    <row r="20" spans="2:5" ht="15.75">
      <c r="B20" s="258" t="s">
        <v>460</v>
      </c>
      <c r="C20" s="59">
        <v>22780</v>
      </c>
      <c r="D20" s="59">
        <v>20000</v>
      </c>
      <c r="E20" s="59">
        <v>20000</v>
      </c>
    </row>
    <row r="21" spans="2:5" ht="15.75">
      <c r="B21" s="258" t="s">
        <v>453</v>
      </c>
      <c r="C21" s="59">
        <v>7434</v>
      </c>
      <c r="D21" s="59">
        <v>125000</v>
      </c>
      <c r="E21" s="59">
        <v>160000</v>
      </c>
    </row>
    <row r="22" spans="2:5" ht="15.75">
      <c r="B22" s="258" t="s">
        <v>19</v>
      </c>
      <c r="C22" s="59"/>
      <c r="D22" s="59"/>
      <c r="E22" s="59"/>
    </row>
    <row r="23" spans="2:5" ht="15.75">
      <c r="B23" s="258" t="s">
        <v>447</v>
      </c>
      <c r="C23" s="59">
        <v>20187</v>
      </c>
      <c r="D23" s="59">
        <v>22590</v>
      </c>
      <c r="E23" s="59">
        <v>23287</v>
      </c>
    </row>
    <row r="24" spans="2:5" ht="15.75">
      <c r="B24" s="258" t="s">
        <v>470</v>
      </c>
      <c r="C24" s="59">
        <v>14696</v>
      </c>
      <c r="D24" s="59">
        <v>17331</v>
      </c>
      <c r="E24" s="59">
        <v>16634</v>
      </c>
    </row>
    <row r="25" spans="2:5" ht="15.75">
      <c r="B25" s="258"/>
      <c r="C25" s="59"/>
      <c r="D25" s="59"/>
      <c r="E25" s="59"/>
    </row>
    <row r="26" spans="2:5" ht="15.75">
      <c r="B26" s="259" t="s">
        <v>11</v>
      </c>
      <c r="C26" s="59"/>
      <c r="D26" s="245"/>
      <c r="E26" s="245"/>
    </row>
    <row r="27" spans="2:5" ht="15.75">
      <c r="B27" s="259" t="s">
        <v>313</v>
      </c>
      <c r="C27" s="273">
        <f>IF(C28*0.1&lt;C26,"Exceed 10% Rule","")</f>
      </c>
      <c r="D27" s="250">
        <f>IF(D28*0.1&lt;D26,"Exceed 10% Rule","")</f>
      </c>
      <c r="E27" s="250">
        <f>IF(E28*0.1&lt;E26,"Exceed 10% Rule","")</f>
      </c>
    </row>
    <row r="28" spans="2:5" ht="15.75">
      <c r="B28" s="251" t="s">
        <v>69</v>
      </c>
      <c r="C28" s="253">
        <f>SUM(C18:C26)</f>
        <v>174711</v>
      </c>
      <c r="D28" s="253">
        <f>SUM(D18:D26)</f>
        <v>296921</v>
      </c>
      <c r="E28" s="253">
        <f>SUM(E18:E26)</f>
        <v>331921</v>
      </c>
    </row>
    <row r="29" spans="2:5" ht="15.75">
      <c r="B29" s="142" t="s">
        <v>163</v>
      </c>
      <c r="C29" s="74">
        <f>C16-C28</f>
        <v>266764</v>
      </c>
      <c r="D29" s="74">
        <f>D16-D28</f>
        <v>151343</v>
      </c>
      <c r="E29" s="74">
        <f>E16-E28</f>
        <v>922</v>
      </c>
    </row>
    <row r="30" spans="2:5" ht="15.75">
      <c r="B30" s="162" t="str">
        <f>CONCATENATE("",E1-2,"/",E1-1,"/",E1," Budget Authority Amount:")</f>
        <v>2013/2014/2015 Budget Authority Amount:</v>
      </c>
      <c r="C30" s="468">
        <f>inputOth!B77</f>
        <v>265923</v>
      </c>
      <c r="D30" s="468">
        <f>inputPrYr!D38</f>
        <v>296921</v>
      </c>
      <c r="E30" s="492">
        <f>E28</f>
        <v>331921</v>
      </c>
    </row>
    <row r="31" spans="2:5" ht="15.75">
      <c r="B31" s="128"/>
      <c r="C31" s="262">
        <f>IF(C28&gt;C30,"See Tab A","")</f>
      </c>
      <c r="D31" s="262">
        <f>IF(D28&gt;D30,"See Tab C","")</f>
      </c>
      <c r="E31" s="493">
        <f>IF(E29&lt;0,"See Tab E","")</f>
      </c>
    </row>
    <row r="32" spans="2:5" ht="15.75">
      <c r="B32" s="128"/>
      <c r="C32" s="262">
        <f>IF(C29&lt;0,"See Tab B","")</f>
      </c>
      <c r="D32" s="262">
        <f>IF(D29&lt;0,"See Tab D","")</f>
      </c>
      <c r="E32" s="89"/>
    </row>
    <row r="33" spans="2:5" ht="15.75">
      <c r="B33" s="43"/>
      <c r="C33" s="89"/>
      <c r="D33" s="89"/>
      <c r="E33" s="89"/>
    </row>
    <row r="34" spans="2:5" ht="15.75">
      <c r="B34" s="44" t="s">
        <v>56</v>
      </c>
      <c r="C34" s="271"/>
      <c r="D34" s="271"/>
      <c r="E34" s="271"/>
    </row>
    <row r="35" spans="2:5" ht="15.75">
      <c r="B35" s="43"/>
      <c r="C35" s="466" t="s">
        <v>343</v>
      </c>
      <c r="D35" s="467" t="s">
        <v>344</v>
      </c>
      <c r="E35" s="136" t="s">
        <v>345</v>
      </c>
    </row>
    <row r="36" spans="2:5" ht="15.75">
      <c r="B36" s="368" t="str">
        <f>(inputPrYr!B39)</f>
        <v>Storm Water Operating</v>
      </c>
      <c r="C36" s="214" t="str">
        <f>CONCATENATE("Actual for ",$E$1-2,"")</f>
        <v>Actual for 2013</v>
      </c>
      <c r="D36" s="214" t="str">
        <f>CONCATENATE("Estimate for ",$E$1-1,"")</f>
        <v>Estimate for 2014</v>
      </c>
      <c r="E36" s="197" t="str">
        <f>CONCATENATE("Year for ",$E$1,"")</f>
        <v>Year for 2015</v>
      </c>
    </row>
    <row r="37" spans="2:5" ht="15.75">
      <c r="B37" s="240" t="s">
        <v>162</v>
      </c>
      <c r="C37" s="59">
        <v>32541</v>
      </c>
      <c r="D37" s="217">
        <f>C60</f>
        <v>41183</v>
      </c>
      <c r="E37" s="217">
        <f>D60</f>
        <v>23103</v>
      </c>
    </row>
    <row r="38" spans="2:5" ht="15.75">
      <c r="B38" s="243" t="s">
        <v>164</v>
      </c>
      <c r="C38" s="79"/>
      <c r="D38" s="79"/>
      <c r="E38" s="79"/>
    </row>
    <row r="39" spans="2:5" ht="15.75">
      <c r="B39" s="258" t="s">
        <v>471</v>
      </c>
      <c r="C39" s="59">
        <v>8851</v>
      </c>
      <c r="D39" s="59">
        <v>8800</v>
      </c>
      <c r="E39" s="59">
        <v>8800</v>
      </c>
    </row>
    <row r="40" spans="2:5" ht="15.75">
      <c r="B40" s="258" t="s">
        <v>464</v>
      </c>
      <c r="C40" s="59">
        <v>128</v>
      </c>
      <c r="D40" s="59">
        <v>120</v>
      </c>
      <c r="E40" s="59">
        <v>120</v>
      </c>
    </row>
    <row r="41" spans="2:5" ht="15.75">
      <c r="B41" s="258"/>
      <c r="C41" s="59"/>
      <c r="D41" s="59"/>
      <c r="E41" s="59"/>
    </row>
    <row r="42" spans="2:5" ht="15.75">
      <c r="B42" s="258"/>
      <c r="C42" s="59"/>
      <c r="D42" s="59"/>
      <c r="E42" s="59"/>
    </row>
    <row r="43" spans="2:5" ht="15.75">
      <c r="B43" s="248" t="s">
        <v>63</v>
      </c>
      <c r="C43" s="59"/>
      <c r="D43" s="59"/>
      <c r="E43" s="59"/>
    </row>
    <row r="44" spans="2:5" ht="15.75">
      <c r="B44" s="151" t="s">
        <v>11</v>
      </c>
      <c r="C44" s="59"/>
      <c r="D44" s="245"/>
      <c r="E44" s="245"/>
    </row>
    <row r="45" spans="2:5" ht="15.75">
      <c r="B45" s="240" t="s">
        <v>312</v>
      </c>
      <c r="C45" s="273">
        <f>IF(C46*0.1&lt;C44,"Exceed 10% Rule","")</f>
      </c>
      <c r="D45" s="250">
        <f>IF(D46*0.1&lt;D44,"Exceed 10% Rule","")</f>
      </c>
      <c r="E45" s="250">
        <f>IF(E46*0.1&lt;E44,"Exceed 10% Rule","")</f>
      </c>
    </row>
    <row r="46" spans="2:5" ht="15.75">
      <c r="B46" s="251" t="s">
        <v>64</v>
      </c>
      <c r="C46" s="253">
        <f>SUM(C39:C44)</f>
        <v>8979</v>
      </c>
      <c r="D46" s="253">
        <f>SUM(D39:D44)</f>
        <v>8920</v>
      </c>
      <c r="E46" s="253">
        <f>SUM(E39:E44)</f>
        <v>8920</v>
      </c>
    </row>
    <row r="47" spans="2:5" ht="15.75">
      <c r="B47" s="251" t="s">
        <v>65</v>
      </c>
      <c r="C47" s="253">
        <f>C37+C46</f>
        <v>41520</v>
      </c>
      <c r="D47" s="253">
        <f>D37+D46</f>
        <v>50103</v>
      </c>
      <c r="E47" s="253">
        <f>E37+E46</f>
        <v>32023</v>
      </c>
    </row>
    <row r="48" spans="2:5" ht="15.75">
      <c r="B48" s="142" t="s">
        <v>67</v>
      </c>
      <c r="C48" s="217"/>
      <c r="D48" s="217"/>
      <c r="E48" s="217"/>
    </row>
    <row r="49" spans="2:5" ht="15.75">
      <c r="B49" s="258" t="s">
        <v>459</v>
      </c>
      <c r="C49" s="59"/>
      <c r="D49" s="59"/>
      <c r="E49" s="59"/>
    </row>
    <row r="50" spans="2:5" ht="15.75">
      <c r="B50" s="258" t="s">
        <v>454</v>
      </c>
      <c r="C50" s="59">
        <v>337</v>
      </c>
      <c r="D50" s="59">
        <v>5000</v>
      </c>
      <c r="E50" s="59">
        <v>5000</v>
      </c>
    </row>
    <row r="51" spans="2:5" ht="15.75">
      <c r="B51" s="258" t="s">
        <v>460</v>
      </c>
      <c r="C51" s="59"/>
      <c r="D51" s="59">
        <v>4000</v>
      </c>
      <c r="E51" s="59">
        <v>5000</v>
      </c>
    </row>
    <row r="52" spans="2:5" ht="15.75">
      <c r="B52" s="258" t="s">
        <v>453</v>
      </c>
      <c r="C52" s="59"/>
      <c r="D52" s="59">
        <v>18000</v>
      </c>
      <c r="E52" s="59">
        <v>20000</v>
      </c>
    </row>
    <row r="53" spans="2:5" ht="15.75">
      <c r="B53" s="258"/>
      <c r="C53" s="59"/>
      <c r="D53" s="59"/>
      <c r="E53" s="59"/>
    </row>
    <row r="54" spans="2:5" ht="15.75">
      <c r="B54" s="258"/>
      <c r="C54" s="59"/>
      <c r="D54" s="59"/>
      <c r="E54" s="59"/>
    </row>
    <row r="55" spans="2:5" ht="15.75">
      <c r="B55" s="258"/>
      <c r="C55" s="59"/>
      <c r="D55" s="59"/>
      <c r="E55" s="59"/>
    </row>
    <row r="56" spans="2:5" ht="15.75">
      <c r="B56" s="258"/>
      <c r="C56" s="59"/>
      <c r="D56" s="59"/>
      <c r="E56" s="59"/>
    </row>
    <row r="57" spans="2:5" ht="15.75">
      <c r="B57" s="259" t="s">
        <v>11</v>
      </c>
      <c r="C57" s="59"/>
      <c r="D57" s="245"/>
      <c r="E57" s="245"/>
    </row>
    <row r="58" spans="2:5" ht="15.75">
      <c r="B58" s="272" t="s">
        <v>313</v>
      </c>
      <c r="C58" s="273">
        <f>IF(C59*0.1&lt;C57,"Exceed 10% Rule","")</f>
      </c>
      <c r="D58" s="250">
        <f>IF(D59*0.1&lt;D57,"Exceed 10% Rule","")</f>
      </c>
      <c r="E58" s="250">
        <f>IF(E59*0.1&lt;E57,"Exceed 10% Rule","")</f>
      </c>
    </row>
    <row r="59" spans="2:5" ht="15.75">
      <c r="B59" s="251" t="s">
        <v>69</v>
      </c>
      <c r="C59" s="253">
        <f>SUM(C49:C57)</f>
        <v>337</v>
      </c>
      <c r="D59" s="253">
        <f>SUM(D49:D57)</f>
        <v>27000</v>
      </c>
      <c r="E59" s="253">
        <f>SUM(E49:E57)</f>
        <v>30000</v>
      </c>
    </row>
    <row r="60" spans="2:5" ht="15.75">
      <c r="B60" s="142" t="s">
        <v>163</v>
      </c>
      <c r="C60" s="74">
        <f>C47-C59</f>
        <v>41183</v>
      </c>
      <c r="D60" s="74">
        <f>D47-D59</f>
        <v>23103</v>
      </c>
      <c r="E60" s="74">
        <f>E47-E59</f>
        <v>2023</v>
      </c>
    </row>
    <row r="61" spans="2:5" ht="15.75">
      <c r="B61" s="162" t="str">
        <f>CONCATENATE("",E1-2,"/",E1-1,"/",E1," Budget Authority Amount:")</f>
        <v>2013/2014/2015 Budget Authority Amount:</v>
      </c>
      <c r="C61" s="468">
        <f>inputOth!B78</f>
        <v>27000</v>
      </c>
      <c r="D61" s="468">
        <f>inputPrYr!D39</f>
        <v>27000</v>
      </c>
      <c r="E61" s="492">
        <f>E59</f>
        <v>30000</v>
      </c>
    </row>
    <row r="62" spans="2:5" ht="15.75">
      <c r="B62" s="128"/>
      <c r="C62" s="262">
        <f>IF(C59&gt;C61,"See Tab A","")</f>
      </c>
      <c r="D62" s="262">
        <f>IF(D59&gt;D61,"See Tab C","")</f>
      </c>
      <c r="E62" s="493">
        <f>IF(E60&lt;0,"See Tab E","")</f>
      </c>
    </row>
    <row r="63" spans="2:5" ht="15.75">
      <c r="B63" s="128"/>
      <c r="C63" s="262">
        <f>IF(C60&lt;0,"See Tab B","")</f>
      </c>
      <c r="D63" s="262">
        <f>IF(D60&lt;0,"See Tab D","")</f>
      </c>
      <c r="E63" s="43"/>
    </row>
    <row r="64" spans="2:5" ht="15.75">
      <c r="B64" s="43"/>
      <c r="C64" s="43"/>
      <c r="D64" s="43"/>
      <c r="E64" s="43"/>
    </row>
    <row r="65" spans="2:5" ht="15.75">
      <c r="B65" s="335" t="s">
        <v>72</v>
      </c>
      <c r="C65" s="264">
        <v>11</v>
      </c>
      <c r="D65" s="43"/>
      <c r="E65" s="43"/>
    </row>
  </sheetData>
  <sheetProtection/>
  <conditionalFormatting sqref="C13">
    <cfRule type="cellIs" priority="5" dxfId="92" operator="greaterThan" stopIfTrue="1">
      <formula>$C$15*0.1</formula>
    </cfRule>
  </conditionalFormatting>
  <conditionalFormatting sqref="D13">
    <cfRule type="cellIs" priority="6" dxfId="92" operator="greaterThan" stopIfTrue="1">
      <formula>$D$15*0.1</formula>
    </cfRule>
  </conditionalFormatting>
  <conditionalFormatting sqref="E13">
    <cfRule type="cellIs" priority="7" dxfId="92" operator="greaterThan" stopIfTrue="1">
      <formula>$E$15*0.1</formula>
    </cfRule>
  </conditionalFormatting>
  <conditionalFormatting sqref="C26">
    <cfRule type="cellIs" priority="8" dxfId="92" operator="greaterThan" stopIfTrue="1">
      <formula>$C$28*0.1</formula>
    </cfRule>
  </conditionalFormatting>
  <conditionalFormatting sqref="D26">
    <cfRule type="cellIs" priority="9" dxfId="92" operator="greaterThan" stopIfTrue="1">
      <formula>$D$28*0.1</formula>
    </cfRule>
  </conditionalFormatting>
  <conditionalFormatting sqref="E26">
    <cfRule type="cellIs" priority="10" dxfId="92" operator="greaterThan" stopIfTrue="1">
      <formula>$E$28*0.1</formula>
    </cfRule>
  </conditionalFormatting>
  <conditionalFormatting sqref="C44">
    <cfRule type="cellIs" priority="11" dxfId="92" operator="greaterThan" stopIfTrue="1">
      <formula>$C$46*0.1</formula>
    </cfRule>
  </conditionalFormatting>
  <conditionalFormatting sqref="D44">
    <cfRule type="cellIs" priority="12" dxfId="92" operator="greaterThan" stopIfTrue="1">
      <formula>$D$46*0.1</formula>
    </cfRule>
  </conditionalFormatting>
  <conditionalFormatting sqref="E44">
    <cfRule type="cellIs" priority="13" dxfId="92" operator="greaterThan" stopIfTrue="1">
      <formula>$E$46*0.1</formula>
    </cfRule>
  </conditionalFormatting>
  <conditionalFormatting sqref="C57">
    <cfRule type="cellIs" priority="14" dxfId="92" operator="greaterThan" stopIfTrue="1">
      <formula>$C$59*0.1</formula>
    </cfRule>
  </conditionalFormatting>
  <conditionalFormatting sqref="D57">
    <cfRule type="cellIs" priority="15" dxfId="92" operator="greaterThan" stopIfTrue="1">
      <formula>$D$59*0.1</formula>
    </cfRule>
  </conditionalFormatting>
  <conditionalFormatting sqref="E57">
    <cfRule type="cellIs" priority="16" dxfId="92" operator="greaterThan" stopIfTrue="1">
      <formula>$E$59*0.1</formula>
    </cfRule>
  </conditionalFormatting>
  <conditionalFormatting sqref="D59">
    <cfRule type="cellIs" priority="17" dxfId="0" operator="greaterThan" stopIfTrue="1">
      <formula>$D$61</formula>
    </cfRule>
  </conditionalFormatting>
  <conditionalFormatting sqref="C59">
    <cfRule type="cellIs" priority="18" dxfId="0" operator="greaterThan" stopIfTrue="1">
      <formula>$C$61</formula>
    </cfRule>
  </conditionalFormatting>
  <conditionalFormatting sqref="C60 E60 C29 E29">
    <cfRule type="cellIs" priority="19" dxfId="0" operator="lessThan" stopIfTrue="1">
      <formula>0</formula>
    </cfRule>
  </conditionalFormatting>
  <conditionalFormatting sqref="D28">
    <cfRule type="cellIs" priority="20" dxfId="0" operator="greaterThan" stopIfTrue="1">
      <formula>$D$30</formula>
    </cfRule>
  </conditionalFormatting>
  <conditionalFormatting sqref="C28">
    <cfRule type="cellIs" priority="21" dxfId="0" operator="greaterThan" stopIfTrue="1">
      <formula>$C$30</formula>
    </cfRule>
  </conditionalFormatting>
  <conditionalFormatting sqref="D60">
    <cfRule type="cellIs" priority="4" dxfId="2" operator="lessThan" stopIfTrue="1">
      <formula>0</formula>
    </cfRule>
  </conditionalFormatting>
  <conditionalFormatting sqref="D29">
    <cfRule type="cellIs" priority="3" dxfId="2" operator="lessThan" stopIfTrue="1">
      <formula>0</formula>
    </cfRule>
  </conditionalFormatting>
  <conditionalFormatting sqref="E61">
    <cfRule type="cellIs" priority="1" dxfId="0" operator="lessThan" stopIfTrue="1">
      <formula>0</formula>
    </cfRule>
  </conditionalFormatting>
  <conditionalFormatting sqref="E30">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B23" sqref="B23"/>
    </sheetView>
  </sheetViews>
  <sheetFormatPr defaultColWidth="8.796875" defaultRowHeight="15"/>
  <cols>
    <col min="1" max="1" width="11.59765625" style="29" customWidth="1"/>
    <col min="2" max="2" width="7.3984375" style="29" customWidth="1"/>
    <col min="3" max="3" width="11.59765625" style="29" customWidth="1"/>
    <col min="4" max="4" width="7.3984375" style="29" customWidth="1"/>
    <col min="5" max="5" width="11.59765625" style="29" customWidth="1"/>
    <col min="6" max="6" width="7.3984375" style="29" customWidth="1"/>
    <col min="7" max="7" width="11.59765625" style="29" customWidth="1"/>
    <col min="8" max="8" width="7.3984375" style="29" customWidth="1"/>
    <col min="9" max="9" width="11.59765625" style="29" customWidth="1"/>
    <col min="10" max="16384" width="8.8984375" style="29" customWidth="1"/>
  </cols>
  <sheetData>
    <row r="1" spans="1:11" ht="15.75">
      <c r="A1" s="165" t="str">
        <f>inputPrYr!$D$2</f>
        <v>City of Leoti</v>
      </c>
      <c r="B1" s="274"/>
      <c r="C1" s="164"/>
      <c r="D1" s="164"/>
      <c r="E1" s="164"/>
      <c r="F1" s="166" t="s">
        <v>177</v>
      </c>
      <c r="G1" s="164"/>
      <c r="H1" s="164"/>
      <c r="I1" s="164"/>
      <c r="J1" s="164"/>
      <c r="K1" s="164">
        <f>inputPrYr!$C$5</f>
        <v>2015</v>
      </c>
    </row>
    <row r="2" spans="1:11" ht="15.75">
      <c r="A2" s="164"/>
      <c r="B2" s="164"/>
      <c r="C2" s="164"/>
      <c r="D2" s="164"/>
      <c r="E2" s="164"/>
      <c r="F2" s="275" t="str">
        <f>CONCATENATE("(Only the actual budget year for ",K1-2," is to be shown)")</f>
        <v>(Only the actual budget year for 2013 is to be shown)</v>
      </c>
      <c r="G2" s="164"/>
      <c r="H2" s="164"/>
      <c r="I2" s="164"/>
      <c r="J2" s="164"/>
      <c r="K2" s="164"/>
    </row>
    <row r="3" spans="1:11" ht="15.75">
      <c r="A3" s="164" t="s">
        <v>219</v>
      </c>
      <c r="B3" s="164"/>
      <c r="C3" s="164"/>
      <c r="D3" s="164"/>
      <c r="E3" s="164"/>
      <c r="F3" s="276"/>
      <c r="G3" s="164"/>
      <c r="H3" s="164"/>
      <c r="I3" s="164"/>
      <c r="J3" s="164"/>
      <c r="K3" s="164"/>
    </row>
    <row r="4" spans="1:11" ht="15.75">
      <c r="A4" s="164" t="s">
        <v>178</v>
      </c>
      <c r="B4" s="164"/>
      <c r="C4" s="164" t="s">
        <v>179</v>
      </c>
      <c r="D4" s="164"/>
      <c r="E4" s="164" t="s">
        <v>180</v>
      </c>
      <c r="F4" s="274"/>
      <c r="G4" s="164" t="s">
        <v>181</v>
      </c>
      <c r="H4" s="164"/>
      <c r="I4" s="164" t="s">
        <v>182</v>
      </c>
      <c r="J4" s="164"/>
      <c r="K4" s="164"/>
    </row>
    <row r="5" spans="1:11" ht="15.75">
      <c r="A5" s="615" t="str">
        <f>IF(inputPrYr!B57&gt;" ",(inputPrYr!B57)," ")</f>
        <v>Tech Equip Reserve</v>
      </c>
      <c r="B5" s="616"/>
      <c r="C5" s="615" t="str">
        <f>IF(inputPrYr!B58&gt;" ",(inputPrYr!B58)," ")</f>
        <v>Fire Equipment Reserve</v>
      </c>
      <c r="D5" s="616"/>
      <c r="E5" s="615" t="str">
        <f>IF(inputPrYr!B59&gt;" ",(inputPrYr!B59)," ")</f>
        <v>Equipment Reserve</v>
      </c>
      <c r="F5" s="616"/>
      <c r="G5" s="615" t="str">
        <f>IF(inputPrYr!B60&gt;" ",(inputPrYr!B60)," ")</f>
        <v>Capital Impr - Fire</v>
      </c>
      <c r="H5" s="616"/>
      <c r="I5" s="615" t="str">
        <f>IF(inputPrYr!B61&gt;" ",(inputPrYr!B61)," ")</f>
        <v>Saturday Cinema</v>
      </c>
      <c r="J5" s="616"/>
      <c r="K5" s="116"/>
    </row>
    <row r="6" spans="1:11" ht="15.75">
      <c r="A6" s="278" t="s">
        <v>183</v>
      </c>
      <c r="B6" s="279"/>
      <c r="C6" s="280" t="s">
        <v>183</v>
      </c>
      <c r="D6" s="281"/>
      <c r="E6" s="280" t="s">
        <v>183</v>
      </c>
      <c r="F6" s="277"/>
      <c r="G6" s="280" t="s">
        <v>183</v>
      </c>
      <c r="H6" s="282"/>
      <c r="I6" s="280" t="s">
        <v>183</v>
      </c>
      <c r="J6" s="164"/>
      <c r="K6" s="283" t="s">
        <v>29</v>
      </c>
    </row>
    <row r="7" spans="1:11" ht="15.75">
      <c r="A7" s="284" t="s">
        <v>17</v>
      </c>
      <c r="B7" s="551">
        <v>83</v>
      </c>
      <c r="C7" s="286" t="s">
        <v>17</v>
      </c>
      <c r="D7" s="551">
        <v>33988</v>
      </c>
      <c r="E7" s="286" t="s">
        <v>17</v>
      </c>
      <c r="F7" s="551">
        <v>597485</v>
      </c>
      <c r="G7" s="286" t="s">
        <v>17</v>
      </c>
      <c r="H7" s="551">
        <v>3335</v>
      </c>
      <c r="I7" s="286" t="s">
        <v>17</v>
      </c>
      <c r="J7" s="551">
        <v>3135</v>
      </c>
      <c r="K7" s="553">
        <f>SUM(B7+D7+F7+H7+J7)</f>
        <v>638026</v>
      </c>
    </row>
    <row r="8" spans="1:11" ht="15.75">
      <c r="A8" s="288" t="s">
        <v>164</v>
      </c>
      <c r="B8" s="552"/>
      <c r="C8" s="288" t="s">
        <v>164</v>
      </c>
      <c r="D8" s="554"/>
      <c r="E8" s="288" t="s">
        <v>164</v>
      </c>
      <c r="F8" s="177"/>
      <c r="G8" s="288" t="s">
        <v>164</v>
      </c>
      <c r="H8" s="177"/>
      <c r="I8" s="288" t="s">
        <v>164</v>
      </c>
      <c r="J8" s="177"/>
      <c r="K8" s="177"/>
    </row>
    <row r="9" spans="1:11" ht="15.75">
      <c r="A9" s="289" t="s">
        <v>472</v>
      </c>
      <c r="B9" s="551"/>
      <c r="C9" s="289" t="s">
        <v>472</v>
      </c>
      <c r="D9" s="551"/>
      <c r="E9" s="289" t="s">
        <v>472</v>
      </c>
      <c r="F9" s="551"/>
      <c r="G9" s="289" t="s">
        <v>472</v>
      </c>
      <c r="H9" s="551"/>
      <c r="I9" s="289" t="s">
        <v>472</v>
      </c>
      <c r="J9" s="551"/>
      <c r="K9" s="177"/>
    </row>
    <row r="10" spans="1:11" ht="15.75">
      <c r="A10" s="289" t="s">
        <v>473</v>
      </c>
      <c r="B10" s="551"/>
      <c r="C10" s="289" t="s">
        <v>473</v>
      </c>
      <c r="D10" s="551"/>
      <c r="E10" s="289" t="s">
        <v>473</v>
      </c>
      <c r="F10" s="551"/>
      <c r="G10" s="289" t="s">
        <v>473</v>
      </c>
      <c r="H10" s="551"/>
      <c r="I10" s="289" t="s">
        <v>473</v>
      </c>
      <c r="J10" s="551"/>
      <c r="K10" s="177"/>
    </row>
    <row r="11" spans="1:11" ht="15.75">
      <c r="A11" s="289"/>
      <c r="B11" s="551"/>
      <c r="C11" s="290" t="s">
        <v>474</v>
      </c>
      <c r="D11" s="551">
        <v>21506</v>
      </c>
      <c r="E11" s="290" t="s">
        <v>474</v>
      </c>
      <c r="F11" s="551">
        <v>166000</v>
      </c>
      <c r="G11" s="290"/>
      <c r="H11" s="551"/>
      <c r="I11" s="291"/>
      <c r="J11" s="551"/>
      <c r="K11" s="177"/>
    </row>
    <row r="12" spans="1:11" ht="15.75">
      <c r="A12" s="289"/>
      <c r="B12" s="551"/>
      <c r="C12" s="289" t="s">
        <v>11</v>
      </c>
      <c r="D12" s="551"/>
      <c r="E12" s="292"/>
      <c r="F12" s="551"/>
      <c r="G12" s="292"/>
      <c r="H12" s="551"/>
      <c r="I12" s="289" t="s">
        <v>11</v>
      </c>
      <c r="J12" s="551">
        <v>2238</v>
      </c>
      <c r="K12" s="177"/>
    </row>
    <row r="13" spans="1:11" ht="15.75">
      <c r="A13" s="293"/>
      <c r="B13" s="551"/>
      <c r="C13" s="294"/>
      <c r="D13" s="551"/>
      <c r="E13" s="294"/>
      <c r="F13" s="551"/>
      <c r="G13" s="294"/>
      <c r="H13" s="551"/>
      <c r="I13" s="291"/>
      <c r="J13" s="551"/>
      <c r="K13" s="177"/>
    </row>
    <row r="14" spans="1:11" ht="15.75">
      <c r="A14" s="289"/>
      <c r="B14" s="551"/>
      <c r="C14" s="292"/>
      <c r="D14" s="551"/>
      <c r="E14" s="292"/>
      <c r="F14" s="551"/>
      <c r="G14" s="292"/>
      <c r="H14" s="551"/>
      <c r="I14" s="292"/>
      <c r="J14" s="551"/>
      <c r="K14" s="177"/>
    </row>
    <row r="15" spans="1:11" ht="15.75">
      <c r="A15" s="289"/>
      <c r="B15" s="551"/>
      <c r="C15" s="292"/>
      <c r="D15" s="551"/>
      <c r="E15" s="292"/>
      <c r="F15" s="551"/>
      <c r="G15" s="292"/>
      <c r="H15" s="551"/>
      <c r="I15" s="292"/>
      <c r="J15" s="551"/>
      <c r="K15" s="177"/>
    </row>
    <row r="16" spans="1:11" ht="15.75">
      <c r="A16" s="289"/>
      <c r="B16" s="551"/>
      <c r="C16" s="289"/>
      <c r="D16" s="551"/>
      <c r="E16" s="289"/>
      <c r="F16" s="551"/>
      <c r="G16" s="292"/>
      <c r="H16" s="551"/>
      <c r="I16" s="289"/>
      <c r="J16" s="551"/>
      <c r="K16" s="177"/>
    </row>
    <row r="17" spans="1:11" ht="15.75">
      <c r="A17" s="288" t="s">
        <v>64</v>
      </c>
      <c r="B17" s="553">
        <f>SUM(B9:B16)</f>
        <v>0</v>
      </c>
      <c r="C17" s="288" t="s">
        <v>64</v>
      </c>
      <c r="D17" s="553">
        <f>SUM(D9:D16)</f>
        <v>21506</v>
      </c>
      <c r="E17" s="288" t="s">
        <v>64</v>
      </c>
      <c r="F17" s="555">
        <f>SUM(F9:F16)</f>
        <v>166000</v>
      </c>
      <c r="G17" s="288" t="s">
        <v>64</v>
      </c>
      <c r="H17" s="553">
        <f>SUM(H9:H16)</f>
        <v>0</v>
      </c>
      <c r="I17" s="288" t="s">
        <v>64</v>
      </c>
      <c r="J17" s="553">
        <f>SUM(J9:J16)</f>
        <v>2238</v>
      </c>
      <c r="K17" s="553">
        <f>SUM(B17+D17+F17+H17+J17)</f>
        <v>189744</v>
      </c>
    </row>
    <row r="18" spans="1:11" ht="15.75">
      <c r="A18" s="288" t="s">
        <v>65</v>
      </c>
      <c r="B18" s="553">
        <f>SUM(B7+B17)</f>
        <v>83</v>
      </c>
      <c r="C18" s="288" t="s">
        <v>65</v>
      </c>
      <c r="D18" s="553">
        <f>SUM(D7+D17)</f>
        <v>55494</v>
      </c>
      <c r="E18" s="288" t="s">
        <v>65</v>
      </c>
      <c r="F18" s="553">
        <f>SUM(F7+F17)</f>
        <v>763485</v>
      </c>
      <c r="G18" s="288" t="s">
        <v>65</v>
      </c>
      <c r="H18" s="553">
        <f>SUM(H7+H17)</f>
        <v>3335</v>
      </c>
      <c r="I18" s="288" t="s">
        <v>65</v>
      </c>
      <c r="J18" s="553">
        <f>SUM(J7+J17)</f>
        <v>5373</v>
      </c>
      <c r="K18" s="553">
        <f>SUM(B18+D18+F18+H18+J18)</f>
        <v>827770</v>
      </c>
    </row>
    <row r="19" spans="1:11" ht="15.75">
      <c r="A19" s="288" t="s">
        <v>67</v>
      </c>
      <c r="B19" s="552"/>
      <c r="C19" s="288" t="s">
        <v>67</v>
      </c>
      <c r="D19" s="554"/>
      <c r="E19" s="288" t="s">
        <v>67</v>
      </c>
      <c r="F19" s="177"/>
      <c r="G19" s="288" t="s">
        <v>67</v>
      </c>
      <c r="H19" s="177"/>
      <c r="I19" s="288" t="s">
        <v>67</v>
      </c>
      <c r="J19" s="177"/>
      <c r="K19" s="177"/>
    </row>
    <row r="20" spans="1:11" ht="15.75">
      <c r="A20" s="289" t="s">
        <v>454</v>
      </c>
      <c r="B20" s="551"/>
      <c r="C20" s="289" t="s">
        <v>454</v>
      </c>
      <c r="D20" s="551"/>
      <c r="E20" s="289" t="s">
        <v>454</v>
      </c>
      <c r="F20" s="551"/>
      <c r="G20" s="289" t="s">
        <v>454</v>
      </c>
      <c r="H20" s="551"/>
      <c r="I20" s="289" t="s">
        <v>454</v>
      </c>
      <c r="J20" s="551">
        <v>21</v>
      </c>
      <c r="K20" s="177"/>
    </row>
    <row r="21" spans="1:11" ht="15.75">
      <c r="A21" s="289" t="s">
        <v>460</v>
      </c>
      <c r="B21" s="551"/>
      <c r="C21" s="289" t="s">
        <v>460</v>
      </c>
      <c r="D21" s="551"/>
      <c r="E21" s="289" t="s">
        <v>460</v>
      </c>
      <c r="F21" s="551"/>
      <c r="G21" s="289" t="s">
        <v>460</v>
      </c>
      <c r="H21" s="551"/>
      <c r="I21" s="289" t="s">
        <v>460</v>
      </c>
      <c r="J21" s="551">
        <v>967</v>
      </c>
      <c r="K21" s="177"/>
    </row>
    <row r="22" spans="1:11" ht="15.75">
      <c r="A22" s="289" t="s">
        <v>453</v>
      </c>
      <c r="B22" s="551"/>
      <c r="C22" s="289" t="s">
        <v>453</v>
      </c>
      <c r="D22" s="551"/>
      <c r="E22" s="289" t="s">
        <v>453</v>
      </c>
      <c r="F22" s="551"/>
      <c r="G22" s="289" t="s">
        <v>453</v>
      </c>
      <c r="H22" s="551"/>
      <c r="I22" s="289" t="s">
        <v>453</v>
      </c>
      <c r="J22" s="551"/>
      <c r="K22" s="177"/>
    </row>
    <row r="23" spans="1:11" ht="15.75">
      <c r="A23" s="289" t="s">
        <v>446</v>
      </c>
      <c r="B23" s="551"/>
      <c r="C23" s="289" t="s">
        <v>446</v>
      </c>
      <c r="D23" s="551"/>
      <c r="E23" s="289" t="s">
        <v>446</v>
      </c>
      <c r="F23" s="551"/>
      <c r="G23" s="289" t="s">
        <v>446</v>
      </c>
      <c r="H23" s="551"/>
      <c r="I23" s="289" t="s">
        <v>446</v>
      </c>
      <c r="J23" s="551"/>
      <c r="K23" s="177"/>
    </row>
    <row r="24" spans="1:11" ht="15.75">
      <c r="A24" s="289" t="s">
        <v>447</v>
      </c>
      <c r="B24" s="551"/>
      <c r="C24" s="289" t="s">
        <v>447</v>
      </c>
      <c r="D24" s="551"/>
      <c r="E24" s="289" t="s">
        <v>447</v>
      </c>
      <c r="F24" s="551"/>
      <c r="G24" s="289" t="s">
        <v>447</v>
      </c>
      <c r="H24" s="551"/>
      <c r="I24" s="289" t="s">
        <v>447</v>
      </c>
      <c r="J24" s="551"/>
      <c r="K24" s="177"/>
    </row>
    <row r="25" spans="1:11" ht="15.75">
      <c r="A25" s="289" t="s">
        <v>448</v>
      </c>
      <c r="B25" s="551"/>
      <c r="C25" s="289" t="s">
        <v>448</v>
      </c>
      <c r="D25" s="551"/>
      <c r="E25" s="289" t="s">
        <v>448</v>
      </c>
      <c r="F25" s="551"/>
      <c r="G25" s="289" t="s">
        <v>448</v>
      </c>
      <c r="H25" s="551"/>
      <c r="I25" s="289" t="s">
        <v>448</v>
      </c>
      <c r="J25" s="551"/>
      <c r="K25" s="177"/>
    </row>
    <row r="26" spans="1:11" ht="15.75">
      <c r="A26" s="289" t="s">
        <v>476</v>
      </c>
      <c r="B26" s="551"/>
      <c r="C26" s="289" t="s">
        <v>476</v>
      </c>
      <c r="D26" s="551"/>
      <c r="E26" s="289" t="s">
        <v>476</v>
      </c>
      <c r="F26" s="551"/>
      <c r="G26" s="289" t="s">
        <v>476</v>
      </c>
      <c r="H26" s="551"/>
      <c r="I26" s="289" t="s">
        <v>476</v>
      </c>
      <c r="J26" s="551"/>
      <c r="K26" s="177"/>
    </row>
    <row r="27" spans="1:11" ht="15.75">
      <c r="A27" s="289"/>
      <c r="B27" s="551"/>
      <c r="C27" s="289"/>
      <c r="D27" s="551"/>
      <c r="E27" s="289"/>
      <c r="F27" s="551"/>
      <c r="G27" s="292" t="s">
        <v>474</v>
      </c>
      <c r="H27" s="551">
        <v>3335</v>
      </c>
      <c r="I27" s="292"/>
      <c r="J27" s="551"/>
      <c r="K27" s="177"/>
    </row>
    <row r="28" spans="1:11" ht="15.75">
      <c r="A28" s="288" t="s">
        <v>69</v>
      </c>
      <c r="B28" s="553">
        <f>SUM(B20:B27)</f>
        <v>0</v>
      </c>
      <c r="C28" s="288" t="s">
        <v>69</v>
      </c>
      <c r="D28" s="553">
        <f>SUM(D20:D27)</f>
        <v>0</v>
      </c>
      <c r="E28" s="288" t="s">
        <v>69</v>
      </c>
      <c r="F28" s="555">
        <f>SUM(F20:F27)</f>
        <v>0</v>
      </c>
      <c r="G28" s="288" t="s">
        <v>69</v>
      </c>
      <c r="H28" s="555">
        <f>SUM(H20:H27)</f>
        <v>3335</v>
      </c>
      <c r="I28" s="288" t="s">
        <v>69</v>
      </c>
      <c r="J28" s="553">
        <f>SUM(J20:J27)</f>
        <v>988</v>
      </c>
      <c r="K28" s="553">
        <f>SUM(B28+D28+F28+H28+J28)</f>
        <v>4323</v>
      </c>
    </row>
    <row r="29" spans="1:12" ht="15.75">
      <c r="A29" s="288" t="s">
        <v>184</v>
      </c>
      <c r="B29" s="553">
        <f>SUM(B18-B28)</f>
        <v>83</v>
      </c>
      <c r="C29" s="288" t="s">
        <v>184</v>
      </c>
      <c r="D29" s="553">
        <f>SUM(D18-D28)</f>
        <v>55494</v>
      </c>
      <c r="E29" s="288" t="s">
        <v>184</v>
      </c>
      <c r="F29" s="553">
        <f>SUM(F18-F28)</f>
        <v>763485</v>
      </c>
      <c r="G29" s="288" t="s">
        <v>184</v>
      </c>
      <c r="H29" s="553">
        <f>SUM(H18-H28)</f>
        <v>0</v>
      </c>
      <c r="I29" s="288" t="s">
        <v>184</v>
      </c>
      <c r="J29" s="553">
        <f>SUM(J18-J28)</f>
        <v>4385</v>
      </c>
      <c r="K29" s="556">
        <f>SUM(B29+D29+F29+H29+J29)</f>
        <v>823447</v>
      </c>
      <c r="L29" s="29" t="s">
        <v>237</v>
      </c>
    </row>
    <row r="30" spans="1:12" ht="15.75">
      <c r="A30" s="288"/>
      <c r="B30" s="316">
        <f>IF(B29&lt;0,"See Tab B","")</f>
      </c>
      <c r="C30" s="288"/>
      <c r="D30" s="316">
        <f>IF(D29&lt;0,"See Tab B","")</f>
      </c>
      <c r="E30" s="288"/>
      <c r="F30" s="316">
        <f>IF(F29&lt;0,"See Tab B","")</f>
      </c>
      <c r="G30" s="164"/>
      <c r="H30" s="316">
        <f>IF(H29&lt;0,"See Tab B","")</f>
      </c>
      <c r="I30" s="164"/>
      <c r="J30" s="316">
        <f>IF(J29&lt;0,"See Tab B","")</f>
      </c>
      <c r="K30" s="556">
        <f>SUM(K7+K17-K28)</f>
        <v>823447</v>
      </c>
      <c r="L30" s="29" t="s">
        <v>237</v>
      </c>
    </row>
    <row r="31" spans="1:11" ht="15.75">
      <c r="A31" s="164"/>
      <c r="B31" s="169"/>
      <c r="C31" s="164"/>
      <c r="D31" s="274"/>
      <c r="E31" s="164"/>
      <c r="F31" s="164"/>
      <c r="G31" s="39" t="s">
        <v>238</v>
      </c>
      <c r="H31" s="39"/>
      <c r="I31" s="39"/>
      <c r="J31" s="39"/>
      <c r="K31" s="164"/>
    </row>
    <row r="32" spans="1:11" ht="15.75">
      <c r="A32" s="164"/>
      <c r="B32" s="169"/>
      <c r="C32" s="164"/>
      <c r="D32" s="164"/>
      <c r="E32" s="164"/>
      <c r="F32" s="164"/>
      <c r="G32" s="164"/>
      <c r="H32" s="164"/>
      <c r="I32" s="164"/>
      <c r="J32" s="164"/>
      <c r="K32" s="164"/>
    </row>
    <row r="33" spans="1:11" ht="15.75">
      <c r="A33" s="164"/>
      <c r="B33" s="169"/>
      <c r="C33" s="164"/>
      <c r="D33" s="164"/>
      <c r="E33" s="177" t="s">
        <v>72</v>
      </c>
      <c r="F33" s="264">
        <v>12</v>
      </c>
      <c r="G33" s="164"/>
      <c r="H33" s="164"/>
      <c r="I33" s="164"/>
      <c r="J33" s="164"/>
      <c r="K33" s="164"/>
    </row>
    <row r="34" ht="15.75">
      <c r="B34" s="295"/>
    </row>
    <row r="35" ht="15.75">
      <c r="B35" s="295"/>
    </row>
    <row r="36" ht="15.75">
      <c r="B36" s="295"/>
    </row>
    <row r="37" ht="15.75">
      <c r="B37" s="295"/>
    </row>
    <row r="38" ht="15.75">
      <c r="B38" s="295"/>
    </row>
    <row r="39" ht="15.75">
      <c r="B39" s="295"/>
    </row>
    <row r="40" ht="15.75">
      <c r="B40" s="295"/>
    </row>
    <row r="41" ht="15.75">
      <c r="B41" s="295"/>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11" sqref="C11"/>
    </sheetView>
  </sheetViews>
  <sheetFormatPr defaultColWidth="8.796875" defaultRowHeight="15"/>
  <cols>
    <col min="1" max="1" width="11.59765625" style="29" customWidth="1"/>
    <col min="2" max="2" width="7.3984375" style="29" customWidth="1"/>
    <col min="3" max="3" width="11.59765625" style="29" customWidth="1"/>
    <col min="4" max="4" width="7.3984375" style="29" customWidth="1"/>
    <col min="5" max="5" width="11.59765625" style="29" customWidth="1"/>
    <col min="6" max="6" width="7.3984375" style="29" customWidth="1"/>
    <col min="7" max="7" width="11.59765625" style="29" customWidth="1"/>
    <col min="8" max="8" width="7.3984375" style="29" customWidth="1"/>
    <col min="9" max="9" width="11.59765625" style="29" customWidth="1"/>
    <col min="10" max="16384" width="8.8984375" style="29" customWidth="1"/>
  </cols>
  <sheetData>
    <row r="1" spans="1:11" ht="15.75">
      <c r="A1" s="165" t="str">
        <f>inputPrYr!$D$2</f>
        <v>City of Leoti</v>
      </c>
      <c r="B1" s="274"/>
      <c r="C1" s="164"/>
      <c r="D1" s="164"/>
      <c r="E1" s="164"/>
      <c r="F1" s="166" t="s">
        <v>185</v>
      </c>
      <c r="G1" s="164"/>
      <c r="H1" s="164"/>
      <c r="I1" s="164"/>
      <c r="J1" s="164"/>
      <c r="K1" s="164">
        <f>inputPrYr!$C$5</f>
        <v>2015</v>
      </c>
    </row>
    <row r="2" spans="1:11" ht="15.75">
      <c r="A2" s="164"/>
      <c r="B2" s="164"/>
      <c r="C2" s="164"/>
      <c r="D2" s="164"/>
      <c r="E2" s="164"/>
      <c r="F2" s="275" t="str">
        <f>CONCATENATE("(Only the actual budget year for ",K1-2," is to be shown)")</f>
        <v>(Only the actual budget year for 2013 is to be shown)</v>
      </c>
      <c r="G2" s="164"/>
      <c r="H2" s="164"/>
      <c r="I2" s="164"/>
      <c r="J2" s="164"/>
      <c r="K2" s="164"/>
    </row>
    <row r="3" spans="1:11" ht="15.75">
      <c r="A3" s="164" t="s">
        <v>218</v>
      </c>
      <c r="B3" s="164"/>
      <c r="C3" s="164"/>
      <c r="D3" s="164"/>
      <c r="E3" s="164"/>
      <c r="F3" s="274"/>
      <c r="G3" s="164"/>
      <c r="H3" s="164"/>
      <c r="I3" s="164"/>
      <c r="J3" s="164"/>
      <c r="K3" s="164"/>
    </row>
    <row r="4" spans="1:11" ht="15.75">
      <c r="A4" s="164" t="s">
        <v>178</v>
      </c>
      <c r="B4" s="164"/>
      <c r="C4" s="164" t="s">
        <v>179</v>
      </c>
      <c r="D4" s="164"/>
      <c r="E4" s="164" t="s">
        <v>180</v>
      </c>
      <c r="F4" s="274"/>
      <c r="G4" s="164" t="s">
        <v>181</v>
      </c>
      <c r="H4" s="164"/>
      <c r="I4" s="164" t="s">
        <v>182</v>
      </c>
      <c r="J4" s="164"/>
      <c r="K4" s="164"/>
    </row>
    <row r="5" spans="1:11" ht="15.75">
      <c r="A5" s="615" t="str">
        <f>IF(inputPrYr!B63&gt;" ",(inputPrYr!B63)," ")</f>
        <v>Capital Impr - General</v>
      </c>
      <c r="B5" s="616"/>
      <c r="C5" s="615" t="str">
        <f>IF(inputPrYr!B64&gt;" ",(inputPrYr!B64)," ")</f>
        <v>Water Capital Project</v>
      </c>
      <c r="D5" s="616"/>
      <c r="E5" s="615" t="str">
        <f>IF(inputPrYr!B65&gt;" ",(inputPrYr!B65)," ")</f>
        <v>Water Treatment</v>
      </c>
      <c r="F5" s="616"/>
      <c r="G5" s="615" t="str">
        <f>IF(inputPrYr!B66&gt;" ",(inputPrYr!B66)," ")</f>
        <v>Water Reserve</v>
      </c>
      <c r="H5" s="616"/>
      <c r="I5" s="615" t="str">
        <f>IF(inputPrYr!B67&gt;" ",(inputPrYr!B67)," ")</f>
        <v>Water Bond and Interest</v>
      </c>
      <c r="J5" s="616"/>
      <c r="K5" s="116"/>
    </row>
    <row r="6" spans="1:11" ht="15.75">
      <c r="A6" s="278" t="s">
        <v>183</v>
      </c>
      <c r="B6" s="279"/>
      <c r="C6" s="280" t="s">
        <v>183</v>
      </c>
      <c r="D6" s="281"/>
      <c r="E6" s="280" t="s">
        <v>183</v>
      </c>
      <c r="F6" s="277"/>
      <c r="G6" s="280" t="s">
        <v>183</v>
      </c>
      <c r="H6" s="282"/>
      <c r="I6" s="280" t="s">
        <v>183</v>
      </c>
      <c r="J6" s="164"/>
      <c r="K6" s="283" t="s">
        <v>29</v>
      </c>
    </row>
    <row r="7" spans="1:11" ht="15.75">
      <c r="A7" s="284" t="s">
        <v>17</v>
      </c>
      <c r="B7" s="551">
        <v>10000</v>
      </c>
      <c r="C7" s="286" t="s">
        <v>17</v>
      </c>
      <c r="D7" s="551">
        <v>0</v>
      </c>
      <c r="E7" s="286" t="s">
        <v>17</v>
      </c>
      <c r="F7" s="551">
        <v>0</v>
      </c>
      <c r="G7" s="286" t="s">
        <v>17</v>
      </c>
      <c r="H7" s="551">
        <v>240098</v>
      </c>
      <c r="I7" s="286" t="s">
        <v>17</v>
      </c>
      <c r="J7" s="551">
        <v>107863</v>
      </c>
      <c r="K7" s="553">
        <f>SUM(B7+D7+F7+H7+J7)</f>
        <v>357961</v>
      </c>
    </row>
    <row r="8" spans="1:11" ht="15.75">
      <c r="A8" s="288" t="s">
        <v>164</v>
      </c>
      <c r="B8" s="552"/>
      <c r="C8" s="288" t="s">
        <v>164</v>
      </c>
      <c r="D8" s="554"/>
      <c r="E8" s="288" t="s">
        <v>164</v>
      </c>
      <c r="F8" s="177"/>
      <c r="G8" s="288" t="s">
        <v>164</v>
      </c>
      <c r="H8" s="177"/>
      <c r="I8" s="288" t="s">
        <v>164</v>
      </c>
      <c r="J8" s="177"/>
      <c r="K8" s="177"/>
    </row>
    <row r="9" spans="1:11" ht="15.75">
      <c r="A9" s="289" t="s">
        <v>472</v>
      </c>
      <c r="B9" s="551"/>
      <c r="C9" s="289" t="s">
        <v>472</v>
      </c>
      <c r="D9" s="551"/>
      <c r="E9" s="289" t="s">
        <v>472</v>
      </c>
      <c r="F9" s="551"/>
      <c r="G9" s="289" t="s">
        <v>472</v>
      </c>
      <c r="H9" s="551"/>
      <c r="I9" s="289" t="s">
        <v>472</v>
      </c>
      <c r="J9" s="551"/>
      <c r="K9" s="177"/>
    </row>
    <row r="10" spans="1:11" ht="15.75">
      <c r="A10" s="289" t="s">
        <v>473</v>
      </c>
      <c r="B10" s="551"/>
      <c r="C10" s="289" t="s">
        <v>473</v>
      </c>
      <c r="D10" s="551"/>
      <c r="E10" s="289" t="s">
        <v>473</v>
      </c>
      <c r="F10" s="551"/>
      <c r="G10" s="289" t="s">
        <v>473</v>
      </c>
      <c r="H10" s="551"/>
      <c r="I10" s="289" t="s">
        <v>473</v>
      </c>
      <c r="J10" s="551"/>
      <c r="K10" s="177"/>
    </row>
    <row r="11" spans="1:11" ht="15.75">
      <c r="A11" s="289"/>
      <c r="B11" s="551"/>
      <c r="C11" s="290" t="s">
        <v>525</v>
      </c>
      <c r="D11" s="551">
        <v>85705</v>
      </c>
      <c r="E11" s="290"/>
      <c r="F11" s="551"/>
      <c r="G11" s="290" t="s">
        <v>478</v>
      </c>
      <c r="H11" s="551">
        <v>90000</v>
      </c>
      <c r="I11" s="290" t="s">
        <v>481</v>
      </c>
      <c r="J11" s="551">
        <v>15000</v>
      </c>
      <c r="K11" s="177"/>
    </row>
    <row r="12" spans="1:11" ht="15.75">
      <c r="A12" s="289" t="s">
        <v>477</v>
      </c>
      <c r="B12" s="551"/>
      <c r="C12" s="289"/>
      <c r="D12" s="551">
        <v>40000</v>
      </c>
      <c r="E12" s="289" t="s">
        <v>477</v>
      </c>
      <c r="F12" s="551">
        <v>1867000</v>
      </c>
      <c r="G12" s="292"/>
      <c r="H12" s="551"/>
      <c r="I12" s="292"/>
      <c r="J12" s="551"/>
      <c r="K12" s="177"/>
    </row>
    <row r="13" spans="1:11" ht="15.75">
      <c r="A13" s="293"/>
      <c r="B13" s="551"/>
      <c r="C13" s="290"/>
      <c r="D13" s="551"/>
      <c r="E13" s="294" t="s">
        <v>103</v>
      </c>
      <c r="F13" s="551">
        <v>1156</v>
      </c>
      <c r="G13" s="294"/>
      <c r="H13" s="551"/>
      <c r="I13" s="291"/>
      <c r="J13" s="551"/>
      <c r="K13" s="177"/>
    </row>
    <row r="14" spans="1:11" ht="15.75">
      <c r="A14" s="289"/>
      <c r="B14" s="551"/>
      <c r="C14" s="292"/>
      <c r="D14" s="551"/>
      <c r="E14" s="292"/>
      <c r="F14" s="551"/>
      <c r="G14" s="292"/>
      <c r="H14" s="551"/>
      <c r="I14" s="292"/>
      <c r="J14" s="551"/>
      <c r="K14" s="177"/>
    </row>
    <row r="15" spans="1:11" ht="15.75">
      <c r="A15" s="289"/>
      <c r="B15" s="551"/>
      <c r="C15" s="292"/>
      <c r="D15" s="551"/>
      <c r="E15" s="292"/>
      <c r="F15" s="551"/>
      <c r="G15" s="292"/>
      <c r="H15" s="551"/>
      <c r="I15" s="292"/>
      <c r="J15" s="551"/>
      <c r="K15" s="177"/>
    </row>
    <row r="16" spans="1:11" ht="15.75">
      <c r="A16" s="289"/>
      <c r="B16" s="551"/>
      <c r="C16" s="289"/>
      <c r="D16" s="551"/>
      <c r="E16" s="289"/>
      <c r="F16" s="551"/>
      <c r="G16" s="292"/>
      <c r="H16" s="551"/>
      <c r="I16" s="289"/>
      <c r="J16" s="551"/>
      <c r="K16" s="177"/>
    </row>
    <row r="17" spans="1:11" ht="15.75">
      <c r="A17" s="288" t="s">
        <v>64</v>
      </c>
      <c r="B17" s="553">
        <f>SUM(B9:B16)</f>
        <v>0</v>
      </c>
      <c r="C17" s="288" t="s">
        <v>64</v>
      </c>
      <c r="D17" s="553">
        <f>SUM(D9:D16)</f>
        <v>125705</v>
      </c>
      <c r="E17" s="288" t="s">
        <v>64</v>
      </c>
      <c r="F17" s="555">
        <f>SUM(F9:F16)</f>
        <v>1868156</v>
      </c>
      <c r="G17" s="288" t="s">
        <v>64</v>
      </c>
      <c r="H17" s="553">
        <f>SUM(H9:H16)</f>
        <v>90000</v>
      </c>
      <c r="I17" s="288" t="s">
        <v>64</v>
      </c>
      <c r="J17" s="553">
        <f>SUM(J9:J16)</f>
        <v>15000</v>
      </c>
      <c r="K17" s="553">
        <f>SUM(B17+D17+F17+H17+J17)</f>
        <v>2098861</v>
      </c>
    </row>
    <row r="18" spans="1:11" ht="15.75">
      <c r="A18" s="288" t="s">
        <v>65</v>
      </c>
      <c r="B18" s="553">
        <f>SUM(B7+B17)</f>
        <v>10000</v>
      </c>
      <c r="C18" s="288" t="s">
        <v>65</v>
      </c>
      <c r="D18" s="553">
        <f>SUM(D7+D17)</f>
        <v>125705</v>
      </c>
      <c r="E18" s="288" t="s">
        <v>65</v>
      </c>
      <c r="F18" s="553">
        <f>SUM(F7+F17)</f>
        <v>1868156</v>
      </c>
      <c r="G18" s="288" t="s">
        <v>65</v>
      </c>
      <c r="H18" s="553">
        <f>SUM(H7+H17)</f>
        <v>330098</v>
      </c>
      <c r="I18" s="288" t="s">
        <v>65</v>
      </c>
      <c r="J18" s="553">
        <f>SUM(J7+J17)</f>
        <v>122863</v>
      </c>
      <c r="K18" s="553">
        <f>SUM(B18+D18+F18+H18+J18)</f>
        <v>2456822</v>
      </c>
    </row>
    <row r="19" spans="1:11" ht="15.75">
      <c r="A19" s="288" t="s">
        <v>67</v>
      </c>
      <c r="B19" s="552"/>
      <c r="C19" s="288" t="s">
        <v>67</v>
      </c>
      <c r="D19" s="554"/>
      <c r="E19" s="288" t="s">
        <v>67</v>
      </c>
      <c r="F19" s="177"/>
      <c r="G19" s="288" t="s">
        <v>67</v>
      </c>
      <c r="H19" s="177"/>
      <c r="I19" s="288" t="s">
        <v>67</v>
      </c>
      <c r="J19" s="177"/>
      <c r="K19" s="177"/>
    </row>
    <row r="20" spans="1:11" ht="15.75">
      <c r="A20" s="289" t="s">
        <v>454</v>
      </c>
      <c r="B20" s="551"/>
      <c r="C20" s="289" t="s">
        <v>454</v>
      </c>
      <c r="D20" s="551">
        <v>105705</v>
      </c>
      <c r="E20" s="289" t="s">
        <v>454</v>
      </c>
      <c r="F20" s="551">
        <v>106551</v>
      </c>
      <c r="G20" s="289" t="s">
        <v>454</v>
      </c>
      <c r="H20" s="551"/>
      <c r="I20" s="289" t="s">
        <v>454</v>
      </c>
      <c r="J20" s="551"/>
      <c r="K20" s="177"/>
    </row>
    <row r="21" spans="1:11" ht="15.75">
      <c r="A21" s="289" t="s">
        <v>460</v>
      </c>
      <c r="B21" s="551"/>
      <c r="C21" s="289" t="s">
        <v>460</v>
      </c>
      <c r="D21" s="551"/>
      <c r="E21" s="289" t="s">
        <v>460</v>
      </c>
      <c r="F21" s="551"/>
      <c r="G21" s="289" t="s">
        <v>460</v>
      </c>
      <c r="H21" s="551"/>
      <c r="I21" s="289" t="s">
        <v>460</v>
      </c>
      <c r="J21" s="551"/>
      <c r="K21" s="177"/>
    </row>
    <row r="22" spans="1:11" ht="15.75">
      <c r="A22" s="289" t="s">
        <v>479</v>
      </c>
      <c r="B22" s="551">
        <v>2500</v>
      </c>
      <c r="C22" s="289" t="s">
        <v>479</v>
      </c>
      <c r="D22" s="551"/>
      <c r="E22" s="289" t="s">
        <v>479</v>
      </c>
      <c r="F22" s="551"/>
      <c r="G22" s="289" t="s">
        <v>479</v>
      </c>
      <c r="H22" s="551"/>
      <c r="I22" s="289" t="s">
        <v>479</v>
      </c>
      <c r="J22" s="551"/>
      <c r="K22" s="177"/>
    </row>
    <row r="23" spans="1:11" ht="15.75">
      <c r="A23" s="289" t="s">
        <v>446</v>
      </c>
      <c r="B23" s="551"/>
      <c r="C23" s="289" t="s">
        <v>446</v>
      </c>
      <c r="D23" s="551"/>
      <c r="E23" s="289" t="s">
        <v>446</v>
      </c>
      <c r="F23" s="551"/>
      <c r="G23" s="289" t="s">
        <v>446</v>
      </c>
      <c r="H23" s="551"/>
      <c r="I23" s="289" t="s">
        <v>446</v>
      </c>
      <c r="J23" s="551"/>
      <c r="K23" s="177"/>
    </row>
    <row r="24" spans="1:11" ht="15.75">
      <c r="A24" s="289" t="s">
        <v>447</v>
      </c>
      <c r="B24" s="551"/>
      <c r="C24" s="289" t="s">
        <v>447</v>
      </c>
      <c r="D24" s="551"/>
      <c r="E24" s="289" t="s">
        <v>447</v>
      </c>
      <c r="F24" s="551">
        <v>28070</v>
      </c>
      <c r="G24" s="289" t="s">
        <v>447</v>
      </c>
      <c r="H24" s="551"/>
      <c r="I24" s="289" t="s">
        <v>447</v>
      </c>
      <c r="J24" s="551"/>
      <c r="K24" s="177"/>
    </row>
    <row r="25" spans="1:11" ht="15.75">
      <c r="A25" s="289" t="s">
        <v>448</v>
      </c>
      <c r="B25" s="551"/>
      <c r="C25" s="289" t="s">
        <v>448</v>
      </c>
      <c r="D25" s="551"/>
      <c r="E25" s="289" t="s">
        <v>448</v>
      </c>
      <c r="F25" s="551">
        <v>48</v>
      </c>
      <c r="G25" s="289" t="s">
        <v>448</v>
      </c>
      <c r="H25" s="551"/>
      <c r="I25" s="289" t="s">
        <v>448</v>
      </c>
      <c r="J25" s="551"/>
      <c r="K25" s="177"/>
    </row>
    <row r="26" spans="1:11" ht="15.75">
      <c r="A26" s="289" t="s">
        <v>476</v>
      </c>
      <c r="B26" s="551"/>
      <c r="C26" s="289" t="s">
        <v>476</v>
      </c>
      <c r="D26" s="551"/>
      <c r="E26" s="289" t="s">
        <v>476</v>
      </c>
      <c r="F26" s="551"/>
      <c r="G26" s="289" t="s">
        <v>476</v>
      </c>
      <c r="H26" s="551"/>
      <c r="I26" s="289" t="s">
        <v>476</v>
      </c>
      <c r="J26" s="551"/>
      <c r="K26" s="177"/>
    </row>
    <row r="27" spans="1:11" ht="15.75">
      <c r="A27" s="289"/>
      <c r="B27" s="551"/>
      <c r="C27" s="289"/>
      <c r="D27" s="551"/>
      <c r="E27" s="289" t="s">
        <v>524</v>
      </c>
      <c r="F27" s="551">
        <v>85705</v>
      </c>
      <c r="G27" s="292"/>
      <c r="H27" s="551"/>
      <c r="I27" s="292"/>
      <c r="J27" s="551"/>
      <c r="K27" s="177"/>
    </row>
    <row r="28" spans="1:11" ht="15.75">
      <c r="A28" s="288" t="s">
        <v>69</v>
      </c>
      <c r="B28" s="553">
        <f>SUM(B20:B27)</f>
        <v>2500</v>
      </c>
      <c r="C28" s="288" t="s">
        <v>69</v>
      </c>
      <c r="D28" s="553">
        <f>SUM(D20:D27)</f>
        <v>105705</v>
      </c>
      <c r="E28" s="288" t="s">
        <v>69</v>
      </c>
      <c r="F28" s="555">
        <f>SUM(F20:F27)</f>
        <v>220374</v>
      </c>
      <c r="G28" s="288" t="s">
        <v>69</v>
      </c>
      <c r="H28" s="555">
        <f>SUM(H20:H27)</f>
        <v>0</v>
      </c>
      <c r="I28" s="288" t="s">
        <v>69</v>
      </c>
      <c r="J28" s="553">
        <f>SUM(J20:J27)</f>
        <v>0</v>
      </c>
      <c r="K28" s="553">
        <f>SUM(B28+D28+F28+H28+J28)</f>
        <v>328579</v>
      </c>
    </row>
    <row r="29" spans="1:12" ht="15.75">
      <c r="A29" s="288" t="s">
        <v>184</v>
      </c>
      <c r="B29" s="553">
        <f>SUM(B18-B28)</f>
        <v>7500</v>
      </c>
      <c r="C29" s="288" t="s">
        <v>184</v>
      </c>
      <c r="D29" s="553">
        <f>SUM(D18-D28)</f>
        <v>20000</v>
      </c>
      <c r="E29" s="288" t="s">
        <v>184</v>
      </c>
      <c r="F29" s="553">
        <f>SUM(F18-F28)</f>
        <v>1647782</v>
      </c>
      <c r="G29" s="288" t="s">
        <v>184</v>
      </c>
      <c r="H29" s="553">
        <f>SUM(H18-H28)</f>
        <v>330098</v>
      </c>
      <c r="I29" s="288" t="s">
        <v>184</v>
      </c>
      <c r="J29" s="553">
        <f>SUM(J18-J28)</f>
        <v>122863</v>
      </c>
      <c r="K29" s="556">
        <f>SUM(B29+D29+F29+H29+J29)</f>
        <v>2128243</v>
      </c>
      <c r="L29" s="29" t="s">
        <v>237</v>
      </c>
    </row>
    <row r="30" spans="1:12" ht="15.75">
      <c r="A30" s="288"/>
      <c r="B30" s="316">
        <f>IF(B29&lt;0,"See Tab B","")</f>
      </c>
      <c r="C30" s="288"/>
      <c r="D30" s="316">
        <f>IF(D29&lt;0,"See Tab B","")</f>
      </c>
      <c r="E30" s="288"/>
      <c r="F30" s="316">
        <f>IF(F29&lt;0,"See Tab B","")</f>
      </c>
      <c r="G30" s="164"/>
      <c r="H30" s="316">
        <f>IF(H29&lt;0,"See Tab B","")</f>
      </c>
      <c r="I30" s="164"/>
      <c r="J30" s="557">
        <f>IF(J29&lt;0,"See Tab B","")</f>
      </c>
      <c r="K30" s="556">
        <f>SUM(K7+K17-K28)</f>
        <v>2128243</v>
      </c>
      <c r="L30" s="29" t="s">
        <v>237</v>
      </c>
    </row>
    <row r="31" spans="1:11" ht="15.75">
      <c r="A31" s="164"/>
      <c r="B31" s="169"/>
      <c r="C31" s="164"/>
      <c r="D31" s="274"/>
      <c r="E31" s="164"/>
      <c r="F31" s="164"/>
      <c r="G31" s="39" t="s">
        <v>238</v>
      </c>
      <c r="H31" s="39"/>
      <c r="I31" s="39"/>
      <c r="J31" s="39"/>
      <c r="K31" s="164"/>
    </row>
    <row r="32" spans="1:11" ht="15.75">
      <c r="A32" s="164"/>
      <c r="B32" s="169"/>
      <c r="C32" s="164"/>
      <c r="D32" s="164"/>
      <c r="E32" s="164"/>
      <c r="F32" s="164"/>
      <c r="G32" s="164"/>
      <c r="H32" s="164"/>
      <c r="I32" s="164"/>
      <c r="J32" s="164"/>
      <c r="K32" s="164"/>
    </row>
    <row r="33" spans="1:11" ht="15.75">
      <c r="A33" s="164"/>
      <c r="B33" s="169"/>
      <c r="C33" s="164"/>
      <c r="D33" s="164"/>
      <c r="E33" s="177" t="s">
        <v>72</v>
      </c>
      <c r="F33" s="264">
        <v>13</v>
      </c>
      <c r="G33" s="164"/>
      <c r="H33" s="164"/>
      <c r="I33" s="164"/>
      <c r="J33" s="164"/>
      <c r="K33" s="164"/>
    </row>
    <row r="34" ht="15.75">
      <c r="B34" s="295"/>
    </row>
    <row r="35" ht="15.75">
      <c r="B35" s="295"/>
    </row>
    <row r="36" ht="15.75">
      <c r="B36" s="295"/>
    </row>
    <row r="37" ht="15.75">
      <c r="B37" s="295"/>
    </row>
    <row r="38" ht="15.75">
      <c r="B38" s="295"/>
    </row>
    <row r="39" ht="15.75">
      <c r="B39" s="295"/>
    </row>
    <row r="40" ht="15.75">
      <c r="B40" s="295"/>
    </row>
    <row r="41" ht="15.75">
      <c r="B41" s="295"/>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22" sqref="G22"/>
    </sheetView>
  </sheetViews>
  <sheetFormatPr defaultColWidth="8.796875" defaultRowHeight="15"/>
  <cols>
    <col min="1" max="1" width="11.59765625" style="29" customWidth="1"/>
    <col min="2" max="2" width="7.3984375" style="29" customWidth="1"/>
    <col min="3" max="3" width="11.59765625" style="29" customWidth="1"/>
    <col min="4" max="4" width="7.3984375" style="29" customWidth="1"/>
    <col min="5" max="5" width="11.59765625" style="29" customWidth="1"/>
    <col min="6" max="6" width="7.3984375" style="29" customWidth="1"/>
    <col min="7" max="7" width="11.59765625" style="29" customWidth="1"/>
    <col min="8" max="8" width="7.3984375" style="29" customWidth="1"/>
    <col min="9" max="9" width="11.59765625" style="29" customWidth="1"/>
    <col min="10" max="16384" width="8.8984375" style="29" customWidth="1"/>
  </cols>
  <sheetData>
    <row r="1" spans="1:11" ht="15.75">
      <c r="A1" s="165" t="str">
        <f>inputPrYr!$D$2</f>
        <v>City of Leoti</v>
      </c>
      <c r="B1" s="274"/>
      <c r="C1" s="164"/>
      <c r="D1" s="164"/>
      <c r="E1" s="164"/>
      <c r="F1" s="166" t="s">
        <v>186</v>
      </c>
      <c r="G1" s="164"/>
      <c r="H1" s="164"/>
      <c r="I1" s="164"/>
      <c r="J1" s="164"/>
      <c r="K1" s="164">
        <f>inputPrYr!$C$5</f>
        <v>2015</v>
      </c>
    </row>
    <row r="2" spans="1:11" ht="15.75">
      <c r="A2" s="164"/>
      <c r="B2" s="164"/>
      <c r="C2" s="164"/>
      <c r="D2" s="164"/>
      <c r="E2" s="164"/>
      <c r="F2" s="275" t="str">
        <f>CONCATENATE("(Only the actual budget year for ",K1-2," is to be shown)")</f>
        <v>(Only the actual budget year for 2013 is to be shown)</v>
      </c>
      <c r="G2" s="164"/>
      <c r="H2" s="164"/>
      <c r="I2" s="164"/>
      <c r="J2" s="164"/>
      <c r="K2" s="164"/>
    </row>
    <row r="3" spans="1:11" ht="15.75">
      <c r="A3" s="164" t="s">
        <v>217</v>
      </c>
      <c r="B3" s="164"/>
      <c r="C3" s="164"/>
      <c r="D3" s="164"/>
      <c r="E3" s="164"/>
      <c r="F3" s="274"/>
      <c r="G3" s="164"/>
      <c r="H3" s="164"/>
      <c r="I3" s="164"/>
      <c r="J3" s="164"/>
      <c r="K3" s="164"/>
    </row>
    <row r="4" spans="1:11" ht="15.75">
      <c r="A4" s="164" t="s">
        <v>178</v>
      </c>
      <c r="B4" s="164"/>
      <c r="C4" s="164" t="s">
        <v>179</v>
      </c>
      <c r="D4" s="164"/>
      <c r="E4" s="164" t="s">
        <v>180</v>
      </c>
      <c r="F4" s="274"/>
      <c r="G4" s="164" t="s">
        <v>181</v>
      </c>
      <c r="H4" s="164"/>
      <c r="I4" s="164" t="s">
        <v>182</v>
      </c>
      <c r="J4" s="164"/>
      <c r="K4" s="164"/>
    </row>
    <row r="5" spans="1:11" ht="15.75">
      <c r="A5" s="615" t="str">
        <f>IF(inputPrYr!B69&gt;" ",(inputPrYr!B69)," ")</f>
        <v>Sanitation Reserve</v>
      </c>
      <c r="B5" s="616"/>
      <c r="C5" s="615" t="str">
        <f>IF(inputPrYr!B70&gt;" ",(inputPrYr!B70)," ")</f>
        <v>Sewer Reserve</v>
      </c>
      <c r="D5" s="616"/>
      <c r="E5" s="615" t="str">
        <f>IF(inputPrYr!B71&gt;" ",(inputPrYr!B71)," ")</f>
        <v> </v>
      </c>
      <c r="F5" s="616"/>
      <c r="G5" s="615" t="str">
        <f>IF(inputPrYr!B72&gt;" ",(inputPrYr!B72)," ")</f>
        <v> </v>
      </c>
      <c r="H5" s="616"/>
      <c r="I5" s="615" t="str">
        <f>IF(inputPrYr!B73&gt;" ",(inputPrYr!B73)," ")</f>
        <v> </v>
      </c>
      <c r="J5" s="616"/>
      <c r="K5" s="116"/>
    </row>
    <row r="6" spans="1:11" ht="15.75">
      <c r="A6" s="278" t="s">
        <v>183</v>
      </c>
      <c r="B6" s="279"/>
      <c r="C6" s="280" t="s">
        <v>183</v>
      </c>
      <c r="D6" s="281"/>
      <c r="E6" s="280" t="s">
        <v>183</v>
      </c>
      <c r="F6" s="277"/>
      <c r="G6" s="280" t="s">
        <v>183</v>
      </c>
      <c r="H6" s="282"/>
      <c r="I6" s="280" t="s">
        <v>183</v>
      </c>
      <c r="J6" s="164"/>
      <c r="K6" s="283" t="s">
        <v>29</v>
      </c>
    </row>
    <row r="7" spans="1:11" ht="15.75">
      <c r="A7" s="284" t="s">
        <v>17</v>
      </c>
      <c r="B7" s="551">
        <v>107863</v>
      </c>
      <c r="C7" s="286" t="s">
        <v>17</v>
      </c>
      <c r="D7" s="551">
        <v>90000</v>
      </c>
      <c r="E7" s="286" t="s">
        <v>17</v>
      </c>
      <c r="F7" s="285"/>
      <c r="G7" s="286" t="s">
        <v>17</v>
      </c>
      <c r="H7" s="285"/>
      <c r="I7" s="286" t="s">
        <v>17</v>
      </c>
      <c r="J7" s="285"/>
      <c r="K7" s="553">
        <f>SUM(B7+D7+F7+H7+J7)</f>
        <v>197863</v>
      </c>
    </row>
    <row r="8" spans="1:11" ht="15.75">
      <c r="A8" s="288" t="s">
        <v>164</v>
      </c>
      <c r="B8" s="552"/>
      <c r="C8" s="288" t="s">
        <v>164</v>
      </c>
      <c r="D8" s="554"/>
      <c r="E8" s="288" t="s">
        <v>164</v>
      </c>
      <c r="F8" s="274"/>
      <c r="G8" s="288" t="s">
        <v>164</v>
      </c>
      <c r="H8" s="164"/>
      <c r="I8" s="288" t="s">
        <v>164</v>
      </c>
      <c r="J8" s="164"/>
      <c r="K8" s="177"/>
    </row>
    <row r="9" spans="1:11" ht="15.75">
      <c r="A9" s="289" t="s">
        <v>472</v>
      </c>
      <c r="B9" s="551"/>
      <c r="C9" s="289"/>
      <c r="D9" s="551"/>
      <c r="E9" s="289"/>
      <c r="F9" s="285"/>
      <c r="G9" s="289"/>
      <c r="H9" s="285"/>
      <c r="I9" s="289"/>
      <c r="J9" s="285"/>
      <c r="K9" s="177"/>
    </row>
    <row r="10" spans="1:11" ht="15.75">
      <c r="A10" s="289" t="s">
        <v>473</v>
      </c>
      <c r="B10" s="551"/>
      <c r="C10" s="289"/>
      <c r="D10" s="551"/>
      <c r="E10" s="289"/>
      <c r="F10" s="285"/>
      <c r="G10" s="289"/>
      <c r="H10" s="285"/>
      <c r="I10" s="289"/>
      <c r="J10" s="285"/>
      <c r="K10" s="177"/>
    </row>
    <row r="11" spans="1:11" ht="15.75">
      <c r="A11" s="289" t="s">
        <v>513</v>
      </c>
      <c r="B11" s="551">
        <v>15000</v>
      </c>
      <c r="C11" s="290"/>
      <c r="D11" s="551"/>
      <c r="E11" s="290"/>
      <c r="F11" s="285"/>
      <c r="G11" s="290"/>
      <c r="H11" s="285"/>
      <c r="I11" s="291"/>
      <c r="J11" s="285"/>
      <c r="K11" s="177"/>
    </row>
    <row r="12" spans="1:11" ht="15.75">
      <c r="A12" s="289"/>
      <c r="B12" s="551"/>
      <c r="C12" s="289"/>
      <c r="D12" s="551"/>
      <c r="E12" s="292"/>
      <c r="F12" s="285"/>
      <c r="G12" s="292"/>
      <c r="H12" s="285"/>
      <c r="I12" s="292"/>
      <c r="J12" s="285"/>
      <c r="K12" s="177"/>
    </row>
    <row r="13" spans="1:11" ht="15.75">
      <c r="A13" s="293"/>
      <c r="B13" s="551"/>
      <c r="C13" s="294"/>
      <c r="D13" s="551"/>
      <c r="E13" s="294"/>
      <c r="F13" s="285"/>
      <c r="G13" s="294"/>
      <c r="H13" s="285"/>
      <c r="I13" s="291"/>
      <c r="J13" s="285"/>
      <c r="K13" s="177"/>
    </row>
    <row r="14" spans="1:11" ht="15.75">
      <c r="A14" s="289"/>
      <c r="B14" s="551"/>
      <c r="C14" s="292"/>
      <c r="D14" s="551"/>
      <c r="E14" s="292"/>
      <c r="F14" s="285"/>
      <c r="G14" s="292"/>
      <c r="H14" s="285"/>
      <c r="I14" s="292"/>
      <c r="J14" s="285"/>
      <c r="K14" s="177"/>
    </row>
    <row r="15" spans="1:11" ht="15.75">
      <c r="A15" s="289"/>
      <c r="B15" s="551"/>
      <c r="C15" s="292"/>
      <c r="D15" s="551"/>
      <c r="E15" s="292"/>
      <c r="F15" s="285"/>
      <c r="G15" s="292"/>
      <c r="H15" s="285"/>
      <c r="I15" s="292"/>
      <c r="J15" s="285"/>
      <c r="K15" s="177"/>
    </row>
    <row r="16" spans="1:11" ht="15.75">
      <c r="A16" s="289"/>
      <c r="B16" s="551"/>
      <c r="C16" s="289"/>
      <c r="D16" s="551"/>
      <c r="E16" s="289"/>
      <c r="F16" s="285"/>
      <c r="G16" s="292"/>
      <c r="H16" s="285"/>
      <c r="I16" s="289"/>
      <c r="J16" s="285"/>
      <c r="K16" s="177"/>
    </row>
    <row r="17" spans="1:11" ht="15.75">
      <c r="A17" s="288" t="s">
        <v>64</v>
      </c>
      <c r="B17" s="553">
        <f>SUM(B9:B16)</f>
        <v>15000</v>
      </c>
      <c r="C17" s="288" t="s">
        <v>64</v>
      </c>
      <c r="D17" s="553">
        <f>SUM(D9:D16)</f>
        <v>0</v>
      </c>
      <c r="E17" s="288" t="s">
        <v>64</v>
      </c>
      <c r="F17" s="330">
        <f>SUM(F9:F16)</f>
        <v>0</v>
      </c>
      <c r="G17" s="288" t="s">
        <v>64</v>
      </c>
      <c r="H17" s="287">
        <f>SUM(H9:H16)</f>
        <v>0</v>
      </c>
      <c r="I17" s="288" t="s">
        <v>64</v>
      </c>
      <c r="J17" s="287">
        <f>SUM(J9:J16)</f>
        <v>0</v>
      </c>
      <c r="K17" s="553">
        <f>SUM(B17+D17+F17+H17+J17)</f>
        <v>15000</v>
      </c>
    </row>
    <row r="18" spans="1:11" ht="15.75">
      <c r="A18" s="288" t="s">
        <v>65</v>
      </c>
      <c r="B18" s="553">
        <f>SUM(B7+B17)</f>
        <v>122863</v>
      </c>
      <c r="C18" s="288" t="s">
        <v>65</v>
      </c>
      <c r="D18" s="553">
        <f>SUM(D7+D17)</f>
        <v>90000</v>
      </c>
      <c r="E18" s="288" t="s">
        <v>65</v>
      </c>
      <c r="F18" s="287">
        <f>SUM(F7+F17)</f>
        <v>0</v>
      </c>
      <c r="G18" s="288" t="s">
        <v>65</v>
      </c>
      <c r="H18" s="287">
        <f>SUM(H7+H17)</f>
        <v>0</v>
      </c>
      <c r="I18" s="288" t="s">
        <v>65</v>
      </c>
      <c r="J18" s="287">
        <f>SUM(J7+J17)</f>
        <v>0</v>
      </c>
      <c r="K18" s="553">
        <f>SUM(B18+D18+F18+H18+J18)</f>
        <v>212863</v>
      </c>
    </row>
    <row r="19" spans="1:11" ht="15.75">
      <c r="A19" s="288" t="s">
        <v>67</v>
      </c>
      <c r="B19" s="552"/>
      <c r="C19" s="288" t="s">
        <v>67</v>
      </c>
      <c r="D19" s="554"/>
      <c r="E19" s="288" t="s">
        <v>67</v>
      </c>
      <c r="F19" s="274"/>
      <c r="G19" s="288" t="s">
        <v>67</v>
      </c>
      <c r="H19" s="164"/>
      <c r="I19" s="288" t="s">
        <v>67</v>
      </c>
      <c r="J19" s="164"/>
      <c r="K19" s="177"/>
    </row>
    <row r="20" spans="1:11" ht="15.75">
      <c r="A20" s="289" t="s">
        <v>454</v>
      </c>
      <c r="B20" s="551"/>
      <c r="C20" s="292"/>
      <c r="D20" s="551"/>
      <c r="E20" s="292"/>
      <c r="F20" s="285"/>
      <c r="G20" s="292"/>
      <c r="H20" s="285"/>
      <c r="I20" s="292"/>
      <c r="J20" s="285"/>
      <c r="K20" s="177"/>
    </row>
    <row r="21" spans="1:11" ht="15.75">
      <c r="A21" s="289" t="s">
        <v>475</v>
      </c>
      <c r="B21" s="551"/>
      <c r="C21" s="292"/>
      <c r="D21" s="551"/>
      <c r="E21" s="292"/>
      <c r="F21" s="285"/>
      <c r="G21" s="292"/>
      <c r="H21" s="285"/>
      <c r="I21" s="292"/>
      <c r="J21" s="285"/>
      <c r="K21" s="177"/>
    </row>
    <row r="22" spans="1:11" ht="15.75">
      <c r="A22" s="289" t="s">
        <v>453</v>
      </c>
      <c r="B22" s="551"/>
      <c r="C22" s="294"/>
      <c r="D22" s="551"/>
      <c r="E22" s="294"/>
      <c r="F22" s="285"/>
      <c r="G22" s="294"/>
      <c r="H22" s="285"/>
      <c r="I22" s="291"/>
      <c r="J22" s="285"/>
      <c r="K22" s="177"/>
    </row>
    <row r="23" spans="1:11" ht="15.75">
      <c r="A23" s="289" t="s">
        <v>446</v>
      </c>
      <c r="B23" s="551"/>
      <c r="C23" s="292"/>
      <c r="D23" s="551"/>
      <c r="E23" s="292"/>
      <c r="F23" s="285"/>
      <c r="G23" s="292"/>
      <c r="H23" s="285"/>
      <c r="I23" s="292"/>
      <c r="J23" s="285"/>
      <c r="K23" s="177"/>
    </row>
    <row r="24" spans="1:11" ht="15.75">
      <c r="A24" s="289" t="s">
        <v>447</v>
      </c>
      <c r="B24" s="551"/>
      <c r="C24" s="294"/>
      <c r="D24" s="551"/>
      <c r="E24" s="294"/>
      <c r="F24" s="285"/>
      <c r="G24" s="294"/>
      <c r="H24" s="285"/>
      <c r="I24" s="291"/>
      <c r="J24" s="285"/>
      <c r="K24" s="177"/>
    </row>
    <row r="25" spans="1:11" ht="15.75">
      <c r="A25" s="289" t="s">
        <v>448</v>
      </c>
      <c r="B25" s="551"/>
      <c r="C25" s="292"/>
      <c r="D25" s="551"/>
      <c r="E25" s="292"/>
      <c r="F25" s="285"/>
      <c r="G25" s="292"/>
      <c r="H25" s="285"/>
      <c r="I25" s="292"/>
      <c r="J25" s="285"/>
      <c r="K25" s="177"/>
    </row>
    <row r="26" spans="1:11" ht="15.75">
      <c r="A26" s="289" t="s">
        <v>476</v>
      </c>
      <c r="B26" s="551"/>
      <c r="C26" s="292"/>
      <c r="D26" s="551"/>
      <c r="E26" s="292"/>
      <c r="F26" s="285"/>
      <c r="G26" s="292"/>
      <c r="H26" s="285"/>
      <c r="I26" s="292"/>
      <c r="J26" s="285"/>
      <c r="K26" s="177"/>
    </row>
    <row r="27" spans="1:11" ht="15.75">
      <c r="A27" s="289"/>
      <c r="B27" s="551"/>
      <c r="C27" s="289"/>
      <c r="D27" s="551"/>
      <c r="E27" s="289"/>
      <c r="F27" s="285"/>
      <c r="G27" s="292"/>
      <c r="H27" s="285"/>
      <c r="I27" s="292"/>
      <c r="J27" s="285"/>
      <c r="K27" s="177"/>
    </row>
    <row r="28" spans="1:11" ht="15.75">
      <c r="A28" s="288" t="s">
        <v>69</v>
      </c>
      <c r="B28" s="553">
        <f>SUM(B20:B27)</f>
        <v>0</v>
      </c>
      <c r="C28" s="288" t="s">
        <v>69</v>
      </c>
      <c r="D28" s="553">
        <f>SUM(D20:D27)</f>
        <v>0</v>
      </c>
      <c r="E28" s="288" t="s">
        <v>69</v>
      </c>
      <c r="F28" s="330">
        <f>SUM(F20:F27)</f>
        <v>0</v>
      </c>
      <c r="G28" s="288" t="s">
        <v>69</v>
      </c>
      <c r="H28" s="330">
        <f>SUM(H20:H27)</f>
        <v>0</v>
      </c>
      <c r="I28" s="288" t="s">
        <v>69</v>
      </c>
      <c r="J28" s="287">
        <f>SUM(J20:J27)</f>
        <v>0</v>
      </c>
      <c r="K28" s="553">
        <f>SUM(B28+D28+F28+H28+J28)</f>
        <v>0</v>
      </c>
    </row>
    <row r="29" spans="1:12" ht="15.75">
      <c r="A29" s="288" t="s">
        <v>184</v>
      </c>
      <c r="B29" s="553">
        <f>SUM(B18-B28)</f>
        <v>122863</v>
      </c>
      <c r="C29" s="288" t="s">
        <v>184</v>
      </c>
      <c r="D29" s="553">
        <f>SUM(D18-D28)</f>
        <v>90000</v>
      </c>
      <c r="E29" s="288" t="s">
        <v>184</v>
      </c>
      <c r="F29" s="287">
        <f>SUM(F18-F28)</f>
        <v>0</v>
      </c>
      <c r="G29" s="288" t="s">
        <v>184</v>
      </c>
      <c r="H29" s="287">
        <f>SUM(H18-H28)</f>
        <v>0</v>
      </c>
      <c r="I29" s="288" t="s">
        <v>184</v>
      </c>
      <c r="J29" s="287">
        <f>SUM(J18-J28)</f>
        <v>0</v>
      </c>
      <c r="K29" s="556">
        <f>SUM(B29+D29+F29+H29+J29)</f>
        <v>212863</v>
      </c>
      <c r="L29" s="29" t="s">
        <v>237</v>
      </c>
    </row>
    <row r="30" spans="1:12" ht="15.75">
      <c r="A30" s="288"/>
      <c r="B30" s="316">
        <f>IF(B29&lt;0,"See Tab B","")</f>
      </c>
      <c r="C30" s="288"/>
      <c r="D30" s="316">
        <f>IF(D29&lt;0,"See Tab B","")</f>
      </c>
      <c r="E30" s="288"/>
      <c r="F30" s="316">
        <f>IF(F29&lt;0,"See Tab B","")</f>
      </c>
      <c r="G30" s="164"/>
      <c r="H30" s="316">
        <f>IF(H29&lt;0,"See Tab B","")</f>
      </c>
      <c r="I30" s="164"/>
      <c r="J30" s="316">
        <f>IF(J29&lt;0,"See Tab B","")</f>
      </c>
      <c r="K30" s="556">
        <f>SUM(K7+K17-K28)</f>
        <v>212863</v>
      </c>
      <c r="L30" s="29" t="s">
        <v>237</v>
      </c>
    </row>
    <row r="31" spans="1:11" ht="15.75">
      <c r="A31" s="164"/>
      <c r="B31" s="169"/>
      <c r="C31" s="164"/>
      <c r="D31" s="274"/>
      <c r="E31" s="164"/>
      <c r="F31" s="164"/>
      <c r="G31" s="39" t="s">
        <v>238</v>
      </c>
      <c r="H31" s="39"/>
      <c r="I31" s="39"/>
      <c r="J31" s="39"/>
      <c r="K31" s="164"/>
    </row>
    <row r="32" spans="1:11" ht="15.75">
      <c r="A32" s="164"/>
      <c r="B32" s="169"/>
      <c r="C32" s="164"/>
      <c r="D32" s="164"/>
      <c r="E32" s="164"/>
      <c r="F32" s="164"/>
      <c r="G32" s="296"/>
      <c r="H32" s="164"/>
      <c r="I32" s="164"/>
      <c r="J32" s="164"/>
      <c r="K32" s="164"/>
    </row>
    <row r="33" spans="1:11" ht="15.75">
      <c r="A33" s="164"/>
      <c r="B33" s="169"/>
      <c r="C33" s="164"/>
      <c r="D33" s="164"/>
      <c r="E33" s="177" t="s">
        <v>72</v>
      </c>
      <c r="F33" s="264">
        <v>14</v>
      </c>
      <c r="G33" s="164"/>
      <c r="H33" s="164"/>
      <c r="I33" s="164"/>
      <c r="J33" s="164"/>
      <c r="K33" s="164"/>
    </row>
    <row r="34" ht="15.75">
      <c r="B34" s="295"/>
    </row>
    <row r="35" ht="15.75">
      <c r="B35" s="295"/>
    </row>
    <row r="36" ht="15.75">
      <c r="B36" s="295"/>
    </row>
    <row r="37" ht="15.75">
      <c r="B37" s="295"/>
    </row>
    <row r="38" ht="15.75">
      <c r="B38" s="295"/>
    </row>
    <row r="39" ht="15.75">
      <c r="B39" s="295"/>
    </row>
    <row r="40" ht="15.75">
      <c r="B40" s="295"/>
    </row>
    <row r="41" ht="15.75">
      <c r="B41" s="295"/>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M46"/>
  <sheetViews>
    <sheetView zoomScale="75" zoomScaleNormal="75" zoomScalePageLayoutView="0" workbookViewId="0" topLeftCell="A1">
      <selection activeCell="F31" sqref="F31"/>
    </sheetView>
  </sheetViews>
  <sheetFormatPr defaultColWidth="8.796875" defaultRowHeight="15"/>
  <cols>
    <col min="1" max="1" width="20.796875" style="29" customWidth="1"/>
    <col min="2" max="2" width="15.796875" style="29" customWidth="1"/>
    <col min="3" max="3" width="10.796875" style="29" customWidth="1"/>
    <col min="4" max="4" width="15.796875" style="29" customWidth="1"/>
    <col min="5" max="5" width="10.796875" style="29" customWidth="1"/>
    <col min="6" max="6" width="15.796875" style="29" customWidth="1"/>
    <col min="7" max="7" width="12.796875" style="29" customWidth="1"/>
    <col min="8" max="8" width="10.796875" style="29" customWidth="1"/>
    <col min="9" max="9" width="8.8984375" style="29" customWidth="1"/>
    <col min="10" max="10" width="12.3984375" style="29" customWidth="1"/>
    <col min="11" max="11" width="12.296875" style="29" customWidth="1"/>
    <col min="12" max="12" width="10.59765625" style="29" customWidth="1"/>
    <col min="13" max="13" width="12.09765625" style="29" customWidth="1"/>
    <col min="14" max="16384" width="8.8984375" style="29" customWidth="1"/>
  </cols>
  <sheetData>
    <row r="1" spans="1:9" ht="15.75">
      <c r="A1" s="587" t="s">
        <v>116</v>
      </c>
      <c r="B1" s="587"/>
      <c r="C1" s="587"/>
      <c r="D1" s="587"/>
      <c r="E1" s="587"/>
      <c r="F1" s="587"/>
      <c r="G1" s="587"/>
      <c r="H1" s="587"/>
      <c r="I1" s="297"/>
    </row>
    <row r="2" spans="1:8" ht="18" customHeight="1">
      <c r="A2" s="43"/>
      <c r="B2" s="43"/>
      <c r="C2" s="43"/>
      <c r="D2" s="43"/>
      <c r="E2" s="43"/>
      <c r="F2" s="43"/>
      <c r="G2" s="43"/>
      <c r="H2" s="43">
        <f>inputPrYr!$C$5</f>
        <v>2015</v>
      </c>
    </row>
    <row r="3" spans="1:8" ht="18" customHeight="1">
      <c r="A3" s="578" t="s">
        <v>73</v>
      </c>
      <c r="B3" s="578"/>
      <c r="C3" s="578"/>
      <c r="D3" s="578"/>
      <c r="E3" s="578"/>
      <c r="F3" s="578"/>
      <c r="G3" s="578"/>
      <c r="H3" s="578"/>
    </row>
    <row r="4" spans="1:8" ht="15.75">
      <c r="A4" s="576" t="str">
        <f>inputPrYr!D2</f>
        <v>City of Leoti</v>
      </c>
      <c r="B4" s="576"/>
      <c r="C4" s="576"/>
      <c r="D4" s="576"/>
      <c r="E4" s="576"/>
      <c r="F4" s="576"/>
      <c r="G4" s="576"/>
      <c r="H4" s="576"/>
    </row>
    <row r="5" spans="1:8" ht="18" customHeight="1">
      <c r="A5" s="620" t="str">
        <f>CONCATENATE("will meet on ",inputBudSum!B7," at ",inputBudSum!B9," at ",inputBudSum!B11," for the purpose of hearing and")</f>
        <v>will meet on August 18, 2014 at 7:00 PM at Leoti City Hall, Leoti, Kansas for the purpose of hearing and</v>
      </c>
      <c r="B5" s="620"/>
      <c r="C5" s="620"/>
      <c r="D5" s="620"/>
      <c r="E5" s="620"/>
      <c r="F5" s="620"/>
      <c r="G5" s="620"/>
      <c r="H5" s="620"/>
    </row>
    <row r="6" spans="1:8" ht="16.5" customHeight="1">
      <c r="A6" s="578" t="s">
        <v>264</v>
      </c>
      <c r="B6" s="578"/>
      <c r="C6" s="578"/>
      <c r="D6" s="578"/>
      <c r="E6" s="578"/>
      <c r="F6" s="578"/>
      <c r="G6" s="578"/>
      <c r="H6" s="578"/>
    </row>
    <row r="7" spans="1:13" ht="16.5" customHeight="1">
      <c r="A7" s="626" t="str">
        <f>CONCATENATE("Detailed budget information is available at ",inputBudSum!B14," and will be available at this hearing.")</f>
        <v>Detailed budget information is available at Leoti City Hall, Leoti, Kansas and will be available at this hearing.</v>
      </c>
      <c r="B7" s="626"/>
      <c r="C7" s="626"/>
      <c r="D7" s="626"/>
      <c r="E7" s="626"/>
      <c r="F7" s="626"/>
      <c r="G7" s="626"/>
      <c r="H7" s="626"/>
      <c r="J7" s="617" t="str">
        <f>CONCATENATE("Estimated Value Of One Mill For ",H2,"")</f>
        <v>Estimated Value Of One Mill For 2015</v>
      </c>
      <c r="K7" s="618"/>
      <c r="L7" s="618"/>
      <c r="M7" s="619"/>
    </row>
    <row r="8" spans="1:13" ht="15.75">
      <c r="A8" s="47" t="s">
        <v>117</v>
      </c>
      <c r="B8" s="48"/>
      <c r="C8" s="48"/>
      <c r="D8" s="48"/>
      <c r="E8" s="48"/>
      <c r="F8" s="48"/>
      <c r="G8" s="48"/>
      <c r="H8" s="48"/>
      <c r="J8" s="346"/>
      <c r="K8" s="347"/>
      <c r="L8" s="347"/>
      <c r="M8" s="348"/>
    </row>
    <row r="9" spans="1:13" ht="15.75">
      <c r="A9" s="130" t="str">
        <f>CONCATENATE("Proposed Budget ",H2," Expenditures and Amount of ",H2-1," Ad Valorem Tax establish the maximum limits of the ",H2," budget.")</f>
        <v>Proposed Budget 2015 Expenditures and Amount of 2014 Ad Valorem Tax establish the maximum limits of the 2015 budget.</v>
      </c>
      <c r="B9" s="48"/>
      <c r="C9" s="48"/>
      <c r="D9" s="48"/>
      <c r="E9" s="48"/>
      <c r="F9" s="48"/>
      <c r="G9" s="48"/>
      <c r="H9" s="48"/>
      <c r="J9" s="349" t="s">
        <v>302</v>
      </c>
      <c r="K9" s="350"/>
      <c r="L9" s="350"/>
      <c r="M9" s="351">
        <f>ROUND(F33/1000,0)</f>
        <v>6358</v>
      </c>
    </row>
    <row r="10" spans="1:8" ht="15.75">
      <c r="A10" s="130" t="s">
        <v>169</v>
      </c>
      <c r="B10" s="48"/>
      <c r="C10" s="48"/>
      <c r="D10" s="48"/>
      <c r="E10" s="48"/>
      <c r="F10" s="48"/>
      <c r="G10" s="48"/>
      <c r="H10" s="48"/>
    </row>
    <row r="11" spans="1:13" ht="15.75">
      <c r="A11" s="43"/>
      <c r="B11" s="268"/>
      <c r="C11" s="268"/>
      <c r="D11" s="268"/>
      <c r="E11" s="268"/>
      <c r="F11" s="268"/>
      <c r="G11" s="268"/>
      <c r="H11" s="268"/>
      <c r="J11" s="617" t="str">
        <f>CONCATENATE("Want The Mill Rate The Same As For ",H2-1,"?")</f>
        <v>Want The Mill Rate The Same As For 2014?</v>
      </c>
      <c r="K11" s="618"/>
      <c r="L11" s="618"/>
      <c r="M11" s="619"/>
    </row>
    <row r="12" spans="1:13" ht="15.75">
      <c r="A12" s="43"/>
      <c r="B12" s="298" t="str">
        <f>CONCATENATE("Prior Year Actual for ",H2-2,"")</f>
        <v>Prior Year Actual for 2013</v>
      </c>
      <c r="C12" s="133"/>
      <c r="D12" s="298" t="str">
        <f>CONCATENATE("Current Year Estimate for ",H2-1,"")</f>
        <v>Current Year Estimate for 2014</v>
      </c>
      <c r="E12" s="133"/>
      <c r="F12" s="131" t="str">
        <f>CONCATENATE("Proposed Budget Year for ",H2,"")</f>
        <v>Proposed Budget Year for 2015</v>
      </c>
      <c r="G12" s="132"/>
      <c r="H12" s="133"/>
      <c r="J12" s="353"/>
      <c r="K12" s="347"/>
      <c r="L12" s="347"/>
      <c r="M12" s="354"/>
    </row>
    <row r="13" spans="1:13" ht="21" customHeight="1">
      <c r="A13" s="43"/>
      <c r="B13" s="263"/>
      <c r="C13" s="136" t="s">
        <v>74</v>
      </c>
      <c r="D13" s="136"/>
      <c r="E13" s="136" t="s">
        <v>74</v>
      </c>
      <c r="F13" s="389" t="s">
        <v>7</v>
      </c>
      <c r="G13" s="136" t="str">
        <f>CONCATENATE("Amount of ",H2-1,"")</f>
        <v>Amount of 2014</v>
      </c>
      <c r="H13" s="136" t="s">
        <v>220</v>
      </c>
      <c r="J13" s="353" t="str">
        <f>CONCATENATE("",H2-1," Mill Rate Was:")</f>
        <v>2014 Mill Rate Was:</v>
      </c>
      <c r="K13" s="347"/>
      <c r="L13" s="347"/>
      <c r="M13" s="355">
        <f>E18</f>
        <v>0</v>
      </c>
    </row>
    <row r="14" spans="1:13" ht="15.75">
      <c r="A14" s="56" t="s">
        <v>75</v>
      </c>
      <c r="B14" s="140" t="s">
        <v>76</v>
      </c>
      <c r="C14" s="140" t="s">
        <v>77</v>
      </c>
      <c r="D14" s="140" t="s">
        <v>76</v>
      </c>
      <c r="E14" s="140" t="s">
        <v>77</v>
      </c>
      <c r="F14" s="390" t="s">
        <v>278</v>
      </c>
      <c r="G14" s="141" t="s">
        <v>57</v>
      </c>
      <c r="H14" s="140" t="s">
        <v>77</v>
      </c>
      <c r="J14" s="356" t="str">
        <f>CONCATENATE("",H2," Tax Levy Fund Expenditures Must Be")</f>
        <v>2015 Tax Levy Fund Expenditures Must Be</v>
      </c>
      <c r="K14" s="357"/>
      <c r="L14" s="357"/>
      <c r="M14" s="354"/>
    </row>
    <row r="15" spans="1:13" ht="15.75">
      <c r="A15" s="79" t="str">
        <f>inputPrYr!B17</f>
        <v>General</v>
      </c>
      <c r="B15" s="79">
        <f>general!C99</f>
        <v>882750</v>
      </c>
      <c r="C15" s="299">
        <f>IF(inputPrYr!D84&gt;0,inputPrYr!D84,"  ")</f>
        <v>67.85</v>
      </c>
      <c r="D15" s="79">
        <f>general!D99</f>
        <v>869306</v>
      </c>
      <c r="E15" s="299">
        <f>IF(inputOth!D21&gt;0,inputOth!D21,"  ")</f>
        <v>69.96</v>
      </c>
      <c r="F15" s="79">
        <f>general!E99</f>
        <v>975517</v>
      </c>
      <c r="G15" s="79">
        <f>general!E106</f>
        <v>444939</v>
      </c>
      <c r="H15" s="299">
        <f>(G15/F33)*1000</f>
        <v>69.98527276528016</v>
      </c>
      <c r="J15" s="356">
        <f>IF(M15&gt;0,"Increased By:","")</f>
      </c>
      <c r="K15" s="357"/>
      <c r="L15" s="357"/>
      <c r="M15" s="391">
        <f>IF(M22&lt;0,M22*-1,0)</f>
        <v>0</v>
      </c>
    </row>
    <row r="16" spans="1:13" ht="15.75">
      <c r="A16" s="79" t="str">
        <f>IF(inputPrYr!$B21&gt;"  ",(inputPrYr!$B21),"  ")</f>
        <v>Ambulance and Fire Equip. </v>
      </c>
      <c r="B16" s="79">
        <f>'Ambul &amp; Fire Equip'!C33</f>
        <v>0</v>
      </c>
      <c r="C16" s="299">
        <f>IF(inputPrYr!D87&gt;0,inputPrYr!D87,"  ")</f>
        <v>3.806</v>
      </c>
      <c r="D16" s="79">
        <f>'Ambul &amp; Fire Equip'!D33</f>
        <v>106</v>
      </c>
      <c r="E16" s="299">
        <f>IF(inputOth!D24&gt;0,inputOth!D24,"  ")</f>
        <v>3.4</v>
      </c>
      <c r="F16" s="79">
        <f>IF('Ambul &amp; Fire Equip'!$E$33&gt;0,'Ambul &amp; Fire Equip'!$E$33,"  ")</f>
        <v>119178</v>
      </c>
      <c r="G16" s="79">
        <f>IF('Ambul &amp; Fire Equip'!$E$40&lt;&gt;0,'Ambul &amp; Fire Equip'!$E$40,"  ")</f>
        <v>22902</v>
      </c>
      <c r="H16" s="299">
        <f>(G16/F33)*1000</f>
        <v>3.602297656241521</v>
      </c>
      <c r="J16" s="392">
        <f>IF(M16&lt;0,"Reduced By:","")</f>
      </c>
      <c r="K16" s="393"/>
      <c r="L16" s="393"/>
      <c r="M16" s="394">
        <f>IF(M22&gt;0,M22*-1,0)</f>
        <v>0</v>
      </c>
    </row>
    <row r="17" spans="1:8" ht="15.75">
      <c r="A17" s="79" t="str">
        <f>IF(inputPrYr!$B22&gt;"  ",(inputPrYr!$B22),"  ")</f>
        <v>  </v>
      </c>
      <c r="B17" s="79" t="str">
        <f>IF('Ambul &amp; Fire Equip'!$C$73&gt;0,'Ambul &amp; Fire Equip'!$C$73,"  ")</f>
        <v>  </v>
      </c>
      <c r="C17" s="299" t="str">
        <f>IF(inputPrYr!D88&gt;0,inputPrYr!D88,"  ")</f>
        <v>  </v>
      </c>
      <c r="D17" s="79" t="str">
        <f>IF('Ambul &amp; Fire Equip'!$D$73&gt;0,'Ambul &amp; Fire Equip'!$D$73,"  ")</f>
        <v>  </v>
      </c>
      <c r="E17" s="299" t="str">
        <f>IF(inputOth!D25&gt;0,inputOth!D25,"  ")</f>
        <v>  </v>
      </c>
      <c r="F17" s="79" t="str">
        <f>IF('Ambul &amp; Fire Equip'!$E$73&gt;0,'Ambul &amp; Fire Equip'!$E$73,"  ")</f>
        <v>  </v>
      </c>
      <c r="G17" s="79" t="str">
        <f>IF('Ambul &amp; Fire Equip'!$E$80&lt;&gt;0,'Ambul &amp; Fire Equip'!$E$80,"  ")</f>
        <v>  </v>
      </c>
      <c r="H17" s="299" t="str">
        <f>IF('Ambul &amp; Fire Equip'!E80&lt;&gt;0,ROUND(G17/$F$33*1000,3),"  ")</f>
        <v>  </v>
      </c>
    </row>
    <row r="18" spans="1:8" ht="15.75">
      <c r="A18" s="79" t="str">
        <f>IF(inputPrYr!$B34&gt;"  ",(inputPrYr!$B34),"  ")</f>
        <v>Special Highway</v>
      </c>
      <c r="B18" s="79">
        <f>IF('Sp Hwy &amp; Sp Prks Rec'!$C$30&gt;0,'Sp Hwy &amp; Sp Prks Rec'!$C$30,"  ")</f>
        <v>64595</v>
      </c>
      <c r="C18" s="57"/>
      <c r="D18" s="79" t="str">
        <f>IF('Sp Hwy &amp; Sp Prks Rec'!$D$30&gt;0,'Sp Hwy &amp; Sp Prks Rec'!$D$30,"  ")</f>
        <v>  </v>
      </c>
      <c r="E18" s="57"/>
      <c r="F18" s="79">
        <f>IF('Sp Hwy &amp; Sp Prks Rec'!$E$30&gt;0,'Sp Hwy &amp; Sp Prks Rec'!$E$30,"  ")</f>
        <v>180000</v>
      </c>
      <c r="G18" s="79"/>
      <c r="H18" s="299"/>
    </row>
    <row r="19" spans="1:8" ht="15.75">
      <c r="A19" s="79" t="str">
        <f>IF(inputPrYr!$B35&gt;"  ",(inputPrYr!$B35),"  ")</f>
        <v>Special Parks and Recreation</v>
      </c>
      <c r="B19" s="79">
        <f>IF('Sp Hwy &amp; Sp Prks Rec'!$C$61&gt;0,'Sp Hwy &amp; Sp Prks Rec'!$C$61,"  ")</f>
        <v>2466</v>
      </c>
      <c r="C19" s="57"/>
      <c r="D19" s="79" t="str">
        <f>IF('Sp Hwy &amp; Sp Prks Rec'!$D$61&gt;0,'Sp Hwy &amp; Sp Prks Rec'!$D$61,"  ")</f>
        <v>  </v>
      </c>
      <c r="E19" s="57"/>
      <c r="F19" s="79" t="str">
        <f>IF('Sp Hwy &amp; Sp Prks Rec'!$E$61&gt;0,'Sp Hwy &amp; Sp Prks Rec'!$E$61,"  ")</f>
        <v>  </v>
      </c>
      <c r="G19" s="79"/>
      <c r="H19" s="299"/>
    </row>
    <row r="20" spans="1:8" ht="15.75">
      <c r="A20" s="79" t="str">
        <f>IF(inputPrYr!$B36&gt;"  ",(inputPrYr!$B36),"  ")</f>
        <v>Water Operating</v>
      </c>
      <c r="B20" s="79">
        <f>IF('Water Op &amp; Sani Op'!$C$28&gt;0,'Water Op &amp; Sani Op'!$C$28,"  ")</f>
        <v>411550</v>
      </c>
      <c r="C20" s="57"/>
      <c r="D20" s="79">
        <f>IF('Water Op &amp; Sani Op'!$D$28&gt;0,'Water Op &amp; Sani Op'!$D$28,"  ")</f>
        <v>485241</v>
      </c>
      <c r="E20" s="57"/>
      <c r="F20" s="79">
        <f>IF('Water Op &amp; Sani Op'!$E$28&gt;0,'Water Op &amp; Sani Op'!$E$28,"  ")</f>
        <v>882000</v>
      </c>
      <c r="G20" s="79"/>
      <c r="H20" s="299"/>
    </row>
    <row r="21" spans="1:8" ht="15.75">
      <c r="A21" s="79" t="str">
        <f>IF(inputPrYr!$B37&gt;"  ",(inputPrYr!$B37),"  ")</f>
        <v>Sanitation Operating</v>
      </c>
      <c r="B21" s="79">
        <f>IF('Water Op &amp; Sani Op'!$C$59&gt;0,'Water Op &amp; Sani Op'!$C$59,"  ")</f>
        <v>148003</v>
      </c>
      <c r="C21" s="57"/>
      <c r="D21" s="79">
        <f>IF('Water Op &amp; Sani Op'!$D$59&gt;0,'Water Op &amp; Sani Op'!$D$59,"  ")</f>
        <v>155000</v>
      </c>
      <c r="E21" s="57"/>
      <c r="F21" s="79">
        <f>IF('Water Op &amp; Sani Op'!$E$59&gt;0,'Water Op &amp; Sani Op'!$E$59,"  ")</f>
        <v>181000</v>
      </c>
      <c r="G21" s="79"/>
      <c r="H21" s="299"/>
    </row>
    <row r="22" spans="1:8" ht="15.75">
      <c r="A22" s="79" t="str">
        <f>IF(inputPrYr!$B38&gt;"  ",(inputPrYr!$B38),"  ")</f>
        <v>Sewer Operating</v>
      </c>
      <c r="B22" s="79">
        <f>IF('Sewer &amp; Storm Wtr Op'!$C$28&gt;0,'Sewer &amp; Storm Wtr Op'!$C$28,"  ")</f>
        <v>174711</v>
      </c>
      <c r="C22" s="57"/>
      <c r="D22" s="79">
        <f>IF('Sewer &amp; Storm Wtr Op'!$D$28&gt;0,'Sewer &amp; Storm Wtr Op'!$D$28,"  ")</f>
        <v>296921</v>
      </c>
      <c r="E22" s="57"/>
      <c r="F22" s="79">
        <f>IF('Sewer &amp; Storm Wtr Op'!$E$28&gt;0,'Sewer &amp; Storm Wtr Op'!$E$28,"  ")</f>
        <v>331921</v>
      </c>
      <c r="G22" s="57"/>
      <c r="H22" s="57"/>
    </row>
    <row r="23" spans="1:8" ht="15.75">
      <c r="A23" s="79" t="str">
        <f>IF(inputPrYr!$B39&gt;"  ",(inputPrYr!$B39),"  ")</f>
        <v>Storm Water Operating</v>
      </c>
      <c r="B23" s="79">
        <f>IF('Sewer &amp; Storm Wtr Op'!$C$59&gt;0,'Sewer &amp; Storm Wtr Op'!$C$59,"  ")</f>
        <v>337</v>
      </c>
      <c r="C23" s="57"/>
      <c r="D23" s="79">
        <f>IF('Sewer &amp; Storm Wtr Op'!$D$59&gt;0,'Sewer &amp; Storm Wtr Op'!$D$59,"  ")</f>
        <v>27000</v>
      </c>
      <c r="E23" s="57"/>
      <c r="F23" s="79">
        <f>IF('Sewer &amp; Storm Wtr Op'!$E$59&gt;0,'Sewer &amp; Storm Wtr Op'!$E$59,"  ")</f>
        <v>30000</v>
      </c>
      <c r="G23" s="57"/>
      <c r="H23" s="57"/>
    </row>
    <row r="24" spans="1:8" ht="15.75">
      <c r="A24" s="79" t="str">
        <f>IF(inputPrYr!$B57&gt;"  ",(NonBudA!$A3),"  ")</f>
        <v>Non-Budgeted Funds-A</v>
      </c>
      <c r="B24" s="79">
        <f>IF(NonBudA!$K$28&gt;0,NonBudA!$K$28,"  ")</f>
        <v>4323</v>
      </c>
      <c r="C24" s="57"/>
      <c r="D24" s="79"/>
      <c r="E24" s="57"/>
      <c r="F24" s="79"/>
      <c r="G24" s="57"/>
      <c r="H24" s="57"/>
    </row>
    <row r="25" spans="1:8" ht="15.75">
      <c r="A25" s="79" t="str">
        <f>IF(inputPrYr!$B63&gt;"  ",(NonBudB!$A3),"  ")</f>
        <v>Non-Budgeted Funds-B</v>
      </c>
      <c r="B25" s="79">
        <f>IF(NonBudB!$K$28&gt;0,NonBudB!$K$28,"  ")</f>
        <v>328579</v>
      </c>
      <c r="C25" s="57"/>
      <c r="D25" s="79"/>
      <c r="E25" s="57"/>
      <c r="F25" s="79"/>
      <c r="G25" s="57"/>
      <c r="H25" s="57"/>
    </row>
    <row r="26" spans="1:8" ht="15.75">
      <c r="A26" s="79" t="str">
        <f>IF(inputPrYr!$B69&gt;"  ",(NonBudC!$A3),"  ")</f>
        <v>Non-Budgeted Funds-C</v>
      </c>
      <c r="B26" s="79" t="str">
        <f>IF(NonBudC!$K$28&gt;0,NonBudC!$K$28,"  ")</f>
        <v>  </v>
      </c>
      <c r="C26" s="57"/>
      <c r="D26" s="79"/>
      <c r="E26" s="57"/>
      <c r="F26" s="79"/>
      <c r="G26" s="57"/>
      <c r="H26" s="57"/>
    </row>
    <row r="27" spans="1:8" ht="16.5" thickBot="1">
      <c r="A27" s="79" t="str">
        <f>IF(inputPrYr!$B75&gt;"  ",(#REF!),"  ")</f>
        <v>  </v>
      </c>
      <c r="B27" s="365"/>
      <c r="C27" s="366"/>
      <c r="D27" s="365"/>
      <c r="E27" s="366"/>
      <c r="F27" s="365"/>
      <c r="G27" s="366"/>
      <c r="H27" s="366"/>
    </row>
    <row r="28" spans="1:13" ht="15.75">
      <c r="A28" s="135" t="s">
        <v>311</v>
      </c>
      <c r="B28" s="539">
        <f>SUM(B15:B27)</f>
        <v>2017314</v>
      </c>
      <c r="C28" s="540">
        <f>SUM(C15:C17)</f>
        <v>71.65599999999999</v>
      </c>
      <c r="D28" s="539">
        <f>SUM(D15:D27)</f>
        <v>1833574</v>
      </c>
      <c r="E28" s="540">
        <f>SUM(E15:E17)</f>
        <v>73.36</v>
      </c>
      <c r="F28" s="539">
        <f>SUM(F15:F27)</f>
        <v>2699616</v>
      </c>
      <c r="G28" s="539">
        <f>SUM(G15:G27)</f>
        <v>467841</v>
      </c>
      <c r="H28" s="540">
        <f>SUM(H15:H17)</f>
        <v>73.58757042152168</v>
      </c>
      <c r="J28" s="617" t="str">
        <f>CONCATENATE("Impact On Keeping The Same Mill Rate As For ",H2-1,"")</f>
        <v>Impact On Keeping The Same Mill Rate As For 2014</v>
      </c>
      <c r="K28" s="624"/>
      <c r="L28" s="624"/>
      <c r="M28" s="625"/>
    </row>
    <row r="29" spans="1:13" ht="15.75">
      <c r="A29" s="44" t="s">
        <v>78</v>
      </c>
      <c r="B29" s="541">
        <f>transfers!D26</f>
        <v>422327</v>
      </c>
      <c r="C29" s="542"/>
      <c r="D29" s="541">
        <f>transfers!E26</f>
        <v>151241</v>
      </c>
      <c r="E29" s="543"/>
      <c r="F29" s="541">
        <f>transfers!F26</f>
        <v>211241</v>
      </c>
      <c r="G29" s="544"/>
      <c r="H29" s="543"/>
      <c r="I29" s="362"/>
      <c r="J29" s="353"/>
      <c r="K29" s="347"/>
      <c r="L29" s="347"/>
      <c r="M29" s="354"/>
    </row>
    <row r="30" spans="1:13" ht="16.5" thickBot="1">
      <c r="A30" s="44" t="s">
        <v>79</v>
      </c>
      <c r="B30" s="545">
        <f>B28-B29</f>
        <v>1594987</v>
      </c>
      <c r="C30" s="128"/>
      <c r="D30" s="545">
        <f>D28-D29</f>
        <v>1682333</v>
      </c>
      <c r="E30" s="128"/>
      <c r="F30" s="545">
        <f>F28-F29</f>
        <v>2488375</v>
      </c>
      <c r="G30" s="128"/>
      <c r="H30" s="128"/>
      <c r="J30" s="353" t="str">
        <f>CONCATENATE("",H2," Ad Valorem Tax Revenue:")</f>
        <v>2015 Ad Valorem Tax Revenue:</v>
      </c>
      <c r="K30" s="347"/>
      <c r="L30" s="347"/>
      <c r="M30" s="348">
        <f>G28</f>
        <v>467841</v>
      </c>
    </row>
    <row r="31" spans="1:13" ht="16.5" thickTop="1">
      <c r="A31" s="44" t="s">
        <v>80</v>
      </c>
      <c r="B31" s="541">
        <f>inputPrYr!$E$99</f>
        <v>438450</v>
      </c>
      <c r="C31" s="160"/>
      <c r="D31" s="541">
        <f>inputPrYr!$E$31</f>
        <v>460774</v>
      </c>
      <c r="E31" s="160"/>
      <c r="F31" s="546" t="s">
        <v>516</v>
      </c>
      <c r="G31" s="128"/>
      <c r="H31" s="128"/>
      <c r="J31" s="353" t="str">
        <f>CONCATENATE("",H2-1," Ad Valorem Tax Revenue:")</f>
        <v>2014 Ad Valorem Tax Revenue:</v>
      </c>
      <c r="K31" s="347"/>
      <c r="L31" s="347"/>
      <c r="M31" s="361" t="e">
        <f>ROUND(F33*#REF!/1000,0)</f>
        <v>#REF!</v>
      </c>
    </row>
    <row r="32" spans="1:13" ht="15.75">
      <c r="A32" s="44" t="s">
        <v>81</v>
      </c>
      <c r="B32" s="547"/>
      <c r="C32" s="128"/>
      <c r="D32" s="548"/>
      <c r="E32" s="549"/>
      <c r="F32" s="547"/>
      <c r="G32" s="128"/>
      <c r="H32" s="128"/>
      <c r="J32" s="358" t="s">
        <v>303</v>
      </c>
      <c r="K32" s="359"/>
      <c r="L32" s="359"/>
      <c r="M32" s="351" t="e">
        <f>SUM(M30-M31)</f>
        <v>#REF!</v>
      </c>
    </row>
    <row r="33" spans="1:13" ht="15.75">
      <c r="A33" s="44" t="s">
        <v>82</v>
      </c>
      <c r="B33" s="541">
        <f>inputPrYr!$E$100</f>
        <v>6118825</v>
      </c>
      <c r="C33" s="161"/>
      <c r="D33" s="541">
        <f>inputOth!$E$36</f>
        <v>6281035</v>
      </c>
      <c r="E33" s="161"/>
      <c r="F33" s="541">
        <f>inputOth!$E$7</f>
        <v>6357609</v>
      </c>
      <c r="G33" s="128"/>
      <c r="H33" s="128"/>
      <c r="J33" s="352"/>
      <c r="K33" s="352"/>
      <c r="L33" s="352"/>
      <c r="M33" s="360"/>
    </row>
    <row r="34" spans="1:13" ht="15.75">
      <c r="A34" s="44" t="s">
        <v>83</v>
      </c>
      <c r="B34" s="43"/>
      <c r="C34" s="43"/>
      <c r="D34" s="43"/>
      <c r="E34" s="43"/>
      <c r="F34" s="43"/>
      <c r="G34" s="43"/>
      <c r="H34" s="43"/>
      <c r="J34" s="617" t="s">
        <v>304</v>
      </c>
      <c r="K34" s="622"/>
      <c r="L34" s="622"/>
      <c r="M34" s="623"/>
    </row>
    <row r="35" spans="1:13" ht="15.75">
      <c r="A35" s="44" t="s">
        <v>84</v>
      </c>
      <c r="B35" s="300">
        <f>$H$2-3</f>
        <v>2012</v>
      </c>
      <c r="C35" s="43"/>
      <c r="D35" s="300">
        <f>$H$2-2</f>
        <v>2013</v>
      </c>
      <c r="E35" s="43"/>
      <c r="F35" s="300">
        <f>$H$2-1</f>
        <v>2014</v>
      </c>
      <c r="G35" s="43"/>
      <c r="H35" s="43"/>
      <c r="J35" s="353"/>
      <c r="K35" s="347"/>
      <c r="L35" s="347"/>
      <c r="M35" s="354"/>
    </row>
    <row r="36" spans="1:13" ht="13.5" customHeight="1">
      <c r="A36" s="44" t="s">
        <v>85</v>
      </c>
      <c r="B36" s="468">
        <f>inputPrYr!$D$104</f>
        <v>838268</v>
      </c>
      <c r="C36" s="128"/>
      <c r="D36" s="468">
        <f>inputPrYr!$E$104</f>
        <v>762516</v>
      </c>
      <c r="E36" s="128"/>
      <c r="F36" s="468">
        <f>debt!$G$20</f>
        <v>750808</v>
      </c>
      <c r="G36" s="43"/>
      <c r="H36" s="43"/>
      <c r="J36" s="353" t="str">
        <f>CONCATENATE("Current ",H2," Estimated Mill Rate:")</f>
        <v>Current 2015 Estimated Mill Rate:</v>
      </c>
      <c r="K36" s="347"/>
      <c r="L36" s="347"/>
      <c r="M36" s="355">
        <f>H28</f>
        <v>73.58757042152168</v>
      </c>
    </row>
    <row r="37" spans="1:13" ht="15.75">
      <c r="A37" s="44" t="s">
        <v>86</v>
      </c>
      <c r="B37" s="541">
        <f>inputPrYr!$D$105</f>
        <v>0</v>
      </c>
      <c r="C37" s="128"/>
      <c r="D37" s="541">
        <f>inputPrYr!$E$105</f>
        <v>0</v>
      </c>
      <c r="E37" s="128"/>
      <c r="F37" s="468">
        <f>debt!$G$32</f>
        <v>0</v>
      </c>
      <c r="G37" s="43"/>
      <c r="H37" s="43"/>
      <c r="J37" s="353" t="str">
        <f>CONCATENATE("Desired ",H2," Mill Rate:")</f>
        <v>Desired 2015 Mill Rate:</v>
      </c>
      <c r="K37" s="347"/>
      <c r="L37" s="347"/>
      <c r="M37" s="345">
        <v>0</v>
      </c>
    </row>
    <row r="38" spans="1:13" ht="18.75" customHeight="1">
      <c r="A38" s="43" t="s">
        <v>104</v>
      </c>
      <c r="B38" s="541">
        <f>inputPrYr!$D$106</f>
        <v>0</v>
      </c>
      <c r="C38" s="128"/>
      <c r="D38" s="541">
        <f>inputPrYr!$E$106</f>
        <v>592149</v>
      </c>
      <c r="E38" s="128"/>
      <c r="F38" s="468">
        <f>debt!$G$42</f>
        <v>571962</v>
      </c>
      <c r="G38" s="43"/>
      <c r="H38" s="43"/>
      <c r="J38" s="353" t="str">
        <f>CONCATENATE("",H2," Ad Valorem Tax:")</f>
        <v>2015 Ad Valorem Tax:</v>
      </c>
      <c r="K38" s="347"/>
      <c r="L38" s="347"/>
      <c r="M38" s="361">
        <f>ROUND(F33*M37/1000,0)</f>
        <v>0</v>
      </c>
    </row>
    <row r="39" spans="1:13" ht="18.75" customHeight="1">
      <c r="A39" s="44" t="s">
        <v>170</v>
      </c>
      <c r="B39" s="541">
        <f>inputPrYr!$D$107</f>
        <v>0</v>
      </c>
      <c r="C39" s="128"/>
      <c r="D39" s="541">
        <f>inputPrYr!$E$107</f>
        <v>0</v>
      </c>
      <c r="E39" s="128"/>
      <c r="F39" s="468">
        <f>lpform!$G$28</f>
        <v>0</v>
      </c>
      <c r="G39" s="43"/>
      <c r="H39" s="43"/>
      <c r="J39" s="358" t="str">
        <f>CONCATENATE("",H2," Tax Levy Fund Exp. Changed By:")</f>
        <v>2015 Tax Levy Fund Exp. Changed By:</v>
      </c>
      <c r="K39" s="359"/>
      <c r="L39" s="359"/>
      <c r="M39" s="351">
        <f>IF(M37=0,0,(M38-G28))</f>
        <v>0</v>
      </c>
    </row>
    <row r="40" spans="1:8" ht="18.75" customHeight="1" thickBot="1">
      <c r="A40" s="44" t="s">
        <v>87</v>
      </c>
      <c r="B40" s="550">
        <f>SUM(B36:B39)</f>
        <v>838268</v>
      </c>
      <c r="C40" s="128"/>
      <c r="D40" s="550">
        <f>SUM(D36:D39)</f>
        <v>1354665</v>
      </c>
      <c r="E40" s="128"/>
      <c r="F40" s="550">
        <f>SUM(F36:F39)</f>
        <v>1322770</v>
      </c>
      <c r="G40" s="43"/>
      <c r="H40" s="43"/>
    </row>
    <row r="41" spans="1:8" ht="18.75" customHeight="1" thickTop="1">
      <c r="A41" s="44" t="s">
        <v>88</v>
      </c>
      <c r="B41" s="43"/>
      <c r="C41" s="43"/>
      <c r="D41" s="43"/>
      <c r="E41" s="43"/>
      <c r="F41" s="43"/>
      <c r="G41" s="43"/>
      <c r="H41" s="43"/>
    </row>
    <row r="42" spans="1:8" ht="15.75">
      <c r="A42" s="43"/>
      <c r="B42" s="43"/>
      <c r="C42" s="43"/>
      <c r="D42" s="43"/>
      <c r="E42" s="43"/>
      <c r="F42" s="43"/>
      <c r="G42" s="43"/>
      <c r="H42" s="43"/>
    </row>
    <row r="43" spans="1:8" ht="15.75">
      <c r="A43" s="621" t="str">
        <f>inputBudSum!B3</f>
        <v>Kasper Lechtenberg</v>
      </c>
      <c r="B43" s="621"/>
      <c r="C43" s="68"/>
      <c r="D43" s="43"/>
      <c r="E43" s="43"/>
      <c r="F43" s="43"/>
      <c r="G43" s="43"/>
      <c r="H43" s="43"/>
    </row>
    <row r="44" spans="1:8" ht="15.75">
      <c r="A44" s="160" t="s">
        <v>199</v>
      </c>
      <c r="B44" s="407" t="str">
        <f>inputBudSum!B5</f>
        <v>City Clerk</v>
      </c>
      <c r="C44" s="43"/>
      <c r="D44" s="43"/>
      <c r="E44" s="43"/>
      <c r="F44" s="43"/>
      <c r="G44" s="43"/>
      <c r="H44" s="43"/>
    </row>
    <row r="45" spans="1:8" ht="15.75">
      <c r="A45" s="43"/>
      <c r="B45" s="43"/>
      <c r="C45" s="43"/>
      <c r="D45" s="43"/>
      <c r="E45" s="43"/>
      <c r="F45" s="43"/>
      <c r="G45" s="43"/>
      <c r="H45" s="43"/>
    </row>
    <row r="46" spans="1:8" ht="15.75">
      <c r="A46" s="43"/>
      <c r="B46" s="43"/>
      <c r="C46" s="128" t="s">
        <v>66</v>
      </c>
      <c r="D46" s="264">
        <v>15</v>
      </c>
      <c r="E46" s="43"/>
      <c r="F46" s="43"/>
      <c r="G46" s="43"/>
      <c r="H46" s="43"/>
    </row>
  </sheetData>
  <sheetProtection/>
  <mergeCells count="11">
    <mergeCell ref="A1:H1"/>
    <mergeCell ref="A4:H4"/>
    <mergeCell ref="A6:H6"/>
    <mergeCell ref="A7:H7"/>
    <mergeCell ref="A3:H3"/>
    <mergeCell ref="J7:M7"/>
    <mergeCell ref="J11:M11"/>
    <mergeCell ref="A5:H5"/>
    <mergeCell ref="A43:B43"/>
    <mergeCell ref="J34:M34"/>
    <mergeCell ref="J28:M28"/>
  </mergeCells>
  <printOptions/>
  <pageMargins left="1" right="0.5" top="1" bottom="0.5" header="0.5" footer="0.5"/>
  <pageSetup blackAndWhite="1" fitToHeight="1" fitToWidth="1" horizontalDpi="120" verticalDpi="120" orientation="portrait" scale="66"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zoomScalePageLayoutView="0" workbookViewId="0" topLeftCell="A13">
      <selection activeCell="B22" sqref="B22"/>
    </sheetView>
  </sheetViews>
  <sheetFormatPr defaultColWidth="8.796875" defaultRowHeight="15"/>
  <cols>
    <col min="1" max="1" width="15.796875" style="41" customWidth="1"/>
    <col min="2" max="2" width="22.09765625" style="41" customWidth="1"/>
    <col min="3" max="3" width="9.796875" style="41" customWidth="1"/>
    <col min="4" max="4" width="15.09765625" style="41" customWidth="1"/>
    <col min="5" max="5" width="15.796875" style="41" customWidth="1"/>
    <col min="6" max="6" width="1.8984375" style="41" customWidth="1"/>
    <col min="7" max="7" width="18.69921875" style="41" customWidth="1"/>
    <col min="8" max="16384" width="8.8984375" style="41" customWidth="1"/>
  </cols>
  <sheetData>
    <row r="1" spans="1:5" ht="15.75">
      <c r="A1" s="560" t="s">
        <v>24</v>
      </c>
      <c r="B1" s="561"/>
      <c r="C1" s="561"/>
      <c r="D1" s="561"/>
      <c r="E1" s="561"/>
    </row>
    <row r="2" spans="1:5" ht="15.75">
      <c r="A2" s="42" t="s">
        <v>15</v>
      </c>
      <c r="B2" s="43"/>
      <c r="C2" s="43"/>
      <c r="D2" s="494" t="s">
        <v>412</v>
      </c>
      <c r="E2" s="495"/>
    </row>
    <row r="3" spans="1:5" ht="15.75">
      <c r="A3" s="42" t="s">
        <v>16</v>
      </c>
      <c r="B3" s="43"/>
      <c r="C3" s="43"/>
      <c r="D3" s="494" t="s">
        <v>413</v>
      </c>
      <c r="E3" s="495"/>
    </row>
    <row r="4" spans="1:5" ht="15.75">
      <c r="A4" s="44"/>
      <c r="B4" s="43"/>
      <c r="C4" s="43"/>
      <c r="D4" s="45"/>
      <c r="E4" s="43"/>
    </row>
    <row r="5" spans="1:5" ht="15.75">
      <c r="A5" s="42" t="s">
        <v>193</v>
      </c>
      <c r="B5" s="43"/>
      <c r="C5" s="46">
        <v>2015</v>
      </c>
      <c r="D5" s="45"/>
      <c r="E5" s="43"/>
    </row>
    <row r="6" spans="1:5" ht="15.75">
      <c r="A6" s="43"/>
      <c r="B6" s="43"/>
      <c r="C6" s="43"/>
      <c r="D6" s="43"/>
      <c r="E6" s="43"/>
    </row>
    <row r="7" spans="1:5" ht="15.75">
      <c r="A7" s="47" t="s">
        <v>244</v>
      </c>
      <c r="B7" s="48"/>
      <c r="C7" s="48"/>
      <c r="D7" s="48"/>
      <c r="E7" s="48"/>
    </row>
    <row r="8" spans="1:8" ht="15.75">
      <c r="A8" s="47" t="s">
        <v>243</v>
      </c>
      <c r="B8" s="48"/>
      <c r="C8" s="48"/>
      <c r="D8" s="48"/>
      <c r="E8" s="48"/>
      <c r="F8" s="43"/>
      <c r="G8" s="562" t="s">
        <v>318</v>
      </c>
      <c r="H8" s="563"/>
    </row>
    <row r="9" spans="1:8" ht="15.75">
      <c r="A9" s="47"/>
      <c r="B9" s="48"/>
      <c r="C9" s="48"/>
      <c r="D9" s="48"/>
      <c r="E9" s="48"/>
      <c r="F9" s="43"/>
      <c r="G9" s="564"/>
      <c r="H9" s="563"/>
    </row>
    <row r="10" spans="1:8" ht="15.75">
      <c r="A10" s="558" t="s">
        <v>234</v>
      </c>
      <c r="B10" s="559"/>
      <c r="C10" s="559"/>
      <c r="D10" s="559"/>
      <c r="E10" s="559"/>
      <c r="F10" s="43"/>
      <c r="G10" s="564"/>
      <c r="H10" s="563"/>
    </row>
    <row r="11" spans="1:8" ht="15.75">
      <c r="A11" s="43"/>
      <c r="B11" s="43"/>
      <c r="C11" s="43"/>
      <c r="D11" s="43"/>
      <c r="E11" s="43"/>
      <c r="F11" s="43"/>
      <c r="G11" s="564"/>
      <c r="H11" s="563"/>
    </row>
    <row r="12" spans="1:8" ht="15.75">
      <c r="A12" s="49" t="s">
        <v>235</v>
      </c>
      <c r="B12" s="50"/>
      <c r="C12" s="43"/>
      <c r="D12" s="43"/>
      <c r="E12" s="43"/>
      <c r="F12" s="43"/>
      <c r="G12" s="564"/>
      <c r="H12" s="563"/>
    </row>
    <row r="13" spans="1:8" ht="15.75">
      <c r="A13" s="51" t="str">
        <f>CONCATENATE("the ",C5-1," Budget, Certificate Page:")</f>
        <v>the 2014 Budget, Certificate Page:</v>
      </c>
      <c r="B13" s="52"/>
      <c r="C13" s="43"/>
      <c r="D13" s="43"/>
      <c r="E13" s="43"/>
      <c r="F13" s="43"/>
      <c r="G13" s="564"/>
      <c r="H13" s="563"/>
    </row>
    <row r="14" spans="1:8" ht="15.75">
      <c r="A14" s="51" t="s">
        <v>246</v>
      </c>
      <c r="B14" s="52"/>
      <c r="C14" s="43"/>
      <c r="D14" s="43"/>
      <c r="E14" s="43"/>
      <c r="F14" s="43"/>
      <c r="G14" s="68"/>
      <c r="H14" s="396"/>
    </row>
    <row r="15" spans="1:8" ht="15.75">
      <c r="A15" s="43"/>
      <c r="B15" s="43"/>
      <c r="C15" s="43"/>
      <c r="D15" s="53">
        <f>C5-1</f>
        <v>2014</v>
      </c>
      <c r="E15" s="53">
        <f>C5-2</f>
        <v>2013</v>
      </c>
      <c r="G15" s="188" t="s">
        <v>319</v>
      </c>
      <c r="H15" s="148" t="s">
        <v>71</v>
      </c>
    </row>
    <row r="16" spans="1:8" ht="15.75">
      <c r="A16" s="44" t="s">
        <v>25</v>
      </c>
      <c r="B16" s="43"/>
      <c r="C16" s="54" t="s">
        <v>26</v>
      </c>
      <c r="D16" s="55" t="s">
        <v>245</v>
      </c>
      <c r="E16" s="55" t="s">
        <v>20</v>
      </c>
      <c r="G16" s="189" t="str">
        <f>CONCATENATE("",E15," Ad Valorem Tax")</f>
        <v>2013 Ad Valorem Tax</v>
      </c>
      <c r="H16" s="397">
        <v>0.04</v>
      </c>
    </row>
    <row r="17" spans="1:7" ht="15.75">
      <c r="A17" s="43"/>
      <c r="B17" s="56" t="s">
        <v>27</v>
      </c>
      <c r="C17" s="148" t="s">
        <v>166</v>
      </c>
      <c r="D17" s="58">
        <v>926106</v>
      </c>
      <c r="E17" s="58">
        <v>439421</v>
      </c>
      <c r="G17" s="217">
        <f>IF(H16&gt;0,ROUND(E17-(E17*H16),0),0)</f>
        <v>421844</v>
      </c>
    </row>
    <row r="18" spans="1:7" ht="15.75">
      <c r="A18" s="43"/>
      <c r="B18" s="56"/>
      <c r="C18" s="148"/>
      <c r="D18" s="59"/>
      <c r="E18" s="59"/>
      <c r="G18" s="217">
        <f>IF(H16&gt;0,ROUND(E18-(E18*H16),0),0)</f>
        <v>0</v>
      </c>
    </row>
    <row r="19" spans="1:7" ht="15.75">
      <c r="A19" s="43"/>
      <c r="B19" s="56"/>
      <c r="C19" s="148"/>
      <c r="D19" s="59"/>
      <c r="E19" s="59"/>
      <c r="G19" s="217">
        <f>IF(H16&gt;0,ROUND(E19-(E19*H16),0),0)</f>
        <v>0</v>
      </c>
    </row>
    <row r="20" spans="1:5" ht="15.75">
      <c r="A20" s="44" t="s">
        <v>28</v>
      </c>
      <c r="B20" s="43"/>
      <c r="C20" s="43"/>
      <c r="D20" s="43"/>
      <c r="E20" s="60"/>
    </row>
    <row r="21" spans="1:7" ht="15.75">
      <c r="A21" s="43"/>
      <c r="B21" s="61" t="s">
        <v>521</v>
      </c>
      <c r="C21" s="332" t="s">
        <v>414</v>
      </c>
      <c r="D21" s="59">
        <v>92106</v>
      </c>
      <c r="E21" s="59">
        <v>21353</v>
      </c>
      <c r="G21" s="217">
        <f>IF(H16&gt;0,ROUND(E21-(E21*H16),0),0)</f>
        <v>20499</v>
      </c>
    </row>
    <row r="22" spans="1:7" ht="15.75">
      <c r="A22" s="43"/>
      <c r="B22" s="61"/>
      <c r="C22" s="332"/>
      <c r="D22" s="59"/>
      <c r="E22" s="59"/>
      <c r="G22" s="217">
        <f>IF(H16&gt;0,ROUND(E22-(E22*H16),0),0)</f>
        <v>0</v>
      </c>
    </row>
    <row r="23" spans="1:7" ht="15.75">
      <c r="A23" s="43"/>
      <c r="B23" s="61"/>
      <c r="C23" s="332"/>
      <c r="D23" s="59"/>
      <c r="E23" s="59"/>
      <c r="G23" s="217">
        <f>IF(H16&gt;0,ROUND(E23-(E23*H16),0),0)</f>
        <v>0</v>
      </c>
    </row>
    <row r="24" spans="1:7" ht="15.75">
      <c r="A24" s="43"/>
      <c r="B24" s="61"/>
      <c r="C24" s="332"/>
      <c r="D24" s="59"/>
      <c r="E24" s="59"/>
      <c r="G24" s="217">
        <f>IF(H16&gt;0,ROUND(E24-(E24*H16),0),0)</f>
        <v>0</v>
      </c>
    </row>
    <row r="25" spans="1:7" ht="15.75">
      <c r="A25" s="43"/>
      <c r="B25" s="61"/>
      <c r="C25" s="332"/>
      <c r="D25" s="59"/>
      <c r="E25" s="59"/>
      <c r="G25" s="217">
        <f>IF(H16&gt;0,ROUND(E25-(E25*H16),0),0)</f>
        <v>0</v>
      </c>
    </row>
    <row r="26" spans="1:7" ht="15.75">
      <c r="A26" s="43"/>
      <c r="B26" s="61"/>
      <c r="C26" s="332"/>
      <c r="D26" s="59"/>
      <c r="E26" s="59"/>
      <c r="G26" s="217">
        <f>IF(H16&gt;0,ROUND(E26-(E26*H16),0),0)</f>
        <v>0</v>
      </c>
    </row>
    <row r="27" spans="1:7" ht="15.75">
      <c r="A27" s="43"/>
      <c r="B27" s="61"/>
      <c r="C27" s="332"/>
      <c r="D27" s="59"/>
      <c r="E27" s="59"/>
      <c r="G27" s="217">
        <f>IF(H16&gt;0,ROUND(E27-(E27*H16),0),0)</f>
        <v>0</v>
      </c>
    </row>
    <row r="28" spans="1:7" ht="15.75">
      <c r="A28" s="43"/>
      <c r="B28" s="61"/>
      <c r="C28" s="332"/>
      <c r="D28" s="59"/>
      <c r="E28" s="59"/>
      <c r="G28" s="217">
        <f>IF(H16&gt;0,ROUND(E28-(E28*H16),0),0)</f>
        <v>0</v>
      </c>
    </row>
    <row r="29" spans="1:7" ht="15.75">
      <c r="A29" s="43"/>
      <c r="B29" s="61"/>
      <c r="C29" s="332"/>
      <c r="D29" s="59"/>
      <c r="E29" s="59"/>
      <c r="G29" s="217">
        <f>IF(H16&gt;0,ROUND(E29-(E29*H16),0),0)</f>
        <v>0</v>
      </c>
    </row>
    <row r="30" spans="1:7" ht="15.75">
      <c r="A30" s="43"/>
      <c r="B30" s="61"/>
      <c r="C30" s="332"/>
      <c r="D30" s="59"/>
      <c r="E30" s="59"/>
      <c r="G30" s="217">
        <f>IF(H16&gt;0,ROUND(E30-(E30*H16),0),0)</f>
        <v>0</v>
      </c>
    </row>
    <row r="31" spans="1:5" ht="15.75">
      <c r="A31" s="62" t="str">
        <f>CONCATENATE("Total Tax Levy Funds for ",C5-1," Budgeted Year")</f>
        <v>Total Tax Levy Funds for 2014 Budgeted Year</v>
      </c>
      <c r="B31" s="63"/>
      <c r="C31" s="64"/>
      <c r="D31" s="65"/>
      <c r="E31" s="66">
        <f>SUM(E17:E30)</f>
        <v>460774</v>
      </c>
    </row>
    <row r="32" spans="1:5" ht="15.75">
      <c r="A32" s="67"/>
      <c r="B32" s="68"/>
      <c r="C32" s="68"/>
      <c r="D32" s="69"/>
      <c r="E32" s="60"/>
    </row>
    <row r="33" spans="1:5" ht="15.75">
      <c r="A33" s="44" t="s">
        <v>198</v>
      </c>
      <c r="B33" s="43"/>
      <c r="C33" s="43"/>
      <c r="D33" s="43"/>
      <c r="E33" s="43"/>
    </row>
    <row r="34" spans="1:5" ht="15.75">
      <c r="A34" s="43"/>
      <c r="B34" s="57" t="s">
        <v>153</v>
      </c>
      <c r="C34" s="43"/>
      <c r="D34" s="59">
        <v>111968</v>
      </c>
      <c r="E34" s="43"/>
    </row>
    <row r="35" spans="1:5" ht="15.75">
      <c r="A35" s="43"/>
      <c r="B35" s="61" t="s">
        <v>415</v>
      </c>
      <c r="C35" s="43"/>
      <c r="D35" s="59">
        <v>2466</v>
      </c>
      <c r="E35" s="43"/>
    </row>
    <row r="36" spans="1:5" ht="15.75">
      <c r="A36" s="43"/>
      <c r="B36" s="61" t="s">
        <v>416</v>
      </c>
      <c r="C36" s="43"/>
      <c r="D36" s="59">
        <v>485241</v>
      </c>
      <c r="E36" s="43"/>
    </row>
    <row r="37" spans="1:5" ht="15.75">
      <c r="A37" s="43"/>
      <c r="B37" s="61" t="s">
        <v>417</v>
      </c>
      <c r="C37" s="43"/>
      <c r="D37" s="59">
        <v>166000</v>
      </c>
      <c r="E37" s="43"/>
    </row>
    <row r="38" spans="1:5" ht="15.75">
      <c r="A38" s="43"/>
      <c r="B38" s="61" t="s">
        <v>418</v>
      </c>
      <c r="C38" s="43"/>
      <c r="D38" s="59">
        <v>296921</v>
      </c>
      <c r="E38" s="43"/>
    </row>
    <row r="39" spans="1:5" ht="15.75">
      <c r="A39" s="43"/>
      <c r="B39" s="61" t="s">
        <v>419</v>
      </c>
      <c r="C39" s="43"/>
      <c r="D39" s="59">
        <v>27000</v>
      </c>
      <c r="E39" s="43"/>
    </row>
    <row r="40" spans="1:5" ht="15.75">
      <c r="A40" s="43"/>
      <c r="B40" s="61"/>
      <c r="C40" s="43"/>
      <c r="D40" s="59"/>
      <c r="E40" s="43"/>
    </row>
    <row r="41" spans="1:5" ht="15.75">
      <c r="A41" s="43"/>
      <c r="B41" s="61"/>
      <c r="C41" s="43"/>
      <c r="D41" s="59"/>
      <c r="E41" s="43"/>
    </row>
    <row r="42" spans="1:5" ht="15.75">
      <c r="A42" s="43"/>
      <c r="B42" s="61"/>
      <c r="C42" s="43"/>
      <c r="D42" s="59"/>
      <c r="E42" s="43"/>
    </row>
    <row r="43" spans="1:5" ht="15.75">
      <c r="A43" s="43"/>
      <c r="B43" s="61"/>
      <c r="C43" s="43"/>
      <c r="D43" s="59"/>
      <c r="E43" s="43"/>
    </row>
    <row r="44" spans="1:5" ht="15.75">
      <c r="A44" s="43"/>
      <c r="B44" s="70"/>
      <c r="C44" s="43"/>
      <c r="D44" s="59"/>
      <c r="E44" s="43"/>
    </row>
    <row r="45" spans="1:5" ht="15.75">
      <c r="A45" s="43"/>
      <c r="B45" s="70"/>
      <c r="C45" s="43"/>
      <c r="D45" s="59"/>
      <c r="E45" s="43"/>
    </row>
    <row r="46" spans="1:5" ht="15.75">
      <c r="A46" s="43"/>
      <c r="B46" s="70"/>
      <c r="C46" s="43"/>
      <c r="D46" s="59"/>
      <c r="E46" s="43"/>
    </row>
    <row r="47" spans="1:5" ht="15.75">
      <c r="A47" s="43"/>
      <c r="B47" s="70"/>
      <c r="C47" s="43"/>
      <c r="D47" s="59"/>
      <c r="E47" s="43"/>
    </row>
    <row r="48" spans="1:5" ht="15.75">
      <c r="A48" s="43"/>
      <c r="B48" s="70"/>
      <c r="C48" s="43"/>
      <c r="D48" s="59"/>
      <c r="E48" s="43"/>
    </row>
    <row r="49" spans="1:5" ht="15.75">
      <c r="A49" s="43"/>
      <c r="B49" s="70"/>
      <c r="C49" s="43"/>
      <c r="D49" s="59"/>
      <c r="E49" s="43"/>
    </row>
    <row r="50" spans="1:5" ht="15.75">
      <c r="A50" s="43" t="s">
        <v>221</v>
      </c>
      <c r="B50" s="71"/>
      <c r="C50" s="43"/>
      <c r="D50" s="43"/>
      <c r="E50" s="43"/>
    </row>
    <row r="51" spans="1:5" ht="15.75">
      <c r="A51" s="43">
        <v>1</v>
      </c>
      <c r="B51" s="70"/>
      <c r="C51" s="43"/>
      <c r="D51" s="59"/>
      <c r="E51" s="43"/>
    </row>
    <row r="52" spans="1:5" ht="15.75">
      <c r="A52" s="43">
        <v>2</v>
      </c>
      <c r="B52" s="70"/>
      <c r="C52" s="43"/>
      <c r="D52" s="59"/>
      <c r="E52" s="43"/>
    </row>
    <row r="53" spans="1:5" ht="15.75">
      <c r="A53" s="43">
        <v>3</v>
      </c>
      <c r="B53" s="70"/>
      <c r="C53" s="43"/>
      <c r="D53" s="59"/>
      <c r="E53" s="43"/>
    </row>
    <row r="54" spans="1:5" ht="15.75">
      <c r="A54" s="43">
        <v>4</v>
      </c>
      <c r="B54" s="70"/>
      <c r="C54" s="43"/>
      <c r="D54" s="59"/>
      <c r="E54" s="43"/>
    </row>
    <row r="55" spans="1:5" ht="15.75">
      <c r="A55" s="62" t="str">
        <f>CONCATENATE("Total Expenditures for ",C5-1," Budgeted Year")</f>
        <v>Total Expenditures for 2014 Budgeted Year</v>
      </c>
      <c r="B55" s="72"/>
      <c r="C55" s="73"/>
      <c r="D55" s="74">
        <f>SUM(D17:D19,D21:D30,D34:D49,D51:D54)</f>
        <v>2107808</v>
      </c>
      <c r="E55" s="43"/>
    </row>
    <row r="56" spans="1:5" ht="15.75">
      <c r="A56" s="43" t="s">
        <v>222</v>
      </c>
      <c r="B56" s="75"/>
      <c r="C56" s="43"/>
      <c r="D56" s="43"/>
      <c r="E56" s="43"/>
    </row>
    <row r="57" spans="1:5" ht="15.75">
      <c r="A57" s="43">
        <v>1</v>
      </c>
      <c r="B57" s="70" t="s">
        <v>512</v>
      </c>
      <c r="C57" s="43"/>
      <c r="D57" s="43"/>
      <c r="E57" s="43"/>
    </row>
    <row r="58" spans="1:5" ht="15.75">
      <c r="A58" s="43">
        <v>2</v>
      </c>
      <c r="B58" s="70" t="s">
        <v>420</v>
      </c>
      <c r="C58" s="43"/>
      <c r="D58" s="43"/>
      <c r="E58" s="43"/>
    </row>
    <row r="59" spans="1:5" ht="15.75">
      <c r="A59" s="43">
        <v>3</v>
      </c>
      <c r="B59" s="70" t="s">
        <v>421</v>
      </c>
      <c r="C59" s="43"/>
      <c r="D59" s="43"/>
      <c r="E59" s="43"/>
    </row>
    <row r="60" spans="1:5" ht="15.75">
      <c r="A60" s="43">
        <v>4</v>
      </c>
      <c r="B60" s="70" t="s">
        <v>510</v>
      </c>
      <c r="C60" s="43"/>
      <c r="D60" s="43"/>
      <c r="E60" s="43"/>
    </row>
    <row r="61" spans="1:5" ht="15.75">
      <c r="A61" s="43">
        <v>5</v>
      </c>
      <c r="B61" s="70" t="s">
        <v>422</v>
      </c>
      <c r="C61" s="43"/>
      <c r="D61" s="43"/>
      <c r="E61" s="43"/>
    </row>
    <row r="62" spans="1:5" ht="15.75">
      <c r="A62" s="43" t="s">
        <v>223</v>
      </c>
      <c r="B62" s="71"/>
      <c r="C62" s="43"/>
      <c r="D62" s="43"/>
      <c r="E62" s="43"/>
    </row>
    <row r="63" spans="1:5" ht="15.75">
      <c r="A63" s="43">
        <v>1</v>
      </c>
      <c r="B63" s="70" t="s">
        <v>511</v>
      </c>
      <c r="C63" s="43"/>
      <c r="D63" s="43"/>
      <c r="E63" s="43"/>
    </row>
    <row r="64" spans="1:5" ht="15.75">
      <c r="A64" s="43">
        <v>2</v>
      </c>
      <c r="B64" s="70" t="s">
        <v>482</v>
      </c>
      <c r="C64" s="43"/>
      <c r="D64" s="43"/>
      <c r="E64" s="43"/>
    </row>
    <row r="65" spans="1:5" ht="15.75">
      <c r="A65" s="43">
        <v>3</v>
      </c>
      <c r="B65" s="70" t="s">
        <v>483</v>
      </c>
      <c r="C65" s="43"/>
      <c r="D65" s="43"/>
      <c r="E65" s="43"/>
    </row>
    <row r="66" spans="1:5" ht="15.75">
      <c r="A66" s="43">
        <v>4</v>
      </c>
      <c r="B66" s="70" t="s">
        <v>423</v>
      </c>
      <c r="C66" s="43"/>
      <c r="D66" s="43"/>
      <c r="E66" s="43"/>
    </row>
    <row r="67" spans="1:5" ht="15.75">
      <c r="A67" s="43">
        <v>5</v>
      </c>
      <c r="B67" s="70" t="s">
        <v>424</v>
      </c>
      <c r="C67" s="43"/>
      <c r="D67" s="43"/>
      <c r="E67" s="43"/>
    </row>
    <row r="68" spans="1:5" ht="15.75">
      <c r="A68" s="43" t="s">
        <v>224</v>
      </c>
      <c r="B68" s="71"/>
      <c r="C68" s="43"/>
      <c r="D68" s="43"/>
      <c r="E68" s="43"/>
    </row>
    <row r="69" spans="1:5" ht="15.75">
      <c r="A69" s="43">
        <v>1</v>
      </c>
      <c r="B69" s="70" t="s">
        <v>425</v>
      </c>
      <c r="C69" s="43"/>
      <c r="D69" s="43"/>
      <c r="E69" s="43"/>
    </row>
    <row r="70" spans="1:5" ht="15.75">
      <c r="A70" s="43">
        <v>2</v>
      </c>
      <c r="B70" s="70" t="s">
        <v>426</v>
      </c>
      <c r="C70" s="43"/>
      <c r="D70" s="43"/>
      <c r="E70" s="43"/>
    </row>
    <row r="71" spans="1:5" ht="15.75">
      <c r="A71" s="43">
        <v>3</v>
      </c>
      <c r="B71" s="70"/>
      <c r="C71" s="43"/>
      <c r="D71" s="43"/>
      <c r="E71" s="43"/>
    </row>
    <row r="72" spans="1:5" ht="15.75">
      <c r="A72" s="43">
        <v>4</v>
      </c>
      <c r="B72" s="70"/>
      <c r="C72" s="43"/>
      <c r="D72" s="43"/>
      <c r="E72" s="43"/>
    </row>
    <row r="73" spans="1:5" ht="15.75">
      <c r="A73" s="43">
        <v>5</v>
      </c>
      <c r="B73" s="70"/>
      <c r="C73" s="43"/>
      <c r="D73" s="43"/>
      <c r="E73" s="43"/>
    </row>
    <row r="74" spans="1:5" ht="15.75">
      <c r="A74" s="43" t="s">
        <v>225</v>
      </c>
      <c r="B74" s="71"/>
      <c r="C74" s="43"/>
      <c r="D74" s="43"/>
      <c r="E74" s="43"/>
    </row>
    <row r="75" spans="1:5" ht="15.75">
      <c r="A75" s="43">
        <v>1</v>
      </c>
      <c r="B75" s="70"/>
      <c r="C75" s="43"/>
      <c r="D75" s="43"/>
      <c r="E75" s="43"/>
    </row>
    <row r="76" spans="1:5" ht="15.75">
      <c r="A76" s="43">
        <v>2</v>
      </c>
      <c r="B76" s="70"/>
      <c r="C76" s="43"/>
      <c r="D76" s="43"/>
      <c r="E76" s="43"/>
    </row>
    <row r="77" spans="1:5" ht="15.75">
      <c r="A77" s="43">
        <v>3</v>
      </c>
      <c r="B77" s="70"/>
      <c r="C77" s="43"/>
      <c r="D77" s="43"/>
      <c r="E77" s="43"/>
    </row>
    <row r="78" spans="1:5" ht="15.75">
      <c r="A78" s="43">
        <v>4</v>
      </c>
      <c r="B78" s="70"/>
      <c r="C78" s="43"/>
      <c r="D78" s="43"/>
      <c r="E78" s="43"/>
    </row>
    <row r="79" spans="1:5" ht="15.75">
      <c r="A79" s="43">
        <v>5</v>
      </c>
      <c r="B79" s="70"/>
      <c r="C79" s="43"/>
      <c r="D79" s="43"/>
      <c r="E79" s="43"/>
    </row>
    <row r="80" spans="1:5" ht="15.75">
      <c r="A80" s="67"/>
      <c r="B80" s="68"/>
      <c r="C80" s="68"/>
      <c r="D80" s="68"/>
      <c r="E80" s="76"/>
    </row>
    <row r="81" spans="1:5" ht="15.75">
      <c r="A81" s="43"/>
      <c r="B81" s="43"/>
      <c r="C81" s="43"/>
      <c r="D81" s="43"/>
      <c r="E81" s="43"/>
    </row>
    <row r="82" spans="1:5" ht="15.75">
      <c r="A82" s="43"/>
      <c r="B82" s="43"/>
      <c r="C82" s="43"/>
      <c r="D82" s="77" t="str">
        <f>CONCATENATE("",C5-3," Tax Rate")</f>
        <v>2012 Tax Rate</v>
      </c>
      <c r="E82" s="43"/>
    </row>
    <row r="83" spans="1:5" ht="15.75">
      <c r="A83" s="51" t="str">
        <f>CONCATENATE("From the ",C5-1," Budget, Budget Summary Page")</f>
        <v>From the 2014 Budget, Budget Summary Page</v>
      </c>
      <c r="B83" s="52"/>
      <c r="C83" s="43"/>
      <c r="D83" s="78" t="str">
        <f>CONCATENATE("(",C5-2," Column)")</f>
        <v>(2013 Column)</v>
      </c>
      <c r="E83" s="43"/>
    </row>
    <row r="84" spans="1:5" ht="15.75">
      <c r="A84" s="43"/>
      <c r="B84" s="79" t="str">
        <f>B17</f>
        <v>General</v>
      </c>
      <c r="C84" s="43"/>
      <c r="D84" s="70">
        <v>67.85</v>
      </c>
      <c r="E84" s="43"/>
    </row>
    <row r="85" spans="1:5" ht="15.75">
      <c r="A85" s="43"/>
      <c r="B85" s="79">
        <f>B18</f>
        <v>0</v>
      </c>
      <c r="C85" s="43"/>
      <c r="D85" s="70"/>
      <c r="E85" s="43"/>
    </row>
    <row r="86" spans="1:5" ht="15.75">
      <c r="A86" s="43"/>
      <c r="B86" s="79">
        <f>B19</f>
        <v>0</v>
      </c>
      <c r="C86" s="43"/>
      <c r="D86" s="70"/>
      <c r="E86" s="43"/>
    </row>
    <row r="87" spans="1:5" ht="15.75">
      <c r="A87" s="43"/>
      <c r="B87" s="79" t="str">
        <f aca="true" t="shared" si="0" ref="B87:B96">B21</f>
        <v>Ambulance and Fire Equip. </v>
      </c>
      <c r="C87" s="43"/>
      <c r="D87" s="70">
        <v>3.806</v>
      </c>
      <c r="E87" s="43"/>
    </row>
    <row r="88" spans="1:5" ht="15.75">
      <c r="A88" s="43"/>
      <c r="B88" s="79">
        <f t="shared" si="0"/>
        <v>0</v>
      </c>
      <c r="C88" s="43"/>
      <c r="D88" s="70"/>
      <c r="E88" s="43"/>
    </row>
    <row r="89" spans="1:5" ht="15.75">
      <c r="A89" s="43"/>
      <c r="B89" s="79">
        <f t="shared" si="0"/>
        <v>0</v>
      </c>
      <c r="C89" s="43"/>
      <c r="D89" s="70"/>
      <c r="E89" s="43"/>
    </row>
    <row r="90" spans="1:5" ht="15.75">
      <c r="A90" s="43"/>
      <c r="B90" s="79">
        <f t="shared" si="0"/>
        <v>0</v>
      </c>
      <c r="C90" s="43"/>
      <c r="D90" s="70"/>
      <c r="E90" s="43"/>
    </row>
    <row r="91" spans="1:5" ht="15.75">
      <c r="A91" s="43"/>
      <c r="B91" s="79">
        <f t="shared" si="0"/>
        <v>0</v>
      </c>
      <c r="C91" s="43"/>
      <c r="D91" s="70"/>
      <c r="E91" s="43"/>
    </row>
    <row r="92" spans="1:5" ht="15.75">
      <c r="A92" s="43"/>
      <c r="B92" s="79">
        <f t="shared" si="0"/>
        <v>0</v>
      </c>
      <c r="C92" s="43"/>
      <c r="D92" s="70"/>
      <c r="E92" s="43"/>
    </row>
    <row r="93" spans="1:5" ht="15.75">
      <c r="A93" s="43"/>
      <c r="B93" s="79">
        <f t="shared" si="0"/>
        <v>0</v>
      </c>
      <c r="C93" s="43"/>
      <c r="D93" s="70"/>
      <c r="E93" s="43"/>
    </row>
    <row r="94" spans="1:5" ht="15.75">
      <c r="A94" s="43"/>
      <c r="B94" s="79">
        <f t="shared" si="0"/>
        <v>0</v>
      </c>
      <c r="C94" s="43"/>
      <c r="D94" s="70"/>
      <c r="E94" s="43"/>
    </row>
    <row r="95" spans="1:5" ht="15.75">
      <c r="A95" s="43"/>
      <c r="B95" s="79">
        <f t="shared" si="0"/>
        <v>0</v>
      </c>
      <c r="C95" s="43"/>
      <c r="D95" s="70"/>
      <c r="E95" s="43"/>
    </row>
    <row r="96" spans="1:5" ht="15.75">
      <c r="A96" s="43"/>
      <c r="B96" s="79">
        <f t="shared" si="0"/>
        <v>0</v>
      </c>
      <c r="C96" s="145"/>
      <c r="D96" s="70"/>
      <c r="E96" s="43"/>
    </row>
    <row r="97" spans="1:5" ht="15.75">
      <c r="A97" s="62" t="s">
        <v>29</v>
      </c>
      <c r="B97" s="63"/>
      <c r="C97" s="73"/>
      <c r="D97" s="80">
        <f>SUM(D84:D96)</f>
        <v>71.65599999999999</v>
      </c>
      <c r="E97" s="43"/>
    </row>
    <row r="98" spans="1:5" ht="15.75">
      <c r="A98" s="43"/>
      <c r="B98" s="43"/>
      <c r="C98" s="43"/>
      <c r="D98" s="43"/>
      <c r="E98" s="43"/>
    </row>
    <row r="99" spans="1:5" ht="15.75">
      <c r="A99" s="81" t="str">
        <f>CONCATENATE("Total Tax Levied (",C5-2," budget column)")</f>
        <v>Total Tax Levied (2013 budget column)</v>
      </c>
      <c r="B99" s="82"/>
      <c r="C99" s="63"/>
      <c r="D99" s="73"/>
      <c r="E99" s="59">
        <v>438450</v>
      </c>
    </row>
    <row r="100" spans="1:5" ht="15.75">
      <c r="A100" s="83" t="str">
        <f>CONCATENATE("Assessed Valuation  (",C5-2," budget column)")</f>
        <v>Assessed Valuation  (2013 budget column)</v>
      </c>
      <c r="B100" s="84"/>
      <c r="C100" s="64"/>
      <c r="D100" s="85"/>
      <c r="E100" s="59">
        <v>6118825</v>
      </c>
    </row>
    <row r="101" spans="1:5" ht="15.75">
      <c r="A101" s="67"/>
      <c r="B101" s="68"/>
      <c r="C101" s="68"/>
      <c r="D101" s="68"/>
      <c r="E101" s="76"/>
    </row>
    <row r="102" spans="1:5" ht="15.75">
      <c r="A102" s="86" t="str">
        <f>CONCATENATE("From the ",C5-1," Budget, Budget Summary Page")</f>
        <v>From the 2014 Budget, Budget Summary Page</v>
      </c>
      <c r="B102" s="87"/>
      <c r="C102" s="43"/>
      <c r="D102" s="88"/>
      <c r="E102" s="89"/>
    </row>
    <row r="103" spans="1:5" ht="15.75">
      <c r="A103" s="50" t="s">
        <v>1</v>
      </c>
      <c r="B103" s="50"/>
      <c r="C103" s="90"/>
      <c r="D103" s="91">
        <f>C5-3</f>
        <v>2012</v>
      </c>
      <c r="E103" s="92">
        <f>C5-2</f>
        <v>2013</v>
      </c>
    </row>
    <row r="104" spans="1:5" ht="15.75">
      <c r="A104" s="93" t="s">
        <v>194</v>
      </c>
      <c r="B104" s="93"/>
      <c r="C104" s="94"/>
      <c r="D104" s="95">
        <v>838268</v>
      </c>
      <c r="E104" s="95">
        <v>762516</v>
      </c>
    </row>
    <row r="105" spans="1:5" ht="15.75">
      <c r="A105" s="96" t="s">
        <v>195</v>
      </c>
      <c r="B105" s="96"/>
      <c r="C105" s="97"/>
      <c r="D105" s="95"/>
      <c r="E105" s="95"/>
    </row>
    <row r="106" spans="1:5" ht="15.75">
      <c r="A106" s="96" t="s">
        <v>196</v>
      </c>
      <c r="B106" s="96"/>
      <c r="C106" s="97"/>
      <c r="D106" s="95"/>
      <c r="E106" s="95">
        <v>592149</v>
      </c>
    </row>
    <row r="107" spans="1:5" ht="15.75">
      <c r="A107" s="96" t="s">
        <v>197</v>
      </c>
      <c r="B107" s="96"/>
      <c r="C107" s="97"/>
      <c r="D107" s="95"/>
      <c r="E107" s="95"/>
    </row>
    <row r="108" spans="1:5" ht="15.75">
      <c r="A108" s="98"/>
      <c r="B108" s="98"/>
      <c r="C108" s="98"/>
      <c r="D108" s="98"/>
      <c r="E108" s="98"/>
    </row>
    <row r="109" spans="1:5" ht="15.75">
      <c r="A109" s="98"/>
      <c r="B109" s="98"/>
      <c r="C109" s="98"/>
      <c r="D109" s="98"/>
      <c r="E109" s="98"/>
    </row>
    <row r="110" spans="1:5" ht="15.75">
      <c r="A110" s="98"/>
      <c r="B110" s="98"/>
      <c r="C110" s="98"/>
      <c r="D110" s="98"/>
      <c r="E110" s="98"/>
    </row>
    <row r="111" spans="1:5" ht="15.75">
      <c r="A111" s="98"/>
      <c r="B111" s="98"/>
      <c r="C111" s="98"/>
      <c r="D111" s="98"/>
      <c r="E111" s="98"/>
    </row>
    <row r="112" spans="1:5" ht="15.75">
      <c r="A112" s="98"/>
      <c r="B112" s="98"/>
      <c r="C112" s="98"/>
      <c r="D112" s="98"/>
      <c r="E112" s="98"/>
    </row>
    <row r="113" spans="1:5" ht="15.75">
      <c r="A113" s="98"/>
      <c r="B113" s="98"/>
      <c r="C113" s="98"/>
      <c r="D113" s="98"/>
      <c r="E113" s="98"/>
    </row>
    <row r="114" s="98" customFormat="1" ht="15"/>
    <row r="115" spans="1:5" ht="15.75">
      <c r="A115" s="98"/>
      <c r="B115" s="98"/>
      <c r="C115" s="98"/>
      <c r="D115" s="98"/>
      <c r="E115" s="98"/>
    </row>
    <row r="116" spans="1:5" ht="15.75">
      <c r="A116" s="98"/>
      <c r="B116" s="98"/>
      <c r="C116" s="98"/>
      <c r="D116" s="98"/>
      <c r="E116" s="98"/>
    </row>
    <row r="117" spans="1:5" ht="15.75">
      <c r="A117" s="98"/>
      <c r="B117" s="98"/>
      <c r="C117" s="98"/>
      <c r="D117" s="98"/>
      <c r="E117" s="98"/>
    </row>
    <row r="118" spans="1:5" ht="15.75">
      <c r="A118" s="98"/>
      <c r="B118" s="98"/>
      <c r="C118" s="98"/>
      <c r="D118" s="98"/>
      <c r="E118" s="98"/>
    </row>
    <row r="119" spans="1:5" ht="15.75">
      <c r="A119" s="98"/>
      <c r="B119" s="98"/>
      <c r="C119" s="98"/>
      <c r="D119" s="98"/>
      <c r="E119" s="98"/>
    </row>
    <row r="120" spans="1:5" ht="15.75">
      <c r="A120" s="98"/>
      <c r="B120" s="98"/>
      <c r="C120" s="98"/>
      <c r="D120" s="98"/>
      <c r="E120" s="98"/>
    </row>
    <row r="121" spans="1:5" ht="15.75">
      <c r="A121" s="98"/>
      <c r="B121" s="98"/>
      <c r="C121" s="98"/>
      <c r="D121" s="98"/>
      <c r="E121" s="98"/>
    </row>
    <row r="122" spans="1:5" ht="15.75">
      <c r="A122" s="98"/>
      <c r="B122" s="98"/>
      <c r="C122" s="98"/>
      <c r="D122" s="98"/>
      <c r="E122" s="98"/>
    </row>
    <row r="123" spans="1:5" ht="15.75">
      <c r="A123" s="98"/>
      <c r="B123" s="98"/>
      <c r="C123" s="98"/>
      <c r="D123" s="98"/>
      <c r="E123" s="98"/>
    </row>
    <row r="124" spans="1:5" ht="15.75">
      <c r="A124" s="98"/>
      <c r="B124" s="98"/>
      <c r="C124" s="98"/>
      <c r="D124" s="98"/>
      <c r="E124" s="98"/>
    </row>
    <row r="125" spans="1:5" ht="15.75">
      <c r="A125" s="98"/>
      <c r="B125" s="98"/>
      <c r="C125" s="98"/>
      <c r="D125" s="98"/>
      <c r="E125" s="98"/>
    </row>
  </sheetData>
  <sheetProtection/>
  <mergeCells count="3">
    <mergeCell ref="A10:E10"/>
    <mergeCell ref="A1:E1"/>
    <mergeCell ref="G8:H13"/>
  </mergeCells>
  <printOptions/>
  <pageMargins left="0.5" right="0.5" top="1" bottom="0.5" header="0.5" footer="0.25"/>
  <pageSetup blackAndWhite="1" fitToHeight="2"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4">
      <selection activeCell="A26" sqref="A26:C26"/>
    </sheetView>
  </sheetViews>
  <sheetFormatPr defaultColWidth="8.796875" defaultRowHeight="15"/>
  <cols>
    <col min="1" max="1" width="10.09765625" style="98" customWidth="1"/>
    <col min="2" max="2" width="21.69921875" style="98" customWidth="1"/>
    <col min="3" max="3" width="11.796875" style="98" customWidth="1"/>
    <col min="4" max="4" width="12.796875" style="98" customWidth="1"/>
    <col min="5" max="5" width="11.796875" style="98" customWidth="1"/>
    <col min="6" max="16384" width="8.8984375" style="98" customWidth="1"/>
  </cols>
  <sheetData>
    <row r="1" spans="1:6" ht="15.75">
      <c r="A1" s="186" t="str">
        <f>inputPrYr!D2</f>
        <v>City of Leoti</v>
      </c>
      <c r="B1" s="43"/>
      <c r="C1" s="43"/>
      <c r="D1" s="43"/>
      <c r="E1" s="43"/>
      <c r="F1" s="43">
        <f>inputPrYr!C5</f>
        <v>2015</v>
      </c>
    </row>
    <row r="2" spans="1:6" ht="15.75">
      <c r="A2" s="43"/>
      <c r="B2" s="43"/>
      <c r="C2" s="43"/>
      <c r="D2" s="43"/>
      <c r="E2" s="43"/>
      <c r="F2" s="43"/>
    </row>
    <row r="3" spans="1:6" ht="15.75">
      <c r="A3" s="43"/>
      <c r="B3" s="591" t="str">
        <f>CONCATENATE("",F1," Neighborhood Revitalization Rebate")</f>
        <v>2015 Neighborhood Revitalization Rebate</v>
      </c>
      <c r="C3" s="628"/>
      <c r="D3" s="628"/>
      <c r="E3" s="628"/>
      <c r="F3" s="43"/>
    </row>
    <row r="4" spans="1:6" ht="15.75">
      <c r="A4" s="43"/>
      <c r="B4" s="43"/>
      <c r="C4" s="43"/>
      <c r="D4" s="43"/>
      <c r="E4" s="43"/>
      <c r="F4" s="43"/>
    </row>
    <row r="5" spans="1:6" ht="51.75" customHeight="1">
      <c r="A5" s="43"/>
      <c r="B5" s="302" t="str">
        <f>CONCATENATE("Budgeted Funds         for ",F1,"")</f>
        <v>Budgeted Funds         for 2015</v>
      </c>
      <c r="C5" s="302" t="str">
        <f>CONCATENATE("",F1-1," Ad Valorem before Rebate**")</f>
        <v>2014 Ad Valorem before Rebate**</v>
      </c>
      <c r="D5" s="303" t="str">
        <f>CONCATENATE("",F1-1," Mil Rate before Rebate")</f>
        <v>2014 Mil Rate before Rebate</v>
      </c>
      <c r="E5" s="304" t="str">
        <f>CONCATENATE("Estimate ",F1," NR Rebate")</f>
        <v>Estimate 2015 NR Rebate</v>
      </c>
      <c r="F5" s="90"/>
    </row>
    <row r="6" spans="1:6" ht="15.75">
      <c r="A6" s="43"/>
      <c r="B6" s="56" t="str">
        <f>inputPrYr!B17</f>
        <v>General</v>
      </c>
      <c r="C6" s="305">
        <v>441298</v>
      </c>
      <c r="D6" s="306">
        <f>IF(C6&gt;0,C6/$D$24,"")</f>
        <v>69.41257318592571</v>
      </c>
      <c r="E6" s="230">
        <f aca="true" t="shared" si="0" ref="E6:E17">IF(C6&gt;0,ROUND(D6*$D$28,0),"")</f>
        <v>3467</v>
      </c>
      <c r="F6" s="90"/>
    </row>
    <row r="7" spans="1:6" ht="15.75">
      <c r="A7" s="43"/>
      <c r="B7" s="56">
        <f>inputPrYr!B18</f>
        <v>0</v>
      </c>
      <c r="C7" s="305"/>
      <c r="D7" s="306">
        <f aca="true" t="shared" si="1" ref="D7:D17">IF(C7&gt;0,C7/$D$24,"")</f>
      </c>
      <c r="E7" s="230">
        <f t="shared" si="0"/>
      </c>
      <c r="F7" s="90"/>
    </row>
    <row r="8" spans="1:6" ht="15.75">
      <c r="A8" s="43"/>
      <c r="B8" s="79">
        <f>inputPrYr!B19</f>
        <v>0</v>
      </c>
      <c r="C8" s="305"/>
      <c r="D8" s="306">
        <f t="shared" si="1"/>
      </c>
      <c r="E8" s="230">
        <f t="shared" si="0"/>
      </c>
      <c r="F8" s="90"/>
    </row>
    <row r="9" spans="1:6" ht="15.75">
      <c r="A9" s="43"/>
      <c r="B9" s="79" t="str">
        <f>inputPrYr!B21</f>
        <v>Ambulance and Fire Equip. </v>
      </c>
      <c r="C9" s="305">
        <v>22715</v>
      </c>
      <c r="D9" s="306">
        <f t="shared" si="1"/>
        <v>3.57288408267951</v>
      </c>
      <c r="E9" s="230">
        <f t="shared" si="0"/>
        <v>178</v>
      </c>
      <c r="F9" s="90"/>
    </row>
    <row r="10" spans="1:6" ht="15.75">
      <c r="A10" s="43"/>
      <c r="B10" s="79">
        <f>inputPrYr!B22</f>
        <v>0</v>
      </c>
      <c r="C10" s="305"/>
      <c r="D10" s="306">
        <f t="shared" si="1"/>
      </c>
      <c r="E10" s="230">
        <f t="shared" si="0"/>
      </c>
      <c r="F10" s="90"/>
    </row>
    <row r="11" spans="1:6" ht="15.75">
      <c r="A11" s="43"/>
      <c r="B11" s="79">
        <f>inputPrYr!B23</f>
        <v>0</v>
      </c>
      <c r="C11" s="305"/>
      <c r="D11" s="306">
        <f t="shared" si="1"/>
      </c>
      <c r="E11" s="230">
        <f t="shared" si="0"/>
      </c>
      <c r="F11" s="90"/>
    </row>
    <row r="12" spans="1:6" ht="15.75">
      <c r="A12" s="43"/>
      <c r="B12" s="79">
        <f>inputPrYr!B24</f>
        <v>0</v>
      </c>
      <c r="C12" s="307"/>
      <c r="D12" s="306">
        <f t="shared" si="1"/>
      </c>
      <c r="E12" s="230">
        <f t="shared" si="0"/>
      </c>
      <c r="F12" s="90"/>
    </row>
    <row r="13" spans="1:6" ht="15.75">
      <c r="A13" s="43"/>
      <c r="B13" s="79">
        <f>inputPrYr!B25</f>
        <v>0</v>
      </c>
      <c r="C13" s="307"/>
      <c r="D13" s="306">
        <f t="shared" si="1"/>
      </c>
      <c r="E13" s="230">
        <f t="shared" si="0"/>
      </c>
      <c r="F13" s="90"/>
    </row>
    <row r="14" spans="1:6" ht="15.75">
      <c r="A14" s="43"/>
      <c r="B14" s="79">
        <f>inputPrYr!B26</f>
        <v>0</v>
      </c>
      <c r="C14" s="307"/>
      <c r="D14" s="306">
        <f t="shared" si="1"/>
      </c>
      <c r="E14" s="230">
        <f t="shared" si="0"/>
      </c>
      <c r="F14" s="90"/>
    </row>
    <row r="15" spans="1:6" ht="15.75">
      <c r="A15" s="43"/>
      <c r="B15" s="79">
        <f>inputPrYr!B27</f>
        <v>0</v>
      </c>
      <c r="C15" s="307"/>
      <c r="D15" s="306">
        <f t="shared" si="1"/>
      </c>
      <c r="E15" s="230">
        <f t="shared" si="0"/>
      </c>
      <c r="F15" s="90"/>
    </row>
    <row r="16" spans="1:6" ht="15.75">
      <c r="A16" s="43"/>
      <c r="B16" s="79">
        <f>inputPrYr!B28</f>
        <v>0</v>
      </c>
      <c r="C16" s="307"/>
      <c r="D16" s="306">
        <f t="shared" si="1"/>
      </c>
      <c r="E16" s="230">
        <f t="shared" si="0"/>
      </c>
      <c r="F16" s="90"/>
    </row>
    <row r="17" spans="1:6" ht="15.75">
      <c r="A17" s="43"/>
      <c r="B17" s="79">
        <f>inputPrYr!B29</f>
        <v>0</v>
      </c>
      <c r="C17" s="307"/>
      <c r="D17" s="306">
        <f t="shared" si="1"/>
      </c>
      <c r="E17" s="230">
        <f t="shared" si="0"/>
      </c>
      <c r="F17" s="90"/>
    </row>
    <row r="18" spans="1:6" ht="15.75">
      <c r="A18" s="43"/>
      <c r="B18" s="79">
        <f>inputPrYr!B30</f>
        <v>0</v>
      </c>
      <c r="C18" s="307"/>
      <c r="D18" s="306">
        <f>IF(C18&gt;0,C18/$D$24,"")</f>
      </c>
      <c r="E18" s="230">
        <f>IF(C18&gt;0,ROUND(D18*$D$28,0),"")</f>
      </c>
      <c r="F18" s="90"/>
    </row>
    <row r="19" spans="1:6" ht="16.5" thickBot="1">
      <c r="A19" s="43"/>
      <c r="B19" s="57" t="s">
        <v>51</v>
      </c>
      <c r="C19" s="308">
        <f>SUM(C6:C18)</f>
        <v>464013</v>
      </c>
      <c r="D19" s="309">
        <f>SUM(D6:D17)</f>
        <v>72.98545726860522</v>
      </c>
      <c r="E19" s="308">
        <f>SUM(E6:E17)</f>
        <v>3645</v>
      </c>
      <c r="F19" s="90"/>
    </row>
    <row r="20" spans="1:6" ht="16.5" thickTop="1">
      <c r="A20" s="43"/>
      <c r="B20" s="43"/>
      <c r="C20" s="43"/>
      <c r="D20" s="43"/>
      <c r="E20" s="43"/>
      <c r="F20" s="90"/>
    </row>
    <row r="21" spans="1:6" ht="15.75">
      <c r="A21" s="43"/>
      <c r="B21" s="43"/>
      <c r="C21" s="43"/>
      <c r="D21" s="43"/>
      <c r="E21" s="43"/>
      <c r="F21" s="90"/>
    </row>
    <row r="22" spans="1:6" ht="15.75">
      <c r="A22" s="629" t="str">
        <f>CONCATENATE("",F1-1," July 1 Valuation:")</f>
        <v>2014 July 1 Valuation:</v>
      </c>
      <c r="B22" s="604"/>
      <c r="C22" s="629"/>
      <c r="D22" s="301">
        <f>inputOth!E7</f>
        <v>6357609</v>
      </c>
      <c r="E22" s="43"/>
      <c r="F22" s="90"/>
    </row>
    <row r="23" spans="1:6" ht="15.75">
      <c r="A23" s="43"/>
      <c r="B23" s="43"/>
      <c r="C23" s="43"/>
      <c r="D23" s="43"/>
      <c r="E23" s="43"/>
      <c r="F23" s="90"/>
    </row>
    <row r="24" spans="1:6" ht="15.75">
      <c r="A24" s="43"/>
      <c r="B24" s="629" t="s">
        <v>240</v>
      </c>
      <c r="C24" s="629"/>
      <c r="D24" s="310">
        <f>IF(D22&gt;0,(D22*0.001),"")</f>
        <v>6357.609</v>
      </c>
      <c r="E24" s="43"/>
      <c r="F24" s="90"/>
    </row>
    <row r="25" spans="1:6" ht="15.75">
      <c r="A25" s="43"/>
      <c r="B25" s="128"/>
      <c r="C25" s="128"/>
      <c r="D25" s="311"/>
      <c r="E25" s="43"/>
      <c r="F25" s="90"/>
    </row>
    <row r="26" spans="1:6" ht="15.75">
      <c r="A26" s="627" t="s">
        <v>241</v>
      </c>
      <c r="B26" s="580"/>
      <c r="C26" s="580"/>
      <c r="D26" s="312">
        <f>inputOth!E17</f>
        <v>49954</v>
      </c>
      <c r="E26" s="60"/>
      <c r="F26" s="60"/>
    </row>
    <row r="27" spans="1:6" ht="15">
      <c r="A27" s="60"/>
      <c r="B27" s="60"/>
      <c r="C27" s="60"/>
      <c r="D27" s="313"/>
      <c r="E27" s="60"/>
      <c r="F27" s="60"/>
    </row>
    <row r="28" spans="1:6" ht="15.75">
      <c r="A28" s="60"/>
      <c r="B28" s="627" t="s">
        <v>242</v>
      </c>
      <c r="C28" s="604"/>
      <c r="D28" s="314">
        <f>IF(D26&gt;0,(D26*0.001),"")</f>
        <v>49.954</v>
      </c>
      <c r="E28" s="60"/>
      <c r="F28" s="60"/>
    </row>
    <row r="29" spans="1:6" ht="15">
      <c r="A29" s="60"/>
      <c r="B29" s="60"/>
      <c r="C29" s="60"/>
      <c r="D29" s="60"/>
      <c r="E29" s="60"/>
      <c r="F29" s="60"/>
    </row>
    <row r="30" spans="1:6" ht="15">
      <c r="A30" s="60"/>
      <c r="B30" s="60"/>
      <c r="C30" s="60"/>
      <c r="D30" s="60"/>
      <c r="E30" s="60"/>
      <c r="F30" s="60"/>
    </row>
    <row r="31" spans="1:6" ht="15">
      <c r="A31" s="60"/>
      <c r="B31" s="60"/>
      <c r="C31" s="60"/>
      <c r="D31" s="60"/>
      <c r="E31" s="60"/>
      <c r="F31" s="60"/>
    </row>
    <row r="32" spans="1:6" ht="15.75">
      <c r="A32" s="326" t="str">
        <f>CONCATENATE("**This information comes from the ",F1," Budget Summary page.  See instructions tab #13 for completing")</f>
        <v>**This information comes from the 2015 Budget Summary page.  See instructions tab #13 for completing</v>
      </c>
      <c r="B32" s="60"/>
      <c r="C32" s="60"/>
      <c r="D32" s="60"/>
      <c r="E32" s="60"/>
      <c r="F32" s="60"/>
    </row>
    <row r="33" spans="1:6" ht="15.75">
      <c r="A33" s="326" t="s">
        <v>265</v>
      </c>
      <c r="B33" s="60"/>
      <c r="C33" s="60"/>
      <c r="D33" s="60"/>
      <c r="E33" s="60"/>
      <c r="F33" s="60"/>
    </row>
    <row r="34" spans="1:6" ht="15.75">
      <c r="A34" s="326"/>
      <c r="B34" s="60"/>
      <c r="C34" s="60"/>
      <c r="D34" s="60"/>
      <c r="E34" s="60"/>
      <c r="F34" s="60"/>
    </row>
    <row r="35" spans="1:6" ht="15.75">
      <c r="A35" s="326"/>
      <c r="B35" s="60"/>
      <c r="C35" s="60"/>
      <c r="D35" s="60"/>
      <c r="E35" s="60"/>
      <c r="F35" s="60"/>
    </row>
    <row r="36" spans="1:6" ht="15.75">
      <c r="A36" s="326"/>
      <c r="B36" s="60"/>
      <c r="C36" s="60"/>
      <c r="D36" s="60"/>
      <c r="E36" s="60"/>
      <c r="F36" s="60"/>
    </row>
    <row r="37" spans="1:6" ht="15.75">
      <c r="A37" s="326"/>
      <c r="B37" s="60"/>
      <c r="C37" s="60"/>
      <c r="D37" s="60"/>
      <c r="E37" s="60"/>
      <c r="F37" s="60"/>
    </row>
    <row r="38" spans="1:6" ht="15">
      <c r="A38" s="60"/>
      <c r="B38" s="60"/>
      <c r="C38" s="60"/>
      <c r="D38" s="60"/>
      <c r="E38" s="60"/>
      <c r="F38" s="60"/>
    </row>
    <row r="39" spans="1:6" ht="15.75">
      <c r="A39" s="60"/>
      <c r="B39" s="177" t="s">
        <v>72</v>
      </c>
      <c r="C39" s="264">
        <v>16</v>
      </c>
      <c r="D39" s="60"/>
      <c r="E39" s="60"/>
      <c r="F39" s="60"/>
    </row>
    <row r="40" spans="1:6" ht="15.75">
      <c r="A40" s="90"/>
      <c r="B40" s="43"/>
      <c r="C40" s="43"/>
      <c r="D40" s="315"/>
      <c r="E40" s="90"/>
      <c r="F40" s="90"/>
    </row>
  </sheetData>
  <sheetProtection/>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7"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C2:I7"/>
  <sheetViews>
    <sheetView zoomScalePageLayoutView="0" workbookViewId="0" topLeftCell="A1">
      <selection activeCell="H10" sqref="H10"/>
    </sheetView>
  </sheetViews>
  <sheetFormatPr defaultColWidth="8.796875" defaultRowHeight="15"/>
  <cols>
    <col min="8" max="8" width="18.59765625" style="0" customWidth="1"/>
  </cols>
  <sheetData>
    <row r="2" ht="15.75">
      <c r="I2" s="523">
        <f>inputPrYr!C5</f>
        <v>2015</v>
      </c>
    </row>
    <row r="3" ht="15.75" thickBot="1"/>
    <row r="4" spans="3:9" ht="19.5" thickBot="1">
      <c r="C4" s="633" t="s">
        <v>405</v>
      </c>
      <c r="D4" s="634"/>
      <c r="E4" s="634"/>
      <c r="F4" s="634"/>
      <c r="G4" s="634"/>
      <c r="H4" s="634"/>
      <c r="I4" s="635"/>
    </row>
    <row r="5" spans="3:9" ht="16.5" thickBot="1">
      <c r="C5" s="520"/>
      <c r="D5" s="520"/>
      <c r="E5" s="521"/>
      <c r="F5" s="522"/>
      <c r="G5" s="520"/>
      <c r="H5" s="520"/>
      <c r="I5" s="520"/>
    </row>
    <row r="6" spans="3:9" ht="15.75">
      <c r="C6" s="636" t="str">
        <f>CONCATENATE("Notice of Vote - ",inputPrYr!D2)</f>
        <v>Notice of Vote - City of Leoti</v>
      </c>
      <c r="D6" s="637"/>
      <c r="E6" s="637"/>
      <c r="F6" s="637"/>
      <c r="G6" s="637"/>
      <c r="H6" s="637"/>
      <c r="I6" s="638"/>
    </row>
    <row r="7" spans="3:9" ht="60.75" customHeight="1" thickBot="1">
      <c r="C7" s="630"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631"/>
      <c r="E7" s="631"/>
      <c r="F7" s="631"/>
      <c r="G7" s="631"/>
      <c r="H7" s="631"/>
      <c r="I7" s="632"/>
    </row>
  </sheetData>
  <sheetProtection/>
  <mergeCells count="3">
    <mergeCell ref="C7:I7"/>
    <mergeCell ref="C4:I4"/>
    <mergeCell ref="C6:I6"/>
  </mergeCells>
  <printOptions/>
  <pageMargins left="0.7" right="0.7" top="0.75" bottom="0.75" header="0.3" footer="0.3"/>
  <pageSetup fitToHeight="1" fitToWidth="1" horizontalDpi="600" verticalDpi="600" orientation="portrait" scale="84" r:id="rId1"/>
</worksheet>
</file>

<file path=xl/worksheets/sheet22.xml><?xml version="1.0" encoding="utf-8"?>
<worksheet xmlns="http://schemas.openxmlformats.org/spreadsheetml/2006/main" xmlns:r="http://schemas.openxmlformats.org/officeDocument/2006/relationships">
  <dimension ref="C2:H12"/>
  <sheetViews>
    <sheetView zoomScalePageLayoutView="0" workbookViewId="0" topLeftCell="A1">
      <selection activeCell="U52" sqref="U52"/>
    </sheetView>
  </sheetViews>
  <sheetFormatPr defaultColWidth="8.796875" defaultRowHeight="15"/>
  <cols>
    <col min="5" max="5" width="12.19921875" style="0" customWidth="1"/>
    <col min="7" max="7" width="3.296875" style="0" customWidth="1"/>
  </cols>
  <sheetData>
    <row r="2" ht="15.75">
      <c r="H2" s="523">
        <f>inputPrYr!C5</f>
        <v>2015</v>
      </c>
    </row>
    <row r="3" ht="15.75" thickBot="1"/>
    <row r="4" spans="3:8" ht="19.5" thickBot="1">
      <c r="C4" s="639" t="s">
        <v>406</v>
      </c>
      <c r="D4" s="640"/>
      <c r="E4" s="640"/>
      <c r="F4" s="640"/>
      <c r="G4" s="640"/>
      <c r="H4" s="641"/>
    </row>
    <row r="5" spans="3:8" ht="16.5" thickBot="1">
      <c r="C5" s="524"/>
      <c r="D5" s="524"/>
      <c r="E5" s="524"/>
      <c r="F5" s="524"/>
      <c r="G5" s="524"/>
      <c r="H5" s="524"/>
    </row>
    <row r="6" spans="3:8" ht="15.75">
      <c r="C6" s="636" t="str">
        <f>CONCATENATE("Notice of Vote - ",inputPrYr!D2)</f>
        <v>Notice of Vote - City of Leoti</v>
      </c>
      <c r="D6" s="637"/>
      <c r="E6" s="637"/>
      <c r="F6" s="637"/>
      <c r="G6" s="637"/>
      <c r="H6" s="638"/>
    </row>
    <row r="7" spans="3:8" ht="15.75">
      <c r="C7" s="642" t="s">
        <v>407</v>
      </c>
      <c r="D7" s="643"/>
      <c r="E7" s="643"/>
      <c r="F7" s="643"/>
      <c r="G7" s="643"/>
      <c r="H7" s="644"/>
    </row>
    <row r="8" spans="3:8" ht="15.75">
      <c r="C8" s="642" t="s">
        <v>408</v>
      </c>
      <c r="D8" s="643"/>
      <c r="E8" s="643"/>
      <c r="F8" s="643"/>
      <c r="G8" s="643"/>
      <c r="H8" s="644"/>
    </row>
    <row r="9" spans="3:8" ht="15.75">
      <c r="C9" s="527" t="str">
        <f>CONCATENATE(H2-1," Budget")</f>
        <v>2014 Budget</v>
      </c>
      <c r="D9" s="531" t="s">
        <v>130</v>
      </c>
      <c r="E9" s="533">
        <f>inputPrYr!E31</f>
        <v>460774</v>
      </c>
      <c r="F9" s="525"/>
      <c r="G9" s="525"/>
      <c r="H9" s="526"/>
    </row>
    <row r="10" spans="3:8" ht="15.75">
      <c r="C10" s="527" t="str">
        <f>CONCATENATE(H2," Budget")</f>
        <v>2015 Budget</v>
      </c>
      <c r="D10" s="531" t="s">
        <v>130</v>
      </c>
      <c r="E10" s="534">
        <f>cert!F32</f>
        <v>467841</v>
      </c>
      <c r="F10" s="525"/>
      <c r="G10" s="525"/>
      <c r="H10" s="526"/>
    </row>
    <row r="11" spans="3:8" ht="15.75">
      <c r="C11" s="527"/>
      <c r="D11" s="525"/>
      <c r="E11" s="525" t="s">
        <v>409</v>
      </c>
      <c r="F11" s="535"/>
      <c r="G11" s="530" t="s">
        <v>410</v>
      </c>
      <c r="H11" s="536"/>
    </row>
    <row r="12" spans="3:8" ht="16.5" thickBot="1">
      <c r="C12" s="528"/>
      <c r="D12" s="529"/>
      <c r="E12" s="529"/>
      <c r="F12" s="529"/>
      <c r="G12" s="529"/>
      <c r="H12" s="532"/>
    </row>
  </sheetData>
  <sheetProtection sheet="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341" t="s">
        <v>279</v>
      </c>
    </row>
    <row r="3" ht="31.5">
      <c r="A3" s="342" t="s">
        <v>280</v>
      </c>
    </row>
    <row r="4" ht="15.75">
      <c r="A4" s="343" t="s">
        <v>281</v>
      </c>
    </row>
    <row r="7" ht="31.5">
      <c r="A7" s="342" t="s">
        <v>282</v>
      </c>
    </row>
    <row r="8" ht="15.75">
      <c r="A8" s="343" t="s">
        <v>283</v>
      </c>
    </row>
    <row r="11" ht="15.75">
      <c r="A11" s="1" t="s">
        <v>284</v>
      </c>
    </row>
    <row r="12" ht="15.75">
      <c r="A12" s="343" t="s">
        <v>285</v>
      </c>
    </row>
    <row r="15" ht="15.75">
      <c r="A15" s="1" t="s">
        <v>286</v>
      </c>
    </row>
    <row r="16" ht="15.75">
      <c r="A16" s="343" t="s">
        <v>287</v>
      </c>
    </row>
    <row r="19" ht="15.75">
      <c r="A19" s="1" t="s">
        <v>288</v>
      </c>
    </row>
    <row r="20" ht="15.75">
      <c r="A20" s="343" t="s">
        <v>289</v>
      </c>
    </row>
    <row r="23" ht="15.75">
      <c r="A23" s="1" t="s">
        <v>290</v>
      </c>
    </row>
    <row r="24" ht="15.75">
      <c r="A24" s="343" t="s">
        <v>291</v>
      </c>
    </row>
    <row r="27" ht="15.75">
      <c r="A27" s="1" t="s">
        <v>292</v>
      </c>
    </row>
    <row r="28" ht="15.75">
      <c r="A28" s="343" t="s">
        <v>293</v>
      </c>
    </row>
    <row r="31" ht="15.75">
      <c r="A31" s="1" t="s">
        <v>294</v>
      </c>
    </row>
    <row r="32" ht="15.75">
      <c r="A32" s="343" t="s">
        <v>295</v>
      </c>
    </row>
    <row r="35" ht="15.75">
      <c r="A35" s="1" t="s">
        <v>296</v>
      </c>
    </row>
    <row r="36" ht="15.75">
      <c r="A36" s="343" t="s">
        <v>297</v>
      </c>
    </row>
    <row r="39" ht="15.75">
      <c r="A39" s="1" t="s">
        <v>298</v>
      </c>
    </row>
    <row r="40" ht="15.75">
      <c r="A40" s="343" t="s">
        <v>299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43">
      <selection activeCell="E47" sqref="E47"/>
    </sheetView>
  </sheetViews>
  <sheetFormatPr defaultColWidth="8.796875" defaultRowHeight="15"/>
  <cols>
    <col min="1" max="1" width="23.59765625" style="98" customWidth="1"/>
    <col min="2" max="2" width="20.796875" style="98" customWidth="1"/>
    <col min="3" max="3" width="9.796875" style="98" customWidth="1"/>
    <col min="4" max="4" width="15.09765625" style="98" customWidth="1"/>
    <col min="5" max="5" width="15.796875" style="98" customWidth="1"/>
    <col min="6" max="16384" width="8.8984375" style="98" customWidth="1"/>
  </cols>
  <sheetData>
    <row r="1" spans="1:5" ht="15.75">
      <c r="A1" s="165" t="str">
        <f>inputPrYr!$D$2</f>
        <v>City of Leoti</v>
      </c>
      <c r="B1" s="60"/>
      <c r="C1" s="60"/>
      <c r="D1" s="60"/>
      <c r="E1" s="164">
        <f>inputPrYr!C5</f>
        <v>2015</v>
      </c>
    </row>
    <row r="2" spans="1:5" ht="15">
      <c r="A2" s="60"/>
      <c r="B2" s="60"/>
      <c r="C2" s="60"/>
      <c r="D2" s="60"/>
      <c r="E2" s="60"/>
    </row>
    <row r="3" spans="1:5" ht="15.75">
      <c r="A3" s="558" t="s">
        <v>234</v>
      </c>
      <c r="B3" s="559"/>
      <c r="C3" s="559"/>
      <c r="D3" s="559"/>
      <c r="E3" s="559"/>
    </row>
    <row r="4" spans="1:5" ht="15">
      <c r="A4" s="60"/>
      <c r="B4" s="60"/>
      <c r="C4" s="60"/>
      <c r="D4" s="60"/>
      <c r="E4" s="60"/>
    </row>
    <row r="5" spans="1:5" ht="15">
      <c r="A5" s="60"/>
      <c r="B5" s="60"/>
      <c r="C5" s="60"/>
      <c r="D5" s="60"/>
      <c r="E5" s="60"/>
    </row>
    <row r="6" spans="1:5" ht="15.75">
      <c r="A6" s="51" t="str">
        <f>CONCATENATE("From the County Clerks ",E1," Budget Information:")</f>
        <v>From the County Clerks 2015 Budget Information:</v>
      </c>
      <c r="B6" s="52"/>
      <c r="C6" s="43"/>
      <c r="D6" s="43"/>
      <c r="E6" s="89"/>
    </row>
    <row r="7" spans="1:5" ht="15.75">
      <c r="A7" s="99" t="str">
        <f>CONCATENATE("Total Assessed Valuation for ",E1-1,"")</f>
        <v>Total Assessed Valuation for 2014</v>
      </c>
      <c r="B7" s="64"/>
      <c r="C7" s="64"/>
      <c r="D7" s="64"/>
      <c r="E7" s="59">
        <v>6357609</v>
      </c>
    </row>
    <row r="8" spans="1:5" ht="15.75">
      <c r="A8" s="99" t="str">
        <f>CONCATENATE("New Improvements for ",E1-1,"")</f>
        <v>New Improvements for 2014</v>
      </c>
      <c r="B8" s="64"/>
      <c r="C8" s="64"/>
      <c r="D8" s="64"/>
      <c r="E8" s="100">
        <v>91473</v>
      </c>
    </row>
    <row r="9" spans="1:5" ht="15.75">
      <c r="A9" s="99" t="str">
        <f>CONCATENATE("Personal Property excluding oil, gas, mobile homes - ",E1-1,"")</f>
        <v>Personal Property excluding oil, gas, mobile homes - 2014</v>
      </c>
      <c r="B9" s="64"/>
      <c r="C9" s="64"/>
      <c r="D9" s="64"/>
      <c r="E9" s="100">
        <v>147075</v>
      </c>
    </row>
    <row r="10" spans="1:5" ht="15.75">
      <c r="A10" s="101" t="s">
        <v>187</v>
      </c>
      <c r="B10" s="64"/>
      <c r="C10" s="64"/>
      <c r="D10" s="64"/>
      <c r="E10" s="79"/>
    </row>
    <row r="11" spans="1:5" ht="15.75">
      <c r="A11" s="99" t="s">
        <v>157</v>
      </c>
      <c r="B11" s="64"/>
      <c r="C11" s="64"/>
      <c r="D11" s="64"/>
      <c r="E11" s="100"/>
    </row>
    <row r="12" spans="1:5" ht="15.75">
      <c r="A12" s="99" t="s">
        <v>158</v>
      </c>
      <c r="B12" s="64"/>
      <c r="C12" s="64"/>
      <c r="D12" s="64"/>
      <c r="E12" s="100"/>
    </row>
    <row r="13" spans="1:5" ht="15.75">
      <c r="A13" s="99" t="s">
        <v>159</v>
      </c>
      <c r="B13" s="64"/>
      <c r="C13" s="64"/>
      <c r="D13" s="64"/>
      <c r="E13" s="100"/>
    </row>
    <row r="14" spans="1:5" ht="15.75">
      <c r="A14" s="99" t="str">
        <f>CONCATENATE("Property that has changed in use for ",E1-1,"")</f>
        <v>Property that has changed in use for 2014</v>
      </c>
      <c r="B14" s="64"/>
      <c r="C14" s="64"/>
      <c r="D14" s="64"/>
      <c r="E14" s="100">
        <v>9068</v>
      </c>
    </row>
    <row r="15" spans="1:5" ht="15.75">
      <c r="A15" s="99" t="str">
        <f>CONCATENATE("Personal Property  excluding oil, gas, mobile homes- ",E1-2,"")</f>
        <v>Personal Property  excluding oil, gas, mobile homes- 2013</v>
      </c>
      <c r="B15" s="64"/>
      <c r="C15" s="64"/>
      <c r="D15" s="64"/>
      <c r="E15" s="100">
        <v>239289</v>
      </c>
    </row>
    <row r="16" spans="1:5" ht="15.75">
      <c r="A16" s="99" t="str">
        <f>CONCATENATE("Gross earnings (intangible) tax estimate for ",E1,"")</f>
        <v>Gross earnings (intangible) tax estimate for 2015</v>
      </c>
      <c r="B16" s="64"/>
      <c r="C16" s="64"/>
      <c r="D16" s="85"/>
      <c r="E16" s="59"/>
    </row>
    <row r="17" spans="1:5" ht="15.75">
      <c r="A17" s="99" t="s">
        <v>188</v>
      </c>
      <c r="B17" s="64"/>
      <c r="C17" s="64"/>
      <c r="D17" s="64"/>
      <c r="E17" s="95">
        <v>49954</v>
      </c>
    </row>
    <row r="18" spans="1:5" ht="15.75">
      <c r="A18" s="67"/>
      <c r="B18" s="68"/>
      <c r="C18" s="68"/>
      <c r="D18" s="68"/>
      <c r="E18" s="76"/>
    </row>
    <row r="19" spans="1:5" ht="15.75">
      <c r="A19" s="67" t="str">
        <f>CONCATENATE("Actual Tax Rates for the ",E1-1," Budget:")</f>
        <v>Actual Tax Rates for the 2014 Budget:</v>
      </c>
      <c r="B19" s="68"/>
      <c r="C19" s="68"/>
      <c r="D19" s="68"/>
      <c r="E19" s="76"/>
    </row>
    <row r="20" spans="1:5" ht="15.75">
      <c r="A20" s="567" t="s">
        <v>43</v>
      </c>
      <c r="B20" s="568"/>
      <c r="C20" s="60"/>
      <c r="D20" s="102" t="s">
        <v>92</v>
      </c>
      <c r="E20" s="76"/>
    </row>
    <row r="21" spans="1:5" ht="15.75">
      <c r="A21" s="62" t="s">
        <v>27</v>
      </c>
      <c r="B21" s="63"/>
      <c r="C21" s="68"/>
      <c r="D21" s="103">
        <v>69.96</v>
      </c>
      <c r="E21" s="76"/>
    </row>
    <row r="22" spans="1:5" ht="15.75">
      <c r="A22" s="99" t="s">
        <v>19</v>
      </c>
      <c r="B22" s="64"/>
      <c r="C22" s="68"/>
      <c r="D22" s="104"/>
      <c r="E22" s="76"/>
    </row>
    <row r="23" spans="1:5" ht="15.75">
      <c r="A23" s="99" t="str">
        <f>IF(inputPrYr!B19&gt;" ",(inputPrYr!B19)," ")</f>
        <v> </v>
      </c>
      <c r="B23" s="64"/>
      <c r="C23" s="68"/>
      <c r="D23" s="104"/>
      <c r="E23" s="76"/>
    </row>
    <row r="24" spans="1:5" ht="15.75">
      <c r="A24" s="99" t="str">
        <f>IF(inputPrYr!B21&gt;" ",(inputPrYr!B21)," ")</f>
        <v>Ambulance and Fire Equip. </v>
      </c>
      <c r="B24" s="64"/>
      <c r="C24" s="68"/>
      <c r="D24" s="104">
        <v>3.4</v>
      </c>
      <c r="E24" s="76"/>
    </row>
    <row r="25" spans="1:5" ht="15.75">
      <c r="A25" s="99" t="str">
        <f>IF(inputPrYr!B22&gt;" ",(inputPrYr!B22)," ")</f>
        <v> </v>
      </c>
      <c r="B25" s="64"/>
      <c r="C25" s="68"/>
      <c r="D25" s="104"/>
      <c r="E25" s="76"/>
    </row>
    <row r="26" spans="1:5" ht="15.75">
      <c r="A26" s="99" t="str">
        <f>IF(inputPrYr!B23&gt;" ",(inputPrYr!B23)," ")</f>
        <v> </v>
      </c>
      <c r="B26" s="105"/>
      <c r="C26" s="68"/>
      <c r="D26" s="106"/>
      <c r="E26" s="76"/>
    </row>
    <row r="27" spans="1:5" ht="15.75">
      <c r="A27" s="99" t="str">
        <f>IF(inputPrYr!B24&gt;" ",(inputPrYr!B24)," ")</f>
        <v> </v>
      </c>
      <c r="B27" s="105"/>
      <c r="C27" s="68"/>
      <c r="D27" s="106"/>
      <c r="E27" s="76"/>
    </row>
    <row r="28" spans="1:5" ht="15.75">
      <c r="A28" s="99" t="str">
        <f>IF(inputPrYr!B25&gt;" ",(inputPrYr!B25)," ")</f>
        <v> </v>
      </c>
      <c r="B28" s="105"/>
      <c r="C28" s="68"/>
      <c r="D28" s="106"/>
      <c r="E28" s="76"/>
    </row>
    <row r="29" spans="1:5" ht="15.75">
      <c r="A29" s="99" t="str">
        <f>IF(inputPrYr!B26&gt;" ",(inputPrYr!B26)," ")</f>
        <v> </v>
      </c>
      <c r="B29" s="105"/>
      <c r="C29" s="68"/>
      <c r="D29" s="106"/>
      <c r="E29" s="76"/>
    </row>
    <row r="30" spans="1:5" ht="15.75">
      <c r="A30" s="99" t="str">
        <f>IF(inputPrYr!B27&gt;" ",(inputPrYr!B27)," ")</f>
        <v> </v>
      </c>
      <c r="B30" s="105"/>
      <c r="C30" s="68"/>
      <c r="D30" s="106"/>
      <c r="E30" s="76"/>
    </row>
    <row r="31" spans="1:5" ht="15.75">
      <c r="A31" s="99" t="str">
        <f>IF(inputPrYr!B28&gt;" ",(inputPrYr!B28)," ")</f>
        <v> </v>
      </c>
      <c r="B31" s="105"/>
      <c r="C31" s="68"/>
      <c r="D31" s="106"/>
      <c r="E31" s="76"/>
    </row>
    <row r="32" spans="1:5" ht="15.75">
      <c r="A32" s="99" t="str">
        <f>IF(inputPrYr!B29&gt;" ",(inputPrYr!B29)," ")</f>
        <v> </v>
      </c>
      <c r="B32" s="105"/>
      <c r="C32" s="68"/>
      <c r="D32" s="106"/>
      <c r="E32" s="76"/>
    </row>
    <row r="33" spans="1:5" ht="15.75">
      <c r="A33" s="99" t="str">
        <f>IF(inputPrYr!B30&gt;" ",(inputPrYr!B30)," ")</f>
        <v> </v>
      </c>
      <c r="B33" s="64"/>
      <c r="C33" s="68"/>
      <c r="D33" s="106"/>
      <c r="E33" s="76"/>
    </row>
    <row r="34" spans="1:5" ht="15.75">
      <c r="A34" s="107"/>
      <c r="B34" s="68"/>
      <c r="C34" s="259" t="s">
        <v>29</v>
      </c>
      <c r="D34" s="399">
        <f>SUM(D21:D33)</f>
        <v>73.36</v>
      </c>
      <c r="E34" s="107"/>
    </row>
    <row r="35" spans="1:5" ht="15">
      <c r="A35" s="107"/>
      <c r="B35" s="107"/>
      <c r="C35" s="107"/>
      <c r="D35" s="107"/>
      <c r="E35" s="107"/>
    </row>
    <row r="36" spans="1:5" ht="15.75">
      <c r="A36" s="63" t="str">
        <f>CONCATENATE("Final Assessed Valuation from the November 1, ",E1-2," Abstract")</f>
        <v>Final Assessed Valuation from the November 1, 2013 Abstract</v>
      </c>
      <c r="B36" s="108"/>
      <c r="C36" s="108"/>
      <c r="D36" s="108"/>
      <c r="E36" s="95">
        <v>6281035</v>
      </c>
    </row>
    <row r="37" spans="1:5" ht="15">
      <c r="A37" s="107"/>
      <c r="B37" s="107"/>
      <c r="C37" s="107"/>
      <c r="D37" s="107"/>
      <c r="E37" s="107"/>
    </row>
    <row r="38" spans="1:5" ht="15.75">
      <c r="A38" s="109" t="str">
        <f>CONCATENATE("From the County Treasurer's Budget Information - ",E1," Budget Year Estimates:")</f>
        <v>From the County Treasurer's Budget Information - 2015 Budget Year Estimates:</v>
      </c>
      <c r="B38" s="50"/>
      <c r="C38" s="50"/>
      <c r="D38" s="110"/>
      <c r="E38" s="89"/>
    </row>
    <row r="39" spans="1:5" ht="15.75">
      <c r="A39" s="62" t="s">
        <v>30</v>
      </c>
      <c r="B39" s="63"/>
      <c r="C39" s="63"/>
      <c r="D39" s="111"/>
      <c r="E39" s="59">
        <v>101157</v>
      </c>
    </row>
    <row r="40" spans="1:5" ht="15.75">
      <c r="A40" s="99" t="s">
        <v>31</v>
      </c>
      <c r="B40" s="64"/>
      <c r="C40" s="64"/>
      <c r="D40" s="112"/>
      <c r="E40" s="59">
        <v>641</v>
      </c>
    </row>
    <row r="41" spans="1:5" ht="15.75">
      <c r="A41" s="99" t="s">
        <v>189</v>
      </c>
      <c r="B41" s="64"/>
      <c r="C41" s="64"/>
      <c r="D41" s="112"/>
      <c r="E41" s="59">
        <v>2785</v>
      </c>
    </row>
    <row r="42" spans="1:5" ht="15.75">
      <c r="A42" s="99" t="s">
        <v>190</v>
      </c>
      <c r="B42" s="64"/>
      <c r="C42" s="64"/>
      <c r="D42" s="112"/>
      <c r="E42" s="59"/>
    </row>
    <row r="43" spans="1:5" ht="15.75">
      <c r="A43" s="99" t="s">
        <v>191</v>
      </c>
      <c r="B43" s="64"/>
      <c r="C43" s="64"/>
      <c r="D43" s="112"/>
      <c r="E43" s="59"/>
    </row>
    <row r="44" spans="1:5" ht="15.75">
      <c r="A44" s="43" t="s">
        <v>192</v>
      </c>
      <c r="B44" s="43"/>
      <c r="C44" s="43"/>
      <c r="D44" s="43"/>
      <c r="E44" s="43"/>
    </row>
    <row r="45" spans="1:5" ht="15.75">
      <c r="A45" s="42" t="s">
        <v>50</v>
      </c>
      <c r="B45" s="48"/>
      <c r="C45" s="48"/>
      <c r="D45" s="43"/>
      <c r="E45" s="43"/>
    </row>
    <row r="46" spans="1:5" ht="15.75">
      <c r="A46" s="62" t="str">
        <f>CONCATENATE("Actual Delinquency for ",E1-3," Tax - (rate .01213 = 1.213%, key in 1.2)")</f>
        <v>Actual Delinquency for 2012 Tax - (rate .01213 = 1.213%, key in 1.2)</v>
      </c>
      <c r="B46" s="63"/>
      <c r="C46" s="63"/>
      <c r="D46" s="73"/>
      <c r="E46" s="398">
        <v>0.026</v>
      </c>
    </row>
    <row r="47" spans="1:5" ht="15.75">
      <c r="A47" s="99" t="s">
        <v>320</v>
      </c>
      <c r="B47" s="99"/>
      <c r="C47" s="64"/>
      <c r="D47" s="64"/>
      <c r="E47" s="398">
        <v>0.05</v>
      </c>
    </row>
    <row r="48" spans="1:5" ht="15.75">
      <c r="A48" s="43"/>
      <c r="B48" s="43"/>
      <c r="C48" s="43"/>
      <c r="D48" s="43"/>
      <c r="E48" s="43"/>
    </row>
    <row r="49" spans="1:5" ht="15.75">
      <c r="A49" s="113" t="s">
        <v>2</v>
      </c>
      <c r="B49" s="114"/>
      <c r="C49" s="115"/>
      <c r="D49" s="115"/>
      <c r="E49" s="115"/>
    </row>
    <row r="50" spans="1:5" ht="15.75">
      <c r="A50" s="116" t="str">
        <f>CONCATENATE("",E1," State Distribution for Kansas Gas Tax")</f>
        <v>2015 State Distribution for Kansas Gas Tax</v>
      </c>
      <c r="B50" s="117"/>
      <c r="C50" s="117"/>
      <c r="D50" s="118"/>
      <c r="E50" s="95">
        <v>39810</v>
      </c>
    </row>
    <row r="51" spans="1:5" ht="15.75">
      <c r="A51" s="119" t="str">
        <f>CONCATENATE("",E1," County Transfers for Gas**")</f>
        <v>2015 County Transfers for Gas**</v>
      </c>
      <c r="B51" s="120"/>
      <c r="C51" s="120"/>
      <c r="D51" s="121"/>
      <c r="E51" s="95"/>
    </row>
    <row r="52" spans="1:5" ht="15.75">
      <c r="A52" s="119" t="str">
        <f>CONCATENATE("Adjusted ",E1-1," State Distribution for Kansas Gas Tax")</f>
        <v>Adjusted 2014 State Distribution for Kansas Gas Tax</v>
      </c>
      <c r="B52" s="120"/>
      <c r="C52" s="120"/>
      <c r="D52" s="121"/>
      <c r="E52" s="95">
        <v>39490</v>
      </c>
    </row>
    <row r="53" spans="1:5" ht="15.75">
      <c r="A53" s="119" t="str">
        <f>CONCATENATE("Adjusted ",E1-1," County Transfers for Gas**")</f>
        <v>Adjusted 2014 County Transfers for Gas**</v>
      </c>
      <c r="B53" s="120"/>
      <c r="C53" s="120"/>
      <c r="D53" s="121"/>
      <c r="E53" s="95"/>
    </row>
    <row r="54" spans="1:5" ht="15">
      <c r="A54" s="569" t="s">
        <v>232</v>
      </c>
      <c r="B54" s="570"/>
      <c r="C54" s="570"/>
      <c r="D54" s="570"/>
      <c r="E54" s="570"/>
    </row>
    <row r="55" spans="1:5" ht="15">
      <c r="A55" s="122" t="s">
        <v>233</v>
      </c>
      <c r="B55" s="122"/>
      <c r="C55" s="122"/>
      <c r="D55" s="122"/>
      <c r="E55" s="122"/>
    </row>
    <row r="56" spans="1:5" ht="15">
      <c r="A56" s="60"/>
      <c r="B56" s="60"/>
      <c r="C56" s="60"/>
      <c r="D56" s="60"/>
      <c r="E56" s="60"/>
    </row>
    <row r="57" spans="1:5" ht="15.75">
      <c r="A57" s="571" t="str">
        <f>CONCATENATE("From the ",E1-2," Budget Certificate Page")</f>
        <v>From the 2013 Budget Certificate Page</v>
      </c>
      <c r="B57" s="572"/>
      <c r="C57" s="60"/>
      <c r="D57" s="60"/>
      <c r="E57" s="60"/>
    </row>
    <row r="58" spans="1:5" ht="15.75">
      <c r="A58" s="123"/>
      <c r="B58" s="123" t="str">
        <f>CONCATENATE("",E1-2," Expenditure Amounts")</f>
        <v>2013 Expenditure Amounts</v>
      </c>
      <c r="C58" s="565" t="str">
        <f>CONCATENATE("Note: If the ",E1-2," budget was amended, then the")</f>
        <v>Note: If the 2013 budget was amended, then the</v>
      </c>
      <c r="D58" s="566"/>
      <c r="E58" s="566"/>
    </row>
    <row r="59" spans="1:5" ht="15.75">
      <c r="A59" s="124" t="s">
        <v>6</v>
      </c>
      <c r="B59" s="124" t="s">
        <v>7</v>
      </c>
      <c r="C59" s="125" t="s">
        <v>8</v>
      </c>
      <c r="D59" s="126"/>
      <c r="E59" s="126"/>
    </row>
    <row r="60" spans="1:5" ht="15.75">
      <c r="A60" s="127" t="str">
        <f>inputPrYr!B17</f>
        <v>General</v>
      </c>
      <c r="B60" s="95">
        <v>934012</v>
      </c>
      <c r="C60" s="125" t="s">
        <v>9</v>
      </c>
      <c r="D60" s="126"/>
      <c r="E60" s="126"/>
    </row>
    <row r="61" spans="1:5" ht="15.75">
      <c r="A61" s="127">
        <f>inputPrYr!B18</f>
        <v>0</v>
      </c>
      <c r="B61" s="95"/>
      <c r="C61" s="125"/>
      <c r="D61" s="126"/>
      <c r="E61" s="126"/>
    </row>
    <row r="62" spans="1:5" ht="15.75">
      <c r="A62" s="127">
        <f>inputPrYr!B19</f>
        <v>0</v>
      </c>
      <c r="B62" s="95"/>
      <c r="C62" s="60"/>
      <c r="D62" s="60"/>
      <c r="E62" s="60"/>
    </row>
    <row r="63" spans="1:5" ht="15.75">
      <c r="A63" s="127" t="str">
        <f>inputPrYr!B21</f>
        <v>Ambulance and Fire Equip. </v>
      </c>
      <c r="B63" s="95">
        <v>88107</v>
      </c>
      <c r="C63" s="60"/>
      <c r="D63" s="60"/>
      <c r="E63" s="60"/>
    </row>
    <row r="64" spans="1:5" ht="15.75">
      <c r="A64" s="127">
        <f>inputPrYr!B22</f>
        <v>0</v>
      </c>
      <c r="B64" s="95"/>
      <c r="C64" s="60"/>
      <c r="D64" s="60"/>
      <c r="E64" s="60"/>
    </row>
    <row r="65" spans="1:5" ht="15.75">
      <c r="A65" s="127">
        <f>inputPrYr!B23</f>
        <v>0</v>
      </c>
      <c r="B65" s="95"/>
      <c r="C65" s="60"/>
      <c r="D65" s="60"/>
      <c r="E65" s="60"/>
    </row>
    <row r="66" spans="1:5" ht="15.75">
      <c r="A66" s="127">
        <f>inputPrYr!B24</f>
        <v>0</v>
      </c>
      <c r="B66" s="95"/>
      <c r="C66" s="60"/>
      <c r="D66" s="60"/>
      <c r="E66" s="60"/>
    </row>
    <row r="67" spans="1:5" ht="15.75">
      <c r="A67" s="127">
        <f>inputPrYr!B25</f>
        <v>0</v>
      </c>
      <c r="B67" s="95"/>
      <c r="C67" s="60"/>
      <c r="D67" s="60"/>
      <c r="E67" s="60"/>
    </row>
    <row r="68" spans="1:5" ht="15.75">
      <c r="A68" s="127">
        <f>inputPrYr!B26</f>
        <v>0</v>
      </c>
      <c r="B68" s="95"/>
      <c r="C68" s="60"/>
      <c r="D68" s="60"/>
      <c r="E68" s="60"/>
    </row>
    <row r="69" spans="1:5" ht="15.75">
      <c r="A69" s="127">
        <f>inputPrYr!B27</f>
        <v>0</v>
      </c>
      <c r="B69" s="95"/>
      <c r="C69" s="60"/>
      <c r="D69" s="60"/>
      <c r="E69" s="60"/>
    </row>
    <row r="70" spans="1:5" ht="15.75">
      <c r="A70" s="127">
        <f>inputPrYr!B28</f>
        <v>0</v>
      </c>
      <c r="B70" s="95"/>
      <c r="C70" s="60"/>
      <c r="D70" s="60"/>
      <c r="E70" s="60"/>
    </row>
    <row r="71" spans="1:5" ht="15.75">
      <c r="A71" s="127">
        <f>inputPrYr!B29</f>
        <v>0</v>
      </c>
      <c r="B71" s="95"/>
      <c r="C71" s="60"/>
      <c r="D71" s="60"/>
      <c r="E71" s="60"/>
    </row>
    <row r="72" spans="1:5" ht="15.75">
      <c r="A72" s="127">
        <f>inputPrYr!B30</f>
        <v>0</v>
      </c>
      <c r="B72" s="95"/>
      <c r="C72" s="60"/>
      <c r="D72" s="60"/>
      <c r="E72" s="60"/>
    </row>
    <row r="73" spans="1:5" ht="15.75">
      <c r="A73" s="127" t="str">
        <f>inputPrYr!B34</f>
        <v>Special Highway</v>
      </c>
      <c r="B73" s="95">
        <v>95000</v>
      </c>
      <c r="C73" s="60"/>
      <c r="D73" s="60"/>
      <c r="E73" s="60"/>
    </row>
    <row r="74" spans="1:5" ht="15.75">
      <c r="A74" s="127" t="str">
        <f>inputPrYr!B35</f>
        <v>Special Parks and Recreation</v>
      </c>
      <c r="B74" s="95">
        <v>2466</v>
      </c>
      <c r="C74" s="60"/>
      <c r="D74" s="60"/>
      <c r="E74" s="60"/>
    </row>
    <row r="75" spans="1:5" ht="15.75">
      <c r="A75" s="127" t="str">
        <f>inputPrYr!B36</f>
        <v>Water Operating</v>
      </c>
      <c r="B75" s="95">
        <v>448241</v>
      </c>
      <c r="C75" s="60"/>
      <c r="D75" s="60"/>
      <c r="E75" s="60"/>
    </row>
    <row r="76" spans="1:5" ht="15.75">
      <c r="A76" s="127" t="str">
        <f>inputPrYr!B37</f>
        <v>Sanitation Operating</v>
      </c>
      <c r="B76" s="95">
        <v>166000</v>
      </c>
      <c r="C76" s="60"/>
      <c r="D76" s="60"/>
      <c r="E76" s="60"/>
    </row>
    <row r="77" spans="1:5" ht="15.75">
      <c r="A77" s="127" t="str">
        <f>inputPrYr!B38</f>
        <v>Sewer Operating</v>
      </c>
      <c r="B77" s="95">
        <v>265923</v>
      </c>
      <c r="C77" s="60"/>
      <c r="D77" s="60"/>
      <c r="E77" s="60"/>
    </row>
    <row r="78" spans="1:5" ht="15.75">
      <c r="A78" s="127" t="str">
        <f>inputPrYr!B39</f>
        <v>Storm Water Operating</v>
      </c>
      <c r="B78" s="95">
        <v>27000</v>
      </c>
      <c r="C78" s="60"/>
      <c r="D78" s="60"/>
      <c r="E78" s="60"/>
    </row>
    <row r="79" spans="1:5" ht="15.75">
      <c r="A79" s="127">
        <f>inputPrYr!B40</f>
        <v>0</v>
      </c>
      <c r="B79" s="95"/>
      <c r="C79" s="60"/>
      <c r="D79" s="60"/>
      <c r="E79" s="60"/>
    </row>
    <row r="80" spans="1:5" ht="15.75">
      <c r="A80" s="127">
        <f>inputPrYr!B41</f>
        <v>0</v>
      </c>
      <c r="B80" s="95"/>
      <c r="C80" s="60"/>
      <c r="D80" s="60"/>
      <c r="E80" s="60"/>
    </row>
    <row r="81" spans="1:5" ht="15.75">
      <c r="A81" s="127">
        <f>inputPrYr!B42</f>
        <v>0</v>
      </c>
      <c r="B81" s="95"/>
      <c r="C81" s="60"/>
      <c r="D81" s="60"/>
      <c r="E81" s="60"/>
    </row>
    <row r="82" spans="1:5" ht="15.75">
      <c r="A82" s="127">
        <f>inputPrYr!B43</f>
        <v>0</v>
      </c>
      <c r="B82" s="95"/>
      <c r="C82" s="60"/>
      <c r="D82" s="60"/>
      <c r="E82" s="60"/>
    </row>
    <row r="83" spans="1:5" ht="15.75">
      <c r="A83" s="127">
        <f>inputPrYr!B44</f>
        <v>0</v>
      </c>
      <c r="B83" s="95"/>
      <c r="C83" s="60"/>
      <c r="D83" s="60"/>
      <c r="E83" s="60"/>
    </row>
    <row r="84" spans="1:5" ht="15.75">
      <c r="A84" s="127">
        <f>inputPrYr!B45</f>
        <v>0</v>
      </c>
      <c r="B84" s="95"/>
      <c r="C84" s="60"/>
      <c r="D84" s="60"/>
      <c r="E84" s="60"/>
    </row>
    <row r="85" spans="1:5" ht="15.75">
      <c r="A85" s="127">
        <f>inputPrYr!B46</f>
        <v>0</v>
      </c>
      <c r="B85" s="95"/>
      <c r="C85" s="60"/>
      <c r="D85" s="60"/>
      <c r="E85" s="60"/>
    </row>
    <row r="86" spans="1:5" ht="15.75">
      <c r="A86" s="127">
        <f>inputPrYr!B47</f>
        <v>0</v>
      </c>
      <c r="B86" s="95"/>
      <c r="C86" s="60"/>
      <c r="D86" s="60"/>
      <c r="E86" s="60"/>
    </row>
    <row r="87" spans="1:5" ht="15.75">
      <c r="A87" s="127">
        <f>inputPrYr!B48</f>
        <v>0</v>
      </c>
      <c r="B87" s="95"/>
      <c r="C87" s="60"/>
      <c r="D87" s="60"/>
      <c r="E87" s="60"/>
    </row>
    <row r="88" spans="1:5" ht="15.75">
      <c r="A88" s="127">
        <f>inputPrYr!B49</f>
        <v>0</v>
      </c>
      <c r="B88" s="95"/>
      <c r="C88" s="60"/>
      <c r="D88" s="60"/>
      <c r="E88" s="60"/>
    </row>
    <row r="89" spans="1:5" ht="15.75">
      <c r="A89" s="127">
        <f>inputPrYr!B51</f>
        <v>0</v>
      </c>
      <c r="B89" s="95"/>
      <c r="C89" s="60"/>
      <c r="D89" s="60"/>
      <c r="E89" s="60"/>
    </row>
    <row r="90" spans="1:5" ht="15.75">
      <c r="A90" s="127">
        <f>inputPrYr!B52</f>
        <v>0</v>
      </c>
      <c r="B90" s="95"/>
      <c r="C90" s="60"/>
      <c r="D90" s="60"/>
      <c r="E90" s="60"/>
    </row>
    <row r="91" spans="1:5" ht="15.75">
      <c r="A91" s="127">
        <f>inputPrYr!B53</f>
        <v>0</v>
      </c>
      <c r="B91" s="95"/>
      <c r="C91" s="60"/>
      <c r="D91" s="60"/>
      <c r="E91" s="60"/>
    </row>
    <row r="92" spans="1:5" ht="15.75">
      <c r="A92" s="127">
        <f>inputPrYr!B54</f>
        <v>0</v>
      </c>
      <c r="B92" s="95"/>
      <c r="C92" s="60"/>
      <c r="D92" s="60"/>
      <c r="E92" s="60"/>
    </row>
  </sheetData>
  <sheetProtection/>
  <mergeCells count="5">
    <mergeCell ref="C58:E58"/>
    <mergeCell ref="A20:B20"/>
    <mergeCell ref="A54:E54"/>
    <mergeCell ref="A3:E3"/>
    <mergeCell ref="A57:B57"/>
  </mergeCells>
  <printOptions/>
  <pageMargins left="0.75" right="0.75" top="1" bottom="1" header="0.5" footer="0.5"/>
  <pageSetup blackAndWhite="1" fitToHeight="1" fitToWidth="1" horizontalDpi="600" verticalDpi="600" orientation="portrait" scale="45" r:id="rId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F8" sqref="F8"/>
    </sheetView>
  </sheetViews>
  <sheetFormatPr defaultColWidth="8.796875" defaultRowHeight="15"/>
  <cols>
    <col min="1" max="1" width="13.796875" style="0" customWidth="1"/>
    <col min="2" max="2" width="16.09765625" style="0" customWidth="1"/>
  </cols>
  <sheetData>
    <row r="1" ht="15">
      <c r="J1" s="400" t="s">
        <v>321</v>
      </c>
    </row>
    <row r="2" spans="1:10" ht="54" customHeight="1">
      <c r="A2" s="573" t="s">
        <v>247</v>
      </c>
      <c r="B2" s="574"/>
      <c r="C2" s="574"/>
      <c r="D2" s="574"/>
      <c r="E2" s="574"/>
      <c r="F2" s="574"/>
      <c r="J2" s="400" t="s">
        <v>322</v>
      </c>
    </row>
    <row r="3" spans="1:10" ht="15.75">
      <c r="A3" s="1" t="s">
        <v>323</v>
      </c>
      <c r="B3" s="496" t="s">
        <v>427</v>
      </c>
      <c r="C3" s="497"/>
      <c r="J3" s="400" t="s">
        <v>324</v>
      </c>
    </row>
    <row r="4" spans="1:10" ht="15.75">
      <c r="A4" s="1"/>
      <c r="B4" s="401"/>
      <c r="J4" s="400" t="s">
        <v>325</v>
      </c>
    </row>
    <row r="5" spans="1:10" ht="15.75">
      <c r="A5" s="1" t="s">
        <v>305</v>
      </c>
      <c r="B5" s="498" t="s">
        <v>428</v>
      </c>
      <c r="J5" s="400" t="s">
        <v>326</v>
      </c>
    </row>
    <row r="6" spans="1:10" ht="15.75">
      <c r="A6" s="320"/>
      <c r="B6" s="320"/>
      <c r="C6" s="320"/>
      <c r="D6" s="321" t="s">
        <v>327</v>
      </c>
      <c r="E6" s="320"/>
      <c r="F6" s="320"/>
      <c r="J6" s="400" t="s">
        <v>328</v>
      </c>
    </row>
    <row r="7" spans="1:10" ht="15.75">
      <c r="A7" s="321" t="s">
        <v>248</v>
      </c>
      <c r="B7" s="498" t="s">
        <v>517</v>
      </c>
      <c r="C7" s="322"/>
      <c r="D7" s="321" t="str">
        <f>IF(B7="","",CONCATENATE("Latest date for notice to be published in your newspaper: ",G18," ",G22,", ",G23))</f>
        <v>Latest date for notice to be published in your newspaper: August 8, 2014</v>
      </c>
      <c r="E7" s="320"/>
      <c r="F7" s="320"/>
      <c r="J7" s="400" t="s">
        <v>329</v>
      </c>
    </row>
    <row r="8" spans="1:10" ht="15.75">
      <c r="A8" s="321"/>
      <c r="B8" s="323"/>
      <c r="C8" s="324"/>
      <c r="D8" s="321"/>
      <c r="E8" s="320"/>
      <c r="F8" s="320"/>
      <c r="J8" s="400" t="s">
        <v>330</v>
      </c>
    </row>
    <row r="9" spans="1:10" ht="15.75">
      <c r="A9" s="321" t="s">
        <v>249</v>
      </c>
      <c r="B9" s="498" t="s">
        <v>518</v>
      </c>
      <c r="C9" s="325"/>
      <c r="D9" s="321"/>
      <c r="E9" s="320"/>
      <c r="F9" s="320"/>
      <c r="J9" s="400" t="s">
        <v>331</v>
      </c>
    </row>
    <row r="10" spans="1:10" ht="15.75">
      <c r="A10" s="321"/>
      <c r="B10" s="321"/>
      <c r="C10" s="321"/>
      <c r="D10" s="321"/>
      <c r="E10" s="320"/>
      <c r="F10" s="320"/>
      <c r="J10" s="400" t="s">
        <v>332</v>
      </c>
    </row>
    <row r="11" spans="1:10" ht="15.75">
      <c r="A11" s="321" t="s">
        <v>250</v>
      </c>
      <c r="B11" s="499" t="s">
        <v>429</v>
      </c>
      <c r="C11" s="500"/>
      <c r="D11" s="500"/>
      <c r="E11" s="501"/>
      <c r="F11" s="320"/>
      <c r="J11" s="400" t="s">
        <v>333</v>
      </c>
    </row>
    <row r="12" spans="1:10" ht="15.75">
      <c r="A12" s="321"/>
      <c r="B12" s="321"/>
      <c r="C12" s="321"/>
      <c r="D12" s="321"/>
      <c r="E12" s="320"/>
      <c r="F12" s="320"/>
      <c r="J12" s="400" t="s">
        <v>334</v>
      </c>
    </row>
    <row r="13" spans="1:6" ht="15.75">
      <c r="A13" s="321"/>
      <c r="B13" s="321"/>
      <c r="C13" s="321"/>
      <c r="D13" s="321"/>
      <c r="E13" s="320"/>
      <c r="F13" s="320"/>
    </row>
    <row r="14" spans="1:6" ht="15.75">
      <c r="A14" s="321" t="s">
        <v>251</v>
      </c>
      <c r="B14" s="499" t="s">
        <v>429</v>
      </c>
      <c r="C14" s="500"/>
      <c r="D14" s="500"/>
      <c r="E14" s="501"/>
      <c r="F14" s="320"/>
    </row>
    <row r="17" spans="1:6" ht="15.75">
      <c r="A17" s="575" t="s">
        <v>252</v>
      </c>
      <c r="B17" s="575"/>
      <c r="C17" s="321"/>
      <c r="D17" s="321"/>
      <c r="E17" s="321"/>
      <c r="F17" s="320"/>
    </row>
    <row r="18" spans="1:7" ht="15.75">
      <c r="A18" s="321"/>
      <c r="B18" s="321"/>
      <c r="C18" s="321"/>
      <c r="D18" s="321"/>
      <c r="E18" s="321"/>
      <c r="F18" s="320"/>
      <c r="G18" s="400" t="str">
        <f ca="1">IF(B7="","",INDIRECT(G19))</f>
        <v>August</v>
      </c>
    </row>
    <row r="19" spans="1:7" ht="15.75">
      <c r="A19" s="321" t="s">
        <v>305</v>
      </c>
      <c r="B19" s="321" t="s">
        <v>306</v>
      </c>
      <c r="C19" s="321"/>
      <c r="D19" s="321"/>
      <c r="E19" s="321"/>
      <c r="F19" s="320"/>
      <c r="G19" s="402" t="str">
        <f>IF(B7="","",CONCATENATE("J",G21))</f>
        <v>J8</v>
      </c>
    </row>
    <row r="20" spans="1:7" ht="15.75">
      <c r="A20" s="321"/>
      <c r="B20" s="321"/>
      <c r="C20" s="321"/>
      <c r="D20" s="321"/>
      <c r="E20" s="321"/>
      <c r="F20" s="320"/>
      <c r="G20" s="403">
        <f>B7-10</f>
        <v>41859</v>
      </c>
    </row>
    <row r="21" spans="1:7" ht="15.75">
      <c r="A21" s="321" t="s">
        <v>248</v>
      </c>
      <c r="B21" s="323" t="s">
        <v>253</v>
      </c>
      <c r="C21" s="321"/>
      <c r="D21" s="321"/>
      <c r="E21" s="321"/>
      <c r="G21" s="404">
        <f>IF(B7="","",MONTH(G20))</f>
        <v>8</v>
      </c>
    </row>
    <row r="22" spans="1:7" ht="15.75">
      <c r="A22" s="321"/>
      <c r="B22" s="321"/>
      <c r="C22" s="321"/>
      <c r="D22" s="321"/>
      <c r="E22" s="321"/>
      <c r="G22" s="405">
        <f>IF(B7="","",DAY(G20))</f>
        <v>8</v>
      </c>
    </row>
    <row r="23" spans="1:7" ht="15.75">
      <c r="A23" s="321" t="s">
        <v>249</v>
      </c>
      <c r="B23" s="321" t="s">
        <v>254</v>
      </c>
      <c r="C23" s="321"/>
      <c r="D23" s="321"/>
      <c r="E23" s="321"/>
      <c r="G23" s="406">
        <f>IF(B7="","",YEAR(G20))</f>
        <v>2014</v>
      </c>
    </row>
    <row r="24" spans="1:5" ht="15.75">
      <c r="A24" s="321"/>
      <c r="B24" s="321"/>
      <c r="C24" s="321"/>
      <c r="D24" s="321"/>
      <c r="E24" s="321"/>
    </row>
    <row r="25" spans="1:5" ht="15.75">
      <c r="A25" s="321" t="s">
        <v>250</v>
      </c>
      <c r="B25" s="321" t="s">
        <v>255</v>
      </c>
      <c r="C25" s="321"/>
      <c r="D25" s="321"/>
      <c r="E25" s="321"/>
    </row>
    <row r="26" spans="1:5" ht="15.75">
      <c r="A26" s="321"/>
      <c r="B26" s="321"/>
      <c r="C26" s="321"/>
      <c r="D26" s="321"/>
      <c r="E26" s="321"/>
    </row>
    <row r="27" spans="1:5" ht="15.75">
      <c r="A27" s="321" t="s">
        <v>251</v>
      </c>
      <c r="B27" s="321" t="s">
        <v>255</v>
      </c>
      <c r="C27" s="321"/>
      <c r="D27" s="321"/>
      <c r="E27" s="32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J76"/>
  <sheetViews>
    <sheetView zoomScalePageLayoutView="0" workbookViewId="0" topLeftCell="A14">
      <selection activeCell="F24" sqref="F24"/>
    </sheetView>
  </sheetViews>
  <sheetFormatPr defaultColWidth="8.796875" defaultRowHeight="15"/>
  <cols>
    <col min="1" max="1" width="2.8984375" style="98" customWidth="1"/>
    <col min="2" max="2" width="24.296875" style="41" customWidth="1"/>
    <col min="3" max="3" width="10.796875" style="41" customWidth="1"/>
    <col min="4" max="4" width="5.796875" style="41" customWidth="1"/>
    <col min="5" max="5" width="14" style="41" customWidth="1"/>
    <col min="6" max="6" width="13.296875" style="41" customWidth="1"/>
    <col min="7" max="7" width="12.296875" style="41" customWidth="1"/>
    <col min="8" max="16384" width="8.8984375" style="98" customWidth="1"/>
  </cols>
  <sheetData>
    <row r="1" spans="2:9" ht="15.75">
      <c r="B1" s="43"/>
      <c r="C1" s="43"/>
      <c r="D1" s="42" t="s">
        <v>114</v>
      </c>
      <c r="E1" s="43"/>
      <c r="F1" s="43"/>
      <c r="G1" s="128"/>
      <c r="I1" s="29">
        <f>inputPrYr!C5</f>
        <v>2015</v>
      </c>
    </row>
    <row r="2" spans="2:7" ht="15.75">
      <c r="B2" s="578" t="str">
        <f>CONCATENATE("To the Clerk of ",(inputPrYr!D3),", State of Kansas")</f>
        <v>To the Clerk of Wichita County, State of Kansas</v>
      </c>
      <c r="C2" s="568"/>
      <c r="D2" s="568"/>
      <c r="E2" s="568"/>
      <c r="F2" s="568"/>
      <c r="G2" s="568"/>
    </row>
    <row r="3" spans="2:7" ht="15.75">
      <c r="B3" s="130" t="s">
        <v>274</v>
      </c>
      <c r="C3" s="48"/>
      <c r="D3" s="48"/>
      <c r="E3" s="48"/>
      <c r="F3" s="48"/>
      <c r="G3" s="48"/>
    </row>
    <row r="4" spans="2:7" ht="15.75">
      <c r="B4" s="576" t="str">
        <f>(inputPrYr!D2)</f>
        <v>City of Leoti</v>
      </c>
      <c r="C4" s="577"/>
      <c r="D4" s="577"/>
      <c r="E4" s="577"/>
      <c r="F4" s="577"/>
      <c r="G4" s="577"/>
    </row>
    <row r="5" spans="2:7" ht="15.75">
      <c r="B5" s="130" t="s">
        <v>32</v>
      </c>
      <c r="C5" s="48"/>
      <c r="D5" s="48"/>
      <c r="E5" s="48"/>
      <c r="F5" s="48"/>
      <c r="G5" s="48"/>
    </row>
    <row r="6" spans="2:7" ht="15.75">
      <c r="B6" s="130" t="s">
        <v>33</v>
      </c>
      <c r="C6" s="48"/>
      <c r="D6" s="48"/>
      <c r="E6" s="48"/>
      <c r="F6" s="48"/>
      <c r="G6" s="48"/>
    </row>
    <row r="7" spans="2:7" ht="15.75">
      <c r="B7" s="130" t="str">
        <f>CONCATENATE("maximum expenditures for the various funds for the year ",I1,"; and")</f>
        <v>maximum expenditures for the various funds for the year 2015; and</v>
      </c>
      <c r="C7" s="48"/>
      <c r="D7" s="48"/>
      <c r="E7" s="48"/>
      <c r="F7" s="48"/>
      <c r="G7" s="48"/>
    </row>
    <row r="8" spans="2:7" ht="15.75">
      <c r="B8" s="130" t="str">
        <f>CONCATENATE("(3) the Amounts(s) of ",I1-1," Ad Valorem Tax are within statutory limitations.")</f>
        <v>(3) the Amounts(s) of 2014 Ad Valorem Tax are within statutory limitations.</v>
      </c>
      <c r="C8" s="48"/>
      <c r="D8" s="48"/>
      <c r="E8" s="48"/>
      <c r="F8" s="48"/>
      <c r="G8" s="48"/>
    </row>
    <row r="9" spans="2:7" ht="15.75">
      <c r="B9" s="43"/>
      <c r="C9" s="43"/>
      <c r="D9" s="43"/>
      <c r="E9" s="131" t="str">
        <f>CONCATENATE("",I1," Adopted Budget")</f>
        <v>2015 Adopted Budget</v>
      </c>
      <c r="F9" s="132"/>
      <c r="G9" s="133"/>
    </row>
    <row r="10" spans="2:7" ht="21" customHeight="1">
      <c r="B10" s="43"/>
      <c r="C10" s="43"/>
      <c r="D10" s="134"/>
      <c r="E10" s="135" t="s">
        <v>34</v>
      </c>
      <c r="F10" s="136" t="str">
        <f>CONCATENATE("Amount of ",I1-1,"")</f>
        <v>Amount of 2014</v>
      </c>
      <c r="G10" s="136" t="s">
        <v>35</v>
      </c>
    </row>
    <row r="11" spans="2:7" ht="15.75">
      <c r="B11" s="44"/>
      <c r="C11" s="43"/>
      <c r="D11" s="136" t="s">
        <v>36</v>
      </c>
      <c r="E11" s="338" t="s">
        <v>7</v>
      </c>
      <c r="F11" s="138" t="s">
        <v>201</v>
      </c>
      <c r="G11" s="137" t="s">
        <v>37</v>
      </c>
    </row>
    <row r="12" spans="2:7" ht="15.75">
      <c r="B12" s="139" t="s">
        <v>38</v>
      </c>
      <c r="C12" s="63"/>
      <c r="D12" s="140" t="s">
        <v>39</v>
      </c>
      <c r="E12" s="339" t="s">
        <v>278</v>
      </c>
      <c r="F12" s="141" t="s">
        <v>202</v>
      </c>
      <c r="G12" s="140" t="s">
        <v>40</v>
      </c>
    </row>
    <row r="13" spans="2:7" ht="15.75">
      <c r="B13" s="142" t="str">
        <f>CONCATENATE("Computation to Determine Limit for ",I1,"")</f>
        <v>Computation to Determine Limit for 2015</v>
      </c>
      <c r="C13" s="85"/>
      <c r="D13" s="143">
        <v>2</v>
      </c>
      <c r="E13" s="144"/>
      <c r="F13" s="144"/>
      <c r="G13" s="144"/>
    </row>
    <row r="14" spans="2:7" ht="15.75">
      <c r="B14" s="142" t="s">
        <v>341</v>
      </c>
      <c r="C14" s="63"/>
      <c r="D14" s="140">
        <v>3</v>
      </c>
      <c r="E14" s="137"/>
      <c r="F14" s="137"/>
      <c r="G14" s="137"/>
    </row>
    <row r="15" spans="2:7" ht="15.75">
      <c r="B15" s="142" t="s">
        <v>167</v>
      </c>
      <c r="C15" s="63"/>
      <c r="D15" s="140">
        <v>4</v>
      </c>
      <c r="E15" s="137"/>
      <c r="F15" s="137"/>
      <c r="G15" s="137"/>
    </row>
    <row r="16" spans="2:7" ht="15.75">
      <c r="B16" s="142" t="s">
        <v>41</v>
      </c>
      <c r="C16" s="85"/>
      <c r="D16" s="143">
        <v>5</v>
      </c>
      <c r="E16" s="145"/>
      <c r="F16" s="145"/>
      <c r="G16" s="145"/>
    </row>
    <row r="17" spans="2:7" ht="15.75">
      <c r="B17" s="142" t="s">
        <v>42</v>
      </c>
      <c r="C17" s="85"/>
      <c r="D17" s="143">
        <v>6</v>
      </c>
      <c r="E17" s="145"/>
      <c r="F17" s="145"/>
      <c r="G17" s="145"/>
    </row>
    <row r="18" spans="2:7" ht="15.75">
      <c r="B18" s="265">
        <f>IF(inputPrYr!D19="","","Computation to Determine State Library Grant")</f>
      </c>
      <c r="C18" s="85"/>
      <c r="D18" s="153">
        <f>IF(inputPrYr!D19="","",#REF!)</f>
      </c>
      <c r="E18" s="145"/>
      <c r="F18" s="145"/>
      <c r="G18" s="145"/>
    </row>
    <row r="19" spans="2:7" ht="15.75">
      <c r="B19" s="146" t="s">
        <v>43</v>
      </c>
      <c r="C19" s="147" t="s">
        <v>44</v>
      </c>
      <c r="D19" s="148"/>
      <c r="E19" s="149"/>
      <c r="F19" s="149"/>
      <c r="G19" s="149"/>
    </row>
    <row r="20" spans="2:7" ht="15.75">
      <c r="B20" s="56" t="s">
        <v>27</v>
      </c>
      <c r="C20" s="150" t="str">
        <f>IF(inputPrYr!C17&gt;0,(inputPrYr!C17),"  ")</f>
        <v>12-101a</v>
      </c>
      <c r="D20" s="143">
        <f>general!C48</f>
        <v>7</v>
      </c>
      <c r="E20" s="468">
        <f>IF(general!$E$99&lt;&gt;0,general!$E$99,"  ")</f>
        <v>975517</v>
      </c>
      <c r="F20" s="469">
        <f>general!E106</f>
        <v>444939</v>
      </c>
      <c r="G20" s="470">
        <f>IF($G$34=0,"",ROUND(F20/$G$34*1000,3))</f>
      </c>
    </row>
    <row r="21" spans="2:10" ht="15.75">
      <c r="B21" s="79" t="str">
        <f>IF(inputPrYr!$B21&gt;"  ",(inputPrYr!$B21),"  ")</f>
        <v>Ambulance and Fire Equip. </v>
      </c>
      <c r="C21" s="150" t="str">
        <f>IF(inputPrYr!C21&gt;0,(inputPrYr!C21),"  ")</f>
        <v>12-110b</v>
      </c>
      <c r="D21" s="143">
        <v>8</v>
      </c>
      <c r="E21" s="468">
        <f>IF('Ambul &amp; Fire Equip'!$E$33&gt;0,'Ambul &amp; Fire Equip'!$E$33,"  ")</f>
        <v>119178</v>
      </c>
      <c r="F21" s="469">
        <f>IF('Ambul &amp; Fire Equip'!E40&lt;&gt;0,'Ambul &amp; Fire Equip'!E40,0)</f>
        <v>22902</v>
      </c>
      <c r="G21" s="470">
        <f>IF($G$34=0,"",ROUND(F21/$G$34*1000,3))</f>
      </c>
      <c r="I21" s="387"/>
      <c r="J21" s="387"/>
    </row>
    <row r="22" spans="2:7" ht="15.75">
      <c r="B22" s="151" t="str">
        <f>IF(inputPrYr!$B34&gt;"  ",(inputPrYr!$B34),"  ")</f>
        <v>Special Highway</v>
      </c>
      <c r="C22" s="152"/>
      <c r="D22" s="153">
        <v>9</v>
      </c>
      <c r="E22" s="468">
        <f>IF('Sp Hwy &amp; Sp Prks Rec'!$E$30&gt;0,'Sp Hwy &amp; Sp Prks Rec'!$E$30,"  ")</f>
        <v>180000</v>
      </c>
      <c r="F22" s="468"/>
      <c r="G22" s="471"/>
    </row>
    <row r="23" spans="2:7" ht="15.75">
      <c r="B23" s="151" t="str">
        <f>IF(inputPrYr!$B35&gt;"  ",(inputPrYr!$B35),"  ")</f>
        <v>Special Parks and Recreation</v>
      </c>
      <c r="C23" s="152"/>
      <c r="D23" s="153">
        <v>9</v>
      </c>
      <c r="E23" s="468" t="str">
        <f>IF('Sp Hwy &amp; Sp Prks Rec'!$E$61&gt;0,'Sp Hwy &amp; Sp Prks Rec'!$E$61,"  ")</f>
        <v>  </v>
      </c>
      <c r="F23" s="468"/>
      <c r="G23" s="471"/>
    </row>
    <row r="24" spans="2:7" ht="15.75">
      <c r="B24" s="151" t="str">
        <f>IF(inputPrYr!$B36&gt;"  ",(inputPrYr!$B36),"  ")</f>
        <v>Water Operating</v>
      </c>
      <c r="C24" s="154"/>
      <c r="D24" s="153">
        <v>10</v>
      </c>
      <c r="E24" s="468">
        <f>IF('Water Op &amp; Sani Op'!$E$28&gt;0,'Water Op &amp; Sani Op'!$E$28,"  ")</f>
        <v>882000</v>
      </c>
      <c r="F24" s="468"/>
      <c r="G24" s="471"/>
    </row>
    <row r="25" spans="2:7" ht="15.75">
      <c r="B25" s="151" t="str">
        <f>IF(inputPrYr!$B37&gt;"  ",(inputPrYr!$B37),"  ")</f>
        <v>Sanitation Operating</v>
      </c>
      <c r="C25" s="152"/>
      <c r="D25" s="153">
        <v>10</v>
      </c>
      <c r="E25" s="468">
        <f>IF('Water Op &amp; Sani Op'!$E$59&gt;0,'Water Op &amp; Sani Op'!$E$59,"  ")</f>
        <v>181000</v>
      </c>
      <c r="F25" s="468"/>
      <c r="G25" s="471"/>
    </row>
    <row r="26" spans="2:7" ht="15.75">
      <c r="B26" s="151" t="str">
        <f>IF(inputPrYr!$B38&gt;"  ",(inputPrYr!$B38),"  ")</f>
        <v>Sewer Operating</v>
      </c>
      <c r="C26" s="154"/>
      <c r="D26" s="153">
        <v>11</v>
      </c>
      <c r="E26" s="468">
        <f>IF('Sewer &amp; Storm Wtr Op'!$E$28&gt;0,'Sewer &amp; Storm Wtr Op'!$E$28,"  ")</f>
        <v>331921</v>
      </c>
      <c r="F26" s="468"/>
      <c r="G26" s="471"/>
    </row>
    <row r="27" spans="2:7" ht="15.75">
      <c r="B27" s="151" t="str">
        <f>IF(inputPrYr!$B39&gt;"  ",(inputPrYr!$B39),"  ")</f>
        <v>Storm Water Operating</v>
      </c>
      <c r="C27" s="155"/>
      <c r="D27" s="153">
        <v>11</v>
      </c>
      <c r="E27" s="468">
        <f>IF('Sewer &amp; Storm Wtr Op'!$E$59&gt;0,'Sewer &amp; Storm Wtr Op'!$E$59,"  ")</f>
        <v>30000</v>
      </c>
      <c r="F27" s="468"/>
      <c r="G27" s="471"/>
    </row>
    <row r="28" spans="2:7" ht="15.75">
      <c r="B28" s="151" t="str">
        <f>IF(inputPrYr!$B57&gt;"  ",(NonBudA!$A3),"  ")</f>
        <v>Non-Budgeted Funds-A</v>
      </c>
      <c r="C28" s="155"/>
      <c r="D28" s="153">
        <v>12</v>
      </c>
      <c r="E28" s="468"/>
      <c r="F28" s="468"/>
      <c r="G28" s="471"/>
    </row>
    <row r="29" spans="2:7" ht="15.75">
      <c r="B29" s="151" t="str">
        <f>IF(inputPrYr!$B63&gt;"  ",(NonBudB!$A3),"  ")</f>
        <v>Non-Budgeted Funds-B</v>
      </c>
      <c r="C29" s="155"/>
      <c r="D29" s="153">
        <v>13</v>
      </c>
      <c r="E29" s="468"/>
      <c r="F29" s="468"/>
      <c r="G29" s="471"/>
    </row>
    <row r="30" spans="2:7" ht="15.75">
      <c r="B30" s="151" t="str">
        <f>IF(inputPrYr!$B69&gt;"  ",(NonBudC!$A3),"  ")</f>
        <v>Non-Budgeted Funds-C</v>
      </c>
      <c r="C30" s="152"/>
      <c r="D30" s="153">
        <v>14</v>
      </c>
      <c r="E30" s="468"/>
      <c r="F30" s="468"/>
      <c r="G30" s="471"/>
    </row>
    <row r="31" spans="2:7" ht="16.5" thickBot="1">
      <c r="B31" s="151" t="str">
        <f>IF(inputPrYr!$B75&gt;"  ",(#REF!),"  ")</f>
        <v>  </v>
      </c>
      <c r="C31" s="154"/>
      <c r="D31" s="153"/>
      <c r="E31" s="472"/>
      <c r="F31" s="472"/>
      <c r="G31" s="473"/>
    </row>
    <row r="32" spans="2:7" ht="15.75">
      <c r="B32" s="336" t="s">
        <v>311</v>
      </c>
      <c r="C32" s="85"/>
      <c r="D32" s="246" t="s">
        <v>46</v>
      </c>
      <c r="E32" s="474">
        <f>SUM(E20:E31)</f>
        <v>2699616</v>
      </c>
      <c r="F32" s="474">
        <f>SUM(F20:F31)</f>
        <v>467841</v>
      </c>
      <c r="G32" s="475">
        <f>IF(SUM(G20:G31)=0,"",SUM(G20:G31))</f>
      </c>
    </row>
    <row r="33" spans="2:7" ht="15.75">
      <c r="B33" s="514" t="s">
        <v>509</v>
      </c>
      <c r="C33" s="156"/>
      <c r="D33" s="157"/>
      <c r="E33" s="158"/>
      <c r="F33" s="159" t="s">
        <v>519</v>
      </c>
      <c r="G33" s="337" t="s">
        <v>171</v>
      </c>
    </row>
    <row r="34" spans="2:7" ht="15.75">
      <c r="B34" s="142" t="s">
        <v>236</v>
      </c>
      <c r="C34" s="85"/>
      <c r="D34" s="143">
        <v>15</v>
      </c>
      <c r="E34" s="43"/>
      <c r="F34" s="43"/>
      <c r="G34" s="367"/>
    </row>
    <row r="35" spans="2:7" ht="15.75">
      <c r="B35" s="142" t="s">
        <v>10</v>
      </c>
      <c r="C35" s="85"/>
      <c r="D35" s="143">
        <v>16</v>
      </c>
      <c r="E35" s="43"/>
      <c r="F35" s="43"/>
      <c r="G35" s="581" t="str">
        <f>CONCATENATE("Nov 1, ",I1-1," Total Assessed Valuation")</f>
        <v>Nov 1, 2014 Total Assessed Valuation</v>
      </c>
    </row>
    <row r="36" spans="2:7" ht="15.75">
      <c r="B36" s="99" t="s">
        <v>47</v>
      </c>
      <c r="C36" s="68"/>
      <c r="D36" s="68"/>
      <c r="E36" s="68"/>
      <c r="F36" s="68"/>
      <c r="G36" s="582"/>
    </row>
    <row r="37" spans="2:7" ht="15.75">
      <c r="B37" s="318" t="s">
        <v>430</v>
      </c>
      <c r="C37" s="68"/>
      <c r="D37" s="43"/>
      <c r="E37" s="268"/>
      <c r="F37" s="68"/>
      <c r="G37" s="68"/>
    </row>
    <row r="38" spans="2:7" ht="15.75">
      <c r="B38" s="319" t="s">
        <v>431</v>
      </c>
      <c r="C38" s="68"/>
      <c r="D38" s="69" t="s">
        <v>338</v>
      </c>
      <c r="E38" s="268"/>
      <c r="F38" s="68"/>
      <c r="G38" s="68"/>
    </row>
    <row r="39" spans="2:7" ht="15.75">
      <c r="B39" s="99" t="s">
        <v>175</v>
      </c>
      <c r="C39" s="43"/>
      <c r="D39" s="67"/>
      <c r="E39" s="268"/>
      <c r="F39" s="68"/>
      <c r="G39" s="68"/>
    </row>
    <row r="40" spans="2:7" ht="15.75">
      <c r="B40" s="318" t="s">
        <v>432</v>
      </c>
      <c r="C40" s="68"/>
      <c r="D40" s="68" t="s">
        <v>339</v>
      </c>
      <c r="E40" s="268"/>
      <c r="F40" s="268"/>
      <c r="G40" s="268"/>
    </row>
    <row r="41" spans="2:7" ht="15.75">
      <c r="B41" s="319" t="s">
        <v>433</v>
      </c>
      <c r="C41" s="160"/>
      <c r="D41" s="68"/>
      <c r="E41" s="68"/>
      <c r="F41" s="463"/>
      <c r="G41" s="463"/>
    </row>
    <row r="42" spans="2:7" ht="15.75">
      <c r="B42" s="68" t="s">
        <v>340</v>
      </c>
      <c r="C42" s="160"/>
      <c r="D42" s="68" t="s">
        <v>339</v>
      </c>
      <c r="E42" s="68"/>
      <c r="F42" s="464"/>
      <c r="G42" s="464"/>
    </row>
    <row r="43" spans="2:7" ht="15.75">
      <c r="B43" s="538" t="s">
        <v>434</v>
      </c>
      <c r="C43" s="161"/>
      <c r="D43" s="68"/>
      <c r="E43" s="68"/>
      <c r="F43" s="90"/>
      <c r="G43" s="90"/>
    </row>
    <row r="44" spans="2:7" ht="15.75">
      <c r="B44" s="388" t="s">
        <v>3</v>
      </c>
      <c r="C44" s="162">
        <f>I1-1</f>
        <v>2014</v>
      </c>
      <c r="D44" s="68" t="s">
        <v>339</v>
      </c>
      <c r="E44" s="68"/>
      <c r="F44" s="464"/>
      <c r="G44" s="464"/>
    </row>
    <row r="45" spans="2:7" ht="15.75">
      <c r="B45" s="268"/>
      <c r="C45" s="162"/>
      <c r="D45" s="68"/>
      <c r="E45" s="68"/>
      <c r="F45" s="130"/>
      <c r="G45" s="43"/>
    </row>
    <row r="46" spans="2:7" ht="15.75">
      <c r="B46" s="537" t="s">
        <v>427</v>
      </c>
      <c r="C46" s="43"/>
      <c r="D46" s="68" t="s">
        <v>339</v>
      </c>
      <c r="E46" s="68"/>
      <c r="F46" s="68"/>
      <c r="G46" s="68"/>
    </row>
    <row r="47" spans="2:7" ht="15.75">
      <c r="B47" s="129" t="s">
        <v>428</v>
      </c>
      <c r="C47" s="43"/>
      <c r="D47" s="579" t="s">
        <v>48</v>
      </c>
      <c r="E47" s="580"/>
      <c r="F47" s="580"/>
      <c r="G47" s="580"/>
    </row>
    <row r="48" ht="15.75">
      <c r="B48" s="29"/>
    </row>
    <row r="58" spans="2:7" ht="15">
      <c r="B58" s="98"/>
      <c r="C58" s="98"/>
      <c r="D58" s="98"/>
      <c r="E58" s="98"/>
      <c r="F58" s="98"/>
      <c r="G58" s="98"/>
    </row>
    <row r="59" spans="2:7" ht="15">
      <c r="B59" s="98"/>
      <c r="C59" s="98"/>
      <c r="D59" s="98"/>
      <c r="E59" s="98"/>
      <c r="F59" s="98"/>
      <c r="G59" s="98"/>
    </row>
    <row r="60" spans="2:7" ht="15">
      <c r="B60" s="98"/>
      <c r="C60" s="98"/>
      <c r="D60" s="98"/>
      <c r="E60" s="98"/>
      <c r="F60" s="98"/>
      <c r="G60" s="98"/>
    </row>
    <row r="61" spans="2:7" ht="15">
      <c r="B61" s="98"/>
      <c r="C61" s="98"/>
      <c r="D61" s="98"/>
      <c r="E61" s="98"/>
      <c r="F61" s="98"/>
      <c r="G61" s="98"/>
    </row>
    <row r="62" spans="2:7" ht="15">
      <c r="B62" s="98"/>
      <c r="C62" s="98"/>
      <c r="D62" s="98"/>
      <c r="E62" s="98"/>
      <c r="F62" s="98"/>
      <c r="G62" s="98"/>
    </row>
    <row r="63" spans="2:7" ht="15">
      <c r="B63" s="98"/>
      <c r="C63" s="98"/>
      <c r="D63" s="98"/>
      <c r="E63" s="98"/>
      <c r="F63" s="98"/>
      <c r="G63" s="98"/>
    </row>
    <row r="64" spans="2:7" ht="15">
      <c r="B64" s="98"/>
      <c r="C64" s="98"/>
      <c r="D64" s="98"/>
      <c r="E64" s="98"/>
      <c r="F64" s="98"/>
      <c r="G64" s="98"/>
    </row>
    <row r="65" spans="2:7" ht="15">
      <c r="B65" s="98"/>
      <c r="C65" s="98"/>
      <c r="D65" s="98"/>
      <c r="E65" s="98"/>
      <c r="F65" s="98"/>
      <c r="G65" s="98"/>
    </row>
    <row r="66" spans="2:7" ht="15">
      <c r="B66" s="98"/>
      <c r="C66" s="98"/>
      <c r="D66" s="98"/>
      <c r="E66" s="98"/>
      <c r="F66" s="98"/>
      <c r="G66" s="98"/>
    </row>
    <row r="67" spans="2:7" ht="15">
      <c r="B67" s="98"/>
      <c r="C67" s="98"/>
      <c r="D67" s="98"/>
      <c r="E67" s="98"/>
      <c r="F67" s="98"/>
      <c r="G67" s="98"/>
    </row>
    <row r="68" spans="2:7" ht="15">
      <c r="B68" s="98"/>
      <c r="C68" s="98"/>
      <c r="D68" s="98"/>
      <c r="E68" s="98"/>
      <c r="F68" s="98"/>
      <c r="G68" s="98"/>
    </row>
    <row r="69" spans="2:7" ht="15">
      <c r="B69" s="98"/>
      <c r="C69" s="98"/>
      <c r="D69" s="98"/>
      <c r="E69" s="98"/>
      <c r="F69" s="98"/>
      <c r="G69" s="98"/>
    </row>
    <row r="70" spans="2:7" ht="15">
      <c r="B70" s="98"/>
      <c r="C70" s="98"/>
      <c r="D70" s="98"/>
      <c r="E70" s="98"/>
      <c r="F70" s="98"/>
      <c r="G70" s="98"/>
    </row>
    <row r="71" spans="2:7" ht="15">
      <c r="B71" s="98"/>
      <c r="C71" s="98"/>
      <c r="D71" s="98"/>
      <c r="E71" s="98"/>
      <c r="F71" s="98"/>
      <c r="G71" s="98"/>
    </row>
    <row r="72" spans="2:7" ht="15">
      <c r="B72" s="98"/>
      <c r="C72" s="98"/>
      <c r="D72" s="98"/>
      <c r="E72" s="98"/>
      <c r="F72" s="98"/>
      <c r="G72" s="98"/>
    </row>
    <row r="73" spans="2:7" ht="15">
      <c r="B73" s="98"/>
      <c r="C73" s="98"/>
      <c r="D73" s="98"/>
      <c r="E73" s="98"/>
      <c r="F73" s="98"/>
      <c r="G73" s="98"/>
    </row>
    <row r="76" spans="2:7" ht="15.75">
      <c r="B76" s="29"/>
      <c r="C76" s="29"/>
      <c r="D76" s="29"/>
      <c r="E76" s="29"/>
      <c r="F76" s="29"/>
      <c r="G76" s="29"/>
    </row>
  </sheetData>
  <sheetProtection/>
  <mergeCells count="4">
    <mergeCell ref="B4:G4"/>
    <mergeCell ref="B2:G2"/>
    <mergeCell ref="D47:G47"/>
    <mergeCell ref="G35:G36"/>
  </mergeCells>
  <hyperlinks>
    <hyperlink ref="B43" r:id="rId1" display="jkennedy@kmc-cpa.com"/>
  </hyperlinks>
  <printOptions/>
  <pageMargins left="1" right="0.5" top="0.5" bottom="0.5" header="0.25" footer="0.25"/>
  <pageSetup blackAndWhite="1" fitToHeight="1" fitToWidth="1" horizontalDpi="120" verticalDpi="120" orientation="portrait" scale="73" r:id="rId2"/>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3"/>
  <sheetViews>
    <sheetView zoomScale="85" zoomScaleNormal="85" zoomScalePageLayoutView="0" workbookViewId="0" topLeftCell="A31">
      <selection activeCell="J47" sqref="J47"/>
    </sheetView>
  </sheetViews>
  <sheetFormatPr defaultColWidth="8.796875" defaultRowHeight="15.75" customHeight="1"/>
  <cols>
    <col min="1" max="2" width="3.296875" style="29" customWidth="1"/>
    <col min="3" max="3" width="31.296875" style="29" customWidth="1"/>
    <col min="4" max="4" width="2.296875" style="29" customWidth="1"/>
    <col min="5" max="5" width="15.796875" style="29" customWidth="1"/>
    <col min="6" max="6" width="2" style="29" customWidth="1"/>
    <col min="7" max="7" width="15.796875" style="29" customWidth="1"/>
    <col min="8" max="8" width="1.8984375" style="29" customWidth="1"/>
    <col min="9" max="9" width="1.796875" style="29" customWidth="1"/>
    <col min="10" max="10" width="15.796875" style="29" customWidth="1"/>
    <col min="11" max="16384" width="8.8984375" style="29" customWidth="1"/>
  </cols>
  <sheetData>
    <row r="1" spans="1:10" ht="15.75" customHeight="1">
      <c r="A1" s="164"/>
      <c r="B1" s="164"/>
      <c r="C1" s="165" t="str">
        <f>inputPrYr!D2</f>
        <v>City of Leoti</v>
      </c>
      <c r="D1" s="164"/>
      <c r="E1" s="164"/>
      <c r="F1" s="164"/>
      <c r="G1" s="164"/>
      <c r="H1" s="164"/>
      <c r="I1" s="164"/>
      <c r="J1" s="164">
        <f>inputPrYr!C5</f>
        <v>2015</v>
      </c>
    </row>
    <row r="2" spans="1:10" ht="15.75" customHeight="1">
      <c r="A2" s="164"/>
      <c r="B2" s="164"/>
      <c r="C2" s="164"/>
      <c r="D2" s="164"/>
      <c r="E2" s="164"/>
      <c r="F2" s="164"/>
      <c r="G2" s="164"/>
      <c r="H2" s="164"/>
      <c r="I2" s="164"/>
      <c r="J2" s="164"/>
    </row>
    <row r="3" spans="1:10" ht="15.75">
      <c r="A3" s="584" t="str">
        <f>CONCATENATE("Computation to Determine Limit for ",J1,"")</f>
        <v>Computation to Determine Limit for 2015</v>
      </c>
      <c r="B3" s="585"/>
      <c r="C3" s="585"/>
      <c r="D3" s="585"/>
      <c r="E3" s="585"/>
      <c r="F3" s="585"/>
      <c r="G3" s="585"/>
      <c r="H3" s="585"/>
      <c r="I3" s="585"/>
      <c r="J3" s="585"/>
    </row>
    <row r="4" spans="1:10" ht="15.75">
      <c r="A4" s="164"/>
      <c r="B4" s="164"/>
      <c r="C4" s="164"/>
      <c r="D4" s="164"/>
      <c r="E4" s="585"/>
      <c r="F4" s="585"/>
      <c r="G4" s="585"/>
      <c r="H4" s="166"/>
      <c r="I4" s="164"/>
      <c r="J4" s="167" t="s">
        <v>127</v>
      </c>
    </row>
    <row r="5" spans="1:10" ht="15.75">
      <c r="A5" s="168" t="s">
        <v>128</v>
      </c>
      <c r="B5" s="164" t="str">
        <f>CONCATENATE("Total tax levy amount in ",J1-1," budget")</f>
        <v>Total tax levy amount in 2014 budget</v>
      </c>
      <c r="C5" s="164"/>
      <c r="D5" s="164"/>
      <c r="E5" s="169"/>
      <c r="F5" s="169"/>
      <c r="G5" s="169"/>
      <c r="H5" s="170" t="s">
        <v>129</v>
      </c>
      <c r="I5" s="169" t="s">
        <v>130</v>
      </c>
      <c r="J5" s="171">
        <f>inputPrYr!E31</f>
        <v>460774</v>
      </c>
    </row>
    <row r="6" spans="1:10" ht="15.75">
      <c r="A6" s="168" t="s">
        <v>131</v>
      </c>
      <c r="B6" s="164" t="str">
        <f>CONCATENATE("Debt service levy in ",J1-1," budget")</f>
        <v>Debt service levy in 2014 budget</v>
      </c>
      <c r="C6" s="164"/>
      <c r="D6" s="164"/>
      <c r="E6" s="169"/>
      <c r="F6" s="169"/>
      <c r="G6" s="169"/>
      <c r="H6" s="170" t="s">
        <v>132</v>
      </c>
      <c r="I6" s="169" t="s">
        <v>130</v>
      </c>
      <c r="J6" s="172">
        <f>inputPrYr!E18</f>
        <v>0</v>
      </c>
    </row>
    <row r="7" spans="1:10" ht="15.75">
      <c r="A7" s="168" t="s">
        <v>156</v>
      </c>
      <c r="B7" s="164" t="s">
        <v>390</v>
      </c>
      <c r="C7" s="164"/>
      <c r="D7" s="164"/>
      <c r="E7" s="169"/>
      <c r="F7" s="169"/>
      <c r="G7" s="169"/>
      <c r="H7" s="169"/>
      <c r="I7" s="169" t="s">
        <v>130</v>
      </c>
      <c r="J7" s="173">
        <f>J5-J6</f>
        <v>460774</v>
      </c>
    </row>
    <row r="8" spans="1:10" ht="15.75">
      <c r="A8" s="164"/>
      <c r="B8" s="164"/>
      <c r="C8" s="164"/>
      <c r="D8" s="164"/>
      <c r="E8" s="169"/>
      <c r="F8" s="169"/>
      <c r="G8" s="169"/>
      <c r="H8" s="169"/>
      <c r="I8" s="169"/>
      <c r="J8" s="169"/>
    </row>
    <row r="9" spans="1:10" ht="15.75">
      <c r="A9" s="585" t="str">
        <f>CONCATENATE("",J1-1," Valuation Information for Valuation Adjustments")</f>
        <v>2014 Valuation Information for Valuation Adjustments</v>
      </c>
      <c r="B9" s="568"/>
      <c r="C9" s="568"/>
      <c r="D9" s="568"/>
      <c r="E9" s="568"/>
      <c r="F9" s="568"/>
      <c r="G9" s="568"/>
      <c r="H9" s="568"/>
      <c r="I9" s="568"/>
      <c r="J9" s="568"/>
    </row>
    <row r="10" spans="1:10" ht="15.75">
      <c r="A10" s="164"/>
      <c r="B10" s="164"/>
      <c r="C10" s="164"/>
      <c r="D10" s="164"/>
      <c r="E10" s="169"/>
      <c r="F10" s="169"/>
      <c r="G10" s="169"/>
      <c r="H10" s="169"/>
      <c r="I10" s="169"/>
      <c r="J10" s="169"/>
    </row>
    <row r="11" spans="1:10" ht="15.75">
      <c r="A11" s="168" t="s">
        <v>133</v>
      </c>
      <c r="B11" s="164" t="str">
        <f>CONCATENATE("New improvements for ",J1-1,":")</f>
        <v>New improvements for 2014:</v>
      </c>
      <c r="C11" s="164"/>
      <c r="D11" s="164"/>
      <c r="E11" s="170"/>
      <c r="F11" s="170" t="s">
        <v>129</v>
      </c>
      <c r="G11" s="174">
        <f>inputOth!E8</f>
        <v>91473</v>
      </c>
      <c r="H11" s="175"/>
      <c r="I11" s="169"/>
      <c r="J11" s="169"/>
    </row>
    <row r="12" spans="1:10" ht="15.75">
      <c r="A12" s="168"/>
      <c r="B12" s="176"/>
      <c r="C12" s="164"/>
      <c r="D12" s="164"/>
      <c r="E12" s="170"/>
      <c r="F12" s="170"/>
      <c r="G12" s="175"/>
      <c r="H12" s="175"/>
      <c r="I12" s="169"/>
      <c r="J12" s="169"/>
    </row>
    <row r="13" spans="1:10" ht="15.75">
      <c r="A13" s="168" t="s">
        <v>134</v>
      </c>
      <c r="B13" s="164" t="str">
        <f>CONCATENATE("Increase in personal property for ",J1-1,":")</f>
        <v>Increase in personal property for 2014:</v>
      </c>
      <c r="C13" s="164"/>
      <c r="D13" s="164"/>
      <c r="E13" s="170"/>
      <c r="F13" s="170"/>
      <c r="G13" s="175"/>
      <c r="H13" s="175"/>
      <c r="I13" s="169"/>
      <c r="J13" s="169"/>
    </row>
    <row r="14" spans="1:10" ht="15.75">
      <c r="A14" s="177"/>
      <c r="B14" s="164" t="s">
        <v>135</v>
      </c>
      <c r="C14" s="164" t="str">
        <f>CONCATENATE("Personal property ",J1-1,"")</f>
        <v>Personal property 2014</v>
      </c>
      <c r="D14" s="176" t="s">
        <v>129</v>
      </c>
      <c r="E14" s="174">
        <f>inputOth!E9</f>
        <v>147075</v>
      </c>
      <c r="F14" s="170"/>
      <c r="G14" s="169"/>
      <c r="H14" s="169"/>
      <c r="I14" s="175"/>
      <c r="J14" s="169"/>
    </row>
    <row r="15" spans="1:10" ht="15.75">
      <c r="A15" s="176"/>
      <c r="B15" s="164" t="s">
        <v>136</v>
      </c>
      <c r="C15" s="164" t="str">
        <f>CONCATENATE("Personal property ",J1-2,"")</f>
        <v>Personal property 2013</v>
      </c>
      <c r="D15" s="176" t="s">
        <v>132</v>
      </c>
      <c r="E15" s="178">
        <f>inputOth!E15</f>
        <v>239289</v>
      </c>
      <c r="F15" s="170"/>
      <c r="G15" s="175"/>
      <c r="H15" s="175"/>
      <c r="I15" s="169"/>
      <c r="J15" s="169"/>
    </row>
    <row r="16" spans="1:10" ht="15.75">
      <c r="A16" s="176"/>
      <c r="B16" s="164" t="s">
        <v>137</v>
      </c>
      <c r="C16" s="164" t="s">
        <v>391</v>
      </c>
      <c r="D16" s="164"/>
      <c r="E16" s="169"/>
      <c r="F16" s="169" t="s">
        <v>129</v>
      </c>
      <c r="G16" s="171">
        <f>IF(E14&gt;E15,E14-E15,0)</f>
        <v>0</v>
      </c>
      <c r="H16" s="175"/>
      <c r="I16" s="169"/>
      <c r="J16" s="169"/>
    </row>
    <row r="17" spans="1:10" ht="15.75">
      <c r="A17" s="176"/>
      <c r="B17" s="176"/>
      <c r="C17" s="164"/>
      <c r="D17" s="164"/>
      <c r="E17" s="169"/>
      <c r="F17" s="169"/>
      <c r="G17" s="175" t="s">
        <v>150</v>
      </c>
      <c r="H17" s="175"/>
      <c r="I17" s="169"/>
      <c r="J17" s="169"/>
    </row>
    <row r="18" spans="1:10" ht="15.75">
      <c r="A18" s="176" t="s">
        <v>138</v>
      </c>
      <c r="B18" s="164" t="str">
        <f>CONCATENATE("Valuation of annexed territory for ",J1-1,"")</f>
        <v>Valuation of annexed territory for 2014</v>
      </c>
      <c r="C18" s="164"/>
      <c r="D18" s="164"/>
      <c r="E18" s="175"/>
      <c r="F18" s="169"/>
      <c r="G18" s="169"/>
      <c r="H18" s="169"/>
      <c r="I18" s="169"/>
      <c r="J18" s="169"/>
    </row>
    <row r="19" spans="1:10" ht="15.75">
      <c r="A19" s="176"/>
      <c r="B19" s="164" t="s">
        <v>139</v>
      </c>
      <c r="C19" s="164" t="s">
        <v>392</v>
      </c>
      <c r="D19" s="176" t="s">
        <v>129</v>
      </c>
      <c r="E19" s="174">
        <f>inputOth!E11</f>
        <v>0</v>
      </c>
      <c r="F19" s="169"/>
      <c r="G19" s="169"/>
      <c r="H19" s="169"/>
      <c r="I19" s="169"/>
      <c r="J19" s="169"/>
    </row>
    <row r="20" spans="1:10" ht="15.75">
      <c r="A20" s="176"/>
      <c r="B20" s="164" t="s">
        <v>140</v>
      </c>
      <c r="C20" s="164" t="s">
        <v>393</v>
      </c>
      <c r="D20" s="176" t="s">
        <v>129</v>
      </c>
      <c r="E20" s="174">
        <f>inputOth!E12</f>
        <v>0</v>
      </c>
      <c r="F20" s="169"/>
      <c r="G20" s="175"/>
      <c r="H20" s="175"/>
      <c r="I20" s="169"/>
      <c r="J20" s="169"/>
    </row>
    <row r="21" spans="1:10" ht="15.75">
      <c r="A21" s="176"/>
      <c r="B21" s="164" t="s">
        <v>141</v>
      </c>
      <c r="C21" s="164" t="s">
        <v>394</v>
      </c>
      <c r="D21" s="176" t="s">
        <v>132</v>
      </c>
      <c r="E21" s="174">
        <f>inputOth!E13</f>
        <v>0</v>
      </c>
      <c r="F21" s="169"/>
      <c r="G21" s="175"/>
      <c r="H21" s="175"/>
      <c r="I21" s="169"/>
      <c r="J21" s="169"/>
    </row>
    <row r="22" spans="1:10" ht="15.75">
      <c r="A22" s="176"/>
      <c r="B22" s="164" t="s">
        <v>142</v>
      </c>
      <c r="C22" s="164" t="s">
        <v>395</v>
      </c>
      <c r="D22" s="176"/>
      <c r="E22" s="175"/>
      <c r="F22" s="169" t="s">
        <v>129</v>
      </c>
      <c r="G22" s="171">
        <f>E19+E20-E21</f>
        <v>0</v>
      </c>
      <c r="H22" s="175"/>
      <c r="I22" s="169"/>
      <c r="J22" s="169"/>
    </row>
    <row r="23" spans="1:10" ht="15.75">
      <c r="A23" s="176"/>
      <c r="B23" s="176"/>
      <c r="C23" s="164"/>
      <c r="D23" s="176"/>
      <c r="E23" s="175"/>
      <c r="F23" s="169"/>
      <c r="G23" s="175"/>
      <c r="H23" s="175"/>
      <c r="I23" s="169"/>
      <c r="J23" s="169"/>
    </row>
    <row r="24" spans="1:10" ht="15.75">
      <c r="A24" s="176" t="s">
        <v>143</v>
      </c>
      <c r="B24" s="164" t="str">
        <f>CONCATENATE("Valuation of property that has changed in use during ",J1-1,"")</f>
        <v>Valuation of property that has changed in use during 2014</v>
      </c>
      <c r="C24" s="164"/>
      <c r="D24" s="164"/>
      <c r="E24" s="169"/>
      <c r="F24" s="169"/>
      <c r="G24" s="89">
        <f>inputOth!E14</f>
        <v>9068</v>
      </c>
      <c r="H24" s="169"/>
      <c r="I24" s="169"/>
      <c r="J24" s="169"/>
    </row>
    <row r="25" spans="1:10" ht="15.75">
      <c r="A25" s="164" t="s">
        <v>34</v>
      </c>
      <c r="B25" s="164"/>
      <c r="C25" s="164"/>
      <c r="D25" s="176"/>
      <c r="E25" s="175"/>
      <c r="F25" s="169"/>
      <c r="G25" s="179"/>
      <c r="H25" s="175"/>
      <c r="I25" s="169"/>
      <c r="J25" s="169"/>
    </row>
    <row r="26" spans="1:10" ht="15.75">
      <c r="A26" s="176" t="s">
        <v>144</v>
      </c>
      <c r="B26" s="164" t="s">
        <v>396</v>
      </c>
      <c r="C26" s="164"/>
      <c r="D26" s="164"/>
      <c r="E26" s="169"/>
      <c r="F26" s="169"/>
      <c r="G26" s="171">
        <f>G11+G16+G22+G24</f>
        <v>100541</v>
      </c>
      <c r="H26" s="175"/>
      <c r="I26" s="169"/>
      <c r="J26" s="169"/>
    </row>
    <row r="27" spans="1:10" ht="15.75">
      <c r="A27" s="176"/>
      <c r="B27" s="176"/>
      <c r="C27" s="164"/>
      <c r="D27" s="164"/>
      <c r="E27" s="169"/>
      <c r="F27" s="169"/>
      <c r="G27" s="175"/>
      <c r="H27" s="175"/>
      <c r="I27" s="169"/>
      <c r="J27" s="169"/>
    </row>
    <row r="28" spans="1:10" ht="15.75">
      <c r="A28" s="176" t="s">
        <v>145</v>
      </c>
      <c r="B28" s="164" t="str">
        <f>CONCATENATE("Total estimated valuation July 1,",J1-1,"")</f>
        <v>Total estimated valuation July 1,2014</v>
      </c>
      <c r="C28" s="164"/>
      <c r="D28" s="164"/>
      <c r="E28" s="171">
        <f>inputOth!E7</f>
        <v>6357609</v>
      </c>
      <c r="F28" s="169"/>
      <c r="G28" s="169"/>
      <c r="H28" s="169"/>
      <c r="I28" s="170"/>
      <c r="J28" s="169"/>
    </row>
    <row r="29" spans="1:10" ht="15.75">
      <c r="A29" s="176"/>
      <c r="B29" s="176"/>
      <c r="C29" s="164"/>
      <c r="D29" s="164"/>
      <c r="E29" s="175"/>
      <c r="F29" s="169"/>
      <c r="G29" s="169"/>
      <c r="H29" s="169"/>
      <c r="I29" s="170"/>
      <c r="J29" s="169"/>
    </row>
    <row r="30" spans="1:10" ht="15.75">
      <c r="A30" s="176" t="s">
        <v>146</v>
      </c>
      <c r="B30" s="164" t="s">
        <v>397</v>
      </c>
      <c r="C30" s="164"/>
      <c r="D30" s="164"/>
      <c r="E30" s="169"/>
      <c r="F30" s="169"/>
      <c r="G30" s="171">
        <f>E28-G26</f>
        <v>6257068</v>
      </c>
      <c r="H30" s="175"/>
      <c r="I30" s="170"/>
      <c r="J30" s="169"/>
    </row>
    <row r="31" spans="1:10" ht="15.75">
      <c r="A31" s="176"/>
      <c r="B31" s="176"/>
      <c r="C31" s="164"/>
      <c r="D31" s="164"/>
      <c r="E31" s="164"/>
      <c r="F31" s="164"/>
      <c r="G31" s="180"/>
      <c r="H31" s="181"/>
      <c r="I31" s="176"/>
      <c r="J31" s="164"/>
    </row>
    <row r="32" spans="1:10" ht="15.75">
      <c r="A32" s="176" t="s">
        <v>147</v>
      </c>
      <c r="B32" s="164" t="s">
        <v>398</v>
      </c>
      <c r="C32" s="164"/>
      <c r="D32" s="164"/>
      <c r="E32" s="164"/>
      <c r="F32" s="164"/>
      <c r="G32" s="182">
        <f>IF(G30&gt;0,G26/G30,0)</f>
        <v>0.016068388580721835</v>
      </c>
      <c r="H32" s="181"/>
      <c r="I32" s="164"/>
      <c r="J32" s="164"/>
    </row>
    <row r="33" spans="1:10" ht="15.75">
      <c r="A33" s="176"/>
      <c r="B33" s="176"/>
      <c r="C33" s="164"/>
      <c r="D33" s="164"/>
      <c r="E33" s="164"/>
      <c r="F33" s="164"/>
      <c r="G33" s="181"/>
      <c r="H33" s="181"/>
      <c r="I33" s="164"/>
      <c r="J33" s="164"/>
    </row>
    <row r="34" spans="1:10" ht="15.75">
      <c r="A34" s="176" t="s">
        <v>148</v>
      </c>
      <c r="B34" s="164" t="s">
        <v>399</v>
      </c>
      <c r="C34" s="164"/>
      <c r="D34" s="164"/>
      <c r="E34" s="164"/>
      <c r="F34" s="164"/>
      <c r="G34" s="181"/>
      <c r="H34" s="183" t="s">
        <v>129</v>
      </c>
      <c r="I34" s="164" t="s">
        <v>130</v>
      </c>
      <c r="J34" s="171">
        <f>ROUND(G32*J7,0)</f>
        <v>7404</v>
      </c>
    </row>
    <row r="35" spans="1:10" ht="15.75">
      <c r="A35" s="176"/>
      <c r="B35" s="176"/>
      <c r="C35" s="164"/>
      <c r="D35" s="164"/>
      <c r="E35" s="164"/>
      <c r="F35" s="164"/>
      <c r="G35" s="181"/>
      <c r="H35" s="183"/>
      <c r="I35" s="164"/>
      <c r="J35" s="175"/>
    </row>
    <row r="36" spans="1:10" ht="16.5" thickBot="1">
      <c r="A36" s="176" t="s">
        <v>149</v>
      </c>
      <c r="B36" s="164" t="str">
        <f>CONCATENATE(J1," budget tax levy, excluding debt service, prior to CPI adjustment (3 plus 12)")</f>
        <v>2015 budget tax levy, excluding debt service, prior to CPI adjustment (3 plus 12)</v>
      </c>
      <c r="C36" s="164"/>
      <c r="D36" s="164"/>
      <c r="E36" s="164"/>
      <c r="F36" s="164"/>
      <c r="G36" s="164"/>
      <c r="H36" s="164"/>
      <c r="I36" s="164" t="s">
        <v>130</v>
      </c>
      <c r="J36" s="184">
        <f>J7+J34</f>
        <v>468178</v>
      </c>
    </row>
    <row r="37" spans="1:10" ht="16.5" thickTop="1">
      <c r="A37" s="164"/>
      <c r="B37" s="164"/>
      <c r="C37" s="164"/>
      <c r="D37" s="164"/>
      <c r="E37" s="164"/>
      <c r="F37" s="164"/>
      <c r="G37" s="164"/>
      <c r="H37" s="164"/>
      <c r="I37" s="164"/>
      <c r="J37" s="164"/>
    </row>
    <row r="38" spans="1:10" ht="15.75">
      <c r="A38" s="176" t="s">
        <v>160</v>
      </c>
      <c r="B38" s="164" t="str">
        <f>CONCATENATE("Debt service levy in this ",J1," budget")</f>
        <v>Debt service levy in this 2015 budget</v>
      </c>
      <c r="C38" s="164"/>
      <c r="D38" s="164"/>
      <c r="E38" s="164"/>
      <c r="F38" s="164"/>
      <c r="G38" s="164"/>
      <c r="H38" s="164"/>
      <c r="I38" s="164"/>
      <c r="J38" s="185"/>
    </row>
    <row r="39" spans="1:10" ht="15.75">
      <c r="A39" s="176"/>
      <c r="B39" s="164"/>
      <c r="C39" s="164"/>
      <c r="D39" s="164"/>
      <c r="E39" s="164"/>
      <c r="F39" s="164"/>
      <c r="G39" s="164"/>
      <c r="H39" s="164"/>
      <c r="I39" s="164"/>
      <c r="J39" s="181"/>
    </row>
    <row r="40" spans="1:10" ht="16.5" thickBot="1">
      <c r="A40" s="176" t="s">
        <v>161</v>
      </c>
      <c r="B40" s="164" t="str">
        <f>CONCATENATE(J1," budget tax levy, including debt service, prior to CPI adjustment (13 plus 14)")</f>
        <v>2015 budget tax levy, including debt service, prior to CPI adjustment (13 plus 14)</v>
      </c>
      <c r="C40" s="164"/>
      <c r="D40" s="164"/>
      <c r="E40" s="164"/>
      <c r="F40" s="164"/>
      <c r="G40" s="164"/>
      <c r="H40" s="164"/>
      <c r="I40" s="164"/>
      <c r="J40" s="184">
        <f>J36+J38</f>
        <v>468178</v>
      </c>
    </row>
    <row r="41" spans="1:10" ht="16.5" thickTop="1">
      <c r="A41" s="508"/>
      <c r="B41" s="507"/>
      <c r="C41" s="507"/>
      <c r="D41" s="507"/>
      <c r="E41" s="507"/>
      <c r="F41" s="507"/>
      <c r="G41" s="507"/>
      <c r="H41" s="507"/>
      <c r="I41" s="507"/>
      <c r="J41" s="505"/>
    </row>
    <row r="42" spans="1:10" ht="15.75">
      <c r="A42" s="510" t="s">
        <v>383</v>
      </c>
      <c r="B42" s="507" t="str">
        <f>CONCATENATE("Consumer Price Index for all urban consumers for calendar year ",J1-2)</f>
        <v>Consumer Price Index for all urban consumers for calendar year 2013</v>
      </c>
      <c r="C42" s="507"/>
      <c r="D42" s="507"/>
      <c r="E42" s="507"/>
      <c r="F42" s="507"/>
      <c r="G42" s="507"/>
      <c r="H42" s="507"/>
      <c r="I42" s="507"/>
      <c r="J42" s="511">
        <v>0.015</v>
      </c>
    </row>
    <row r="43" spans="1:10" ht="15.75">
      <c r="A43" s="510"/>
      <c r="B43" s="507"/>
      <c r="C43" s="507"/>
      <c r="D43" s="507"/>
      <c r="E43" s="507"/>
      <c r="F43" s="507"/>
      <c r="G43" s="507"/>
      <c r="H43" s="507"/>
      <c r="I43" s="507"/>
      <c r="J43" s="512"/>
    </row>
    <row r="44" spans="1:10" ht="15.75">
      <c r="A44" s="510" t="s">
        <v>384</v>
      </c>
      <c r="B44" s="507" t="s">
        <v>385</v>
      </c>
      <c r="C44" s="507"/>
      <c r="D44" s="507"/>
      <c r="E44" s="507"/>
      <c r="F44" s="507"/>
      <c r="G44" s="507"/>
      <c r="H44" s="507"/>
      <c r="I44" s="506" t="s">
        <v>130</v>
      </c>
      <c r="J44" s="504">
        <f>J7*J42</f>
        <v>6911.61</v>
      </c>
    </row>
    <row r="45" spans="1:10" ht="15.75">
      <c r="A45" s="508"/>
      <c r="B45" s="507"/>
      <c r="C45" s="507"/>
      <c r="D45" s="507"/>
      <c r="E45" s="507"/>
      <c r="F45" s="507"/>
      <c r="G45" s="507"/>
      <c r="H45" s="507"/>
      <c r="I45" s="507"/>
      <c r="J45" s="505"/>
    </row>
    <row r="46" spans="1:10" ht="15.75">
      <c r="A46" s="508" t="s">
        <v>386</v>
      </c>
      <c r="B46" s="507" t="str">
        <f>CONCATENATE("Maximum levy for budget year ",J1,", including debt service, not requiring 'notice of vote publication.'")</f>
        <v>Maximum levy for budget year 2015, including debt service, not requiring 'notice of vote publication.'</v>
      </c>
      <c r="C46" s="507"/>
      <c r="D46" s="507"/>
      <c r="E46" s="507"/>
      <c r="F46" s="507"/>
      <c r="G46" s="507"/>
      <c r="H46" s="507"/>
      <c r="I46" s="507"/>
      <c r="J46" s="503"/>
    </row>
    <row r="47" spans="1:10" ht="19.5" thickBot="1">
      <c r="A47" s="502"/>
      <c r="B47" s="506" t="s">
        <v>387</v>
      </c>
      <c r="C47" s="502"/>
      <c r="D47" s="502"/>
      <c r="E47" s="502"/>
      <c r="F47" s="502"/>
      <c r="G47" s="502"/>
      <c r="H47" s="502"/>
      <c r="I47" s="506" t="s">
        <v>130</v>
      </c>
      <c r="J47" s="509">
        <f>J40+J44</f>
        <v>475089.61</v>
      </c>
    </row>
    <row r="48" spans="1:10" ht="19.5" thickTop="1">
      <c r="A48" s="502"/>
      <c r="B48" s="513"/>
      <c r="C48" s="502"/>
      <c r="D48" s="502"/>
      <c r="E48" s="502"/>
      <c r="F48" s="502"/>
      <c r="G48" s="502"/>
      <c r="H48" s="502"/>
      <c r="I48" s="506"/>
      <c r="J48" s="505"/>
    </row>
    <row r="49" spans="1:10" ht="18.75">
      <c r="A49" s="502"/>
      <c r="B49" s="513"/>
      <c r="C49" s="502"/>
      <c r="D49" s="502"/>
      <c r="E49" s="502"/>
      <c r="F49" s="502"/>
      <c r="G49" s="502"/>
      <c r="H49" s="502"/>
      <c r="I49" s="506"/>
      <c r="J49" s="505"/>
    </row>
    <row r="50" spans="1:10" ht="18.75">
      <c r="A50" s="586" t="str">
        <f>CONCATENATE("If the ",J1," adopted budget includes a total property tax levy exceeding the dollar amount in line 18")</f>
        <v>If the 2015 adopted budget includes a total property tax levy exceeding the dollar amount in line 18</v>
      </c>
      <c r="B50" s="586"/>
      <c r="C50" s="586"/>
      <c r="D50" s="586"/>
      <c r="E50" s="586"/>
      <c r="F50" s="586"/>
      <c r="G50" s="586"/>
      <c r="H50" s="586"/>
      <c r="I50" s="586"/>
      <c r="J50" s="586"/>
    </row>
    <row r="51" spans="1:10" ht="18.75">
      <c r="A51" s="586" t="s">
        <v>388</v>
      </c>
      <c r="B51" s="586"/>
      <c r="C51" s="586"/>
      <c r="D51" s="586"/>
      <c r="E51" s="586"/>
      <c r="F51" s="586"/>
      <c r="G51" s="586"/>
      <c r="H51" s="586"/>
      <c r="I51" s="586"/>
      <c r="J51" s="586"/>
    </row>
    <row r="52" spans="1:10" ht="15.75">
      <c r="A52" s="583" t="s">
        <v>389</v>
      </c>
      <c r="B52" s="583"/>
      <c r="C52" s="583"/>
      <c r="D52" s="583"/>
      <c r="E52" s="583"/>
      <c r="F52" s="583"/>
      <c r="G52" s="583"/>
      <c r="H52" s="583"/>
      <c r="I52" s="583"/>
      <c r="J52" s="583"/>
    </row>
    <row r="53" spans="1:10" ht="15.75" customHeight="1">
      <c r="A53" s="583" t="s">
        <v>411</v>
      </c>
      <c r="B53" s="583"/>
      <c r="C53" s="583"/>
      <c r="D53" s="583"/>
      <c r="E53" s="583"/>
      <c r="F53" s="583"/>
      <c r="G53" s="583"/>
      <c r="H53" s="583"/>
      <c r="I53" s="583"/>
      <c r="J53" s="583"/>
    </row>
  </sheetData>
  <sheetProtection/>
  <mergeCells count="7">
    <mergeCell ref="A53:J53"/>
    <mergeCell ref="A52:J52"/>
    <mergeCell ref="A3:J3"/>
    <mergeCell ref="E4:G4"/>
    <mergeCell ref="A51:J51"/>
    <mergeCell ref="A50:J50"/>
    <mergeCell ref="A9:J9"/>
  </mergeCells>
  <printOptions/>
  <pageMargins left="0.5" right="0.5" top="1" bottom="0.5" header="0.5" footer="0.5"/>
  <pageSetup blackAndWhite="1" fitToHeight="1" fitToWidth="1" horizontalDpi="600" verticalDpi="600" orientation="portrait" scale="81"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tabSelected="1" zoomScalePageLayoutView="0" workbookViewId="0" topLeftCell="A1">
      <selection activeCell="B22" sqref="B22"/>
    </sheetView>
  </sheetViews>
  <sheetFormatPr defaultColWidth="8.796875" defaultRowHeight="15"/>
  <cols>
    <col min="1" max="1" width="8.8984375" style="41" customWidth="1"/>
    <col min="2" max="2" width="17.8984375" style="41" customWidth="1"/>
    <col min="3" max="3" width="16.09765625" style="41" customWidth="1"/>
    <col min="4" max="6" width="12.796875" style="41" customWidth="1"/>
    <col min="7" max="7" width="10.19921875" style="41" customWidth="1"/>
    <col min="8" max="16384" width="8.8984375" style="41" customWidth="1"/>
  </cols>
  <sheetData>
    <row r="1" spans="1:7" ht="15.75">
      <c r="A1" s="462"/>
      <c r="B1" s="186" t="str">
        <f>inputPrYr!D2</f>
        <v>City of Leoti</v>
      </c>
      <c r="C1" s="186"/>
      <c r="D1" s="43"/>
      <c r="E1" s="43"/>
      <c r="F1" s="43"/>
      <c r="G1" s="43">
        <f>inputPrYr!C5</f>
        <v>2015</v>
      </c>
    </row>
    <row r="2" spans="1:7" ht="15.75">
      <c r="A2" s="462"/>
      <c r="B2" s="43"/>
      <c r="C2" s="43"/>
      <c r="D2" s="43"/>
      <c r="E2" s="43"/>
      <c r="F2" s="43"/>
      <c r="G2" s="43"/>
    </row>
    <row r="3" spans="1:7" ht="15.75">
      <c r="A3" s="462"/>
      <c r="B3" s="587" t="s">
        <v>5</v>
      </c>
      <c r="C3" s="587"/>
      <c r="D3" s="587"/>
      <c r="E3" s="587"/>
      <c r="F3" s="587"/>
      <c r="G3" s="43"/>
    </row>
    <row r="4" spans="1:7" ht="15.75">
      <c r="A4" s="462"/>
      <c r="B4" s="43"/>
      <c r="C4" s="187"/>
      <c r="D4" s="187"/>
      <c r="E4" s="187"/>
      <c r="F4" s="43"/>
      <c r="G4" s="68"/>
    </row>
    <row r="5" spans="1:8" ht="21" customHeight="1">
      <c r="A5" s="462"/>
      <c r="B5" s="188" t="s">
        <v>216</v>
      </c>
      <c r="C5" s="136" t="s">
        <v>342</v>
      </c>
      <c r="D5" s="588" t="str">
        <f>CONCATENATE("Allocation for Year ",G1,"")</f>
        <v>Allocation for Year 2015</v>
      </c>
      <c r="E5" s="589"/>
      <c r="F5" s="590"/>
      <c r="G5" s="43"/>
      <c r="H5" s="411"/>
    </row>
    <row r="6" spans="1:7" ht="15.75">
      <c r="A6" s="462"/>
      <c r="B6" s="189" t="str">
        <f>CONCATENATE("for ",G1-1,"")</f>
        <v>for 2014</v>
      </c>
      <c r="C6" s="189" t="str">
        <f>CONCATENATE("Amount for ",G1-2,"")</f>
        <v>Amount for 2013</v>
      </c>
      <c r="D6" s="140" t="s">
        <v>123</v>
      </c>
      <c r="E6" s="140" t="s">
        <v>124</v>
      </c>
      <c r="F6" s="140" t="s">
        <v>122</v>
      </c>
      <c r="G6" s="461"/>
    </row>
    <row r="7" spans="1:7" ht="15.75">
      <c r="A7" s="462"/>
      <c r="B7" s="79" t="str">
        <f>(inputPrYr!B17)</f>
        <v>General</v>
      </c>
      <c r="C7" s="143">
        <f>(inputPrYr!E17)</f>
        <v>439421</v>
      </c>
      <c r="D7" s="143">
        <f>IF(inputPrYr!E17=0,0,D22-SUM(D8:D19))</f>
        <v>96469</v>
      </c>
      <c r="E7" s="143">
        <f>IF(inputPrYr!E17=0,0,E23-SUM(E8:E19))</f>
        <v>611</v>
      </c>
      <c r="F7" s="143">
        <f>IF(inputPrYr!E17=0,0,F24-SUM(F8:F19))</f>
        <v>2656</v>
      </c>
      <c r="G7" s="462"/>
    </row>
    <row r="8" spans="1:7" ht="15.75">
      <c r="A8" s="462"/>
      <c r="B8" s="79" t="str">
        <f>IF(inputPrYr!$B18&gt;"  ",(inputPrYr!$B18),"  ")</f>
        <v>  </v>
      </c>
      <c r="C8" s="143" t="str">
        <f>IF(inputPrYr!$E18&gt;0,(inputPrYr!$E18),"  ")</f>
        <v>  </v>
      </c>
      <c r="D8" s="143" t="str">
        <f>IF(inputPrYr!E18&gt;0,ROUND(C8*$D$26,0),"  ")</f>
        <v>  </v>
      </c>
      <c r="E8" s="143" t="str">
        <f>IF(inputPrYr!E18&gt;0,ROUND(+C8*E$27,0)," ")</f>
        <v> </v>
      </c>
      <c r="F8" s="143" t="str">
        <f>IF(inputPrYr!E18&gt;0,ROUND(C8*F$28,0)," ")</f>
        <v> </v>
      </c>
      <c r="G8" s="462"/>
    </row>
    <row r="9" spans="1:7" ht="15.75">
      <c r="A9" s="462"/>
      <c r="B9" s="79" t="str">
        <f>IF(inputPrYr!$B19&gt;"  ",(inputPrYr!$B19),"  ")</f>
        <v>  </v>
      </c>
      <c r="C9" s="143" t="str">
        <f>IF(inputPrYr!$E19&gt;0,(inputPrYr!$E19),"  ")</f>
        <v>  </v>
      </c>
      <c r="D9" s="143" t="str">
        <f>IF(inputPrYr!E19&gt;0,ROUND(C9*$D$26,0),"  ")</f>
        <v>  </v>
      </c>
      <c r="E9" s="143" t="str">
        <f>IF(inputPrYr!E19&gt;0,ROUND(+C9*E$27,0)," ")</f>
        <v> </v>
      </c>
      <c r="F9" s="143" t="str">
        <f>IF(inputPrYr!E19&gt;0,ROUND(+C9*F$28,0)," ")</f>
        <v> </v>
      </c>
      <c r="G9" s="462"/>
    </row>
    <row r="10" spans="1:7" ht="15.75">
      <c r="A10" s="462"/>
      <c r="B10" s="79" t="str">
        <f>IF(inputPrYr!$B21&gt;"  ",(inputPrYr!$B21),"  ")</f>
        <v>Ambulance and Fire Equip. </v>
      </c>
      <c r="C10" s="143">
        <f>IF(inputPrYr!$E21&gt;0,(inputPrYr!$E21),"  ")</f>
        <v>21353</v>
      </c>
      <c r="D10" s="143">
        <f>IF(inputPrYr!E21&gt;0,ROUND(C10*$D$26,0),"  ")</f>
        <v>4688</v>
      </c>
      <c r="E10" s="143">
        <f>IF(inputPrYr!E21&gt;0,ROUND(+C10*E$27,0)," ")</f>
        <v>30</v>
      </c>
      <c r="F10" s="143">
        <f>IF(inputPrYr!E21&gt;0,ROUND(+C10*F$28,0)," ")</f>
        <v>129</v>
      </c>
      <c r="G10" s="462"/>
    </row>
    <row r="11" spans="1:7" ht="15.75">
      <c r="A11" s="462"/>
      <c r="B11" s="79" t="str">
        <f>IF(inputPrYr!$B22&gt;"  ",(inputPrYr!$B22),"  ")</f>
        <v>  </v>
      </c>
      <c r="C11" s="143" t="str">
        <f>IF(inputPrYr!$E22&gt;0,(inputPrYr!$E22),"  ")</f>
        <v>  </v>
      </c>
      <c r="D11" s="143" t="str">
        <f>IF(inputPrYr!E22&gt;0,ROUND(C11*$D$26,0),"  ")</f>
        <v>  </v>
      </c>
      <c r="E11" s="143" t="str">
        <f>IF(inputPrYr!E22&gt;0,ROUND(+C11*E$27,0)," ")</f>
        <v> </v>
      </c>
      <c r="F11" s="143" t="str">
        <f>IF(inputPrYr!E22&gt;0,ROUND(+C11*F$28,0)," ")</f>
        <v> </v>
      </c>
      <c r="G11" s="462"/>
    </row>
    <row r="12" spans="1:7" ht="15.75">
      <c r="A12" s="462"/>
      <c r="B12" s="79" t="str">
        <f>IF(inputPrYr!$B23&gt;"  ",(inputPrYr!$B23),"  ")</f>
        <v>  </v>
      </c>
      <c r="C12" s="143" t="str">
        <f>IF(inputPrYr!$E23&gt;0,(inputPrYr!$E23),"  ")</f>
        <v>  </v>
      </c>
      <c r="D12" s="143" t="str">
        <f>IF(inputPrYr!E23&gt;0,ROUND(C12*$D$26,0),"  ")</f>
        <v>  </v>
      </c>
      <c r="E12" s="143" t="str">
        <f>IF(inputPrYr!E23&gt;0,ROUND(+C12*E$27,0)," ")</f>
        <v> </v>
      </c>
      <c r="F12" s="143" t="str">
        <f>IF(inputPrYr!E23&gt;0,ROUND(+C12*F$28,0)," ")</f>
        <v> </v>
      </c>
      <c r="G12" s="462"/>
    </row>
    <row r="13" spans="1:7" ht="15.75">
      <c r="A13" s="462"/>
      <c r="B13" s="79" t="str">
        <f>IF(inputPrYr!$B24&gt;"  ",(inputPrYr!$B24),"  ")</f>
        <v>  </v>
      </c>
      <c r="C13" s="143" t="str">
        <f>IF(inputPrYr!$E24&gt;0,(inputPrYr!$E24),"  ")</f>
        <v>  </v>
      </c>
      <c r="D13" s="143" t="str">
        <f>IF(inputPrYr!E24&gt;0,ROUND(C13*$D$26,0),"  ")</f>
        <v>  </v>
      </c>
      <c r="E13" s="143" t="str">
        <f>IF(inputPrYr!E24&gt;0,ROUND(+C13*E$27,0)," ")</f>
        <v> </v>
      </c>
      <c r="F13" s="143" t="str">
        <f>IF(inputPrYr!E24&gt;0,ROUND(+C13*F$28,0)," ")</f>
        <v> </v>
      </c>
      <c r="G13" s="462"/>
    </row>
    <row r="14" spans="1:7" ht="15.75">
      <c r="A14" s="462"/>
      <c r="B14" s="79" t="str">
        <f>IF(inputPrYr!$B25&gt;"  ",(inputPrYr!$B25),"  ")</f>
        <v>  </v>
      </c>
      <c r="C14" s="143" t="str">
        <f>IF(inputPrYr!$E25&gt;0,(inputPrYr!$E25),"  ")</f>
        <v>  </v>
      </c>
      <c r="D14" s="143" t="str">
        <f>IF(inputPrYr!E25&gt;0,ROUND(C14*$D$26,0),"  ")</f>
        <v>  </v>
      </c>
      <c r="E14" s="143" t="str">
        <f>IF(inputPrYr!E25&gt;0,ROUND(+C14*E$27,0)," ")</f>
        <v> </v>
      </c>
      <c r="F14" s="143" t="str">
        <f>IF(inputPrYr!E25&gt;0,ROUND(+C14*F$28,0)," ")</f>
        <v> </v>
      </c>
      <c r="G14" s="462"/>
    </row>
    <row r="15" spans="1:7" ht="15.75">
      <c r="A15" s="462"/>
      <c r="B15" s="79" t="str">
        <f>IF(inputPrYr!$B26&gt;"  ",(inputPrYr!$B26),"  ")</f>
        <v>  </v>
      </c>
      <c r="C15" s="143" t="str">
        <f>IF(inputPrYr!$E26&gt;0,(inputPrYr!$E26),"  ")</f>
        <v>  </v>
      </c>
      <c r="D15" s="143" t="str">
        <f>IF(inputPrYr!E26&gt;0,ROUND(C15*$D$26,0),"  ")</f>
        <v>  </v>
      </c>
      <c r="E15" s="143" t="str">
        <f>IF(inputPrYr!E26&gt;0,ROUND(+C15*E$27,0)," ")</f>
        <v> </v>
      </c>
      <c r="F15" s="143" t="str">
        <f>IF(inputPrYr!E26&gt;0,ROUND(+C15*F$28,0)," ")</f>
        <v> </v>
      </c>
      <c r="G15" s="462"/>
    </row>
    <row r="16" spans="1:7" ht="15.75">
      <c r="A16" s="462"/>
      <c r="B16" s="79" t="str">
        <f>IF(inputPrYr!$B27&gt;"  ",(inputPrYr!$B27),"  ")</f>
        <v>  </v>
      </c>
      <c r="C16" s="143" t="str">
        <f>IF(inputPrYr!$E27&gt;0,(inputPrYr!$E27),"  ")</f>
        <v>  </v>
      </c>
      <c r="D16" s="143" t="str">
        <f>IF(inputPrYr!E27&gt;0,ROUND(C16*$D$26,0),"  ")</f>
        <v>  </v>
      </c>
      <c r="E16" s="143" t="str">
        <f>IF(inputPrYr!E27&gt;0,ROUND(+C16*E$27,0)," ")</f>
        <v> </v>
      </c>
      <c r="F16" s="143" t="str">
        <f>IF(inputPrYr!E27&gt;0,ROUND(+C16*F$28,0)," ")</f>
        <v> </v>
      </c>
      <c r="G16" s="462"/>
    </row>
    <row r="17" spans="1:7" ht="15.75">
      <c r="A17" s="462"/>
      <c r="B17" s="79" t="str">
        <f>IF(inputPrYr!$B28&gt;"  ",(inputPrYr!$B28),"  ")</f>
        <v>  </v>
      </c>
      <c r="C17" s="143" t="str">
        <f>IF(inputPrYr!$E28&gt;0,(inputPrYr!$E28),"  ")</f>
        <v>  </v>
      </c>
      <c r="D17" s="143" t="str">
        <f>IF(inputPrYr!E28&gt;0,ROUND(C17*$D$26,0),"  ")</f>
        <v>  </v>
      </c>
      <c r="E17" s="143" t="str">
        <f>IF(inputPrYr!E28&gt;0,ROUND(+C17*E$27,0)," ")</f>
        <v> </v>
      </c>
      <c r="F17" s="143" t="str">
        <f>IF(inputPrYr!E28&gt;0,ROUND(+C17*F$28,0)," ")</f>
        <v> </v>
      </c>
      <c r="G17" s="462"/>
    </row>
    <row r="18" spans="1:7" ht="15.75">
      <c r="A18" s="462"/>
      <c r="B18" s="79" t="str">
        <f>IF(inputPrYr!$B29&gt;"  ",(inputPrYr!$B29),"  ")</f>
        <v>  </v>
      </c>
      <c r="C18" s="143" t="str">
        <f>IF(inputPrYr!$E29&gt;0,(inputPrYr!$E29),"  ")</f>
        <v>  </v>
      </c>
      <c r="D18" s="143" t="str">
        <f>IF(inputPrYr!E29&gt;0,ROUND(C18*$D$26,0),"  ")</f>
        <v>  </v>
      </c>
      <c r="E18" s="143" t="str">
        <f>IF(inputPrYr!E29&gt;0,ROUND(+C18*E$27,0)," ")</f>
        <v> </v>
      </c>
      <c r="F18" s="143" t="str">
        <f>IF(inputPrYr!E29&gt;0,ROUND(+C18*F$28,0)," ")</f>
        <v> </v>
      </c>
      <c r="G18" s="462"/>
    </row>
    <row r="19" spans="1:7" ht="15.75">
      <c r="A19" s="462"/>
      <c r="B19" s="79" t="str">
        <f>IF(inputPrYr!B30&gt;"  ",(inputPrYr!B30),"  ")</f>
        <v>  </v>
      </c>
      <c r="C19" s="143" t="str">
        <f>IF(inputPrYr!E30&gt;0,(inputPrYr!E30),"  ")</f>
        <v>  </v>
      </c>
      <c r="D19" s="143" t="str">
        <f>IF(inputPrYr!E30&gt;0,ROUND(C19*$D$26,0),"  ")</f>
        <v>  </v>
      </c>
      <c r="E19" s="143" t="str">
        <f>IF(inputPrYr!E30&gt;0,ROUND(+C19*E$27,0)," ")</f>
        <v> </v>
      </c>
      <c r="F19" s="143" t="str">
        <f>IF(inputPrYr!E30&gt;0,ROUND(+C19*F$28,0)," ")</f>
        <v> </v>
      </c>
      <c r="G19" s="462"/>
    </row>
    <row r="20" spans="1:7" ht="15.75">
      <c r="A20" s="462"/>
      <c r="B20" s="43" t="s">
        <v>51</v>
      </c>
      <c r="C20" s="150">
        <f>SUM(C7:C19)</f>
        <v>460774</v>
      </c>
      <c r="D20" s="150">
        <f>SUM(D7:D19)</f>
        <v>101157</v>
      </c>
      <c r="E20" s="150">
        <f>SUM(E7:E19)</f>
        <v>641</v>
      </c>
      <c r="F20" s="150">
        <f>SUM(F7:F19)</f>
        <v>2785</v>
      </c>
      <c r="G20" s="43"/>
    </row>
    <row r="21" spans="1:7" ht="15.75">
      <c r="A21" s="462"/>
      <c r="B21" s="43"/>
      <c r="C21" s="69"/>
      <c r="D21" s="69"/>
      <c r="E21" s="69"/>
      <c r="F21" s="69"/>
      <c r="G21" s="43"/>
    </row>
    <row r="22" spans="1:7" ht="15.75">
      <c r="A22" s="462"/>
      <c r="B22" s="44" t="s">
        <v>52</v>
      </c>
      <c r="C22" s="190"/>
      <c r="D22" s="191">
        <f>(inputOth!E39)</f>
        <v>101157</v>
      </c>
      <c r="E22" s="190"/>
      <c r="F22" s="43"/>
      <c r="G22" s="43"/>
    </row>
    <row r="23" spans="1:7" ht="15.75">
      <c r="A23" s="462"/>
      <c r="B23" s="44" t="s">
        <v>53</v>
      </c>
      <c r="C23" s="43"/>
      <c r="D23" s="43"/>
      <c r="E23" s="191">
        <f>(inputOth!E40)</f>
        <v>641</v>
      </c>
      <c r="F23" s="43"/>
      <c r="G23" s="43"/>
    </row>
    <row r="24" spans="1:7" ht="15.75">
      <c r="A24" s="462"/>
      <c r="B24" s="44" t="s">
        <v>125</v>
      </c>
      <c r="C24" s="43"/>
      <c r="D24" s="43"/>
      <c r="E24" s="43"/>
      <c r="F24" s="191">
        <f>inputOth!E41</f>
        <v>2785</v>
      </c>
      <c r="G24" s="43"/>
    </row>
    <row r="25" spans="1:7" ht="15.75">
      <c r="A25" s="462"/>
      <c r="B25" s="44"/>
      <c r="C25" s="43"/>
      <c r="D25" s="43"/>
      <c r="E25" s="43"/>
      <c r="F25" s="69"/>
      <c r="G25" s="331"/>
    </row>
    <row r="26" spans="1:7" ht="15.75">
      <c r="A26" s="462"/>
      <c r="B26" s="44" t="s">
        <v>54</v>
      </c>
      <c r="C26" s="43"/>
      <c r="D26" s="192">
        <f>IF(C20=0,0,D22/C20)</f>
        <v>0.2195371266607925</v>
      </c>
      <c r="E26" s="43"/>
      <c r="F26" s="43"/>
      <c r="G26" s="43"/>
    </row>
    <row r="27" spans="1:7" ht="15.75">
      <c r="A27" s="462"/>
      <c r="B27" s="43"/>
      <c r="C27" s="44" t="s">
        <v>55</v>
      </c>
      <c r="D27" s="43"/>
      <c r="E27" s="192">
        <f>IF(C20=0,0,E23/C20)</f>
        <v>0.0013911375207802524</v>
      </c>
      <c r="F27" s="43"/>
      <c r="G27" s="43"/>
    </row>
    <row r="28" spans="1:7" ht="15.75">
      <c r="A28" s="462"/>
      <c r="B28" s="43"/>
      <c r="C28" s="43"/>
      <c r="D28" s="44" t="s">
        <v>126</v>
      </c>
      <c r="E28" s="43"/>
      <c r="F28" s="192">
        <f>IF(C20=0,0,F24/C20)</f>
        <v>0.00604417783989548</v>
      </c>
      <c r="G28" s="43"/>
    </row>
    <row r="29" spans="1:7" ht="15.75">
      <c r="A29" s="462"/>
      <c r="B29" s="43"/>
      <c r="C29" s="43"/>
      <c r="D29" s="43"/>
      <c r="E29" s="43"/>
      <c r="F29" s="43"/>
      <c r="G29" s="43"/>
    </row>
    <row r="30" spans="1:7" ht="15.75">
      <c r="A30" s="462"/>
      <c r="B30" s="60"/>
      <c r="C30" s="60"/>
      <c r="D30" s="60"/>
      <c r="E30" s="60"/>
      <c r="F30" s="60"/>
      <c r="G30" s="60"/>
    </row>
  </sheetData>
  <sheetProtection/>
  <mergeCells count="2">
    <mergeCell ref="B3:F3"/>
    <mergeCell ref="D5:F5"/>
  </mergeCells>
  <printOptions/>
  <pageMargins left="0.5" right="0.5" top="1" bottom="0.5" header="0.5" footer="0.5"/>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1"/>
  <sheetViews>
    <sheetView zoomScalePageLayoutView="0" workbookViewId="0" topLeftCell="A4">
      <selection activeCell="F15" sqref="F15"/>
    </sheetView>
  </sheetViews>
  <sheetFormatPr defaultColWidth="8.796875" defaultRowHeight="15"/>
  <cols>
    <col min="1" max="1" width="4.19921875" style="29" customWidth="1"/>
    <col min="2" max="3" width="17.796875" style="29" customWidth="1"/>
    <col min="4" max="7" width="12.796875" style="29" customWidth="1"/>
    <col min="8" max="16384" width="8.8984375" style="29" customWidth="1"/>
  </cols>
  <sheetData>
    <row r="1" spans="2:7" ht="15.75">
      <c r="B1" s="165" t="str">
        <f>inputPrYr!D2</f>
        <v>City of Leoti</v>
      </c>
      <c r="C1" s="165"/>
      <c r="D1" s="164"/>
      <c r="E1" s="164"/>
      <c r="F1" s="164"/>
      <c r="G1" s="164">
        <f>inputPrYr!$C$5</f>
        <v>2015</v>
      </c>
    </row>
    <row r="2" spans="2:7" ht="15.75">
      <c r="B2" s="164"/>
      <c r="C2" s="164"/>
      <c r="D2" s="164"/>
      <c r="E2" s="164"/>
      <c r="F2" s="164"/>
      <c r="G2" s="164"/>
    </row>
    <row r="3" spans="2:7" ht="15.75">
      <c r="B3" s="591" t="s">
        <v>167</v>
      </c>
      <c r="C3" s="591"/>
      <c r="D3" s="591"/>
      <c r="E3" s="591"/>
      <c r="F3" s="591"/>
      <c r="G3" s="591"/>
    </row>
    <row r="4" spans="2:7" ht="15.75">
      <c r="B4" s="193"/>
      <c r="C4" s="193"/>
      <c r="D4" s="193"/>
      <c r="E4" s="193"/>
      <c r="F4" s="193"/>
      <c r="G4" s="193"/>
    </row>
    <row r="5" spans="2:7" ht="15.75">
      <c r="B5" s="194" t="s">
        <v>270</v>
      </c>
      <c r="C5" s="194" t="s">
        <v>271</v>
      </c>
      <c r="D5" s="194" t="s">
        <v>74</v>
      </c>
      <c r="E5" s="194" t="s">
        <v>172</v>
      </c>
      <c r="F5" s="194" t="s">
        <v>173</v>
      </c>
      <c r="G5" s="194" t="s">
        <v>208</v>
      </c>
    </row>
    <row r="6" spans="2:7" ht="15.75">
      <c r="B6" s="195" t="s">
        <v>272</v>
      </c>
      <c r="C6" s="195" t="s">
        <v>273</v>
      </c>
      <c r="D6" s="195" t="s">
        <v>209</v>
      </c>
      <c r="E6" s="195" t="s">
        <v>209</v>
      </c>
      <c r="F6" s="195" t="s">
        <v>209</v>
      </c>
      <c r="G6" s="195" t="s">
        <v>210</v>
      </c>
    </row>
    <row r="7" spans="2:7" ht="15" customHeight="1">
      <c r="B7" s="196" t="s">
        <v>211</v>
      </c>
      <c r="C7" s="196" t="s">
        <v>212</v>
      </c>
      <c r="D7" s="197">
        <f>G1-2</f>
        <v>2013</v>
      </c>
      <c r="E7" s="197">
        <f>G1-1</f>
        <v>2014</v>
      </c>
      <c r="F7" s="197">
        <f>G1</f>
        <v>2015</v>
      </c>
      <c r="G7" s="196" t="s">
        <v>213</v>
      </c>
    </row>
    <row r="8" spans="2:7" ht="14.25" customHeight="1">
      <c r="B8" s="198" t="s">
        <v>27</v>
      </c>
      <c r="C8" s="198" t="s">
        <v>421</v>
      </c>
      <c r="D8" s="199">
        <v>166000</v>
      </c>
      <c r="E8" s="199"/>
      <c r="F8" s="199"/>
      <c r="G8" s="200" t="s">
        <v>436</v>
      </c>
    </row>
    <row r="9" spans="2:7" ht="15" customHeight="1">
      <c r="B9" s="201" t="s">
        <v>416</v>
      </c>
      <c r="C9" s="201" t="s">
        <v>423</v>
      </c>
      <c r="D9" s="202">
        <v>90000</v>
      </c>
      <c r="E9" s="202">
        <v>90000</v>
      </c>
      <c r="F9" s="202">
        <v>150000</v>
      </c>
      <c r="G9" s="200" t="s">
        <v>437</v>
      </c>
    </row>
    <row r="10" spans="2:7" ht="15" customHeight="1">
      <c r="B10" s="201" t="s">
        <v>416</v>
      </c>
      <c r="C10" s="201" t="s">
        <v>424</v>
      </c>
      <c r="D10" s="202">
        <v>44116</v>
      </c>
      <c r="E10" s="202">
        <v>46241</v>
      </c>
      <c r="F10" s="202">
        <v>46241</v>
      </c>
      <c r="G10" s="200" t="s">
        <v>438</v>
      </c>
    </row>
    <row r="11" spans="2:7" ht="15" customHeight="1">
      <c r="B11" s="201" t="s">
        <v>435</v>
      </c>
      <c r="C11" s="201" t="s">
        <v>425</v>
      </c>
      <c r="D11" s="202">
        <v>15000</v>
      </c>
      <c r="E11" s="202">
        <v>15000</v>
      </c>
      <c r="F11" s="202">
        <v>15000</v>
      </c>
      <c r="G11" s="200" t="s">
        <v>437</v>
      </c>
    </row>
    <row r="12" spans="2:7" ht="15" customHeight="1">
      <c r="B12" s="201" t="s">
        <v>27</v>
      </c>
      <c r="C12" s="201" t="s">
        <v>420</v>
      </c>
      <c r="D12" s="202">
        <v>21506</v>
      </c>
      <c r="E12" s="202"/>
      <c r="F12" s="202"/>
      <c r="G12" s="200" t="s">
        <v>436</v>
      </c>
    </row>
    <row r="13" spans="2:7" ht="15" customHeight="1">
      <c r="B13" s="201" t="s">
        <v>514</v>
      </c>
      <c r="C13" s="201" t="s">
        <v>482</v>
      </c>
      <c r="D13" s="202">
        <v>85705</v>
      </c>
      <c r="E13" s="202"/>
      <c r="F13" s="202"/>
      <c r="G13" s="200" t="s">
        <v>507</v>
      </c>
    </row>
    <row r="14" spans="2:7" ht="15" customHeight="1">
      <c r="B14" s="201"/>
      <c r="C14" s="201"/>
      <c r="D14" s="202"/>
      <c r="E14" s="202"/>
      <c r="F14" s="202"/>
      <c r="G14" s="200"/>
    </row>
    <row r="15" spans="2:7" ht="15" customHeight="1">
      <c r="B15" s="201"/>
      <c r="C15" s="201"/>
      <c r="D15" s="202"/>
      <c r="E15" s="202"/>
      <c r="F15" s="202"/>
      <c r="G15" s="200"/>
    </row>
    <row r="16" spans="2:7" ht="15" customHeight="1">
      <c r="B16" s="201"/>
      <c r="C16" s="201"/>
      <c r="D16" s="202"/>
      <c r="E16" s="202"/>
      <c r="F16" s="202"/>
      <c r="G16" s="200"/>
    </row>
    <row r="17" spans="2:7" ht="15" customHeight="1">
      <c r="B17" s="201"/>
      <c r="C17" s="201"/>
      <c r="D17" s="202"/>
      <c r="E17" s="202"/>
      <c r="F17" s="202"/>
      <c r="G17" s="200"/>
    </row>
    <row r="18" spans="2:7" ht="15" customHeight="1">
      <c r="B18" s="201"/>
      <c r="C18" s="201"/>
      <c r="D18" s="202"/>
      <c r="E18" s="202"/>
      <c r="F18" s="202"/>
      <c r="G18" s="200"/>
    </row>
    <row r="19" spans="2:7" ht="15" customHeight="1">
      <c r="B19" s="201"/>
      <c r="C19" s="201"/>
      <c r="D19" s="202"/>
      <c r="E19" s="202"/>
      <c r="F19" s="202"/>
      <c r="G19" s="200"/>
    </row>
    <row r="20" spans="2:7" ht="15" customHeight="1">
      <c r="B20" s="201"/>
      <c r="C20" s="201"/>
      <c r="D20" s="202"/>
      <c r="E20" s="202"/>
      <c r="F20" s="202"/>
      <c r="G20" s="200"/>
    </row>
    <row r="21" spans="2:7" ht="15" customHeight="1">
      <c r="B21" s="201"/>
      <c r="C21" s="201"/>
      <c r="D21" s="202"/>
      <c r="E21" s="202"/>
      <c r="F21" s="202"/>
      <c r="G21" s="200"/>
    </row>
    <row r="22" spans="2:7" ht="15" customHeight="1">
      <c r="B22" s="201"/>
      <c r="C22" s="201"/>
      <c r="D22" s="202"/>
      <c r="E22" s="202"/>
      <c r="F22" s="202"/>
      <c r="G22" s="200"/>
    </row>
    <row r="23" spans="2:7" ht="15" customHeight="1">
      <c r="B23" s="201"/>
      <c r="C23" s="201"/>
      <c r="D23" s="202"/>
      <c r="E23" s="202"/>
      <c r="F23" s="202"/>
      <c r="G23" s="200"/>
    </row>
    <row r="24" spans="2:7" ht="15" customHeight="1">
      <c r="B24" s="201"/>
      <c r="C24" s="201"/>
      <c r="D24" s="202"/>
      <c r="E24" s="202"/>
      <c r="F24" s="202"/>
      <c r="G24" s="200"/>
    </row>
    <row r="25" spans="2:7" ht="15" customHeight="1">
      <c r="B25" s="201"/>
      <c r="C25" s="201"/>
      <c r="D25" s="202"/>
      <c r="E25" s="202"/>
      <c r="F25" s="202"/>
      <c r="G25" s="200"/>
    </row>
    <row r="26" spans="2:7" ht="15" customHeight="1">
      <c r="B26" s="90"/>
      <c r="C26" s="203" t="s">
        <v>45</v>
      </c>
      <c r="D26" s="204">
        <f>SUM(D8:D25)</f>
        <v>422327</v>
      </c>
      <c r="E26" s="204">
        <f>SUM(E8:E25)</f>
        <v>151241</v>
      </c>
      <c r="F26" s="204">
        <f>SUM(F8:F25)</f>
        <v>211241</v>
      </c>
      <c r="G26" s="205"/>
    </row>
    <row r="27" spans="2:7" ht="15" customHeight="1">
      <c r="B27" s="90"/>
      <c r="C27" s="206" t="s">
        <v>214</v>
      </c>
      <c r="D27" s="148"/>
      <c r="E27" s="207"/>
      <c r="F27" s="207"/>
      <c r="G27" s="205"/>
    </row>
    <row r="28" spans="2:7" ht="15" customHeight="1">
      <c r="B28" s="90"/>
      <c r="C28" s="203" t="s">
        <v>215</v>
      </c>
      <c r="D28" s="204">
        <f>D26</f>
        <v>422327</v>
      </c>
      <c r="E28" s="204">
        <f>SUM(E26-E27)</f>
        <v>151241</v>
      </c>
      <c r="F28" s="204">
        <f>SUM(F26-F27)</f>
        <v>211241</v>
      </c>
      <c r="G28" s="205"/>
    </row>
    <row r="29" spans="2:7" ht="15" customHeight="1">
      <c r="B29" s="90"/>
      <c r="C29" s="90"/>
      <c r="D29" s="90"/>
      <c r="E29" s="90"/>
      <c r="F29" s="90"/>
      <c r="G29" s="90"/>
    </row>
    <row r="30" spans="2:7" ht="15" customHeight="1">
      <c r="B30" s="90"/>
      <c r="C30" s="90"/>
      <c r="D30" s="90"/>
      <c r="E30" s="90"/>
      <c r="F30" s="90"/>
      <c r="G30" s="90"/>
    </row>
    <row r="31" spans="2:7" ht="15" customHeight="1">
      <c r="B31" s="327" t="s">
        <v>269</v>
      </c>
      <c r="C31" s="328" t="str">
        <f>CONCATENATE("Adjustments are required only if the transfer is being made in ",E7," and/or ",F7," from a non-budgeted fund.")</f>
        <v>Adjustments are required only if the transfer is being made in 2014 and/or 2015 from a non-budgeted fund.</v>
      </c>
      <c r="D31" s="90"/>
      <c r="E31" s="90"/>
      <c r="F31" s="90"/>
      <c r="G31" s="90"/>
    </row>
    <row r="32" ht="15" customHeight="1"/>
  </sheetData>
  <sheetProtection/>
  <mergeCells count="1">
    <mergeCell ref="B3:G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1">
      <selection activeCell="M35" sqref="M35"/>
    </sheetView>
  </sheetViews>
  <sheetFormatPr defaultColWidth="8.796875" defaultRowHeight="15"/>
  <cols>
    <col min="1" max="1" width="4.796875" style="41" customWidth="1"/>
    <col min="2" max="2" width="20.796875" style="41" customWidth="1"/>
    <col min="3" max="3" width="9.296875" style="41" customWidth="1"/>
    <col min="4" max="4" width="8.69921875" style="41" customWidth="1"/>
    <col min="5" max="5" width="8.796875" style="41" customWidth="1"/>
    <col min="6" max="6" width="12.796875" style="41" customWidth="1"/>
    <col min="7" max="7" width="14.296875" style="41" customWidth="1"/>
    <col min="8" max="13" width="9.796875" style="41" customWidth="1"/>
    <col min="14" max="16384" width="8.8984375" style="41" customWidth="1"/>
  </cols>
  <sheetData>
    <row r="1" spans="2:13" ht="15.75">
      <c r="B1" s="186" t="str">
        <f>inputPrYr!$D$2</f>
        <v>City of Leoti</v>
      </c>
      <c r="C1" s="43"/>
      <c r="D1" s="43"/>
      <c r="E1" s="43"/>
      <c r="F1" s="43"/>
      <c r="G1" s="43"/>
      <c r="H1" s="43"/>
      <c r="I1" s="43"/>
      <c r="J1" s="43"/>
      <c r="K1" s="43"/>
      <c r="L1" s="43"/>
      <c r="M1" s="208">
        <f>inputPrYr!$C$5</f>
        <v>2015</v>
      </c>
    </row>
    <row r="2" spans="2:13" ht="15.75">
      <c r="B2" s="186"/>
      <c r="C2" s="43"/>
      <c r="D2" s="43"/>
      <c r="E2" s="43"/>
      <c r="F2" s="43"/>
      <c r="G2" s="43"/>
      <c r="H2" s="43"/>
      <c r="I2" s="43"/>
      <c r="J2" s="43"/>
      <c r="K2" s="43"/>
      <c r="L2" s="43"/>
      <c r="M2" s="160"/>
    </row>
    <row r="3" spans="2:13" ht="15.75">
      <c r="B3" s="209" t="s">
        <v>121</v>
      </c>
      <c r="C3" s="48"/>
      <c r="D3" s="48"/>
      <c r="E3" s="48"/>
      <c r="F3" s="48"/>
      <c r="G3" s="48"/>
      <c r="H3" s="48"/>
      <c r="I3" s="48"/>
      <c r="J3" s="48"/>
      <c r="K3" s="48"/>
      <c r="L3" s="48"/>
      <c r="M3" s="48"/>
    </row>
    <row r="4" spans="2:13" ht="10.5" customHeight="1">
      <c r="B4" s="43"/>
      <c r="C4" s="210"/>
      <c r="D4" s="210"/>
      <c r="E4" s="210"/>
      <c r="F4" s="210"/>
      <c r="G4" s="210"/>
      <c r="H4" s="210"/>
      <c r="I4" s="210"/>
      <c r="J4" s="210"/>
      <c r="K4" s="210"/>
      <c r="L4" s="210"/>
      <c r="M4" s="210"/>
    </row>
    <row r="5" spans="2:13" ht="18" customHeight="1">
      <c r="B5" s="144"/>
      <c r="C5" s="188" t="s">
        <v>89</v>
      </c>
      <c r="D5" s="188" t="s">
        <v>89</v>
      </c>
      <c r="E5" s="188" t="s">
        <v>103</v>
      </c>
      <c r="F5" s="188"/>
      <c r="G5" s="188" t="s">
        <v>203</v>
      </c>
      <c r="H5" s="43"/>
      <c r="I5" s="43"/>
      <c r="J5" s="211" t="s">
        <v>90</v>
      </c>
      <c r="K5" s="212"/>
      <c r="L5" s="211" t="s">
        <v>90</v>
      </c>
      <c r="M5" s="212"/>
    </row>
    <row r="6" spans="2:13" ht="15.75">
      <c r="B6" s="213" t="s">
        <v>315</v>
      </c>
      <c r="C6" s="213" t="s">
        <v>91</v>
      </c>
      <c r="D6" s="213" t="s">
        <v>204</v>
      </c>
      <c r="E6" s="213" t="s">
        <v>92</v>
      </c>
      <c r="F6" s="213" t="s">
        <v>49</v>
      </c>
      <c r="G6" s="213" t="s">
        <v>205</v>
      </c>
      <c r="H6" s="592" t="s">
        <v>93</v>
      </c>
      <c r="I6" s="593"/>
      <c r="J6" s="594">
        <f>M1-1</f>
        <v>2014</v>
      </c>
      <c r="K6" s="595"/>
      <c r="L6" s="594">
        <f>M1</f>
        <v>2015</v>
      </c>
      <c r="M6" s="595"/>
    </row>
    <row r="7" spans="2:13" ht="15.75">
      <c r="B7" s="189" t="s">
        <v>314</v>
      </c>
      <c r="C7" s="189" t="s">
        <v>94</v>
      </c>
      <c r="D7" s="189" t="s">
        <v>206</v>
      </c>
      <c r="E7" s="189" t="s">
        <v>71</v>
      </c>
      <c r="F7" s="189" t="s">
        <v>95</v>
      </c>
      <c r="G7" s="214" t="str">
        <f>CONCATENATE("Jan 1,",M1-1,"")</f>
        <v>Jan 1,2014</v>
      </c>
      <c r="H7" s="148" t="s">
        <v>103</v>
      </c>
      <c r="I7" s="148" t="s">
        <v>105</v>
      </c>
      <c r="J7" s="148" t="s">
        <v>103</v>
      </c>
      <c r="K7" s="148" t="s">
        <v>105</v>
      </c>
      <c r="L7" s="148" t="s">
        <v>103</v>
      </c>
      <c r="M7" s="148" t="s">
        <v>105</v>
      </c>
    </row>
    <row r="8" spans="2:13" ht="15.75">
      <c r="B8" s="215" t="s">
        <v>96</v>
      </c>
      <c r="C8" s="57"/>
      <c r="D8" s="57"/>
      <c r="E8" s="216"/>
      <c r="F8" s="217"/>
      <c r="G8" s="217"/>
      <c r="H8" s="57"/>
      <c r="I8" s="57"/>
      <c r="J8" s="217"/>
      <c r="K8" s="217"/>
      <c r="L8" s="217"/>
      <c r="M8" s="217"/>
    </row>
    <row r="9" spans="2:13" ht="15.75">
      <c r="B9" s="61" t="s">
        <v>439</v>
      </c>
      <c r="C9" s="329">
        <v>38446</v>
      </c>
      <c r="D9" s="329">
        <v>53059</v>
      </c>
      <c r="E9" s="218">
        <v>4.25</v>
      </c>
      <c r="F9" s="219">
        <v>873400</v>
      </c>
      <c r="G9" s="220">
        <v>750808</v>
      </c>
      <c r="H9" s="221">
        <v>41736</v>
      </c>
      <c r="I9" s="221">
        <v>41736</v>
      </c>
      <c r="J9" s="220">
        <v>34034</v>
      </c>
      <c r="K9" s="220">
        <v>12206</v>
      </c>
      <c r="L9" s="220">
        <v>12725</v>
      </c>
      <c r="M9" s="220">
        <v>33516</v>
      </c>
    </row>
    <row r="10" spans="2:13" ht="15.75">
      <c r="B10" s="61"/>
      <c r="C10" s="329"/>
      <c r="D10" s="329"/>
      <c r="E10" s="218"/>
      <c r="F10" s="219"/>
      <c r="G10" s="220"/>
      <c r="H10" s="221"/>
      <c r="I10" s="221"/>
      <c r="J10" s="220"/>
      <c r="K10" s="220"/>
      <c r="L10" s="220"/>
      <c r="M10" s="220"/>
    </row>
    <row r="11" spans="2:13" ht="15.75">
      <c r="B11" s="61"/>
      <c r="C11" s="329"/>
      <c r="D11" s="329"/>
      <c r="E11" s="218"/>
      <c r="F11" s="219"/>
      <c r="G11" s="220"/>
      <c r="H11" s="221"/>
      <c r="I11" s="221"/>
      <c r="J11" s="220"/>
      <c r="K11" s="220"/>
      <c r="L11" s="220"/>
      <c r="M11" s="220"/>
    </row>
    <row r="12" spans="2:13" ht="15.75">
      <c r="B12" s="61"/>
      <c r="C12" s="329"/>
      <c r="D12" s="329"/>
      <c r="E12" s="218"/>
      <c r="F12" s="219"/>
      <c r="G12" s="220"/>
      <c r="H12" s="221"/>
      <c r="I12" s="221"/>
      <c r="J12" s="220"/>
      <c r="K12" s="220"/>
      <c r="L12" s="220"/>
      <c r="M12" s="220"/>
    </row>
    <row r="13" spans="2:13" ht="15.75">
      <c r="B13" s="61"/>
      <c r="C13" s="329"/>
      <c r="D13" s="329"/>
      <c r="E13" s="218"/>
      <c r="F13" s="219"/>
      <c r="G13" s="220"/>
      <c r="H13" s="221"/>
      <c r="I13" s="221"/>
      <c r="J13" s="220"/>
      <c r="K13" s="220"/>
      <c r="L13" s="220"/>
      <c r="M13" s="220"/>
    </row>
    <row r="14" spans="2:13" ht="15.75">
      <c r="B14" s="61"/>
      <c r="C14" s="329"/>
      <c r="D14" s="329"/>
      <c r="E14" s="218"/>
      <c r="F14" s="219"/>
      <c r="G14" s="220"/>
      <c r="H14" s="221"/>
      <c r="I14" s="221"/>
      <c r="J14" s="220"/>
      <c r="K14" s="220"/>
      <c r="L14" s="220"/>
      <c r="M14" s="220"/>
    </row>
    <row r="15" spans="2:13" ht="15.75">
      <c r="B15" s="61"/>
      <c r="C15" s="329"/>
      <c r="D15" s="329"/>
      <c r="E15" s="218"/>
      <c r="F15" s="219"/>
      <c r="G15" s="220"/>
      <c r="H15" s="221"/>
      <c r="I15" s="221"/>
      <c r="J15" s="220"/>
      <c r="K15" s="220"/>
      <c r="L15" s="220"/>
      <c r="M15" s="220"/>
    </row>
    <row r="16" spans="2:13" ht="15.75">
      <c r="B16" s="61"/>
      <c r="C16" s="329"/>
      <c r="D16" s="329"/>
      <c r="E16" s="218"/>
      <c r="F16" s="219"/>
      <c r="G16" s="220"/>
      <c r="H16" s="221"/>
      <c r="I16" s="221"/>
      <c r="J16" s="220"/>
      <c r="K16" s="220"/>
      <c r="L16" s="220"/>
      <c r="M16" s="220"/>
    </row>
    <row r="17" spans="2:13" ht="15.75">
      <c r="B17" s="61"/>
      <c r="C17" s="329"/>
      <c r="D17" s="329"/>
      <c r="E17" s="218"/>
      <c r="F17" s="219"/>
      <c r="G17" s="220"/>
      <c r="H17" s="221"/>
      <c r="I17" s="221"/>
      <c r="J17" s="220"/>
      <c r="K17" s="220"/>
      <c r="L17" s="220"/>
      <c r="M17" s="220"/>
    </row>
    <row r="18" spans="2:13" ht="15.75">
      <c r="B18" s="61"/>
      <c r="C18" s="329"/>
      <c r="D18" s="329"/>
      <c r="E18" s="218"/>
      <c r="F18" s="219"/>
      <c r="G18" s="220"/>
      <c r="H18" s="221"/>
      <c r="I18" s="221"/>
      <c r="J18" s="220"/>
      <c r="K18" s="220"/>
      <c r="L18" s="220"/>
      <c r="M18" s="220"/>
    </row>
    <row r="19" spans="2:13" ht="15.75">
      <c r="B19" s="61"/>
      <c r="C19" s="329"/>
      <c r="D19" s="329"/>
      <c r="E19" s="218"/>
      <c r="F19" s="219"/>
      <c r="G19" s="220"/>
      <c r="H19" s="221"/>
      <c r="I19" s="221"/>
      <c r="J19" s="220"/>
      <c r="K19" s="220"/>
      <c r="L19" s="220"/>
      <c r="M19" s="220"/>
    </row>
    <row r="20" spans="2:13" ht="15.75">
      <c r="B20" s="222" t="s">
        <v>97</v>
      </c>
      <c r="C20" s="223"/>
      <c r="D20" s="223"/>
      <c r="E20" s="224"/>
      <c r="F20" s="225"/>
      <c r="G20" s="226">
        <f>SUM(G9:G19)</f>
        <v>750808</v>
      </c>
      <c r="H20" s="227"/>
      <c r="I20" s="227"/>
      <c r="J20" s="226">
        <f>SUM(J9:J19)</f>
        <v>34034</v>
      </c>
      <c r="K20" s="226">
        <f>SUM(K9:K19)</f>
        <v>12206</v>
      </c>
      <c r="L20" s="226">
        <f>SUM(L9:L19)</f>
        <v>12725</v>
      </c>
      <c r="M20" s="226">
        <f>SUM(M9:M19)</f>
        <v>33516</v>
      </c>
    </row>
    <row r="21" spans="2:13" ht="15.75">
      <c r="B21" s="215" t="s">
        <v>98</v>
      </c>
      <c r="C21" s="228"/>
      <c r="D21" s="228"/>
      <c r="E21" s="229"/>
      <c r="F21" s="230"/>
      <c r="G21" s="230"/>
      <c r="H21" s="231"/>
      <c r="I21" s="231"/>
      <c r="J21" s="230"/>
      <c r="K21" s="230"/>
      <c r="L21" s="230"/>
      <c r="M21" s="230"/>
    </row>
    <row r="22" spans="2:13" ht="15.75">
      <c r="B22" s="61" t="s">
        <v>440</v>
      </c>
      <c r="C22" s="329"/>
      <c r="D22" s="329"/>
      <c r="E22" s="218"/>
      <c r="F22" s="219"/>
      <c r="G22" s="220"/>
      <c r="H22" s="221"/>
      <c r="I22" s="221"/>
      <c r="J22" s="220"/>
      <c r="K22" s="220"/>
      <c r="L22" s="220"/>
      <c r="M22" s="220"/>
    </row>
    <row r="23" spans="2:13" ht="15.75">
      <c r="B23" s="61"/>
      <c r="C23" s="329"/>
      <c r="D23" s="329"/>
      <c r="E23" s="218"/>
      <c r="F23" s="219"/>
      <c r="G23" s="220"/>
      <c r="H23" s="221"/>
      <c r="I23" s="221"/>
      <c r="J23" s="220"/>
      <c r="K23" s="220"/>
      <c r="L23" s="220"/>
      <c r="M23" s="220"/>
    </row>
    <row r="24" spans="2:13" ht="15.75">
      <c r="B24" s="61"/>
      <c r="C24" s="329"/>
      <c r="D24" s="329"/>
      <c r="E24" s="218"/>
      <c r="F24" s="219"/>
      <c r="G24" s="220"/>
      <c r="H24" s="221"/>
      <c r="I24" s="221"/>
      <c r="J24" s="220"/>
      <c r="K24" s="220"/>
      <c r="L24" s="220"/>
      <c r="M24" s="220"/>
    </row>
    <row r="25" spans="2:13" ht="15.75">
      <c r="B25" s="61"/>
      <c r="C25" s="329"/>
      <c r="D25" s="329"/>
      <c r="E25" s="218"/>
      <c r="F25" s="219"/>
      <c r="G25" s="220"/>
      <c r="H25" s="221"/>
      <c r="I25" s="221"/>
      <c r="J25" s="220"/>
      <c r="K25" s="220"/>
      <c r="L25" s="220"/>
      <c r="M25" s="220"/>
    </row>
    <row r="26" spans="2:13" ht="15.75">
      <c r="B26" s="61"/>
      <c r="C26" s="329"/>
      <c r="D26" s="329"/>
      <c r="E26" s="218"/>
      <c r="F26" s="219"/>
      <c r="G26" s="220"/>
      <c r="H26" s="221"/>
      <c r="I26" s="221"/>
      <c r="J26" s="220"/>
      <c r="K26" s="220"/>
      <c r="L26" s="220"/>
      <c r="M26" s="220"/>
    </row>
    <row r="27" spans="2:13" ht="15.75">
      <c r="B27" s="61"/>
      <c r="C27" s="329"/>
      <c r="D27" s="329"/>
      <c r="E27" s="218"/>
      <c r="F27" s="219"/>
      <c r="G27" s="220"/>
      <c r="H27" s="221"/>
      <c r="I27" s="221"/>
      <c r="J27" s="220"/>
      <c r="K27" s="220"/>
      <c r="L27" s="220"/>
      <c r="M27" s="220"/>
    </row>
    <row r="28" spans="2:13" ht="15.75">
      <c r="B28" s="61"/>
      <c r="C28" s="329"/>
      <c r="D28" s="329"/>
      <c r="E28" s="218"/>
      <c r="F28" s="219"/>
      <c r="G28" s="220"/>
      <c r="H28" s="221"/>
      <c r="I28" s="221"/>
      <c r="J28" s="220"/>
      <c r="K28" s="220"/>
      <c r="L28" s="220"/>
      <c r="M28" s="220"/>
    </row>
    <row r="29" spans="2:13" ht="15.75">
      <c r="B29" s="61"/>
      <c r="C29" s="329"/>
      <c r="D29" s="329"/>
      <c r="E29" s="218"/>
      <c r="F29" s="219"/>
      <c r="G29" s="220"/>
      <c r="H29" s="221"/>
      <c r="I29" s="221"/>
      <c r="J29" s="220"/>
      <c r="K29" s="220"/>
      <c r="L29" s="220"/>
      <c r="M29" s="220"/>
    </row>
    <row r="30" spans="2:13" ht="15.75">
      <c r="B30" s="61"/>
      <c r="C30" s="329"/>
      <c r="D30" s="329"/>
      <c r="E30" s="218"/>
      <c r="F30" s="219"/>
      <c r="G30" s="220"/>
      <c r="H30" s="221"/>
      <c r="I30" s="221"/>
      <c r="J30" s="220"/>
      <c r="K30" s="220"/>
      <c r="L30" s="220"/>
      <c r="M30" s="220"/>
    </row>
    <row r="31" spans="2:13" ht="15.75">
      <c r="B31" s="61"/>
      <c r="C31" s="329"/>
      <c r="D31" s="329"/>
      <c r="E31" s="218"/>
      <c r="F31" s="219"/>
      <c r="G31" s="220"/>
      <c r="H31" s="221"/>
      <c r="I31" s="221"/>
      <c r="J31" s="220"/>
      <c r="K31" s="220"/>
      <c r="L31" s="220"/>
      <c r="M31" s="220"/>
    </row>
    <row r="32" spans="2:13" ht="15.75">
      <c r="B32" s="222" t="s">
        <v>99</v>
      </c>
      <c r="C32" s="223"/>
      <c r="D32" s="223"/>
      <c r="E32" s="232"/>
      <c r="F32" s="225"/>
      <c r="G32" s="233">
        <f>SUM(G22:G31)</f>
        <v>0</v>
      </c>
      <c r="H32" s="227"/>
      <c r="I32" s="227"/>
      <c r="J32" s="233">
        <f>SUM(J22:J31)</f>
        <v>0</v>
      </c>
      <c r="K32" s="233">
        <f>SUM(K22:K31)</f>
        <v>0</v>
      </c>
      <c r="L32" s="226">
        <f>SUM(L22:L31)</f>
        <v>0</v>
      </c>
      <c r="M32" s="233">
        <f>SUM(M22:M31)</f>
        <v>0</v>
      </c>
    </row>
    <row r="33" spans="2:13" ht="15.75">
      <c r="B33" s="215" t="s">
        <v>100</v>
      </c>
      <c r="C33" s="228"/>
      <c r="D33" s="228"/>
      <c r="E33" s="229"/>
      <c r="F33" s="230"/>
      <c r="G33" s="234"/>
      <c r="H33" s="231"/>
      <c r="I33" s="231"/>
      <c r="J33" s="230"/>
      <c r="K33" s="230"/>
      <c r="L33" s="230"/>
      <c r="M33" s="230"/>
    </row>
    <row r="34" spans="2:13" ht="15.75">
      <c r="B34" s="61" t="s">
        <v>441</v>
      </c>
      <c r="C34" s="329">
        <v>40613</v>
      </c>
      <c r="D34" s="329">
        <v>48274</v>
      </c>
      <c r="E34" s="218">
        <v>3.06</v>
      </c>
      <c r="F34" s="219">
        <v>592149</v>
      </c>
      <c r="G34" s="220">
        <v>571962</v>
      </c>
      <c r="H34" s="221">
        <v>41699</v>
      </c>
      <c r="I34" s="221">
        <v>41883</v>
      </c>
      <c r="J34" s="220">
        <v>17331</v>
      </c>
      <c r="K34" s="220">
        <v>22590</v>
      </c>
      <c r="L34" s="220">
        <v>16634</v>
      </c>
      <c r="M34" s="220">
        <v>23287</v>
      </c>
    </row>
    <row r="35" spans="2:13" ht="15.75">
      <c r="B35" s="61"/>
      <c r="C35" s="329"/>
      <c r="D35" s="329"/>
      <c r="E35" s="218"/>
      <c r="F35" s="219"/>
      <c r="G35" s="220"/>
      <c r="H35" s="221"/>
      <c r="I35" s="221"/>
      <c r="J35" s="220"/>
      <c r="K35" s="220"/>
      <c r="L35" s="220"/>
      <c r="M35" s="220"/>
    </row>
    <row r="36" spans="2:13" ht="15.75">
      <c r="B36" s="61" t="s">
        <v>508</v>
      </c>
      <c r="C36" s="329">
        <v>41487</v>
      </c>
      <c r="D36" s="329">
        <v>42217</v>
      </c>
      <c r="E36" s="218">
        <v>0.85</v>
      </c>
      <c r="F36" s="219">
        <v>1867000</v>
      </c>
      <c r="G36" s="220"/>
      <c r="H36" s="221"/>
      <c r="I36" s="221"/>
      <c r="J36" s="220">
        <v>15869</v>
      </c>
      <c r="K36" s="220">
        <v>0</v>
      </c>
      <c r="L36" s="220">
        <v>15870</v>
      </c>
      <c r="M36" s="220">
        <v>1867000</v>
      </c>
    </row>
    <row r="37" spans="2:13" ht="15.75">
      <c r="B37" s="61"/>
      <c r="C37" s="329"/>
      <c r="D37" s="329"/>
      <c r="E37" s="218"/>
      <c r="F37" s="219"/>
      <c r="G37" s="220"/>
      <c r="H37" s="221"/>
      <c r="I37" s="221"/>
      <c r="J37" s="220"/>
      <c r="K37" s="220"/>
      <c r="L37" s="220"/>
      <c r="M37" s="220"/>
    </row>
    <row r="38" spans="2:13" ht="15.75">
      <c r="B38" s="61"/>
      <c r="C38" s="329"/>
      <c r="D38" s="329"/>
      <c r="E38" s="218"/>
      <c r="F38" s="219"/>
      <c r="G38" s="220"/>
      <c r="H38" s="221"/>
      <c r="I38" s="221"/>
      <c r="J38" s="220"/>
      <c r="K38" s="220"/>
      <c r="L38" s="220"/>
      <c r="M38" s="220"/>
    </row>
    <row r="39" spans="2:13" ht="15.75">
      <c r="B39" s="61"/>
      <c r="C39" s="329"/>
      <c r="D39" s="329"/>
      <c r="E39" s="218"/>
      <c r="F39" s="219"/>
      <c r="G39" s="220"/>
      <c r="H39" s="221"/>
      <c r="I39" s="221"/>
      <c r="J39" s="220"/>
      <c r="K39" s="220"/>
      <c r="L39" s="220"/>
      <c r="M39" s="220"/>
    </row>
    <row r="40" spans="2:13" ht="15.75">
      <c r="B40" s="61"/>
      <c r="C40" s="329"/>
      <c r="D40" s="329"/>
      <c r="E40" s="218"/>
      <c r="F40" s="219"/>
      <c r="G40" s="220"/>
      <c r="H40" s="221"/>
      <c r="I40" s="221"/>
      <c r="J40" s="220"/>
      <c r="K40" s="220"/>
      <c r="L40" s="220"/>
      <c r="M40" s="220"/>
    </row>
    <row r="41" spans="2:29" ht="15.75">
      <c r="B41" s="61"/>
      <c r="C41" s="329"/>
      <c r="D41" s="329"/>
      <c r="E41" s="218"/>
      <c r="F41" s="219"/>
      <c r="G41" s="220"/>
      <c r="H41" s="221"/>
      <c r="I41" s="221"/>
      <c r="J41" s="220"/>
      <c r="K41" s="220"/>
      <c r="L41" s="220"/>
      <c r="M41" s="220"/>
      <c r="N41" s="29"/>
      <c r="O41" s="29"/>
      <c r="P41" s="29"/>
      <c r="Q41" s="29"/>
      <c r="R41" s="29"/>
      <c r="S41" s="29"/>
      <c r="T41" s="29"/>
      <c r="U41" s="29"/>
      <c r="V41" s="29"/>
      <c r="W41" s="29"/>
      <c r="X41" s="29"/>
      <c r="Y41" s="29"/>
      <c r="Z41" s="29"/>
      <c r="AA41" s="29"/>
      <c r="AB41" s="29"/>
      <c r="AC41" s="29"/>
    </row>
    <row r="42" spans="2:13" ht="15.75">
      <c r="B42" s="222" t="s">
        <v>207</v>
      </c>
      <c r="C42" s="203"/>
      <c r="D42" s="203"/>
      <c r="E42" s="232"/>
      <c r="F42" s="225"/>
      <c r="G42" s="233">
        <f>SUM(G34:G41)</f>
        <v>571962</v>
      </c>
      <c r="H42" s="225"/>
      <c r="I42" s="225"/>
      <c r="J42" s="233">
        <f>SUM(J34:J41)</f>
        <v>33200</v>
      </c>
      <c r="K42" s="233">
        <f>SUM(K34:K41)</f>
        <v>22590</v>
      </c>
      <c r="L42" s="233">
        <f>SUM(L34:L41)</f>
        <v>32504</v>
      </c>
      <c r="M42" s="233">
        <f>SUM(M34:M41)</f>
        <v>1890287</v>
      </c>
    </row>
    <row r="43" spans="2:13" ht="15.75">
      <c r="B43" s="222" t="s">
        <v>101</v>
      </c>
      <c r="C43" s="203"/>
      <c r="D43" s="203"/>
      <c r="E43" s="203"/>
      <c r="F43" s="225"/>
      <c r="G43" s="233">
        <f>SUM(G20+G32+G42)</f>
        <v>1322770</v>
      </c>
      <c r="H43" s="225"/>
      <c r="I43" s="225"/>
      <c r="J43" s="233">
        <f>SUM(J20+J32+J42)</f>
        <v>67234</v>
      </c>
      <c r="K43" s="233">
        <f>SUM(K20+K32+K42)</f>
        <v>34796</v>
      </c>
      <c r="L43" s="233">
        <f>SUM(L20+L32+L42)</f>
        <v>45229</v>
      </c>
      <c r="M43" s="233">
        <f>SUM(M20+M32+M42)</f>
        <v>1923803</v>
      </c>
    </row>
    <row r="44" spans="2:13" ht="15.75">
      <c r="B44" s="29"/>
      <c r="C44" s="29"/>
      <c r="D44" s="29"/>
      <c r="E44" s="29"/>
      <c r="F44" s="29"/>
      <c r="G44" s="29"/>
      <c r="H44" s="29"/>
      <c r="I44" s="29"/>
      <c r="J44" s="29"/>
      <c r="K44" s="29"/>
      <c r="L44" s="29"/>
      <c r="M44" s="29"/>
    </row>
    <row r="45" spans="6:13" ht="15.75">
      <c r="F45" s="235"/>
      <c r="G45" s="235"/>
      <c r="J45" s="235"/>
      <c r="K45" s="235"/>
      <c r="L45" s="235"/>
      <c r="M45" s="235"/>
    </row>
    <row r="46" spans="6:14" ht="15.75">
      <c r="F46" s="29"/>
      <c r="H46" s="236"/>
      <c r="N46" s="29"/>
    </row>
    <row r="47" spans="2:13" ht="15.75">
      <c r="B47" s="29"/>
      <c r="C47" s="29"/>
      <c r="D47" s="29"/>
      <c r="E47" s="29"/>
      <c r="F47" s="29"/>
      <c r="G47" s="29"/>
      <c r="H47" s="29"/>
      <c r="I47" s="29"/>
      <c r="J47" s="29"/>
      <c r="K47" s="29"/>
      <c r="L47" s="29"/>
      <c r="M47" s="29"/>
    </row>
    <row r="48" spans="2:13" ht="15.75">
      <c r="B48" s="29"/>
      <c r="C48" s="29"/>
      <c r="D48" s="29"/>
      <c r="E48" s="29"/>
      <c r="F48" s="29"/>
      <c r="G48" s="29"/>
      <c r="H48" s="29"/>
      <c r="I48" s="29"/>
      <c r="J48" s="29"/>
      <c r="K48" s="29"/>
      <c r="L48" s="29"/>
      <c r="M48" s="29"/>
    </row>
  </sheetData>
  <sheetProtection/>
  <mergeCells count="3">
    <mergeCell ref="H6:I6"/>
    <mergeCell ref="J6:K6"/>
    <mergeCell ref="L6:M6"/>
  </mergeCells>
  <printOptions/>
  <pageMargins left="0.25" right="0.25"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Nicole May</cp:lastModifiedBy>
  <cp:lastPrinted>2014-07-22T21:36:09Z</cp:lastPrinted>
  <dcterms:created xsi:type="dcterms:W3CDTF">1999-08-03T13:11:47Z</dcterms:created>
  <dcterms:modified xsi:type="dcterms:W3CDTF">2015-02-06T15:03:09Z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