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1570" windowHeight="10215" tabRatio="909" firstSheet="4" activeTab="4"/>
  </bookViews>
  <sheets>
    <sheet name="Instructions" sheetId="58" r:id="rId1"/>
    <sheet name="inputPrYr" sheetId="2" r:id="rId2"/>
    <sheet name="inputOth" sheetId="43" r:id="rId3"/>
    <sheet name="inputBudSum" sheetId="52" r:id="rId4"/>
    <sheet name="cert" sheetId="3" r:id="rId5"/>
    <sheet name="computation" sheetId="24" r:id="rId6"/>
    <sheet name="mvalloc" sheetId="5" r:id="rId7"/>
    <sheet name="transfers" sheetId="32" r:id="rId8"/>
    <sheet name="TransferStatutes" sheetId="45" r:id="rId9"/>
    <sheet name="debt" sheetId="22" r:id="rId10"/>
    <sheet name="lpform" sheetId="23" r:id="rId11"/>
    <sheet name="Library Grant" sheetId="57" r:id="rId12"/>
    <sheet name="general" sheetId="7" r:id="rId13"/>
    <sheet name="GenDetail" sheetId="9" r:id="rId14"/>
    <sheet name="DebtSvs-library" sheetId="34" r:id="rId15"/>
    <sheet name="Sp Hiway" sheetId="14" r:id="rId16"/>
    <sheet name="Ambul-Water" sheetId="15" r:id="rId17"/>
    <sheet name="Sewer" sheetId="16" r:id="rId18"/>
    <sheet name="no levy page17" sheetId="17" r:id="rId19"/>
    <sheet name="Capital Improv" sheetId="39" r:id="rId20"/>
    <sheet name="NonBudFunds" sheetId="46" r:id="rId21"/>
    <sheet name="summ" sheetId="21" r:id="rId22"/>
    <sheet name="nhood" sheetId="44" r:id="rId23"/>
    <sheet name="Pub. Notice Option 1" sheetId="60" r:id="rId24"/>
    <sheet name="Pub. Notice Option 2" sheetId="59" r:id="rId25"/>
    <sheet name="Tab A" sheetId="47" r:id="rId26"/>
    <sheet name="Tab B" sheetId="48" r:id="rId27"/>
    <sheet name="Tab C" sheetId="49" r:id="rId28"/>
    <sheet name="Tab D" sheetId="50" r:id="rId29"/>
    <sheet name="Tab E" sheetId="51" r:id="rId30"/>
    <sheet name="Mill Rate Computation" sheetId="55" r:id="rId31"/>
    <sheet name="Helpful Links" sheetId="56" r:id="rId32"/>
    <sheet name="legend" sheetId="25" r:id="rId33"/>
  </sheets>
  <externalReferences>
    <externalReference r:id="rId34"/>
  </externalReferences>
  <definedNames>
    <definedName name="_xlnm.Print_Area" localSheetId="14">'DebtSvs-library'!$B$1:$E$81</definedName>
    <definedName name="_xlnm.Print_Area" localSheetId="12">general!$B$1:$E$120</definedName>
    <definedName name="_xlnm.Print_Area" localSheetId="1">inputPrYr!$A$1:$E$125</definedName>
    <definedName name="_xlnm.Print_Area" localSheetId="11">'Library Grant'!$A$1:$J$40</definedName>
    <definedName name="_xlnm.Print_Area" localSheetId="10">lpform!$B$1:$I$38</definedName>
    <definedName name="_xlnm.Print_Area" localSheetId="30">'Mill Rate Computation'!#REF!</definedName>
    <definedName name="_xlnm.Print_Area" localSheetId="21">summ!$A$1:$H$45</definedName>
  </definedNames>
  <calcPr calcId="145621" calcMode="manual"/>
</workbook>
</file>

<file path=xl/calcChain.xml><?xml version="1.0" encoding="utf-8"?>
<calcChain xmlns="http://schemas.openxmlformats.org/spreadsheetml/2006/main">
  <c r="C21" i="7" l="1"/>
  <c r="C33" i="7"/>
  <c r="M65" i="21"/>
  <c r="J65" i="21"/>
  <c r="M64" i="21"/>
  <c r="J64" i="21"/>
  <c r="J63" i="21"/>
  <c r="M62" i="21"/>
  <c r="J62" i="21"/>
  <c r="J57" i="21"/>
  <c r="M56" i="21"/>
  <c r="J56" i="21"/>
  <c r="J54" i="21"/>
  <c r="J50" i="21"/>
  <c r="M49" i="21"/>
  <c r="M57" i="21" s="1"/>
  <c r="J49" i="21"/>
  <c r="J47" i="21"/>
  <c r="M45" i="21"/>
  <c r="J43" i="21"/>
  <c r="F22" i="21"/>
  <c r="D22" i="21"/>
  <c r="F23" i="21"/>
  <c r="D23" i="21"/>
  <c r="B23" i="21"/>
  <c r="B22" i="21"/>
  <c r="A23" i="21"/>
  <c r="A22" i="21"/>
  <c r="F21" i="21"/>
  <c r="D21" i="21"/>
  <c r="B21" i="21"/>
  <c r="A21" i="21"/>
  <c r="F20" i="21"/>
  <c r="D20" i="21"/>
  <c r="B20" i="21"/>
  <c r="A20" i="21"/>
  <c r="D19" i="21"/>
  <c r="F19" i="21"/>
  <c r="B19" i="21"/>
  <c r="A19" i="21"/>
  <c r="M58" i="21" l="1"/>
  <c r="D61" i="14"/>
  <c r="D48" i="14"/>
  <c r="C48" i="14"/>
  <c r="C49" i="14" s="1"/>
  <c r="C62" i="14" s="1"/>
  <c r="C61" i="14"/>
  <c r="C64" i="14" s="1"/>
  <c r="I28" i="23"/>
  <c r="H28" i="23"/>
  <c r="G28" i="23"/>
  <c r="A77" i="43"/>
  <c r="A76" i="43"/>
  <c r="A75" i="43"/>
  <c r="A74" i="43"/>
  <c r="C58" i="43"/>
  <c r="D34" i="43"/>
  <c r="A53" i="43"/>
  <c r="A52" i="43"/>
  <c r="A46" i="43"/>
  <c r="A38" i="43"/>
  <c r="A16" i="43"/>
  <c r="A15" i="43"/>
  <c r="A8" i="43"/>
  <c r="A7" i="43"/>
  <c r="E1" i="43"/>
  <c r="B58" i="43" s="1"/>
  <c r="D97" i="2"/>
  <c r="E103" i="2"/>
  <c r="D103" i="2"/>
  <c r="A100" i="2"/>
  <c r="A99" i="2"/>
  <c r="D82" i="2"/>
  <c r="D83" i="2"/>
  <c r="A83" i="2"/>
  <c r="D55" i="2"/>
  <c r="A55" i="2"/>
  <c r="E31" i="2"/>
  <c r="A13" i="2"/>
  <c r="G16" i="2"/>
  <c r="E15" i="2"/>
  <c r="D15" i="2"/>
  <c r="C6" i="59"/>
  <c r="H2" i="59"/>
  <c r="C9" i="59" s="1"/>
  <c r="C6" i="60"/>
  <c r="I2" i="60"/>
  <c r="C7" i="60" s="1"/>
  <c r="D47" i="34"/>
  <c r="E15" i="57" s="1"/>
  <c r="E19" i="57"/>
  <c r="E18" i="57"/>
  <c r="E17" i="57"/>
  <c r="G16" i="57"/>
  <c r="E16" i="57"/>
  <c r="J29" i="34"/>
  <c r="J28" i="34"/>
  <c r="J27" i="34"/>
  <c r="J67" i="34"/>
  <c r="J105" i="7"/>
  <c r="D18" i="3"/>
  <c r="B18" i="3"/>
  <c r="C59" i="7"/>
  <c r="J107" i="7"/>
  <c r="B8" i="57"/>
  <c r="B7" i="57"/>
  <c r="B5" i="57"/>
  <c r="B18" i="44"/>
  <c r="B17" i="44"/>
  <c r="B16" i="44"/>
  <c r="B15" i="44"/>
  <c r="B14" i="44"/>
  <c r="B13" i="44"/>
  <c r="B12" i="44"/>
  <c r="B11" i="44"/>
  <c r="B10" i="44"/>
  <c r="B9" i="44"/>
  <c r="B8" i="44"/>
  <c r="D72" i="9"/>
  <c r="C72" i="9"/>
  <c r="B72" i="9"/>
  <c r="D75" i="34"/>
  <c r="D95" i="34" s="1"/>
  <c r="B44" i="34"/>
  <c r="G14" i="57"/>
  <c r="B91" i="57" s="1"/>
  <c r="E14" i="57"/>
  <c r="B47" i="57"/>
  <c r="B89" i="57"/>
  <c r="C23" i="3"/>
  <c r="C22" i="3"/>
  <c r="B23" i="3"/>
  <c r="B22" i="3"/>
  <c r="C19" i="5"/>
  <c r="C18" i="5"/>
  <c r="C17" i="5"/>
  <c r="C16" i="5"/>
  <c r="C15" i="5"/>
  <c r="C14" i="5"/>
  <c r="C13" i="5"/>
  <c r="C12" i="5"/>
  <c r="C11" i="5"/>
  <c r="C10" i="5"/>
  <c r="C9" i="5"/>
  <c r="B19" i="5"/>
  <c r="B18" i="5"/>
  <c r="B17" i="5"/>
  <c r="B16" i="5"/>
  <c r="B15" i="5"/>
  <c r="B14" i="5"/>
  <c r="B13" i="5"/>
  <c r="B12" i="5"/>
  <c r="B11" i="5"/>
  <c r="B10" i="5"/>
  <c r="B9" i="5"/>
  <c r="A18" i="21"/>
  <c r="A17" i="21"/>
  <c r="A42" i="21"/>
  <c r="B43" i="21"/>
  <c r="A7" i="21"/>
  <c r="A5" i="21"/>
  <c r="G20" i="52"/>
  <c r="G22" i="52" s="1"/>
  <c r="A72" i="43"/>
  <c r="A71" i="43"/>
  <c r="A70" i="43"/>
  <c r="A69" i="43"/>
  <c r="A68" i="43"/>
  <c r="A67" i="43"/>
  <c r="A66" i="43"/>
  <c r="A65" i="43"/>
  <c r="A64" i="43"/>
  <c r="A63" i="43"/>
  <c r="A62" i="43"/>
  <c r="A33" i="43"/>
  <c r="A32" i="43"/>
  <c r="A31" i="43"/>
  <c r="A30" i="43"/>
  <c r="A29" i="43"/>
  <c r="A28" i="43"/>
  <c r="A27" i="43"/>
  <c r="A26" i="43"/>
  <c r="A25" i="43"/>
  <c r="A24" i="43"/>
  <c r="A23" i="43"/>
  <c r="B96" i="2"/>
  <c r="B95" i="2"/>
  <c r="B94" i="2"/>
  <c r="B93" i="2"/>
  <c r="B92" i="2"/>
  <c r="B91" i="2"/>
  <c r="B90" i="2"/>
  <c r="B89" i="2"/>
  <c r="B88" i="2"/>
  <c r="B87" i="2"/>
  <c r="B86" i="2"/>
  <c r="G30" i="2"/>
  <c r="G29" i="2"/>
  <c r="G28" i="2"/>
  <c r="G27" i="2"/>
  <c r="G26" i="2"/>
  <c r="G25" i="2"/>
  <c r="G24" i="2"/>
  <c r="G23" i="2"/>
  <c r="G22" i="2"/>
  <c r="G21" i="2"/>
  <c r="G19" i="2"/>
  <c r="G18" i="2"/>
  <c r="D8" i="34"/>
  <c r="D20" i="34" s="1"/>
  <c r="D19" i="34" s="1"/>
  <c r="G17" i="2"/>
  <c r="D9" i="7"/>
  <c r="D56" i="7" s="1"/>
  <c r="D55" i="7" s="1"/>
  <c r="J148" i="55"/>
  <c r="H134" i="55"/>
  <c r="C137" i="55"/>
  <c r="J137" i="55"/>
  <c r="C123" i="55"/>
  <c r="J123" i="55" s="1"/>
  <c r="H120" i="55"/>
  <c r="H114" i="55"/>
  <c r="F117" i="55"/>
  <c r="H117" i="55" s="1"/>
  <c r="F123" i="55" s="1"/>
  <c r="H100" i="55"/>
  <c r="C103" i="55"/>
  <c r="F97" i="55"/>
  <c r="H97" i="55"/>
  <c r="F103" i="55"/>
  <c r="H94" i="55"/>
  <c r="H80" i="55"/>
  <c r="C83" i="55"/>
  <c r="H74" i="55"/>
  <c r="F77" i="55" s="1"/>
  <c r="H77" i="55" s="1"/>
  <c r="F83" i="55" s="1"/>
  <c r="F50" i="55"/>
  <c r="J50" i="55" s="1"/>
  <c r="H48" i="55"/>
  <c r="H41" i="55"/>
  <c r="B28" i="55"/>
  <c r="H28" i="55" s="1"/>
  <c r="H25" i="55"/>
  <c r="C25" i="55"/>
  <c r="C19" i="44"/>
  <c r="D38" i="21"/>
  <c r="B38" i="21"/>
  <c r="D37" i="21"/>
  <c r="D39" i="21" s="1"/>
  <c r="B37" i="21"/>
  <c r="D36" i="21"/>
  <c r="B36" i="21"/>
  <c r="D35" i="21"/>
  <c r="B35" i="21"/>
  <c r="F32" i="21"/>
  <c r="D32" i="21"/>
  <c r="E27" i="57" s="1"/>
  <c r="B32" i="21"/>
  <c r="B30" i="21"/>
  <c r="C75" i="34"/>
  <c r="D22" i="3"/>
  <c r="E9" i="59"/>
  <c r="D73" i="34"/>
  <c r="C73" i="34"/>
  <c r="B17" i="21" s="1"/>
  <c r="C60" i="34"/>
  <c r="C59" i="34" s="1"/>
  <c r="D33" i="34"/>
  <c r="C33" i="34"/>
  <c r="C32" i="34"/>
  <c r="C20" i="34"/>
  <c r="C21" i="34"/>
  <c r="C35" i="34"/>
  <c r="C93" i="34" s="1"/>
  <c r="B37" i="34" s="1"/>
  <c r="D35" i="34"/>
  <c r="G23" i="3"/>
  <c r="G22" i="3"/>
  <c r="G21" i="3"/>
  <c r="G20" i="3"/>
  <c r="D21" i="3"/>
  <c r="D18" i="44"/>
  <c r="E18" i="44"/>
  <c r="B1" i="34"/>
  <c r="E1" i="34"/>
  <c r="C113" i="7"/>
  <c r="D113" i="7"/>
  <c r="D39" i="34"/>
  <c r="E39" i="34" s="1"/>
  <c r="D79" i="34"/>
  <c r="E79" i="34" s="1"/>
  <c r="D117" i="7"/>
  <c r="A88" i="43"/>
  <c r="A87" i="43"/>
  <c r="A86" i="43"/>
  <c r="A85" i="43"/>
  <c r="A84" i="43"/>
  <c r="A34" i="48"/>
  <c r="A77" i="47"/>
  <c r="A74" i="47"/>
  <c r="A33" i="47"/>
  <c r="A28" i="47"/>
  <c r="A25" i="47"/>
  <c r="A16" i="47"/>
  <c r="A6" i="47"/>
  <c r="A33" i="48"/>
  <c r="A6" i="48"/>
  <c r="A38" i="49"/>
  <c r="A33" i="49"/>
  <c r="A19" i="49"/>
  <c r="A6" i="49"/>
  <c r="A46" i="50"/>
  <c r="A41" i="50"/>
  <c r="A6" i="50"/>
  <c r="A8" i="51"/>
  <c r="B81" i="7"/>
  <c r="B82" i="7"/>
  <c r="B83" i="7"/>
  <c r="B80" i="7"/>
  <c r="B79" i="7"/>
  <c r="B78" i="7"/>
  <c r="B77" i="7"/>
  <c r="B76" i="7"/>
  <c r="D129" i="9"/>
  <c r="E83" i="7"/>
  <c r="C129" i="9"/>
  <c r="D83" i="7" s="1"/>
  <c r="B129" i="9"/>
  <c r="C83" i="7"/>
  <c r="D122" i="9"/>
  <c r="E82" i="7" s="1"/>
  <c r="C122" i="9"/>
  <c r="D82" i="7"/>
  <c r="B122" i="9"/>
  <c r="C82" i="7" s="1"/>
  <c r="D115" i="9"/>
  <c r="E81" i="7"/>
  <c r="C115" i="9"/>
  <c r="D81" i="7" s="1"/>
  <c r="B115" i="9"/>
  <c r="C81" i="7"/>
  <c r="D108" i="9"/>
  <c r="E80" i="7" s="1"/>
  <c r="C108" i="9"/>
  <c r="D80" i="7"/>
  <c r="B108" i="9"/>
  <c r="C80" i="7" s="1"/>
  <c r="D101" i="9"/>
  <c r="E79" i="7"/>
  <c r="C101" i="9"/>
  <c r="D79" i="7" s="1"/>
  <c r="B101" i="9"/>
  <c r="C79" i="7"/>
  <c r="D95" i="9"/>
  <c r="C95" i="9"/>
  <c r="D78" i="7"/>
  <c r="B95" i="9"/>
  <c r="C78" i="7" s="1"/>
  <c r="D88" i="9"/>
  <c r="E77" i="7"/>
  <c r="C88" i="9"/>
  <c r="D77" i="7" s="1"/>
  <c r="B88" i="9"/>
  <c r="C77" i="7"/>
  <c r="D81" i="9"/>
  <c r="E76" i="7" s="1"/>
  <c r="C81" i="9"/>
  <c r="D76" i="7"/>
  <c r="B81" i="9"/>
  <c r="C76" i="7" s="1"/>
  <c r="D22" i="44"/>
  <c r="D24" i="44" s="1"/>
  <c r="C30" i="14"/>
  <c r="C17" i="14"/>
  <c r="C18" i="14"/>
  <c r="C31" i="14" s="1"/>
  <c r="D30" i="14"/>
  <c r="D29" i="14" s="1"/>
  <c r="E30" i="14"/>
  <c r="E29" i="14" s="1"/>
  <c r="C32" i="14"/>
  <c r="D32" i="14"/>
  <c r="E61" i="14"/>
  <c r="E60" i="14" s="1"/>
  <c r="E63" i="14"/>
  <c r="C63" i="14"/>
  <c r="D63" i="14"/>
  <c r="C28" i="15"/>
  <c r="D28" i="15"/>
  <c r="E28" i="15"/>
  <c r="C30" i="15"/>
  <c r="D30" i="15"/>
  <c r="C59" i="15"/>
  <c r="C58" i="15" s="1"/>
  <c r="D59" i="15"/>
  <c r="D58" i="15" s="1"/>
  <c r="E59" i="15"/>
  <c r="E61" i="15"/>
  <c r="C61" i="15"/>
  <c r="D61" i="15"/>
  <c r="C28" i="16"/>
  <c r="D28" i="16"/>
  <c r="E28" i="16"/>
  <c r="E30" i="16" s="1"/>
  <c r="E28" i="3"/>
  <c r="C30" i="16"/>
  <c r="D30" i="16"/>
  <c r="C59" i="16"/>
  <c r="D59" i="16"/>
  <c r="E59" i="16"/>
  <c r="E61" i="16"/>
  <c r="C61" i="16"/>
  <c r="D61" i="16"/>
  <c r="C28" i="17"/>
  <c r="C27" i="17"/>
  <c r="D28" i="17"/>
  <c r="E28" i="17"/>
  <c r="E30" i="17" s="1"/>
  <c r="E27" i="17"/>
  <c r="C30" i="17"/>
  <c r="D30" i="17"/>
  <c r="C59" i="17"/>
  <c r="D59" i="17"/>
  <c r="E59" i="17"/>
  <c r="E58" i="17" s="1"/>
  <c r="C61" i="17"/>
  <c r="C62" i="17"/>
  <c r="D61" i="17"/>
  <c r="D63" i="9"/>
  <c r="E75" i="7" s="1"/>
  <c r="D56" i="9"/>
  <c r="E74" i="7" s="1"/>
  <c r="D49" i="9"/>
  <c r="D42" i="9"/>
  <c r="E72" i="7" s="1"/>
  <c r="D35" i="9"/>
  <c r="E71" i="7" s="1"/>
  <c r="D29" i="9"/>
  <c r="E70" i="7"/>
  <c r="C63" i="9"/>
  <c r="D75" i="7" s="1"/>
  <c r="C56" i="9"/>
  <c r="D74" i="7"/>
  <c r="C49" i="9"/>
  <c r="D73" i="7" s="1"/>
  <c r="C42" i="9"/>
  <c r="D72" i="7" s="1"/>
  <c r="C35" i="9"/>
  <c r="D71" i="7" s="1"/>
  <c r="C29" i="9"/>
  <c r="D70" i="7"/>
  <c r="D22" i="9"/>
  <c r="E69" i="7" s="1"/>
  <c r="C15" i="9"/>
  <c r="D68" i="7"/>
  <c r="C22" i="9"/>
  <c r="D69" i="7" s="1"/>
  <c r="B63" i="9"/>
  <c r="C75" i="7"/>
  <c r="B56" i="9"/>
  <c r="C74" i="7" s="1"/>
  <c r="B49" i="9"/>
  <c r="C73" i="7" s="1"/>
  <c r="B42" i="9"/>
  <c r="C72" i="7" s="1"/>
  <c r="B35" i="9"/>
  <c r="C71" i="7"/>
  <c r="B29" i="9"/>
  <c r="C70" i="7" s="1"/>
  <c r="B22" i="9"/>
  <c r="C69" i="7" s="1"/>
  <c r="D15" i="9"/>
  <c r="E68" i="7"/>
  <c r="B15" i="9"/>
  <c r="C68" i="7" s="1"/>
  <c r="B74" i="7"/>
  <c r="B75" i="7"/>
  <c r="B73" i="7"/>
  <c r="B72" i="7"/>
  <c r="B71" i="7"/>
  <c r="B70" i="7"/>
  <c r="B69" i="7"/>
  <c r="B68" i="7"/>
  <c r="J6" i="24"/>
  <c r="C7" i="5"/>
  <c r="C8" i="5"/>
  <c r="C56" i="7"/>
  <c r="C57" i="7" s="1"/>
  <c r="E1" i="7"/>
  <c r="B113" i="7" s="1"/>
  <c r="E1" i="14"/>
  <c r="E1" i="15"/>
  <c r="E1" i="16"/>
  <c r="D36" i="16" s="1"/>
  <c r="E1" i="17"/>
  <c r="F1" i="44"/>
  <c r="J17" i="39"/>
  <c r="J18" i="39" s="1"/>
  <c r="J28" i="39"/>
  <c r="H17" i="39"/>
  <c r="H18" i="39" s="1"/>
  <c r="H28" i="39"/>
  <c r="F17" i="39"/>
  <c r="F18" i="39" s="1"/>
  <c r="F28" i="39"/>
  <c r="D17" i="39"/>
  <c r="D18" i="39" s="1"/>
  <c r="D28" i="39"/>
  <c r="B28" i="39"/>
  <c r="B17" i="39"/>
  <c r="B18" i="39" s="1"/>
  <c r="B29" i="39" s="1"/>
  <c r="B30" i="39" s="1"/>
  <c r="E28" i="24"/>
  <c r="G11" i="24"/>
  <c r="E14" i="24"/>
  <c r="E15" i="24"/>
  <c r="G16" i="24" s="1"/>
  <c r="E19" i="24"/>
  <c r="E20" i="24"/>
  <c r="E21" i="24"/>
  <c r="G22" i="24" s="1"/>
  <c r="G24" i="24"/>
  <c r="K1" i="39"/>
  <c r="F2" i="39" s="1"/>
  <c r="H2" i="21"/>
  <c r="D36" i="3"/>
  <c r="E9" i="14"/>
  <c r="D9" i="14"/>
  <c r="D22" i="5"/>
  <c r="E23" i="5"/>
  <c r="F24" i="5"/>
  <c r="E15" i="7"/>
  <c r="E16" i="7"/>
  <c r="E14" i="7"/>
  <c r="D6" i="44"/>
  <c r="E6" i="44"/>
  <c r="D7" i="44"/>
  <c r="E7" i="44"/>
  <c r="E30" i="34" s="1"/>
  <c r="E33" i="34" s="1"/>
  <c r="D8" i="44"/>
  <c r="E8" i="44"/>
  <c r="E70" i="34" s="1"/>
  <c r="E73" i="34" s="1"/>
  <c r="E77" i="34" s="1"/>
  <c r="D9" i="44"/>
  <c r="E9" i="44"/>
  <c r="D10" i="44"/>
  <c r="E10" i="44"/>
  <c r="D11" i="44"/>
  <c r="E11" i="44"/>
  <c r="D12" i="44"/>
  <c r="E12" i="44"/>
  <c r="D13" i="44"/>
  <c r="E13" i="44"/>
  <c r="D14" i="44"/>
  <c r="E14" i="44"/>
  <c r="D15" i="44"/>
  <c r="E15" i="44"/>
  <c r="D17" i="44"/>
  <c r="E17" i="44"/>
  <c r="D16" i="44"/>
  <c r="E16" i="44"/>
  <c r="A1" i="44"/>
  <c r="B7" i="44"/>
  <c r="B6" i="44"/>
  <c r="C55" i="7"/>
  <c r="E48" i="14"/>
  <c r="E47" i="14" s="1"/>
  <c r="D47" i="14"/>
  <c r="D58" i="17"/>
  <c r="C58" i="17"/>
  <c r="E46" i="17"/>
  <c r="E45" i="17" s="1"/>
  <c r="D46" i="17"/>
  <c r="D45" i="17" s="1"/>
  <c r="C46" i="17"/>
  <c r="C45" i="17" s="1"/>
  <c r="E15" i="17"/>
  <c r="E14" i="17" s="1"/>
  <c r="D15" i="17"/>
  <c r="D14" i="17" s="1"/>
  <c r="C15" i="17"/>
  <c r="C14" i="17" s="1"/>
  <c r="D27" i="17"/>
  <c r="E15" i="16"/>
  <c r="E14" i="16" s="1"/>
  <c r="D15" i="16"/>
  <c r="D14" i="16" s="1"/>
  <c r="C15" i="16"/>
  <c r="C14" i="16" s="1"/>
  <c r="D27" i="16"/>
  <c r="E46" i="16"/>
  <c r="E45" i="16" s="1"/>
  <c r="D46" i="16"/>
  <c r="D45" i="16" s="1"/>
  <c r="C46" i="16"/>
  <c r="E58" i="16"/>
  <c r="C58" i="16"/>
  <c r="E15" i="15"/>
  <c r="E14" i="15" s="1"/>
  <c r="D15" i="15"/>
  <c r="D14" i="15" s="1"/>
  <c r="C15" i="15"/>
  <c r="E27" i="15"/>
  <c r="D27" i="15"/>
  <c r="E46" i="15"/>
  <c r="E45" i="15"/>
  <c r="D46" i="15"/>
  <c r="D45" i="15" s="1"/>
  <c r="C46" i="15"/>
  <c r="C47" i="15" s="1"/>
  <c r="E8" i="14"/>
  <c r="E17" i="14" s="1"/>
  <c r="E16" i="14" s="1"/>
  <c r="D8" i="14"/>
  <c r="C16" i="14"/>
  <c r="C29" i="14"/>
  <c r="D26" i="44"/>
  <c r="D28" i="44" s="1"/>
  <c r="C47" i="17"/>
  <c r="C60" i="17" s="1"/>
  <c r="A92" i="43"/>
  <c r="A91" i="43"/>
  <c r="A90" i="43"/>
  <c r="A89" i="43"/>
  <c r="A83" i="43"/>
  <c r="A82" i="43"/>
  <c r="A81" i="43"/>
  <c r="A80" i="43"/>
  <c r="A79" i="43"/>
  <c r="A78" i="43"/>
  <c r="A73" i="43"/>
  <c r="A61" i="43"/>
  <c r="A60" i="43"/>
  <c r="C18" i="21"/>
  <c r="C17" i="21"/>
  <c r="G1" i="5"/>
  <c r="C6" i="5" s="1"/>
  <c r="D26" i="32"/>
  <c r="B28" i="21" s="1"/>
  <c r="B32" i="3"/>
  <c r="B31" i="3"/>
  <c r="A26" i="21"/>
  <c r="A25" i="21"/>
  <c r="M1" i="22"/>
  <c r="J6" i="22" s="1"/>
  <c r="A102" i="2"/>
  <c r="A1" i="39"/>
  <c r="B1" i="22"/>
  <c r="J1" i="24"/>
  <c r="A31" i="2"/>
  <c r="F26" i="32"/>
  <c r="E26" i="32"/>
  <c r="D28" i="21" s="1"/>
  <c r="D28" i="32"/>
  <c r="G42" i="22"/>
  <c r="F37" i="21" s="1"/>
  <c r="G32" i="22"/>
  <c r="F36" i="21"/>
  <c r="G20" i="22"/>
  <c r="F35" i="21" s="1"/>
  <c r="E18" i="21"/>
  <c r="E17" i="21"/>
  <c r="E29" i="57" s="1"/>
  <c r="E16" i="21"/>
  <c r="G44" i="34" s="1"/>
  <c r="E15" i="21"/>
  <c r="D31" i="3"/>
  <c r="A16" i="21"/>
  <c r="C16" i="21"/>
  <c r="C21" i="3"/>
  <c r="B8" i="5"/>
  <c r="B1" i="5"/>
  <c r="G1" i="32"/>
  <c r="E7" i="32"/>
  <c r="B1" i="32"/>
  <c r="M20" i="22"/>
  <c r="M43" i="22"/>
  <c r="M32" i="22"/>
  <c r="M42" i="22"/>
  <c r="L20" i="22"/>
  <c r="L32" i="22"/>
  <c r="L43" i="22" s="1"/>
  <c r="L42" i="22"/>
  <c r="K20" i="22"/>
  <c r="K32" i="22"/>
  <c r="K42" i="22"/>
  <c r="J20" i="22"/>
  <c r="J32" i="22"/>
  <c r="J43" i="22"/>
  <c r="J42" i="22"/>
  <c r="I1" i="23"/>
  <c r="G9" i="23" s="1"/>
  <c r="D1" i="9"/>
  <c r="C5" i="9" s="1"/>
  <c r="C73" i="9" s="1"/>
  <c r="I1" i="3"/>
  <c r="B2" i="3"/>
  <c r="A1" i="43"/>
  <c r="I5" i="39"/>
  <c r="G5" i="39"/>
  <c r="E5" i="39"/>
  <c r="C5" i="39"/>
  <c r="A5" i="39"/>
  <c r="B85" i="2"/>
  <c r="K7" i="39"/>
  <c r="A24" i="21"/>
  <c r="C20" i="3"/>
  <c r="D30" i="3"/>
  <c r="D29" i="3"/>
  <c r="D28" i="3"/>
  <c r="D27" i="3"/>
  <c r="D26" i="3"/>
  <c r="D25" i="3"/>
  <c r="D24" i="3"/>
  <c r="B30" i="3"/>
  <c r="B29" i="3"/>
  <c r="B28" i="3"/>
  <c r="B27" i="3"/>
  <c r="B26" i="3"/>
  <c r="B25" i="3"/>
  <c r="B24" i="3"/>
  <c r="D35" i="3"/>
  <c r="B4" i="3"/>
  <c r="E26" i="3"/>
  <c r="E29" i="3"/>
  <c r="C1" i="24"/>
  <c r="A1" i="9"/>
  <c r="A69" i="9" s="1"/>
  <c r="B65" i="7"/>
  <c r="B61" i="7"/>
  <c r="B6" i="7"/>
  <c r="B1" i="7"/>
  <c r="B84" i="2"/>
  <c r="B1" i="23"/>
  <c r="F38" i="21"/>
  <c r="F39" i="21" s="1"/>
  <c r="B7" i="5"/>
  <c r="B36" i="15"/>
  <c r="B5" i="15"/>
  <c r="B1" i="15"/>
  <c r="B36" i="16"/>
  <c r="B5" i="16"/>
  <c r="B1" i="16"/>
  <c r="B36" i="17"/>
  <c r="B5" i="17"/>
  <c r="B1" i="17"/>
  <c r="B38" i="14"/>
  <c r="B5" i="14"/>
  <c r="B1" i="14"/>
  <c r="C15" i="21"/>
  <c r="A4" i="21"/>
  <c r="A15" i="21"/>
  <c r="C47" i="14"/>
  <c r="D60" i="14"/>
  <c r="E25" i="3"/>
  <c r="D31" i="15"/>
  <c r="D31" i="17"/>
  <c r="G43" i="22"/>
  <c r="G38" i="34"/>
  <c r="C19" i="34"/>
  <c r="E8" i="5"/>
  <c r="E11" i="34"/>
  <c r="B16" i="21"/>
  <c r="D72" i="34"/>
  <c r="G21" i="52"/>
  <c r="G19" i="52" s="1"/>
  <c r="G23" i="52"/>
  <c r="D8" i="5"/>
  <c r="E10" i="34" s="1"/>
  <c r="D17" i="21"/>
  <c r="F10" i="5"/>
  <c r="F8" i="5"/>
  <c r="D11" i="5"/>
  <c r="F11" i="5"/>
  <c r="D13" i="5"/>
  <c r="F13" i="5"/>
  <c r="D15" i="5"/>
  <c r="F15" i="5"/>
  <c r="D17" i="5"/>
  <c r="F17" i="5"/>
  <c r="D19" i="5"/>
  <c r="F19" i="5"/>
  <c r="D10" i="5"/>
  <c r="D12" i="5"/>
  <c r="D14" i="5"/>
  <c r="D16" i="5"/>
  <c r="D18" i="5"/>
  <c r="E12" i="34"/>
  <c r="E20" i="34" s="1"/>
  <c r="G34" i="34" s="1"/>
  <c r="F16" i="5"/>
  <c r="F12" i="5"/>
  <c r="C16" i="16"/>
  <c r="C29" i="16" s="1"/>
  <c r="D6" i="16" s="1"/>
  <c r="D16" i="16" s="1"/>
  <c r="C33" i="14"/>
  <c r="E117" i="7"/>
  <c r="C62" i="16"/>
  <c r="E36" i="16"/>
  <c r="D62" i="17"/>
  <c r="E14" i="5"/>
  <c r="E16" i="5"/>
  <c r="E18" i="5"/>
  <c r="E11" i="5"/>
  <c r="E13" i="5"/>
  <c r="E15" i="5"/>
  <c r="E17" i="5"/>
  <c r="E19" i="5"/>
  <c r="E10" i="5"/>
  <c r="E12" i="5"/>
  <c r="F18" i="5"/>
  <c r="F14" i="5"/>
  <c r="C66" i="7"/>
  <c r="C32" i="16"/>
  <c r="J106" i="7"/>
  <c r="J68" i="34"/>
  <c r="J69" i="34"/>
  <c r="C61" i="34"/>
  <c r="C74" i="34" s="1"/>
  <c r="D60" i="34"/>
  <c r="D59" i="34" s="1"/>
  <c r="H117" i="7"/>
  <c r="E6" i="7"/>
  <c r="D93" i="34"/>
  <c r="D16" i="21"/>
  <c r="D32" i="34"/>
  <c r="C20" i="5"/>
  <c r="C27" i="15"/>
  <c r="C31" i="15"/>
  <c r="D37" i="17"/>
  <c r="D47" i="17"/>
  <c r="D60" i="17" s="1"/>
  <c r="D63" i="17" s="1"/>
  <c r="C63" i="17"/>
  <c r="C16" i="15"/>
  <c r="C29" i="15" s="1"/>
  <c r="C14" i="15"/>
  <c r="D30" i="21"/>
  <c r="J5" i="24"/>
  <c r="J7" i="24" s="1"/>
  <c r="J44" i="24" s="1"/>
  <c r="J83" i="55"/>
  <c r="C45" i="15"/>
  <c r="C31" i="17"/>
  <c r="K43" i="22"/>
  <c r="C31" i="16"/>
  <c r="C27" i="16"/>
  <c r="C131" i="9"/>
  <c r="J29" i="39"/>
  <c r="J30" i="39" s="1"/>
  <c r="D58" i="16"/>
  <c r="B131" i="9"/>
  <c r="C34" i="34"/>
  <c r="C94" i="34"/>
  <c r="D6" i="34"/>
  <c r="D21" i="34"/>
  <c r="D34" i="34" s="1"/>
  <c r="E30" i="3"/>
  <c r="E61" i="17"/>
  <c r="E27" i="16"/>
  <c r="E27" i="3"/>
  <c r="E58" i="15"/>
  <c r="E30" i="15"/>
  <c r="E32" i="34"/>
  <c r="C6" i="7"/>
  <c r="D6" i="7"/>
  <c r="H122" i="7"/>
  <c r="G106" i="7"/>
  <c r="H124" i="7"/>
  <c r="H112" i="7"/>
  <c r="E65" i="7"/>
  <c r="H113" i="7"/>
  <c r="D65" i="7"/>
  <c r="C65" i="7"/>
  <c r="G102" i="7"/>
  <c r="H116" i="7"/>
  <c r="H111" i="7"/>
  <c r="C118" i="7"/>
  <c r="H123" i="7"/>
  <c r="H114" i="7"/>
  <c r="B3" i="44"/>
  <c r="G109" i="7"/>
  <c r="B78" i="57"/>
  <c r="B84" i="57"/>
  <c r="B46" i="57"/>
  <c r="C5" i="16"/>
  <c r="D36" i="15"/>
  <c r="D5" i="16"/>
  <c r="E36" i="15"/>
  <c r="C36" i="16"/>
  <c r="A32" i="44"/>
  <c r="F7" i="32"/>
  <c r="C45" i="3"/>
  <c r="H74" i="34"/>
  <c r="G68" i="34"/>
  <c r="E5" i="16"/>
  <c r="B61" i="16"/>
  <c r="B30" i="16"/>
  <c r="I9" i="23"/>
  <c r="H9" i="23"/>
  <c r="F34" i="21"/>
  <c r="C38" i="14"/>
  <c r="E44" i="34"/>
  <c r="G13" i="21"/>
  <c r="C44" i="34"/>
  <c r="H76" i="34"/>
  <c r="B34" i="21"/>
  <c r="D5" i="14"/>
  <c r="F12" i="21"/>
  <c r="H36" i="34"/>
  <c r="C5" i="34"/>
  <c r="C80" i="34"/>
  <c r="B61" i="17"/>
  <c r="H44" i="34"/>
  <c r="H85" i="34"/>
  <c r="B18" i="24"/>
  <c r="H34" i="34"/>
  <c r="D7" i="32"/>
  <c r="L6" i="22"/>
  <c r="H39" i="34"/>
  <c r="C40" i="34"/>
  <c r="G24" i="34"/>
  <c r="B75" i="34"/>
  <c r="A9" i="21"/>
  <c r="G31" i="34"/>
  <c r="G7" i="22"/>
  <c r="B36" i="24"/>
  <c r="G18" i="52"/>
  <c r="B65" i="9" l="1"/>
  <c r="B132" i="9" s="1"/>
  <c r="B133" i="9" s="1"/>
  <c r="C65" i="9"/>
  <c r="C132" i="9" s="1"/>
  <c r="C133" i="9" s="1"/>
  <c r="D84" i="7"/>
  <c r="D111" i="7" s="1"/>
  <c r="D110" i="7" s="1"/>
  <c r="B39" i="21"/>
  <c r="M52" i="21"/>
  <c r="J52" i="21" s="1"/>
  <c r="M51" i="21"/>
  <c r="J51" i="21" s="1"/>
  <c r="G84" i="34"/>
  <c r="C95" i="34"/>
  <c r="B77" i="34" s="1"/>
  <c r="K18" i="39"/>
  <c r="E28" i="32"/>
  <c r="K17" i="39"/>
  <c r="D29" i="16"/>
  <c r="C60" i="15"/>
  <c r="D37" i="15" s="1"/>
  <c r="D47" i="15" s="1"/>
  <c r="D60" i="15" s="1"/>
  <c r="E37" i="15" s="1"/>
  <c r="E47" i="15" s="1"/>
  <c r="E60" i="15" s="1"/>
  <c r="E62" i="15" s="1"/>
  <c r="C32" i="15"/>
  <c r="D6" i="15"/>
  <c r="D16" i="15" s="1"/>
  <c r="D29" i="15" s="1"/>
  <c r="D32" i="15" s="1"/>
  <c r="E32" i="14"/>
  <c r="E24" i="3"/>
  <c r="D33" i="14"/>
  <c r="C27" i="21"/>
  <c r="D49" i="14"/>
  <c r="D62" i="14" s="1"/>
  <c r="C65" i="14"/>
  <c r="D39" i="14"/>
  <c r="C60" i="14"/>
  <c r="G33" i="3"/>
  <c r="D64" i="14"/>
  <c r="D7" i="52"/>
  <c r="B38" i="24"/>
  <c r="A9" i="24"/>
  <c r="A3" i="24"/>
  <c r="B46" i="24"/>
  <c r="B11" i="24"/>
  <c r="C15" i="24"/>
  <c r="B13" i="24"/>
  <c r="B28" i="24"/>
  <c r="E37" i="34"/>
  <c r="F16" i="21"/>
  <c r="G26" i="24"/>
  <c r="G30" i="24" s="1"/>
  <c r="G32" i="24" s="1"/>
  <c r="J34" i="24" s="1"/>
  <c r="J36" i="24" s="1"/>
  <c r="D5" i="44"/>
  <c r="B5" i="44"/>
  <c r="E5" i="44"/>
  <c r="D5" i="17"/>
  <c r="D36" i="17"/>
  <c r="C36" i="17"/>
  <c r="C5" i="17"/>
  <c r="B30" i="17"/>
  <c r="E36" i="17"/>
  <c r="B40" i="24"/>
  <c r="B42" i="24"/>
  <c r="A50" i="24"/>
  <c r="D5" i="5"/>
  <c r="F36" i="34"/>
  <c r="D19" i="44"/>
  <c r="D12" i="21"/>
  <c r="B12" i="21"/>
  <c r="D34" i="21"/>
  <c r="D31" i="16"/>
  <c r="H86" i="34"/>
  <c r="G71" i="34"/>
  <c r="H45" i="34"/>
  <c r="D5" i="34"/>
  <c r="D44" i="34"/>
  <c r="H83" i="34"/>
  <c r="H46" i="34"/>
  <c r="H79" i="34"/>
  <c r="H75" i="34"/>
  <c r="E5" i="34"/>
  <c r="G64" i="34"/>
  <c r="H73" i="34"/>
  <c r="H84" i="34"/>
  <c r="H38" i="34"/>
  <c r="G28" i="34"/>
  <c r="H43" i="34"/>
  <c r="H33" i="34"/>
  <c r="B35" i="34"/>
  <c r="C5" i="15"/>
  <c r="D5" i="15"/>
  <c r="E5" i="15"/>
  <c r="C36" i="15"/>
  <c r="C14" i="24"/>
  <c r="B5" i="9"/>
  <c r="B73" i="9" s="1"/>
  <c r="B6" i="24"/>
  <c r="B24" i="24"/>
  <c r="B30" i="15"/>
  <c r="B61" i="15"/>
  <c r="B5" i="24"/>
  <c r="E75" i="34"/>
  <c r="F76" i="34"/>
  <c r="F17" i="21"/>
  <c r="E72" i="34"/>
  <c r="B8" i="3"/>
  <c r="B13" i="3"/>
  <c r="E9" i="3"/>
  <c r="F10" i="3"/>
  <c r="E5" i="17"/>
  <c r="D38" i="14"/>
  <c r="C5" i="14"/>
  <c r="B32" i="14"/>
  <c r="E38" i="14"/>
  <c r="B63" i="14"/>
  <c r="C10" i="59"/>
  <c r="D17" i="14"/>
  <c r="D16" i="14" s="1"/>
  <c r="H121" i="7"/>
  <c r="A9" i="43"/>
  <c r="A19" i="43"/>
  <c r="A50" i="43"/>
  <c r="A57" i="43"/>
  <c r="D62" i="15"/>
  <c r="E22" i="57"/>
  <c r="A6" i="43"/>
  <c r="A14" i="43"/>
  <c r="A36" i="43"/>
  <c r="A51" i="43"/>
  <c r="E37" i="17"/>
  <c r="E47" i="17" s="1"/>
  <c r="E60" i="17" s="1"/>
  <c r="E62" i="17" s="1"/>
  <c r="E6" i="15"/>
  <c r="E16" i="15" s="1"/>
  <c r="E29" i="15" s="1"/>
  <c r="E31" i="15" s="1"/>
  <c r="E6" i="16"/>
  <c r="E16" i="16" s="1"/>
  <c r="E29" i="16" s="1"/>
  <c r="E31" i="16" s="1"/>
  <c r="D32" i="16"/>
  <c r="C96" i="34"/>
  <c r="D45" i="34"/>
  <c r="D61" i="34" s="1"/>
  <c r="D74" i="34" s="1"/>
  <c r="E27" i="5"/>
  <c r="E9" i="5" s="1"/>
  <c r="E50" i="34" s="1"/>
  <c r="G18" i="57" s="1"/>
  <c r="D26" i="5"/>
  <c r="D9" i="5" s="1"/>
  <c r="F28" i="5"/>
  <c r="F9" i="5" s="1"/>
  <c r="G33" i="34"/>
  <c r="E6" i="34"/>
  <c r="E21" i="34" s="1"/>
  <c r="E38" i="34" s="1"/>
  <c r="E40" i="34" s="1"/>
  <c r="D94" i="34"/>
  <c r="B38" i="34" s="1"/>
  <c r="E22" i="3"/>
  <c r="E35" i="34"/>
  <c r="E21" i="3"/>
  <c r="E78" i="7"/>
  <c r="D131" i="9"/>
  <c r="G78" i="34"/>
  <c r="C72" i="34"/>
  <c r="B67" i="9"/>
  <c r="C120" i="7"/>
  <c r="D20" i="3"/>
  <c r="B135" i="9"/>
  <c r="D69" i="9"/>
  <c r="D5" i="9"/>
  <c r="D73" i="9" s="1"/>
  <c r="G122" i="7"/>
  <c r="E27" i="21"/>
  <c r="E108" i="7"/>
  <c r="E19" i="44"/>
  <c r="C31" i="32"/>
  <c r="D29" i="39"/>
  <c r="H29" i="39"/>
  <c r="H30" i="39" s="1"/>
  <c r="C84" i="7"/>
  <c r="C111" i="7" s="1"/>
  <c r="E73" i="7"/>
  <c r="D65" i="9"/>
  <c r="D132" i="9" s="1"/>
  <c r="D62" i="16"/>
  <c r="G27" i="57"/>
  <c r="E28" i="57" s="1"/>
  <c r="D6" i="14"/>
  <c r="C34" i="14"/>
  <c r="F28" i="32"/>
  <c r="F28" i="21"/>
  <c r="C45" i="16"/>
  <c r="C47" i="16"/>
  <c r="C60" i="16" s="1"/>
  <c r="B7" i="3"/>
  <c r="G36" i="3"/>
  <c r="K28" i="39"/>
  <c r="F29" i="39"/>
  <c r="F30" i="39" s="1"/>
  <c r="A22" i="44"/>
  <c r="C5" i="44"/>
  <c r="B6" i="5"/>
  <c r="C16" i="17"/>
  <c r="C29" i="17" s="1"/>
  <c r="H35" i="34"/>
  <c r="H78" i="34"/>
  <c r="E5" i="14"/>
  <c r="C62" i="15"/>
  <c r="J103" i="55"/>
  <c r="D132" i="7" l="1"/>
  <c r="D15" i="21"/>
  <c r="D27" i="21" s="1"/>
  <c r="D29" i="21" s="1"/>
  <c r="D63" i="15"/>
  <c r="C63" i="15"/>
  <c r="D65" i="14"/>
  <c r="E39" i="14"/>
  <c r="E49" i="14" s="1"/>
  <c r="E62" i="14" s="1"/>
  <c r="E64" i="14" s="1"/>
  <c r="E49" i="34"/>
  <c r="D7" i="5"/>
  <c r="D18" i="14"/>
  <c r="D31" i="14" s="1"/>
  <c r="E6" i="14" s="1"/>
  <c r="E18" i="14" s="1"/>
  <c r="E31" i="14" s="1"/>
  <c r="E33" i="14" s="1"/>
  <c r="F7" i="5"/>
  <c r="E51" i="34"/>
  <c r="G19" i="57" s="1"/>
  <c r="E7" i="5"/>
  <c r="H16" i="21"/>
  <c r="G43" i="34" s="1"/>
  <c r="G35" i="34"/>
  <c r="G16" i="21"/>
  <c r="E19" i="34"/>
  <c r="F21" i="3"/>
  <c r="J38" i="24"/>
  <c r="J40" i="24" s="1"/>
  <c r="J47" i="24" s="1"/>
  <c r="G46" i="34"/>
  <c r="G124" i="7"/>
  <c r="G86" i="34"/>
  <c r="G36" i="34"/>
  <c r="G39" i="34" s="1"/>
  <c r="D96" i="34"/>
  <c r="B78" i="34" s="1"/>
  <c r="G73" i="34"/>
  <c r="E45" i="34"/>
  <c r="D37" i="16"/>
  <c r="D47" i="16" s="1"/>
  <c r="D60" i="16" s="1"/>
  <c r="C63" i="16"/>
  <c r="C32" i="17"/>
  <c r="D6" i="17"/>
  <c r="D16" i="17" s="1"/>
  <c r="D29" i="17" s="1"/>
  <c r="B25" i="21"/>
  <c r="K30" i="39"/>
  <c r="E84" i="7"/>
  <c r="E111" i="7" s="1"/>
  <c r="D133" i="9"/>
  <c r="D30" i="39"/>
  <c r="K29" i="39"/>
  <c r="C110" i="7"/>
  <c r="C132" i="7"/>
  <c r="C112" i="7"/>
  <c r="B15" i="21"/>
  <c r="B27" i="21" s="1"/>
  <c r="B29" i="21" s="1"/>
  <c r="G116" i="7"/>
  <c r="B115" i="7" l="1"/>
  <c r="D34" i="14"/>
  <c r="E11" i="7"/>
  <c r="D20" i="5"/>
  <c r="E12" i="7"/>
  <c r="E20" i="5"/>
  <c r="F20" i="5"/>
  <c r="E13" i="7"/>
  <c r="E60" i="34"/>
  <c r="G74" i="34" s="1"/>
  <c r="G17" i="57"/>
  <c r="E6" i="17"/>
  <c r="E16" i="17" s="1"/>
  <c r="E29" i="17" s="1"/>
  <c r="E31" i="17" s="1"/>
  <c r="D32" i="17"/>
  <c r="D7" i="7"/>
  <c r="D57" i="7" s="1"/>
  <c r="C133" i="7"/>
  <c r="E110" i="7"/>
  <c r="E20" i="3"/>
  <c r="E33" i="3" s="1"/>
  <c r="F114" i="7"/>
  <c r="E115" i="7"/>
  <c r="E113" i="7"/>
  <c r="F15" i="21"/>
  <c r="F27" i="21" s="1"/>
  <c r="F29" i="21" s="1"/>
  <c r="E37" i="16"/>
  <c r="E47" i="16" s="1"/>
  <c r="E60" i="16" s="1"/>
  <c r="E62" i="16" s="1"/>
  <c r="D63" i="16"/>
  <c r="E56" i="7" l="1"/>
  <c r="G112" i="7" s="1"/>
  <c r="E61" i="34"/>
  <c r="E78" i="34" s="1"/>
  <c r="E80" i="34" s="1"/>
  <c r="D112" i="7"/>
  <c r="D66" i="7"/>
  <c r="G75" i="34" l="1"/>
  <c r="G17" i="21"/>
  <c r="H17" i="21" s="1"/>
  <c r="F22" i="3"/>
  <c r="E59" i="34"/>
  <c r="G15" i="57"/>
  <c r="G22" i="57" s="1"/>
  <c r="E7" i="7"/>
  <c r="E57" i="7" s="1"/>
  <c r="G111" i="7"/>
  <c r="D133" i="7"/>
  <c r="B116" i="7" s="1"/>
  <c r="G83" i="34" l="1"/>
  <c r="G29" i="57"/>
  <c r="E30" i="57" s="1"/>
  <c r="D31" i="57" s="1"/>
  <c r="D24" i="57"/>
  <c r="E23" i="57"/>
  <c r="K75" i="34"/>
  <c r="G76" i="34"/>
  <c r="G79" i="34" s="1"/>
  <c r="E66" i="7"/>
  <c r="E116" i="7"/>
  <c r="E118" i="7" s="1"/>
  <c r="F33" i="57" l="1"/>
  <c r="F80" i="34" s="1"/>
  <c r="G15" i="21"/>
  <c r="G27" i="21" s="1"/>
  <c r="F20" i="3"/>
  <c r="F33" i="3" s="1"/>
  <c r="G113" i="7"/>
  <c r="E55" i="7"/>
  <c r="H15" i="21" l="1"/>
  <c r="G121" i="7" s="1"/>
  <c r="F34" i="3"/>
  <c r="E10" i="59"/>
  <c r="K113" i="7"/>
  <c r="G114" i="7"/>
  <c r="G117" i="7" s="1"/>
  <c r="H27" i="21" l="1"/>
  <c r="G45" i="34" s="1"/>
  <c r="I126" i="7"/>
  <c r="I88" i="34"/>
  <c r="I48" i="34"/>
  <c r="G85" i="34"/>
  <c r="G123" i="7" l="1"/>
</calcChain>
</file>

<file path=xl/sharedStrings.xml><?xml version="1.0" encoding="utf-8"?>
<sst xmlns="http://schemas.openxmlformats.org/spreadsheetml/2006/main" count="1693" uniqueCount="1085">
  <si>
    <t>16. Delinquency rate for actual for 3 decimal and note that rate can be up to 5% over the actual rate.</t>
  </si>
  <si>
    <t>17. Computation to Determine Limit changed the note on bottom to include publish ordinance and attach the published ordinance to the budget.</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</si>
  <si>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</si>
  <si>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Outstanding Indebtedness, January 1:</t>
  </si>
  <si>
    <t>From the League of Municipalities' Budget Tips (Special City and County Highway Fund):</t>
  </si>
  <si>
    <t>Attest:_____________________,</t>
  </si>
  <si>
    <t>7. Added four single pages for no tax levy fund page.</t>
  </si>
  <si>
    <t xml:space="preserve">Cities can use the city.xls, city1.xls, city2.xls, city3.xls or city4.xls files.   You must choose a form that meets the needs for the number of funds.  If you don't need all the funds, just leave the pages blank and number the completed pages sequentially. </t>
  </si>
  <si>
    <t>Allocation of Motor, Recreational, 16/20M Vehicle Tax &amp; Slider</t>
  </si>
  <si>
    <t>Funds</t>
  </si>
  <si>
    <t>Budget Authority</t>
  </si>
  <si>
    <t xml:space="preserve">expenditure amounts should reflect the amended </t>
  </si>
  <si>
    <t>expenditure amounts.</t>
  </si>
  <si>
    <t>Neighborhood Revitalization Rebate</t>
  </si>
  <si>
    <t>Miscellaneous</t>
  </si>
  <si>
    <t>11. Added Neighborhood Revitalization, LAVTR, City and County Revenue Sharing, and Slider to the input page and to the General Fund page. Added NR to all tax levy fund pages.</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</si>
  <si>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</si>
  <si>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</si>
  <si>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</si>
  <si>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Enter City Name (City of)</t>
  </si>
  <si>
    <t>Enter County Name followed by "County"</t>
  </si>
  <si>
    <t>Cash Balance Jan 1</t>
  </si>
  <si>
    <t>***If you are merely leasing/renting with no intent to purchase, do not list--such transactions are not lease-purchases.</t>
  </si>
  <si>
    <t>21. Added four single no levy fund pages and 4 non-budgeted pages.</t>
  </si>
  <si>
    <t>22. Added question on Certificate page about the ordinance.</t>
  </si>
  <si>
    <t>23. Added note to the non-budgeted fund pages to ensure the amounts agree.</t>
  </si>
  <si>
    <t>24. Added to instructions about non-appropriated balances being limited to 5%.</t>
  </si>
  <si>
    <t>25. Added warning "Exceeds 5%" on all fund pages for the non-appropriated balance.</t>
  </si>
  <si>
    <t>26. Added Neighborhood Revitalization table and added links to all tax levy fund pages.</t>
  </si>
  <si>
    <t>27. Added to the instructions about neighborhood revitalization.</t>
  </si>
  <si>
    <t>28. Added to all budgeted fund pages the budget authority for the actual year, budget violation, and cash violation.</t>
  </si>
  <si>
    <t>29. Added instruction on the addition for item 29.</t>
  </si>
  <si>
    <t>33. Added 'excluding oil, gas, and mobile homes' to lines 8 and 14 on Clerks budget info on tab inputoth.</t>
  </si>
  <si>
    <t>30. Added block on the certificate page for the page number of the neighborhood revit.</t>
  </si>
  <si>
    <t>31. Change Certificate page total mill rate from 0 to blank.</t>
  </si>
  <si>
    <t>32. Expanded on the preparation of budget note 11a for instructions for the Notice of Budget Hearing.</t>
  </si>
  <si>
    <t>The following were changed to this spreadsheet on 5/08/08</t>
  </si>
  <si>
    <t>1. Instruction sheet #9a last line changed from 'shown be shown' to 'should be shown'.</t>
  </si>
  <si>
    <t>2. Changed the Transfers tab footer from 'Page No. 5' to 'Page No. 4'.</t>
  </si>
  <si>
    <r>
      <t>3. Changed on all Non-Budgeted Funds forms from 'Only the actual budget year shown' to '</t>
    </r>
    <r>
      <rPr>
        <i/>
        <sz val="12"/>
        <rFont val="Times New Roman"/>
        <family val="1"/>
      </rPr>
      <t>Only the actual budget year for YYYY is to be shown</t>
    </r>
    <r>
      <rPr>
        <sz val="12"/>
        <rFont val="Times New Roman"/>
        <family val="1"/>
      </rPr>
      <t>'.</t>
    </r>
  </si>
  <si>
    <t>4. Budget Summary change line from 'Proposed Budget Expenditures' to read 'Proposed Budget YYYY Expenditures'.</t>
  </si>
  <si>
    <t>5.Changed Legend line #32 from 'note 10' to read 'note 11a'.</t>
  </si>
  <si>
    <t>6. All the above pages revision date were changed.</t>
  </si>
  <si>
    <t>The following were changed to this spreadsheet on 6/30/08</t>
  </si>
  <si>
    <t>1. Changed the link on Non-BudD to have the correct fund names picked up from inputpryr.</t>
  </si>
  <si>
    <t>Debt Service</t>
  </si>
  <si>
    <t>(Note: Should agree with general sub-totals.)</t>
  </si>
  <si>
    <t>1. Input tab (inputPrYr) added column for the current year expenditures.</t>
  </si>
  <si>
    <t>2. Statement of Indebtedness (debt) added lines to all categories.</t>
  </si>
  <si>
    <t xml:space="preserve">3. All tax levy funds and no tax levy funds fund pages made the following changes: </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</si>
  <si>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</si>
  <si>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</si>
  <si>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r>
      <t xml:space="preserve">5. Special Highway and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</si>
  <si>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made the estimate rebate round the figures to whole dollars.</t>
  </si>
  <si>
    <t xml:space="preserve">7. Instruction page have changed all reference for Bond &amp; Interest to Debt Service. </t>
  </si>
  <si>
    <t>8. Added to the instruction page lines 10a - 10c to provide a little more insight for the Neighborhood Revitalization rebate.</t>
  </si>
  <si>
    <r>
      <t>3a. Made the total expenditures block for the actual and current year to turn '</t>
    </r>
    <r>
      <rPr>
        <sz val="12"/>
        <color indexed="10"/>
        <rFont val="Times New Roman"/>
        <family val="1"/>
      </rPr>
      <t>Red</t>
    </r>
    <r>
      <rPr>
        <sz val="12"/>
        <rFont val="Times New Roman"/>
        <family val="1"/>
      </rPr>
      <t>' if violation occurs.</t>
    </r>
  </si>
  <si>
    <t>4. All tax levy fund pages abbreviated the non-appropriated, total expenditures/non-appropriated, and delinquency computation rate.</t>
  </si>
  <si>
    <t>4. Changed foot note to reflect the changes made on 7/1/08 to the above tabs.</t>
  </si>
  <si>
    <t>9. Added 2b to explain how to delete delinquency rate from tax levy fund pages.</t>
  </si>
  <si>
    <t>10. Changed the Bond &amp; Interest tab (B&amp;I) to Debt Service tab (DebtService).</t>
  </si>
  <si>
    <t>11. Changed the revised date on all pages changed.</t>
  </si>
  <si>
    <t>The following were changed to this spreadsheet on 8/21/08</t>
  </si>
  <si>
    <t xml:space="preserve">Ad Valorem Tax </t>
  </si>
  <si>
    <t>The General fund has a detail page (gendetail) which can be used to disclose more insight of the expenditures by a department.  The expenditures categories can be changed or additional lines can be added if needed.  If used, ensure the amounts agree with the General fund page amounts.</t>
  </si>
  <si>
    <t>2b. If the city chooses not to use the delinquency rate for all tax levy funds, then the city must delete the rate from those funds. First step, go to the fund tab of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</si>
  <si>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The following were changed to this spreadsheet on 7/01/08</t>
  </si>
  <si>
    <t>1. Added instructions to 9f for the NonBudA to NonBudD tabs explaining about negative cash balance.</t>
  </si>
  <si>
    <t>2. Changed the formula for unencumbered cash balances for NonBudA to NonBudD to show a negative balance.</t>
  </si>
  <si>
    <t>3. Added box under unencumbered cash balance for NonBudA to NonBudD to reflect a negative ending cash balance.</t>
  </si>
  <si>
    <t xml:space="preserve">General Instructions </t>
  </si>
  <si>
    <t>Input sheet for City2.XLS budget form</t>
  </si>
  <si>
    <t>Fund Names:</t>
  </si>
  <si>
    <t>Statute</t>
  </si>
  <si>
    <t>General</t>
  </si>
  <si>
    <t>Fund name for all funds with a tax levy:</t>
  </si>
  <si>
    <t>Total</t>
  </si>
  <si>
    <t>Motor Vehicle Tax Estimate</t>
  </si>
  <si>
    <t>Recreational Vehicle Tax Estimate</t>
  </si>
  <si>
    <t>certify that: (1) the hearing mentioned in the attached publication was held;</t>
  </si>
  <si>
    <t>(2) after the Budget Hearing this budget was duly approved and adopted as the</t>
  </si>
  <si>
    <t xml:space="preserve"> </t>
  </si>
  <si>
    <t>County</t>
  </si>
  <si>
    <t>Page</t>
  </si>
  <si>
    <t>Clerk's</t>
  </si>
  <si>
    <t>Table of Contents:</t>
  </si>
  <si>
    <t>No.</t>
  </si>
  <si>
    <t>Use Only</t>
  </si>
  <si>
    <t>Statement of Indebtedness</t>
  </si>
  <si>
    <t>Statement of Lease-Purchases</t>
  </si>
  <si>
    <t>Fund</t>
  </si>
  <si>
    <t>K.S.A.</t>
  </si>
  <si>
    <t>Totals</t>
  </si>
  <si>
    <t>x</t>
  </si>
  <si>
    <t>Assisted by:</t>
  </si>
  <si>
    <t>Governing Body</t>
  </si>
  <si>
    <t>County Clerk</t>
  </si>
  <si>
    <t>Amount</t>
  </si>
  <si>
    <t>Computation of Delinquency</t>
  </si>
  <si>
    <t>TOTAL</t>
  </si>
  <si>
    <t>County Treas Motor Vehicle Estimate</t>
  </si>
  <si>
    <t>County Treasurers Recreational Vehicle Estimate</t>
  </si>
  <si>
    <t>Motor Vehicle Factor</t>
  </si>
  <si>
    <t>Recreational Vehicle Factor</t>
  </si>
  <si>
    <t>Adopted Budget</t>
  </si>
  <si>
    <t>Ad Valorem Tax</t>
  </si>
  <si>
    <t>Delinquent Tax</t>
  </si>
  <si>
    <t>Motor Vehicle Tax</t>
  </si>
  <si>
    <t>Recreational Vehicle Tax</t>
  </si>
  <si>
    <t>Local Alcoholic Liquor</t>
  </si>
  <si>
    <t>In Lieu of Taxes (IRB)</t>
  </si>
  <si>
    <t>Mineral Production Tax</t>
  </si>
  <si>
    <t>Interest on Idle Funds</t>
  </si>
  <si>
    <t>Total Receipts</t>
  </si>
  <si>
    <t>Resources Available:</t>
  </si>
  <si>
    <t xml:space="preserve">Page No. </t>
  </si>
  <si>
    <t>Expenditures:</t>
  </si>
  <si>
    <t xml:space="preserve">  Contractual</t>
  </si>
  <si>
    <t xml:space="preserve">  Commodities</t>
  </si>
  <si>
    <t xml:space="preserve">  Capital Outlay</t>
  </si>
  <si>
    <t>Total Expenditures</t>
  </si>
  <si>
    <t>Tax Required</t>
  </si>
  <si>
    <t>%</t>
  </si>
  <si>
    <t>Page No.</t>
  </si>
  <si>
    <t xml:space="preserve">  Salaries</t>
  </si>
  <si>
    <t xml:space="preserve">The governing body of </t>
  </si>
  <si>
    <t>Actual</t>
  </si>
  <si>
    <t xml:space="preserve">     FUND</t>
  </si>
  <si>
    <t xml:space="preserve"> Expenditures</t>
  </si>
  <si>
    <t>Tax Rate *</t>
  </si>
  <si>
    <t>Less: Transfers</t>
  </si>
  <si>
    <t>Net Expenditure</t>
  </si>
  <si>
    <t>Total Tax Levied</t>
  </si>
  <si>
    <t xml:space="preserve">Assessed </t>
  </si>
  <si>
    <t>Valuation</t>
  </si>
  <si>
    <t>Outstanding Indebtedness,</t>
  </si>
  <si>
    <t xml:space="preserve">  January 1,</t>
  </si>
  <si>
    <t>G.O. Bonds</t>
  </si>
  <si>
    <t>Revenue Bonds</t>
  </si>
  <si>
    <t xml:space="preserve">     Total</t>
  </si>
  <si>
    <t xml:space="preserve">  *Tax rates are expressed in mills</t>
  </si>
  <si>
    <t>Date</t>
  </si>
  <si>
    <t xml:space="preserve">   Amount Due</t>
  </si>
  <si>
    <t>of</t>
  </si>
  <si>
    <t>Rate</t>
  </si>
  <si>
    <t xml:space="preserve">  Date Due</t>
  </si>
  <si>
    <t>Issue</t>
  </si>
  <si>
    <t>Issued</t>
  </si>
  <si>
    <t>General Obligation:</t>
  </si>
  <si>
    <t>Total G.O. Bonds</t>
  </si>
  <si>
    <t>Revenue Bonds:</t>
  </si>
  <si>
    <t>Total Revenue Bonds</t>
  </si>
  <si>
    <t>Other:</t>
  </si>
  <si>
    <t>Total Indebtedness</t>
  </si>
  <si>
    <t>Term of</t>
  </si>
  <si>
    <t>Interest</t>
  </si>
  <si>
    <t>Other</t>
  </si>
  <si>
    <t>Principal</t>
  </si>
  <si>
    <t>Payments</t>
  </si>
  <si>
    <t xml:space="preserve">  Contract</t>
  </si>
  <si>
    <t>Contract</t>
  </si>
  <si>
    <t>Financed</t>
  </si>
  <si>
    <t>Due</t>
  </si>
  <si>
    <t>(Months)</t>
  </si>
  <si>
    <t>To print the spreadsheets, you can either print one sheet at a time or all of the sheets at once.</t>
  </si>
  <si>
    <t>Computer Spreadsheet Preparation</t>
  </si>
  <si>
    <t>CERTIFICATE</t>
  </si>
  <si>
    <t>STATEMENT OF CONDITIONAL LEASE-PURCHASE AND CERTIFICATE OF PARTICIPATION*</t>
  </si>
  <si>
    <t>NOTICE OF BUDGET HEARING</t>
  </si>
  <si>
    <t>BUDGET SUMMARY</t>
  </si>
  <si>
    <t>FUND PAGE - GENERAL</t>
  </si>
  <si>
    <t>FUND PAGE FOR FUNDS WITH A TAX LEVY</t>
  </si>
  <si>
    <t>FUND PAGE FOR FUNDS WITH NO TAX LEVY</t>
  </si>
  <si>
    <t>STATEMENT OF INDEBTEDNESS</t>
  </si>
  <si>
    <t>16/20M Veh</t>
  </si>
  <si>
    <t>MVT</t>
  </si>
  <si>
    <t>RVT</t>
  </si>
  <si>
    <t>County Treasurers 16/20M Vehicle Estimate</t>
  </si>
  <si>
    <t>16/20M Vehicle Factor</t>
  </si>
  <si>
    <t>Amount of Levy</t>
  </si>
  <si>
    <t xml:space="preserve"> 1.</t>
  </si>
  <si>
    <t>+</t>
  </si>
  <si>
    <t>$</t>
  </si>
  <si>
    <t xml:space="preserve"> 2.</t>
  </si>
  <si>
    <t>-</t>
  </si>
  <si>
    <t xml:space="preserve"> 4.</t>
  </si>
  <si>
    <t xml:space="preserve"> 5.</t>
  </si>
  <si>
    <t>5a.</t>
  </si>
  <si>
    <t>5b.</t>
  </si>
  <si>
    <t>5c.</t>
  </si>
  <si>
    <t>6.</t>
  </si>
  <si>
    <t>6a.</t>
  </si>
  <si>
    <t>6b.</t>
  </si>
  <si>
    <t>6c.</t>
  </si>
  <si>
    <t>6d.</t>
  </si>
  <si>
    <t>7.</t>
  </si>
  <si>
    <t>8.</t>
  </si>
  <si>
    <t>9.</t>
  </si>
  <si>
    <t>10.</t>
  </si>
  <si>
    <t>11.</t>
  </si>
  <si>
    <t>12.</t>
  </si>
  <si>
    <t>13.</t>
  </si>
  <si>
    <t>(Use Only if &gt; 0)</t>
  </si>
  <si>
    <t>16/20M Vehicle Tax</t>
  </si>
  <si>
    <t>Gross Earning (Intangible) Tax</t>
  </si>
  <si>
    <t>Special Highway</t>
  </si>
  <si>
    <t>State of Kansas Gas Tax</t>
  </si>
  <si>
    <t>Balance On</t>
  </si>
  <si>
    <t xml:space="preserve">  3.</t>
  </si>
  <si>
    <t xml:space="preserve">  Real Estate</t>
  </si>
  <si>
    <t xml:space="preserve">  State Assessed</t>
  </si>
  <si>
    <t xml:space="preserve">  New Improvements</t>
  </si>
  <si>
    <t>14.</t>
  </si>
  <si>
    <t>15.</t>
  </si>
  <si>
    <t>Unencumbered Cash Balance Jan 1</t>
  </si>
  <si>
    <t>Unencumbered Cash Balance Dec 31</t>
  </si>
  <si>
    <t>Receipts:</t>
  </si>
  <si>
    <t xml:space="preserve">Enter information  in all areas that are green if they apply to the budget you are preparing. </t>
  </si>
  <si>
    <t>12-101a</t>
  </si>
  <si>
    <t>Schedule of Transfers</t>
  </si>
  <si>
    <t>(Beginning Principal)</t>
  </si>
  <si>
    <t>Estimated Tax Rate is subject to change depending on the final assessed valuation.</t>
  </si>
  <si>
    <t>Lease Purchase Principal</t>
  </si>
  <si>
    <t>County Clerk's Use Only</t>
  </si>
  <si>
    <t>Current</t>
  </si>
  <si>
    <t>Proposed</t>
  </si>
  <si>
    <t>City 2 Spreadsheet Instructions</t>
  </si>
  <si>
    <t>Address:</t>
  </si>
  <si>
    <r>
      <t>1a. On line 2- 'Enter City Name' - In the green area, please start with "</t>
    </r>
    <r>
      <rPr>
        <b/>
        <sz val="12"/>
        <rFont val="Times New Roman"/>
        <family val="1"/>
      </rPr>
      <t>City of</t>
    </r>
    <r>
      <rPr>
        <sz val="12"/>
        <rFont val="Times New Roman"/>
        <family val="1"/>
      </rPr>
      <t xml:space="preserve">" then the name of the city. The green area will expand, so do not worry if the name would appear as not to fit the green area. </t>
    </r>
  </si>
  <si>
    <t>NON-BUDGETED FUNDS (A)</t>
  </si>
  <si>
    <t>(1) Fund Name:</t>
  </si>
  <si>
    <t>(2) Fund Name:</t>
  </si>
  <si>
    <t>(3) Fund Name:</t>
  </si>
  <si>
    <t>(4) Fund Name:</t>
  </si>
  <si>
    <t>(5) Fund Name:</t>
  </si>
  <si>
    <t xml:space="preserve">Unencumbered </t>
  </si>
  <si>
    <t>Cash Balance Dec 31</t>
  </si>
  <si>
    <t>Territory Added: (Current Year Only)</t>
  </si>
  <si>
    <t>Neighborhood Revitalization</t>
  </si>
  <si>
    <t>16\20 M Vehicle Tax</t>
  </si>
  <si>
    <t>LAVTR</t>
  </si>
  <si>
    <t>City and County Revenue Sharing</t>
  </si>
  <si>
    <t xml:space="preserve">   </t>
  </si>
  <si>
    <t>Enter year being budgeted (YYYY)</t>
  </si>
  <si>
    <t>10-113</t>
  </si>
  <si>
    <t xml:space="preserve">  G.O. Bonds</t>
  </si>
  <si>
    <t xml:space="preserve">  Revenue Bonds</t>
  </si>
  <si>
    <t xml:space="preserve">  Other</t>
  </si>
  <si>
    <t xml:space="preserve">  Lease Purchase Principal</t>
  </si>
  <si>
    <t>Other (non-tax levy) fund names:</t>
  </si>
  <si>
    <t xml:space="preserve">City Official Title: </t>
  </si>
  <si>
    <t>County Transfers Gas</t>
  </si>
  <si>
    <t>Ad Valorem</t>
  </si>
  <si>
    <t>Tax</t>
  </si>
  <si>
    <t>Beginning Amount</t>
  </si>
  <si>
    <t xml:space="preserve">of </t>
  </si>
  <si>
    <t>Outstanding</t>
  </si>
  <si>
    <t>Retirement</t>
  </si>
  <si>
    <t xml:space="preserve">Total Other </t>
  </si>
  <si>
    <t>Transfers</t>
  </si>
  <si>
    <t>Amount for</t>
  </si>
  <si>
    <t>Authorized by</t>
  </si>
  <si>
    <t>From:</t>
  </si>
  <si>
    <t>To:</t>
  </si>
  <si>
    <t xml:space="preserve"> Statute</t>
  </si>
  <si>
    <t>Adjustments</t>
  </si>
  <si>
    <t>Adjusted Totals</t>
  </si>
  <si>
    <t>Budgeted Fund</t>
  </si>
  <si>
    <t>Non-Budgeted Funds-A</t>
  </si>
  <si>
    <t>Estimate</t>
  </si>
  <si>
    <t>Single Non Tax Levy:</t>
  </si>
  <si>
    <t>Non-Budgeted (A):</t>
  </si>
  <si>
    <t>Non-Budgeted (B):</t>
  </si>
  <si>
    <t>Non-Budgeted (C):</t>
  </si>
  <si>
    <t>Non-Budgeted (D):</t>
  </si>
  <si>
    <t>The following were changed to this spreadsheet on 8/06/2007</t>
  </si>
  <si>
    <t>2. All pages have a revision date.</t>
  </si>
  <si>
    <t xml:space="preserve">3. Hard coded the Bond &amp; Interest on Certificate and Summary pages. </t>
  </si>
  <si>
    <t>5. Computation to Determine Limit now has the debts amounts link within the spreadsheet.</t>
  </si>
  <si>
    <t>6. Schedule of Transfers have the transfers totaled and link to the budget summary page.</t>
  </si>
  <si>
    <t>8. Now can key in the official title on the budget summary page.</t>
  </si>
  <si>
    <t xml:space="preserve">9. Now have the indebtedness prior year added to the input page and link with the budget summary page. </t>
  </si>
  <si>
    <t>10. Added three input spaces for League's highway estimates and link to Special Highway page. Included a note about usage to County Road System.</t>
  </si>
  <si>
    <t>12. Changed the Budget Summary Heading to include Actual/Estimate/Proposed with the budget year.</t>
  </si>
  <si>
    <t>13. Changed the delinquency rate formula for all levy funds.</t>
  </si>
  <si>
    <t>15. Using the actual ad valorem rates from the Clerk's information versus from the Certificate page.</t>
  </si>
  <si>
    <t>When the page numbers are entered/changed on the fund pages, the Certificate page will also be changed.</t>
  </si>
  <si>
    <t xml:space="preserve">The worksheets are named (see the tab) in each budget workbook.  We will identify the worksheet by referencing the tab in parentheses (i.e. General Fund reference would be (general). </t>
  </si>
  <si>
    <t>All dollar amounts should be rounded to whole dollars (do not record cents).</t>
  </si>
  <si>
    <t>The blue areas indicated where the information comes from to complete the section input.</t>
  </si>
  <si>
    <t>1b.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</si>
  <si>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</si>
  <si>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r>
      <t>***</t>
    </r>
    <r>
      <rPr>
        <b/>
        <u/>
        <sz val="12"/>
        <rFont val="Times New Roman"/>
        <family val="1"/>
      </rPr>
      <t>Note</t>
    </r>
    <r>
      <rPr>
        <sz val="12"/>
        <rFont val="Times New Roman"/>
        <family val="1"/>
      </rPr>
      <t xml:space="preserve">:  Only used when a portion of the County monies are distributed to the Cities under the provisions of                                              </t>
    </r>
  </si>
  <si>
    <t xml:space="preserve">        K.S.A. 79-3425c</t>
  </si>
  <si>
    <t>18. Add total section for Schedule of Transfers and linked the total to the Budget Summary page.</t>
  </si>
  <si>
    <t>19. Added column to show when debt retired on the Indebtedness page.</t>
  </si>
  <si>
    <t>20. Special Highway page added line for County Transfer Gas and linked adjustment for prior and county transfer gas from the input page (inputoth).</t>
  </si>
  <si>
    <t>Note:  All amounts are to be entered in as whole numbers only.</t>
  </si>
  <si>
    <t xml:space="preserve">The input for the following comes directly from </t>
  </si>
  <si>
    <t>Budget Summary</t>
  </si>
  <si>
    <t>**</t>
  </si>
  <si>
    <t>**Note: These two block figures should agree.</t>
  </si>
  <si>
    <t>14. Added to instruction line 9c about the miscellaneous receipt for the proposed year takes into account the ad valorem taxes for the 10% Rule.</t>
  </si>
  <si>
    <t>13. Added instruction lines 9j to 9l for additional edits for budget authority.</t>
  </si>
  <si>
    <t>12. Changed instruction line 9a to reflect General Fund Detail (GenDetail) is linked to the General Fund (general) and that detail 'Page Total' amounts should agree to 'Sub-Total' on the General Fund page.</t>
  </si>
  <si>
    <t>7a. Added instruction line 4a to explain about no-fund warrants and temporary notes can be added to the debt service on the Computation to Determine Levy Limit.</t>
  </si>
  <si>
    <t>7b. Added instruction line 9d to explain more about the debt service fund page can included for debts.</t>
  </si>
  <si>
    <t>15. Added to instruction line 6 for using chartered ordinance number in place of statute reference.</t>
  </si>
  <si>
    <t>1. instruction were changed: POC change from Roger to armunis, got rid about us providing disk, took the input page and split to input prior budget information and input other, with more in-depth of forms and fund page, and more in-depth on the budget summary page.</t>
  </si>
  <si>
    <t xml:space="preserve">4.  All dates on the spreadsheet are controlled from input on the input Prior Year page. </t>
  </si>
  <si>
    <t>14. Changed the Certificate page so the county name flows instead of having unneeded spaces.</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</si>
  <si>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</si>
  <si>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</si>
  <si>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</si>
  <si>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56 change from Budget Summary to Budget Certificate.</t>
  </si>
  <si>
    <t>1. Certificate page Bond &amp; Interest to Debt Service</t>
  </si>
  <si>
    <t>1. Mvalloc tab, change table reference for each cell from 'D' to 'E'</t>
  </si>
  <si>
    <t>Valuation Factor:</t>
  </si>
  <si>
    <t>Neighborhood Revitalization Subj to Rebate:</t>
  </si>
  <si>
    <t>Neighborhood Revitalization factor:</t>
  </si>
  <si>
    <t>Non-Budgeted Funds - Cities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</si>
  <si>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</si>
  <si>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12-1,117.</t>
    </r>
    <r>
      <rPr>
        <sz val="12"/>
        <color indexed="8"/>
        <rFont val="Times New Roman"/>
        <family val="1"/>
      </rPr>
      <t xml:space="preserve">  E</t>
    </r>
    <r>
      <rPr>
        <b/>
        <sz val="12"/>
        <color indexed="8"/>
        <rFont val="Times New Roman"/>
        <family val="1"/>
      </rPr>
      <t>quipment reserve fund.</t>
    </r>
    <r>
      <rPr>
        <sz val="12"/>
        <color indexed="8"/>
        <rFont val="Times New Roman"/>
        <family val="1"/>
      </rPr>
      <t xml:space="preserve">  Cities may create  an equipment reserve fund to finance the acquisition of equipment.</t>
    </r>
  </si>
  <si>
    <r>
      <t xml:space="preserve">K.S.A. </t>
    </r>
    <r>
      <rPr>
        <b/>
        <sz val="12"/>
        <color indexed="8"/>
        <rFont val="Times New Roman"/>
        <family val="1"/>
      </rPr>
      <t>12-1,118.</t>
    </r>
    <r>
      <rPr>
        <sz val="12"/>
        <color indexed="8"/>
        <rFont val="Times New Roman"/>
        <family val="1"/>
      </rPr>
      <t xml:space="preserve">  </t>
    </r>
    <r>
      <rPr>
        <b/>
        <sz val="12"/>
        <color indexed="8"/>
        <rFont val="Times New Roman"/>
        <family val="1"/>
      </rPr>
      <t>Capital improvement fund.</t>
    </r>
    <r>
      <rPr>
        <sz val="12"/>
        <color indexed="8"/>
        <rFont val="Times New Roman"/>
        <family val="1"/>
      </rPr>
      <t xml:space="preserve">  Cities with an approved a multi-year capital improvement plan may establish a capital improvements fund.</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</si>
  <si>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</si>
  <si>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12-6a13.  Special improvement funds.</t>
    </r>
    <r>
      <rPr>
        <sz val="12"/>
        <color indexed="8"/>
        <rFont val="Times New Roman"/>
        <family val="1"/>
      </rPr>
      <t xml:space="preserve">  Authorizes the creation of a special improvement fund to pay a portion of the debt service on bonds issued, planning costs, and the initial cost of improvements until temporary notes or bonds have been issued and sold.</t>
    </r>
  </si>
  <si>
    <r>
      <t xml:space="preserve">K.S.A. </t>
    </r>
    <r>
      <rPr>
        <b/>
        <sz val="12"/>
        <color indexed="8"/>
        <rFont val="Times New Roman"/>
        <family val="1"/>
      </rPr>
      <t>12-6a16.</t>
    </r>
    <r>
      <rPr>
        <sz val="12"/>
        <color indexed="8"/>
        <rFont val="Times New Roman"/>
        <family val="1"/>
      </rPr>
      <t xml:space="preserve">  </t>
    </r>
    <r>
      <rPr>
        <b/>
        <sz val="12"/>
        <color indexed="8"/>
        <rFont val="Times New Roman"/>
        <family val="1"/>
      </rPr>
      <t>Separate special improvement funds.</t>
    </r>
    <r>
      <rPr>
        <sz val="12"/>
        <color indexed="8"/>
        <rFont val="Times New Roman"/>
        <family val="1"/>
      </rPr>
      <t xml:space="preserve">  Provides that separate, suitably named special improvement funds are to be created for each improvement project or combination of improvement projects.</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</si>
  <si>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</si>
  <si>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12-1674.</t>
    </r>
    <r>
      <rPr>
        <sz val="12"/>
        <color indexed="8"/>
        <rFont val="Times New Roman"/>
        <family val="1"/>
      </rPr>
      <t xml:space="preserve">  </t>
    </r>
    <r>
      <rPr>
        <b/>
        <sz val="12"/>
        <color indexed="8"/>
        <rFont val="Times New Roman"/>
        <family val="1"/>
      </rPr>
      <t>Special services fund.</t>
    </r>
    <r>
      <rPr>
        <sz val="12"/>
        <color indexed="8"/>
        <rFont val="Times New Roman"/>
        <family val="1"/>
      </rPr>
      <t xml:space="preserve">  Cities located in counties designated as urban areas may create a special services fund to be used to pay the initial costs of improvements and for work performed as a result of failure of persons to perform duties prescribed by law or ordinance.</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</si>
  <si>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</si>
  <si>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</si>
  <si>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 xml:space="preserve">12-2615.  Risk management reserve fund. </t>
    </r>
    <r>
      <rPr>
        <sz val="12"/>
        <color indexed="8"/>
        <rFont val="Times New Roman"/>
        <family val="1"/>
      </rPr>
      <t xml:space="preserve"> The governing body of any city or county may pay costs relating to any uninsured loss from a risk management reserve fund.</t>
    </r>
  </si>
  <si>
    <r>
      <t xml:space="preserve">K.S.A. </t>
    </r>
    <r>
      <rPr>
        <b/>
        <sz val="12"/>
        <color indexed="8"/>
        <rFont val="Times New Roman"/>
        <family val="1"/>
      </rPr>
      <t>13-10,140.</t>
    </r>
    <r>
      <rPr>
        <sz val="12"/>
        <color indexed="8"/>
        <rFont val="Times New Roman"/>
        <family val="1"/>
      </rPr>
      <t xml:space="preserve">  </t>
    </r>
    <r>
      <rPr>
        <b/>
        <sz val="12"/>
        <color indexed="8"/>
        <rFont val="Times New Roman"/>
        <family val="1"/>
      </rPr>
      <t>Special improvement fund (commission form of government; population more than 150,000 and less than 200,000).</t>
    </r>
    <r>
      <rPr>
        <sz val="12"/>
        <color indexed="8"/>
        <rFont val="Times New Roman"/>
        <family val="1"/>
      </rPr>
      <t xml:space="preserve">  Authorizes certain cities operating under the commission form of government to a special improvement fund to pay the preliminary cost of any improvement to be financed by special assessments or general obligation bonds.</t>
    </r>
  </si>
  <si>
    <r>
      <t xml:space="preserve">K.S.A. </t>
    </r>
    <r>
      <rPr>
        <b/>
        <sz val="12"/>
        <color indexed="8"/>
        <rFont val="Times New Roman"/>
        <family val="1"/>
      </rPr>
      <t>13-14b12.</t>
    </r>
    <r>
      <rPr>
        <sz val="12"/>
        <color indexed="8"/>
        <rFont val="Times New Roman"/>
        <family val="1"/>
      </rPr>
      <t xml:space="preserve">  </t>
    </r>
    <r>
      <rPr>
        <b/>
        <sz val="12"/>
        <color indexed="8"/>
        <rFont val="Times New Roman"/>
        <family val="1"/>
      </rPr>
      <t>Hospital special improvement fund.</t>
    </r>
    <r>
      <rPr>
        <sz val="12"/>
        <color indexed="8"/>
        <rFont val="Times New Roman"/>
        <family val="1"/>
      </rPr>
      <t xml:space="preserve">  Provides for creation of a special improvement fund for the purpose of equipping, operating, maintaining and improving such hospital and to pay a portion of the debt service on bonds.</t>
    </r>
  </si>
  <si>
    <r>
      <t xml:space="preserve">K.S.A. </t>
    </r>
    <r>
      <rPr>
        <b/>
        <sz val="12"/>
        <color indexed="8"/>
        <rFont val="Times New Roman"/>
        <family val="1"/>
      </rPr>
      <t>14-2004.</t>
    </r>
    <r>
      <rPr>
        <sz val="12"/>
        <color indexed="8"/>
        <rFont val="Times New Roman"/>
        <family val="1"/>
      </rPr>
      <t xml:space="preserve">  P</t>
    </r>
    <r>
      <rPr>
        <b/>
        <sz val="12"/>
        <color indexed="8"/>
        <rFont val="Times New Roman"/>
        <family val="1"/>
      </rPr>
      <t>ark land acquisition fund (commission-manager cities).</t>
    </r>
    <r>
      <rPr>
        <sz val="12"/>
        <color indexed="8"/>
        <rFont val="Times New Roman"/>
        <family val="1"/>
      </rPr>
      <t xml:space="preserve">  Authorizes certain cities operating under the commission-manager form of government to establish a park land acquisition fund.</t>
    </r>
  </si>
  <si>
    <r>
      <t xml:space="preserve">K.S.A. </t>
    </r>
    <r>
      <rPr>
        <b/>
        <sz val="12"/>
        <color indexed="8"/>
        <rFont val="Times New Roman"/>
        <family val="1"/>
      </rPr>
      <t>44-505f.</t>
    </r>
    <r>
      <rPr>
        <sz val="12"/>
        <color indexed="8"/>
        <rFont val="Times New Roman"/>
        <family val="1"/>
      </rPr>
      <t xml:space="preserve">  </t>
    </r>
    <r>
      <rPr>
        <b/>
        <sz val="12"/>
        <color indexed="8"/>
        <rFont val="Times New Roman"/>
        <family val="1"/>
      </rPr>
      <t>Workers’ compensation reserve fund.</t>
    </r>
    <r>
      <rPr>
        <sz val="12"/>
        <color indexed="8"/>
        <rFont val="Times New Roman"/>
        <family val="1"/>
      </rPr>
      <t xml:space="preserve">  Provides for the creation of a reserve fund for the payment of workmen's compensation claims, judgments, and expenses.</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</si>
  <si>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</si>
  <si>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68-590.</t>
    </r>
    <r>
      <rPr>
        <sz val="12"/>
        <color indexed="8"/>
        <rFont val="Times New Roman"/>
        <family val="1"/>
      </rPr>
      <t xml:space="preserve">   </t>
    </r>
    <r>
      <rPr>
        <b/>
        <sz val="12"/>
        <color indexed="8"/>
        <rFont val="Times New Roman"/>
        <family val="1"/>
      </rPr>
      <t>Special highway improvement fund.</t>
    </r>
    <r>
      <rPr>
        <sz val="12"/>
        <color indexed="8"/>
        <rFont val="Times New Roman"/>
        <family val="1"/>
      </rPr>
      <t xml:space="preserve">  Cities and counties may create a special highway improvement fund and transfer to it annually up to 25% of the fund for roads, bridges, highways, or streets.</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</si>
  <si>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</si>
  <si>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</si>
  <si>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79-1950b.</t>
    </r>
    <r>
      <rPr>
        <sz val="12"/>
        <color indexed="8"/>
        <rFont val="Times New Roman"/>
        <family val="1"/>
      </rPr>
      <t xml:space="preserve">  </t>
    </r>
    <r>
      <rPr>
        <b/>
        <sz val="12"/>
        <color indexed="8"/>
        <rFont val="Times New Roman"/>
        <family val="1"/>
      </rPr>
      <t>Special improvement fund (cities of more than 200,000).</t>
    </r>
    <r>
      <rPr>
        <sz val="12"/>
        <color indexed="8"/>
        <rFont val="Times New Roman"/>
        <family val="1"/>
      </rPr>
      <t xml:space="preserve">  Certain cities of the first class are authorized to create a special improvement fund from which preliminary costs associated with such improvements may be paid.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</si>
  <si>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Cities may create non-budgeted funds for any gifts or bequests, a revolving fund for the operation of a municipal airport, and for repair, replacement, or addition to recreation facilities.</t>
    </r>
  </si>
  <si>
    <t>Transfers - Cities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</si>
  <si>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</si>
  <si>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 xml:space="preserve">12-110d.  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</si>
  <si>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K.S.A. 12-1,117</t>
    </r>
    <r>
      <rPr>
        <sz val="12"/>
        <rFont val="Times New Roman"/>
        <family val="1"/>
      </rPr>
      <t>.</t>
    </r>
    <r>
      <rPr>
        <b/>
        <sz val="12"/>
        <rFont val="Times New Roman"/>
        <family val="1"/>
      </rPr>
      <t xml:space="preserve">  Transfer to equipment reserve fund.</t>
    </r>
    <r>
      <rPr>
        <sz val="12"/>
        <rFont val="Times New Roman"/>
        <family val="1"/>
      </rPr>
      <t xml:space="preserve">  T</t>
    </r>
    <r>
      <rPr>
        <sz val="12"/>
        <color indexed="8"/>
        <rFont val="Times New Roman"/>
        <family val="1"/>
      </rPr>
      <t xml:space="preserve">o finance new and replacement equipment moneys may be budgeted and transferred to an equipment reserve fund from any source which may be lawfully utilized for such purposes. </t>
    </r>
  </si>
  <si>
    <r>
      <t>K.S.A. 12-1,118</t>
    </r>
    <r>
      <rPr>
        <sz val="12"/>
        <rFont val="Times New Roman"/>
        <family val="1"/>
      </rPr>
      <t>.</t>
    </r>
    <r>
      <rPr>
        <b/>
        <sz val="12"/>
        <rFont val="Times New Roman"/>
        <family val="1"/>
      </rPr>
      <t xml:space="preserve">  Transfer to capital improvements fund.</t>
    </r>
    <r>
      <rPr>
        <sz val="12"/>
        <rFont val="Times New Roman"/>
        <family val="1"/>
      </rPr>
      <t xml:space="preserve">  Authorizes transfers </t>
    </r>
    <r>
      <rPr>
        <sz val="12"/>
        <color indexed="8"/>
        <rFont val="Times New Roman"/>
        <family val="1"/>
      </rPr>
      <t>to the capital improvements fund</t>
    </r>
    <r>
      <rPr>
        <sz val="12"/>
        <rFont val="Times New Roman"/>
        <family val="1"/>
      </rPr>
      <t xml:space="preserve"> from the general fund and </t>
    </r>
    <r>
      <rPr>
        <sz val="12"/>
        <color indexed="8"/>
        <rFont val="Times New Roman"/>
        <family val="1"/>
      </rPr>
      <t>from other city funds lawfully available for improvement purposes.</t>
    </r>
  </si>
  <si>
    <r>
      <t>K.S.A. 12-1,119</t>
    </r>
    <r>
      <rPr>
        <sz val="12"/>
        <rFont val="Times New Roman"/>
        <family val="1"/>
      </rPr>
      <t>.</t>
    </r>
    <r>
      <rPr>
        <b/>
        <sz val="12"/>
        <rFont val="Times New Roman"/>
        <family val="1"/>
      </rPr>
      <t xml:space="preserve">  Transfer to street and highway fund.</t>
    </r>
    <r>
      <rPr>
        <sz val="12"/>
        <rFont val="Times New Roman"/>
        <family val="1"/>
      </rPr>
      <t xml:space="preserve">  M</t>
    </r>
    <r>
      <rPr>
        <sz val="12"/>
        <color indexed="8"/>
        <rFont val="Times New Roman"/>
        <family val="1"/>
      </rPr>
      <t>oneys in the general or other operating funds of the city budgeted for street and highway purposes may be transferred of to the consolidated street and highway fund.</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</si>
  <si>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</si>
  <si>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</si>
  <si>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1"/>
        <color indexed="8"/>
        <rFont val="Times New Roman"/>
        <family val="1"/>
      </rPr>
      <t>12-6a16.</t>
    </r>
    <r>
      <rPr>
        <sz val="11"/>
        <color indexed="8"/>
        <rFont val="Times New Roman"/>
        <family val="1"/>
      </rPr>
      <t xml:space="preserve">  </t>
    </r>
    <r>
      <rPr>
        <b/>
        <sz val="11"/>
        <color indexed="8"/>
        <rFont val="Times New Roman"/>
        <family val="1"/>
      </rPr>
      <t>Transfer from fund for special improvements.</t>
    </r>
    <r>
      <rPr>
        <sz val="11"/>
        <color indexed="8"/>
        <rFont val="Times New Roman"/>
        <family val="1"/>
      </rPr>
      <t xml:space="preserve">  Authorizes a separate fund for each improvement or combination of improvements to be credited with the proceeds from sale of bonds and temporary notes and any other moneys appropriated thereto, and upon completion of the improvement the balance, if any, shall be transferred and credited to the city bond and interest fund.</t>
    </r>
  </si>
  <si>
    <r>
      <t>K.S.A. 12-825d</t>
    </r>
    <r>
      <rPr>
        <sz val="12"/>
        <rFont val="Times New Roman"/>
        <family val="1"/>
      </rPr>
      <t>.</t>
    </r>
    <r>
      <rPr>
        <b/>
        <sz val="12"/>
        <rFont val="Times New Roman"/>
        <family val="1"/>
      </rPr>
      <t xml:space="preserve">  Transfer from utility fund.</t>
    </r>
    <r>
      <rPr>
        <sz val="12"/>
        <rFont val="Times New Roman"/>
        <family val="1"/>
      </rPr>
      <t xml:space="preserve">  Surplus </t>
    </r>
    <r>
      <rPr>
        <sz val="12"/>
        <color indexed="8"/>
        <rFont val="Times New Roman"/>
        <family val="1"/>
      </rPr>
      <t>revenue derived from a utility may be transferred to the general fund or any other fund or such surplus, in whole or in part, may be set aside in a depreciation reserve fund of the utility.</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</si>
  <si>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</si>
  <si>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12-2615</t>
    </r>
    <r>
      <rPr>
        <sz val="12"/>
        <color indexed="8"/>
        <rFont val="Times New Roman"/>
        <family val="1"/>
      </rPr>
      <t>.</t>
    </r>
    <r>
      <rPr>
        <b/>
        <sz val="12"/>
        <color indexed="8"/>
        <rFont val="Times New Roman"/>
        <family val="1"/>
      </rPr>
      <t xml:space="preserve">  Transfer to risk management reserve fund.</t>
    </r>
    <r>
      <rPr>
        <sz val="12"/>
        <color indexed="8"/>
        <rFont val="Times New Roman"/>
        <family val="1"/>
      </rPr>
      <t xml:space="preserve">  To cover costs relating to any uninsured loss moneys may be paid into a risk management reserve fund or special reserve fund from any source which may be utilized for such purposes, including transfers from the general fund, in reasonable proportion to the estimated cost of self insuring the risk losses covered by such funds. </t>
    </r>
  </si>
  <si>
    <r>
      <t xml:space="preserve">K.S.A. </t>
    </r>
    <r>
      <rPr>
        <b/>
        <sz val="12"/>
        <color indexed="8"/>
        <rFont val="Times New Roman"/>
        <family val="1"/>
      </rPr>
      <t>14-2004</t>
    </r>
    <r>
      <rPr>
        <sz val="12"/>
        <color indexed="8"/>
        <rFont val="Times New Roman"/>
        <family val="1"/>
      </rPr>
      <t>.</t>
    </r>
    <r>
      <rPr>
        <b/>
        <sz val="12"/>
        <color indexed="8"/>
        <rFont val="Times New Roman"/>
        <family val="1"/>
      </rPr>
      <t xml:space="preserve">  Transfer by certain cities to a park land acquisition fund.</t>
    </r>
    <r>
      <rPr>
        <sz val="12"/>
        <color indexed="8"/>
        <rFont val="Times New Roman"/>
        <family val="1"/>
      </rPr>
      <t xml:space="preserve">  Authorizes second class cities with the commission-manager form of government to establish a park land acquisition fund and to transfer up to $5,000 a year from its general fund to such fund to acquire land for park purposes.  Not more than $25,000 shall be accumulated in said fund at any time.</t>
    </r>
  </si>
  <si>
    <r>
      <t xml:space="preserve">K.S.A. </t>
    </r>
    <r>
      <rPr>
        <b/>
        <sz val="12"/>
        <color indexed="8"/>
        <rFont val="Times New Roman"/>
        <family val="1"/>
      </rPr>
      <t>44-505f</t>
    </r>
    <r>
      <rPr>
        <sz val="12"/>
        <color indexed="8"/>
        <rFont val="Times New Roman"/>
        <family val="1"/>
      </rPr>
      <t>.</t>
    </r>
    <r>
      <rPr>
        <b/>
        <sz val="12"/>
        <color indexed="8"/>
        <rFont val="Times New Roman"/>
        <family val="1"/>
      </rPr>
      <t xml:space="preserve">  Transfer to worker’s compensation reserve fund.</t>
    </r>
    <r>
      <rPr>
        <sz val="12"/>
        <color indexed="8"/>
        <rFont val="Times New Roman"/>
        <family val="1"/>
      </rPr>
      <t xml:space="preserve">  Where a city chooses to act as a self-insurer under the worker's compensation act it is authorized to make transfers to a worker’s compensation reserve fund from any other funds in reasonable proportion to the estimated cost of providing benefits to employees compensated from such funds.</t>
    </r>
  </si>
  <si>
    <r>
      <t>K.S.A. 68-141g</t>
    </r>
    <r>
      <rPr>
        <sz val="12"/>
        <color indexed="8"/>
        <rFont val="Times New Roman"/>
        <family val="1"/>
      </rPr>
      <t xml:space="preserve">.  </t>
    </r>
    <r>
      <rPr>
        <b/>
        <sz val="12"/>
        <color indexed="8"/>
        <rFont val="Times New Roman"/>
        <family val="1"/>
      </rPr>
      <t>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</si>
  <si>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68-590.</t>
    </r>
    <r>
      <rPr>
        <sz val="12"/>
        <rFont val="Times New Roman"/>
        <family val="1"/>
      </rPr>
      <t xml:space="preserve"> </t>
    </r>
    <r>
      <rPr>
        <sz val="12"/>
        <color indexed="8"/>
        <rFont val="Times New Roman"/>
        <family val="1"/>
      </rPr>
      <t xml:space="preserve"> </t>
    </r>
    <r>
      <rPr>
        <b/>
        <sz val="12"/>
        <color indexed="8"/>
        <rFont val="Times New Roman"/>
        <family val="1"/>
      </rPr>
      <t>Transfer to special highway improvement fund.</t>
    </r>
    <r>
      <rPr>
        <sz val="12"/>
        <color indexed="8"/>
        <rFont val="Times New Roman"/>
        <family val="1"/>
      </rPr>
      <t xml:space="preserve">  Authorizes the transfer each year from the fund or division thereof budgeted for roads, bridges, highways or streets an amount not to exceed 25% of such fund to a special highway improvement fund.</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</si>
  <si>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</si>
  <si>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t>forms in the appropriate locations. If any of the numbers are wrong, change them on this input sheet.</t>
  </si>
  <si>
    <t>Enter the following information from the sources shown.  This information will be entered on the budget</t>
  </si>
  <si>
    <r>
      <rPr>
        <sz val="12"/>
        <color indexed="10"/>
        <rFont val="Times New Roman"/>
        <family val="1"/>
      </rPr>
      <t>*</t>
    </r>
    <r>
      <rPr>
        <sz val="12"/>
        <rFont val="Times New Roman"/>
        <family val="1"/>
      </rPr>
      <t>Expenditures</t>
    </r>
    <r>
      <rPr>
        <sz val="12"/>
        <color indexed="10"/>
        <rFont val="Times New Roman"/>
        <family val="1"/>
      </rPr>
      <t>*</t>
    </r>
  </si>
  <si>
    <r>
      <rPr>
        <b/>
        <sz val="12"/>
        <color indexed="10"/>
        <rFont val="Times New Roman"/>
        <family val="1"/>
      </rPr>
      <t>*</t>
    </r>
    <r>
      <rPr>
        <b/>
        <sz val="12"/>
        <rFont val="Times New Roman"/>
        <family val="1"/>
      </rPr>
      <t>If amended, then use the amended figures.</t>
    </r>
    <r>
      <rPr>
        <b/>
        <sz val="12"/>
        <color indexed="10"/>
        <rFont val="Times New Roman"/>
        <family val="1"/>
      </rPr>
      <t>*</t>
    </r>
  </si>
  <si>
    <t>Page 1 - Total</t>
  </si>
  <si>
    <t>Page 1 -Total</t>
  </si>
  <si>
    <t>Page 2 -Total</t>
  </si>
  <si>
    <t xml:space="preserve">Grand Total </t>
  </si>
  <si>
    <t xml:space="preserve">           General Fund - Detail Page 1</t>
  </si>
  <si>
    <t xml:space="preserve">           General Fund - Detail Page 2</t>
  </si>
  <si>
    <t>1. Cert tab line 14, added 'If amended….'</t>
  </si>
  <si>
    <t>2. Created TransferStatute tab</t>
  </si>
  <si>
    <t>3. Created NonBudFunds tab</t>
  </si>
  <si>
    <t xml:space="preserve">4. Instructions tab added 6b for the TransferStatute tab
</t>
  </si>
  <si>
    <t>5. Added 'See Tab A-E' for violations</t>
  </si>
  <si>
    <t xml:space="preserve">6. Changed each fund page removing 'Yes' and 'No' replacing with 'See Tab' for possible violation </t>
  </si>
  <si>
    <t>7. Nonbud tab changed Net Violation to July 1</t>
  </si>
  <si>
    <t>8. Instruction tab changed 9i to k for 'See Tab'</t>
  </si>
  <si>
    <t>9. InputOth tab changed line A21 from Bond &amp; Interest to Debt Service</t>
  </si>
  <si>
    <t>10. Gen tab added eight additional detail lines and linked to the detail page</t>
  </si>
  <si>
    <t>11.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</si>
  <si>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</si>
  <si>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</si>
  <si>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</si>
  <si>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</si>
  <si>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</si>
  <si>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</si>
  <si>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</si>
  <si>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</si>
  <si>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City Hall</t>
  </si>
  <si>
    <t>1. Instruction tab, added step 3 for 'inputBudSum'</t>
  </si>
  <si>
    <t>2. Added tab 'inputBudSum'</t>
  </si>
  <si>
    <t>3. Changed Budget Summary replacing the green areas for date/time/location so info comes from inputBudSum tab</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</si>
  <si>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</si>
  <si>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</si>
  <si>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</si>
  <si>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</si>
  <si>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</si>
  <si>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</si>
  <si>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</si>
  <si>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</si>
  <si>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</si>
  <si>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</si>
  <si>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</si>
  <si>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</si>
  <si>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</si>
  <si>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</si>
  <si>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</si>
  <si>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</si>
  <si>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</si>
  <si>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</si>
  <si>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</si>
  <si>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</si>
  <si>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electric</t>
  </si>
  <si>
    <t>and water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</si>
  <si>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</si>
  <si>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</si>
  <si>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</si>
  <si>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</si>
  <si>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</si>
  <si>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</si>
  <si>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</si>
  <si>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</si>
  <si>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</si>
  <si>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</si>
  <si>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</si>
  <si>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</si>
  <si>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</si>
  <si>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</si>
  <si>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</si>
  <si>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</si>
  <si>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</si>
  <si>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</si>
  <si>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</si>
  <si>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</si>
  <si>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</si>
  <si>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</si>
  <si>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</si>
  <si>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</si>
  <si>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</si>
  <si>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</si>
  <si>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</si>
  <si>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</si>
  <si>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</si>
  <si>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</si>
  <si>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</si>
  <si>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</si>
  <si>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</si>
  <si>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</si>
  <si>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</si>
  <si>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</si>
  <si>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</si>
  <si>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</si>
  <si>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</si>
  <si>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</si>
  <si>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</si>
  <si>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</si>
  <si>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</si>
  <si>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</si>
  <si>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</si>
  <si>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</si>
  <si>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</si>
  <si>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</si>
  <si>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</si>
  <si>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</si>
  <si>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</si>
  <si>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</si>
  <si>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</si>
  <si>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</si>
  <si>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</si>
  <si>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</si>
  <si>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</si>
  <si>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</si>
  <si>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</si>
  <si>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</si>
  <si>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</si>
  <si>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</si>
  <si>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</si>
  <si>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</si>
  <si>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</si>
  <si>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</si>
  <si>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</si>
  <si>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</si>
  <si>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</si>
  <si>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</si>
  <si>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</si>
  <si>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</si>
  <si>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</si>
  <si>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</si>
  <si>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</si>
  <si>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</si>
  <si>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</si>
  <si>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</si>
  <si>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</si>
  <si>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</si>
  <si>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</si>
  <si>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</si>
  <si>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</si>
  <si>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</si>
  <si>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</si>
  <si>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</si>
  <si>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</si>
  <si>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</si>
  <si>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</si>
  <si>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</si>
  <si>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</si>
  <si>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</si>
  <si>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</si>
  <si>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</si>
  <si>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</si>
  <si>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</si>
  <si>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</si>
  <si>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</si>
  <si>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</si>
  <si>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</si>
  <si>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</si>
  <si>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</si>
  <si>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</si>
  <si>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</si>
  <si>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</si>
  <si>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</si>
  <si>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</si>
  <si>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</si>
  <si>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</si>
  <si>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</si>
  <si>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</si>
  <si>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</si>
  <si>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</si>
  <si>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</si>
  <si>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</si>
  <si>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</si>
  <si>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</si>
  <si>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</si>
  <si>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</si>
  <si>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</si>
  <si>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</si>
  <si>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</si>
  <si>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</si>
  <si>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</si>
  <si>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</si>
  <si>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</si>
  <si>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</si>
  <si>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</si>
  <si>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</si>
  <si>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</si>
  <si>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</si>
  <si>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</si>
  <si>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</si>
  <si>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</si>
  <si>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</si>
  <si>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</si>
  <si>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</si>
  <si>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</si>
  <si>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</si>
  <si>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</si>
  <si>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</si>
  <si>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</si>
  <si>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</si>
  <si>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</si>
  <si>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</si>
  <si>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</si>
  <si>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</si>
  <si>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</si>
  <si>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</si>
  <si>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</si>
  <si>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</si>
  <si>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</si>
  <si>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</si>
  <si>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</si>
  <si>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</si>
  <si>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</si>
  <si>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</si>
  <si>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</si>
  <si>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</si>
  <si>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</si>
  <si>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</si>
  <si>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</si>
  <si>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</si>
  <si>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</si>
  <si>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</si>
  <si>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</si>
  <si>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</si>
  <si>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</si>
  <si>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</si>
  <si>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</si>
  <si>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</si>
  <si>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</si>
  <si>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</si>
  <si>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</si>
  <si>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</si>
  <si>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</si>
  <si>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</si>
  <si>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</si>
  <si>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</si>
  <si>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</si>
  <si>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</si>
  <si>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</si>
  <si>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</si>
  <si>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</si>
  <si>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</si>
  <si>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</si>
  <si>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</si>
  <si>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 xml:space="preserve">4a.  If someone other than a municipal employee assists in preparing the budget, please enter the person's or firm's name and address in the area provided. </t>
  </si>
  <si>
    <t>7. The Schedule of Transfers (transfers) is completed from the individual completed fund pages. Be sure to provide the statute that authorizes the transfer. If 'Home Rule' is applied, then provide the chartered ordinance number in place of the statute. Before submitting the budget, suggest printing off the Schedule of Transfers page and tracing entries to each fund page.</t>
  </si>
  <si>
    <r>
      <t xml:space="preserve">8.  Statement of Indebtedness (debt) must show all the debt owed or proposed to be issued.  The general obligation and revenue bond totals for budget year is linked to the Budget Summary. </t>
    </r>
    <r>
      <rPr>
        <b/>
        <sz val="12"/>
        <rFont val="Times New Roman"/>
        <family val="1"/>
      </rPr>
      <t>If the city does not have any debt, then on the first line enter 'none'.</t>
    </r>
  </si>
  <si>
    <r>
      <t xml:space="preserve">9.  Statement of Conditional Lease, Lease-Purchases and Certificate of Participation (lpform) must be completed for all transactions which the city intends to own the equipment at the end of the lease period.   Principal Balance Due for the actual year is linked to the Budget Summary page. </t>
    </r>
    <r>
      <rPr>
        <b/>
        <sz val="12"/>
        <rFont val="Times New Roman"/>
        <family val="1"/>
      </rPr>
      <t>If the city does not have any leases, then on the first line enter 'none'.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</si>
  <si>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</si>
  <si>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12a. At the bottom of the page is a green shaded area, enter the page number.</t>
  </si>
  <si>
    <t>answering objections of taxpayers relating to the proposed use of all funds and the amount of ad valorem tax.</t>
  </si>
  <si>
    <t>4. Deleted lines on Budget Summary reference in #3</t>
  </si>
  <si>
    <t>the Neighborhood Revitalization Rebate table.</t>
  </si>
  <si>
    <t xml:space="preserve">7a. Transfers total are at the bottom of the schedule which are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</si>
  <si>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</si>
  <si>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t>7c. TransferStatutes tab provides statute reference for transfers which are not already identified.</t>
  </si>
  <si>
    <t>*Note:</t>
  </si>
  <si>
    <t>Expenditure</t>
  </si>
  <si>
    <t>Receipt</t>
  </si>
  <si>
    <t xml:space="preserve">Fund Transferred </t>
  </si>
  <si>
    <t>Fund Transferred</t>
  </si>
  <si>
    <t>1. Nhood tab added note for computing table</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</si>
  <si>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</si>
  <si>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</si>
  <si>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</si>
  <si>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We, the undersigned, officers of</t>
  </si>
  <si>
    <t>Delinquent Comp Rate:</t>
  </si>
  <si>
    <t>Non-Appropriated Balance</t>
  </si>
  <si>
    <t>Total Expenditure/Non-Appr Balance</t>
  </si>
  <si>
    <r>
      <t xml:space="preserve"> Subtotal detail (</t>
    </r>
    <r>
      <rPr>
        <sz val="12"/>
        <color indexed="10"/>
        <rFont val="Times New Roman"/>
        <family val="1"/>
      </rPr>
      <t>S</t>
    </r>
    <r>
      <rPr>
        <sz val="12"/>
        <color indexed="10"/>
        <rFont val="Times New Roman"/>
        <family val="1"/>
      </rPr>
      <t>hould agree with detail</t>
    </r>
    <r>
      <rPr>
        <sz val="12"/>
        <rFont val="Times New Roman"/>
        <family val="1"/>
      </rPr>
      <t>)</t>
    </r>
  </si>
  <si>
    <t/>
  </si>
  <si>
    <t>for Expenditures</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</si>
  <si>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</si>
  <si>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</si>
  <si>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</si>
  <si>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</si>
  <si>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</si>
  <si>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</si>
  <si>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</si>
  <si>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</si>
  <si>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</si>
  <si>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</si>
  <si>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</si>
  <si>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</si>
  <si>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</si>
  <si>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</si>
  <si>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</si>
  <si>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</si>
  <si>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</si>
  <si>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</si>
  <si>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</si>
  <si>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</si>
  <si>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</si>
  <si>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</si>
  <si>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</si>
  <si>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</si>
  <si>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</si>
  <si>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</si>
  <si>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</si>
  <si>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</si>
  <si>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</si>
  <si>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</si>
  <si>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</si>
  <si>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</si>
  <si>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</si>
  <si>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</si>
  <si>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</si>
  <si>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(increase mill rate)</t>
  </si>
  <si>
    <t xml:space="preserve">(value of the home) </t>
  </si>
  <si>
    <t>Second Step:</t>
  </si>
  <si>
    <t>(assessed value)</t>
  </si>
  <si>
    <t xml:space="preserve">(assessed value) </t>
  </si>
  <si>
    <t>(increase tax)</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</si>
  <si>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</si>
  <si>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</si>
  <si>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</si>
  <si>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</si>
  <si>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</si>
  <si>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</si>
  <si>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</si>
  <si>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</si>
  <si>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</si>
  <si>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(value of the home)</t>
  </si>
  <si>
    <t>(residential %)</t>
  </si>
  <si>
    <t>(total mill rate)</t>
  </si>
  <si>
    <t>(impact, total mills)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</si>
  <si>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</si>
  <si>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</si>
  <si>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</si>
  <si>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</si>
  <si>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</si>
  <si>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</si>
  <si>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</si>
  <si>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</si>
  <si>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</si>
  <si>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</si>
  <si>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</si>
  <si>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</si>
  <si>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</si>
  <si>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</si>
  <si>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</si>
  <si>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</si>
  <si>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</si>
  <si>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</si>
  <si>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</si>
  <si>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</si>
  <si>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</si>
  <si>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 </t>
    </r>
    <r>
      <rPr>
        <b/>
        <sz val="12"/>
        <rFont val="Times New Roman"/>
        <family val="1"/>
      </rPr>
      <t/>
    </r>
  </si>
  <si>
    <t xml:space="preserve">2. The information entered into the Input Other (inputOth) worksheet is obtained from the County Clerk, County Treasurer, League of Municipalities "Budget Tips", and the budget from two years ago(the year for actual year column on current budget).  After the information has been entered, please verify the data is correct. </t>
  </si>
  <si>
    <t>1. All pages removed the revision date</t>
  </si>
  <si>
    <t>2. All tax levy fund pages reduced the columns and revised the bottom of pages for see tabs</t>
  </si>
  <si>
    <t>3. Instruction tab added lines 4c (cert-rec), 11b (fund-rec), 11c (signature), 11d (last year mill rate), 11e (desired mill rate), 10a(project carryover), 10b (Desired Carryover), and 14 (protection)</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</si>
  <si>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</si>
  <si>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</si>
  <si>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 xml:space="preserve">K.S.A. </t>
    </r>
    <r>
      <rPr>
        <b/>
        <sz val="12"/>
        <color indexed="8"/>
        <rFont val="Times New Roman"/>
        <family val="1"/>
      </rPr>
      <t>13-1269.</t>
    </r>
    <r>
      <rPr>
        <sz val="12"/>
        <color indexed="8"/>
        <rFont val="Times New Roman"/>
        <family val="1"/>
      </rPr>
      <t xml:space="preserve">  </t>
    </r>
    <r>
      <rPr>
        <b/>
        <sz val="12"/>
        <color indexed="8"/>
        <rFont val="Times New Roman"/>
        <family val="1"/>
      </rPr>
      <t>Transfer from certain utility funds by cities over 100,000.</t>
    </r>
    <r>
      <rPr>
        <sz val="12"/>
        <color indexed="8"/>
        <rFont val="Times New Roman"/>
        <family val="1"/>
      </rPr>
      <t xml:space="preserve">  Authorizes transfers to governmental operating funds from operating revenue of electric-light and water utilities.  Utilities must not have GO bond debt; or, if GO bond debt exists, debt service fund must be adequately capitalized.  Limitations per K.S.A. 13-1271, 13-1272 on amounts that may be transferred.</t>
    </r>
  </si>
  <si>
    <r>
      <t xml:space="preserve">K.S.A. </t>
    </r>
    <r>
      <rPr>
        <b/>
        <sz val="12"/>
        <color indexed="8"/>
        <rFont val="Times New Roman"/>
        <family val="1"/>
      </rPr>
      <t>13-1270.</t>
    </r>
    <r>
      <rPr>
        <sz val="12"/>
        <color indexed="8"/>
        <rFont val="Times New Roman"/>
        <family val="1"/>
      </rPr>
      <t xml:space="preserve">  </t>
    </r>
    <r>
      <rPr>
        <b/>
        <sz val="12"/>
        <color indexed="8"/>
        <rFont val="Times New Roman"/>
        <family val="1"/>
      </rPr>
      <t>Transfer to debt service fund from certain utility funds by cities over 100,000.</t>
    </r>
    <r>
      <rPr>
        <sz val="12"/>
        <color indexed="8"/>
        <rFont val="Times New Roman"/>
        <family val="1"/>
      </rPr>
      <t xml:space="preserve">  Cities with more than 100,000 in population may transfer operating revenue of  electric-light and water utilities to debt service funds moneys sufficient to pay outstanding general obligation bond principal and interest.</t>
    </r>
  </si>
  <si>
    <r>
      <t xml:space="preserve">K.S.A. </t>
    </r>
    <r>
      <rPr>
        <b/>
        <sz val="12"/>
        <color indexed="8"/>
        <rFont val="Times New Roman"/>
        <family val="1"/>
      </rPr>
      <t>13-14b12.  Transfer to hospital special improvement fund.</t>
    </r>
    <r>
      <rPr>
        <sz val="12"/>
        <color indexed="8"/>
        <rFont val="Times New Roman"/>
        <family val="1"/>
      </rPr>
      <t xml:space="preserve">  The board may transfer annually such amounts as it deems advisable to a special improvement fund to be used for the purpose of purchasing major items of equipment and making capital improvements to the hospital.  The amount on hand in such fund shall at no time exceed [$250,000].</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</si>
  <si>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</si>
  <si>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The estimated value of one mill would be:</t>
  </si>
  <si>
    <t>Change in Ad Valorem Tax Revenue:</t>
  </si>
  <si>
    <t>What Mill Rate Would Be Desired?</t>
  </si>
  <si>
    <t>Official Title:</t>
  </si>
  <si>
    <t>City Clerk, City Treasurer, Mayor</t>
  </si>
  <si>
    <t>Compensating Use Tax</t>
  </si>
  <si>
    <t>Local Sales Tax</t>
  </si>
  <si>
    <t>Franchise Tax</t>
  </si>
  <si>
    <t>Licenses</t>
  </si>
  <si>
    <t>Desired Carryover Amount:</t>
  </si>
  <si>
    <t>Estimated Mill Rate Impact:</t>
  </si>
  <si>
    <t xml:space="preserve">Totals </t>
  </si>
  <si>
    <t>Third Step:</t>
  </si>
  <si>
    <t>Result:</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</si>
  <si>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</si>
  <si>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</si>
  <si>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</si>
  <si>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</si>
  <si>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</si>
  <si>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</si>
  <si>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</si>
  <si>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Does miscellaneous exceed 10% Total Rec</t>
  </si>
  <si>
    <t>Does miscellaneous exceed 10% Total Exp</t>
  </si>
  <si>
    <t>Does miscellanous exceed 10% Total Exp</t>
  </si>
  <si>
    <t xml:space="preserve">1. Mvalloc tab cells c19, d19, and e19 changed formula from InputPrYrE31 to E30 </t>
  </si>
  <si>
    <t>4. Certificate tab change the 'Expenditure' heading by adding  'Budget Authority for Expenditures'</t>
  </si>
  <si>
    <t xml:space="preserve">5. Certificate tab added additional lines for the governing body signatures </t>
  </si>
  <si>
    <t>6. Certificate tab add the year in the block for 'County Clerk Use Only'</t>
  </si>
  <si>
    <t>7. Certificate tab moved the 'County Clerk's Use Only' from center to right</t>
  </si>
  <si>
    <t>8. Debt tab expand the 'Date' columns and removed two lines from the 'Other Section'</t>
  </si>
  <si>
    <t>9. Gen tab added revenue line for 'Compensation Use'</t>
  </si>
  <si>
    <t>10. Gen tab added table for 'Projection of Cash Carryover'</t>
  </si>
  <si>
    <t>11. Gen tab added table for 'Desired Carryover'</t>
  </si>
  <si>
    <t>12. Gen tab redefine print que to not include tables</t>
  </si>
  <si>
    <t>13. Gen tab hid the comp for see tabs</t>
  </si>
  <si>
    <t>14. DebtService tab reduced the Debt Service fund page and added another tax levy fund</t>
  </si>
  <si>
    <t>15. DebtService tab added table for 'Projected Carryover'</t>
  </si>
  <si>
    <t>16. DebtService tab redefine print que and hid comp for see tabs</t>
  </si>
  <si>
    <t>17. Levy page9 and page10 tab hid comp for see tabs</t>
  </si>
  <si>
    <t>18. Summ tab merged cells above the 'City Official Title' and center a name if used</t>
  </si>
  <si>
    <t>19. Summ tab link the City Official Title to inputBudSum tab</t>
  </si>
  <si>
    <t>20. Summ tab changed proposed year expenditure column to 'Budget Authority (Includes Carryover)</t>
  </si>
  <si>
    <t>21. Summ tab added four tables to the right of the form</t>
  </si>
  <si>
    <t>22. InputBudSum tab added line for City Official Title and provided an example</t>
  </si>
  <si>
    <t>23. Revised TransferStatutes and NonBudFunds tabs</t>
  </si>
  <si>
    <t>24. Added Mill Rate Computation tab</t>
  </si>
  <si>
    <t>25. Summ tab redefine print que</t>
  </si>
  <si>
    <t>26. Add Helpful Links tab</t>
  </si>
  <si>
    <t>27. Certificate page deleted state block</t>
  </si>
  <si>
    <t>28. Added four more no tax levy fund pages</t>
  </si>
  <si>
    <t>29. Inputoth tab changed Actual Delinquency tax from -2 to -3</t>
  </si>
  <si>
    <t>1. Summ tab changed proposed year expenditure column to 'Budget Authority for Expenditures'</t>
  </si>
  <si>
    <t>1.Tabs levy page 9 to 13 changed cell reference for current ad valorem taxes</t>
  </si>
  <si>
    <t>2. Tab levy page 11 cell D7 change current budget authority reference</t>
  </si>
  <si>
    <t>3. Tab Cert corrected cells for the ad valorem column to link correctly with the fund pages</t>
  </si>
  <si>
    <t>1. Tabs no levy pages 19-21, changes to fund name and budget authority links</t>
  </si>
  <si>
    <r>
      <t>K.S.A. 14-568.  Sewer Fund Surplus Transfers to Sinking Fund and General Fund.</t>
    </r>
    <r>
      <rPr>
        <sz val="12"/>
        <rFont val="Times New Roman"/>
        <family val="1"/>
      </rPr>
      <t xml:space="preserve">  Surplus revenue in the sewer fund it shall be semi-annually transferred to a sinking fund and, when such surplus fund is not needed for operations or bonded indebtedness, it may be transferred to the general fund.</t>
    </r>
  </si>
  <si>
    <t>1. Instructions tab, added #1c for adjusting ad valorem taxes</t>
  </si>
  <si>
    <t>2. Instructions tab, changed #3 for adding name of official for Budget Summary page</t>
  </si>
  <si>
    <t>3. Instructions tab, added #3b for new max published date on 'inputBudSum' tab</t>
  </si>
  <si>
    <t>4. Instructions tab, changed #6 to remove slider column and computations</t>
  </si>
  <si>
    <t>5. Instructions tab, added #10 for explain about 'Library Grant' tab and Library fund page</t>
  </si>
  <si>
    <t>6. Instructions tab, changed #11 now Debt Service and Library funds are on the same tab (hard coded Cert &amp; Summary</t>
  </si>
  <si>
    <t>7. Instructions tab, added #11a for numbering of the General and General Detail pages</t>
  </si>
  <si>
    <t>8. Instructions tab, changed #11b to reflect all tax levy pages with 'Projected Carryover' table</t>
  </si>
  <si>
    <t>9. Instructions tab, changed #11c to reflect all tax levy pages with 'Desired Carryover' and warning about delinquency rate</t>
  </si>
  <si>
    <t>10. Instructions tab, added #11d for last year mill rate, proposed total mill rate, and last year total mill rate</t>
  </si>
  <si>
    <t>11. Instructions tab, changed #11e to remove page number 7 as the General page number might change if Library is used</t>
  </si>
  <si>
    <t>12. Instructions tab, changed #12b added name of official</t>
  </si>
  <si>
    <t>13. Instructions tab, added #12c for computation of one mill</t>
  </si>
  <si>
    <t>14. Instructions tab, changed #12d added the name of the tables and warning about delinquency rate if used</t>
  </si>
  <si>
    <t>15. Instructions tab, changed #12e added the name of the table and warning about delinquency rate if used</t>
  </si>
  <si>
    <t>16. Instructions tab, changed #12f added that not signing the Budget Summary page will not require to be reprinted</t>
  </si>
  <si>
    <t xml:space="preserve">17. InputPrYr tab, added column for adjusting ad valorem taxes to reflect a better picture of actual taxes received, allow a rate to be used to compute the new amount, and links the new amounts to the appropriate fund page, if used, otherwise used the original amounts </t>
  </si>
  <si>
    <t>18. InputPrYr tab, hard coded Library in the tax levy funds section along with General and Debt Service</t>
  </si>
  <si>
    <t>19. InputOth tab, section for Computation of Delinquency, change to % from rate and provided example, link to all tax levy fund page will show as %  vs rate</t>
  </si>
  <si>
    <t>20. InputBudSum tab, added official name and latest date for publication of Notice of Budget Hearing</t>
  </si>
  <si>
    <t xml:space="preserve">21. Cert tab, under Table of Content, added Computation to Determine State Library Grant </t>
  </si>
  <si>
    <t>22. Cert tab, right justifyed figures versus having figures centered</t>
  </si>
  <si>
    <t>23. Cert tab, put spaces between governing body signatures block</t>
  </si>
  <si>
    <t>24. Mvalloc tab, removed slider column and computation for slider</t>
  </si>
  <si>
    <t>25. All tax levy fund pages removed the link from Mvalloc tab for slider and converted cells to blank</t>
  </si>
  <si>
    <t xml:space="preserve">26. Debt and Lpform tab added a blank new column at left side and formated 'type of debt' and 'item purchased'  </t>
  </si>
  <si>
    <t>27. All fund pages changed the year column heading, example 'Prior Year Actual' to 'Prior Year' second line 'Actual YYYY'</t>
  </si>
  <si>
    <t xml:space="preserve">28. Change out the 'Mill Rate Computation' tab so to agree with the website </t>
  </si>
  <si>
    <t>29. Added KSA 14-568 to transfer tab</t>
  </si>
  <si>
    <t>30. All tax levy fund pages added 'Mill Rate Comparison' table</t>
  </si>
  <si>
    <t>31. Created new Library Grant tab for determining if the library would be approved for a grant</t>
  </si>
  <si>
    <t>32. Change Debt Svs tab to DebtSvs-Library</t>
  </si>
  <si>
    <t>33. DebtSvs-Library tab, for Library fund page added message for qualify for grant or see Library Grant tab</t>
  </si>
  <si>
    <t>34. Added KSA 14-568 to the transfer tab</t>
  </si>
  <si>
    <t>35. Certificate tab added a place for the email address of the assisted by</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</si>
  <si>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</si>
  <si>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</si>
  <si>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</si>
  <si>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</si>
  <si>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</si>
  <si>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</si>
  <si>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 xml:space="preserve"> Debt</t>
  </si>
  <si>
    <t>Type of</t>
  </si>
  <si>
    <t xml:space="preserve"> Purchased</t>
  </si>
  <si>
    <t>Item</t>
  </si>
  <si>
    <r>
      <rPr>
        <sz val="12"/>
        <color indexed="10"/>
        <rFont val="Times New Roman"/>
        <family val="1"/>
      </rPr>
      <t>Note:</t>
    </r>
    <r>
      <rPr>
        <sz val="12"/>
        <rFont val="Times New Roman"/>
        <family val="1"/>
      </rPr>
      <t xml:space="preserve"> The </t>
    </r>
    <r>
      <rPr>
        <u/>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</si>
  <si>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</si>
  <si>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Library</t>
  </si>
  <si>
    <t>12-1220</t>
  </si>
  <si>
    <t>Delinquency % used in this budget will be shown on all fund pages with a tax levy**</t>
  </si>
  <si>
    <t>January</t>
  </si>
  <si>
    <t>February</t>
  </si>
  <si>
    <t>Official Name:</t>
  </si>
  <si>
    <t>March</t>
  </si>
  <si>
    <t>April</t>
  </si>
  <si>
    <t>May</t>
  </si>
  <si>
    <t>Must be at least 10 days between date published and hearing held.</t>
  </si>
  <si>
    <t>June</t>
  </si>
  <si>
    <t>July</t>
  </si>
  <si>
    <t>August</t>
  </si>
  <si>
    <t>September</t>
  </si>
  <si>
    <t>October</t>
  </si>
  <si>
    <t>November</t>
  </si>
  <si>
    <t>December</t>
  </si>
  <si>
    <t>Expenditures Must Be Changed By:</t>
  </si>
  <si>
    <t>Mill Rate Comparison</t>
  </si>
  <si>
    <t>Expenditures Must Be Changed by:</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</si>
  <si>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</si>
  <si>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</si>
  <si>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</si>
  <si>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</si>
  <si>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Current Year</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</si>
  <si>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</si>
  <si>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</si>
  <si>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</si>
  <si>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</si>
  <si>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</si>
  <si>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</si>
  <si>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</si>
  <si>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</si>
  <si>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</si>
  <si>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</si>
  <si>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</si>
  <si>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</si>
  <si>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</si>
  <si>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</si>
  <si>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</si>
  <si>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</si>
  <si>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</si>
  <si>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</si>
  <si>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</si>
  <si>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</si>
  <si>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</si>
  <si>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</si>
  <si>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</si>
  <si>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</si>
  <si>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</si>
  <si>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</si>
  <si>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</si>
  <si>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</si>
  <si>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</si>
  <si>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</si>
  <si>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</si>
  <si>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</si>
  <si>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</si>
  <si>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</si>
  <si>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</si>
  <si>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</si>
  <si>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</si>
  <si>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</si>
  <si>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</si>
  <si>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</si>
  <si>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</si>
  <si>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</si>
  <si>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</si>
  <si>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</si>
  <si>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</si>
  <si>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</si>
  <si>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</si>
  <si>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________________________   _________________________</t>
  </si>
  <si>
    <t>________________________  __________________________</t>
  </si>
  <si>
    <t>Email:</t>
  </si>
  <si>
    <t>Allocation of MVT, RVT, 16/20M Veh Tax</t>
  </si>
  <si>
    <t xml:space="preserve">Budget Tax Levy </t>
  </si>
  <si>
    <t xml:space="preserve">Prior Year </t>
  </si>
  <si>
    <t xml:space="preserve">Current Year </t>
  </si>
  <si>
    <t xml:space="preserve">Proposed Budget </t>
  </si>
  <si>
    <t>City 2 spreadsheets has General Fund page (general), Debt Service and Library tax levy fund page (DebtSvs-Library), 10 tax levy pages (levy page9 to levy page13), Special Highway page (Sp Hiway), 15 no levy fund pages (nolevypage15 to nolevypage21 with one under the Sp Hiway tab), 4 single no levy pages (SinNoLevy18-SinNolevy21), and 20 non-budgeted fund pages (NonBudA to NonBudD).</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</si>
  <si>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sz val="12"/>
        <rFont val="Times New Roman"/>
        <family val="1"/>
      </rPr>
      <t>in the green box</t>
    </r>
    <r>
      <rPr>
        <sz val="12"/>
        <rFont val="Times New Roman"/>
        <family val="1"/>
      </rPr>
      <t xml:space="preserve"> which will calculate new ad valorem taxes to be used for the current budgeted year.  The new amounts will be </t>
    </r>
    <r>
      <rPr>
        <u/>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</si>
  <si>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</si>
  <si>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</si>
  <si>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</si>
  <si>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</si>
  <si>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tax levy fund page(DebtSvs-Library), ten levy pages (levy page9 and levy page13), Special Highway Fund (Sp Hiway), 7 no levy fund pages (nolevypage15 to nolevypage17 with one fund below on Special Highway), 4 single no levy fund page (SinNoLevy18 to SinNoLevy21), and 4 non-budgeted pages (NonBudA to D).  Only complete the fund pages needed.  When the fund pages are completed, the totals will be linked to the Certificate and Budget Summary pages.</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</si>
  <si>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</si>
  <si>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</si>
  <si>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</si>
  <si>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t>11e. General Detail page a and b (gendetail) is used to show detail expenditures for the General Fund Departments.  If used, each department name and expenditures are linked to the General Fund page. The 'Page Totals' on the detail page should agree to the 'Sub-totals' as found on the General Fund page 7. NO department transfers should be shown on the detail page. Transfers for the departments with like transfers should be added together and then shown on the General Fund page as single line items. For example: if several departments have a transfer for equipment reserve, the total of all equipment reserve transfers should be shown on the General Fund page as 'Transfer to Equipment Reserve' for each budgeted year.</t>
  </si>
  <si>
    <r>
      <t xml:space="preserve">11f.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t>
    </r>
    <r>
      <rPr>
        <b/>
        <sz val="12"/>
        <rFont val="Times New Roman"/>
        <family val="1"/>
      </rPr>
      <t>step 13</t>
    </r>
    <r>
      <rPr>
        <sz val="12"/>
        <rFont val="Times New Roman"/>
        <family val="1"/>
      </rPr>
      <t xml:space="preserve"> for instructions for the neighborhood revitalization rebate for the proposed budget year. </t>
    </r>
  </si>
  <si>
    <r>
      <t xml:space="preserve">11g.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u/>
        <sz val="12"/>
        <rFont val="Times New Roman"/>
        <family val="1"/>
      </rPr>
      <t>Note</t>
    </r>
    <r>
      <rPr>
        <sz val="12"/>
        <rFont val="Times New Roman"/>
        <family val="1"/>
      </rPr>
      <t>: the proposed column miscellaneous receipt also takes into consideration the amount of ad valorem taxes in determining the 10% Rule.</t>
    </r>
  </si>
  <si>
    <r>
      <t xml:space="preserve">11h. The Debt Service fund page (DebtSvs-Library) can contain all debts owe by the city and the amounts should agree with the Statement of Indebtedness amounts.  Debts that are pledged from a revenue stream should have enough funds transferred into the Debt Service fund to cover the bond principle and interest for these debts. </t>
    </r>
    <r>
      <rPr>
        <b/>
        <sz val="12"/>
        <rFont val="Times New Roman"/>
        <family val="1"/>
      </rPr>
      <t>Note</t>
    </r>
    <r>
      <rPr>
        <sz val="12"/>
        <rFont val="Times New Roman"/>
        <family val="1"/>
      </rPr>
      <t xml:space="preserve">, the debts pledged from revenue streams are not required to be included in the Debt Service fund page, but can be paid from the fund the revenue stream is located in. Additionally, if the city has No Fund warrants, these can be included in the Debt Service fund page and levy taxes for this debt. </t>
    </r>
    <r>
      <rPr>
        <b/>
        <sz val="12"/>
        <rFont val="Times New Roman"/>
        <family val="1"/>
      </rPr>
      <t>Note</t>
    </r>
    <r>
      <rPr>
        <sz val="12"/>
        <rFont val="Times New Roman"/>
        <family val="1"/>
      </rPr>
      <t xml:space="preserve">, No Fund warrants </t>
    </r>
    <r>
      <rPr>
        <b/>
        <u/>
        <sz val="12"/>
        <rFont val="Times New Roman"/>
        <family val="1"/>
      </rPr>
      <t>are not required</t>
    </r>
    <r>
      <rPr>
        <sz val="12"/>
        <rFont val="Times New Roman"/>
        <family val="1"/>
      </rPr>
      <t xml:space="preserve"> to be included in the Debt Service and may still have a No Fund page to account for them if the city desires.</t>
    </r>
  </si>
  <si>
    <t xml:space="preserve">11i. The 4 single no levy pages (SinNoLevy18 to SinNoLevy21) are for a fund that has numerous lines for receipts or expenditures that does not fit on one of the other no levy pages.  Additional lines may be added as needed. </t>
  </si>
  <si>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</si>
  <si>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11k. The non-budgeted pages in the last column, the last two boxes should have the same figures as the last box take totals from the right side with the next to last box takes totals from the bottom.</t>
  </si>
  <si>
    <r>
      <t xml:space="preserve">11l. All levy fund pages have a Non-Appropriated Balance block. K.S.A. 79-2927 allows the city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will appear and the block will turn red.  In order to remove this warning message, you must reduce the non-appropriate figure.</t>
    </r>
  </si>
  <si>
    <r>
      <t>11m.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</si>
  <si>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11n.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</si>
  <si>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11o. All no-tax levy fund pages for the proposed budget year will have an edit on the unencumbered cash balance. If the cash balance is negative, then the block turns red and statement '</t>
    </r>
    <r>
      <rPr>
        <b/>
        <sz val="12"/>
        <color indexed="10"/>
        <rFont val="Times New Roman"/>
        <family val="1"/>
      </rPr>
      <t>See Tab E</t>
    </r>
    <r>
      <rPr>
        <sz val="12"/>
        <rFont val="Times New Roman"/>
        <family val="1"/>
      </rPr>
      <t xml:space="preserve">' will appear. </t>
    </r>
  </si>
  <si>
    <r>
      <t xml:space="preserve">13. Neighborhood Revitalization (nhood) should be completed </t>
    </r>
    <r>
      <rPr>
        <b/>
        <u/>
        <sz val="12"/>
        <rFont val="Times New Roman"/>
        <family val="1"/>
      </rPr>
      <t>only after</t>
    </r>
    <r>
      <rPr>
        <sz val="12"/>
        <rFont val="Times New Roman"/>
        <family val="1"/>
      </rPr>
      <t xml:space="preserve">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r>
    <r>
      <rPr>
        <b/>
        <sz val="12"/>
        <rFont val="Times New Roman"/>
        <family val="1"/>
      </rPr>
      <t>Note: If you do not have Neighborhood Revitalization, this step is not done</t>
    </r>
    <r>
      <rPr>
        <sz val="12"/>
        <rFont val="Times New Roman"/>
        <family val="1"/>
      </rPr>
      <t>.</t>
    </r>
  </si>
  <si>
    <r>
      <t xml:space="preserve">13a. </t>
    </r>
    <r>
      <rPr>
        <b/>
        <u/>
        <sz val="12"/>
        <rFont val="Times New Roman"/>
        <family val="1"/>
      </rPr>
      <t>Warning</t>
    </r>
    <r>
      <rPr>
        <sz val="12"/>
        <rFont val="Times New Roman"/>
        <family val="1"/>
      </rPr>
      <t xml:space="preserve">,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 Suggest printing the table before deleting ad valorem rates, this way you will know approxiately the amount of the rebates and lost revenue because of the rebates. </t>
    </r>
  </si>
  <si>
    <r>
      <t xml:space="preserve">13b. </t>
    </r>
    <r>
      <rPr>
        <b/>
        <u/>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</si>
  <si>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13c. </t>
    </r>
    <r>
      <rPr>
        <b/>
        <sz val="12"/>
        <rFont val="Times New Roman"/>
        <family val="1"/>
      </rPr>
      <t>Note: If you do not have Neighborhood Revitalization, these steps are not done.</t>
    </r>
  </si>
  <si>
    <r>
      <t>12b. The table '</t>
    </r>
    <r>
      <rPr>
        <i/>
        <sz val="12"/>
        <rFont val="Times New Roman"/>
        <family val="1"/>
      </rPr>
      <t>Estimated Value Of One Mill</t>
    </r>
    <r>
      <rPr>
        <sz val="12"/>
        <rFont val="Times New Roman"/>
        <family val="1"/>
      </rPr>
      <t xml:space="preserve">' to show what 1 mill rate would generate in dollars for the municipality.  </t>
    </r>
  </si>
  <si>
    <r>
      <t>12c.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</si>
  <si>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12d.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</si>
  <si>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12e.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sz val="12"/>
        <rFont val="Times New Roman"/>
        <family val="1"/>
      </rPr>
      <t>will not</t>
    </r>
    <r>
      <rPr>
        <sz val="12"/>
        <rFont val="Times New Roman"/>
        <family val="1"/>
      </rPr>
      <t xml:space="preserve"> cause the municipality to reprint.</t>
    </r>
  </si>
  <si>
    <t xml:space="preserve">12f. Once the 'Notice of Budget Hearing' has been printed in the local newspaper, please review the notice to ensure the information was correctly printed and readable.  If the information is not correct, the Notice may need to be republished, and may delay the submission of the budget to the County Clerk. If this occurs and causes you to miss the August 25 deadline, please contact your County Clerk to inform of them of the delay. </t>
  </si>
  <si>
    <t xml:space="preserve">14.  Before submission of the budget to the County Clerk, please review the entire document and verify that all amounts are correct.  In addition, the Certificate Page needs to be signed by at least one member of the governing body (signatures of the entire governing body is preferred, but not mandatory). </t>
  </si>
  <si>
    <r>
      <t>15.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</si>
  <si>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</si>
  <si>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</si>
  <si>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34. Certificate tab added a place for the email address of the assisted by</t>
  </si>
  <si>
    <t>35. Cert tab, link general page number to the general tab page number</t>
  </si>
  <si>
    <t>36. General tab, link receipt page number to expenditure page number</t>
  </si>
  <si>
    <t>37. GenDetail tab, link general receipt page number to detail page numbers</t>
  </si>
  <si>
    <t>11a. General Fund page and General Fund Detail page number are linked.   If the municipality has a Library Fund, the Library Grant page becomes number 7 and the General Fund page would be numbered 8, otherwise the General would be 7.</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</si>
  <si>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</si>
  <si>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1. Instruction tab, added #4c for showing new table on Certificate page for Library tab</t>
  </si>
  <si>
    <t xml:space="preserve">peter.haxton@library.ks.gov </t>
  </si>
  <si>
    <t>1. Library Grant tab, updated State Library e-mail contact address</t>
  </si>
  <si>
    <t>1. Corrected addition computation in column D, inputPrYr tab</t>
  </si>
  <si>
    <t xml:space="preserve">Ad Valorem </t>
  </si>
  <si>
    <t xml:space="preserve">Recreational Vehicle Tax </t>
  </si>
  <si>
    <t xml:space="preserve">16/20M Vehicle Tax </t>
  </si>
  <si>
    <t>1.  Corrected the Library Grant Tab.  Added the line item Ad Valorem Tax under the first test, and corrected the links for the taxes on the Library Fund Page</t>
  </si>
  <si>
    <t>1.  Added "ordinance required?  yes/no" message to area adjacent to each tax levy fund</t>
  </si>
  <si>
    <t>1.  Corrected formula in cell e28 of Library Grant tab</t>
  </si>
  <si>
    <t xml:space="preserve">Please read these instructions carefully.  If after reviewing them you still have questions, call Rogers Brazier at 785.296.2846 or email to armunis@da.ks.gov </t>
  </si>
  <si>
    <t>1.  Instruction tab narrative modification</t>
  </si>
  <si>
    <t>1.  Inserted missing formula in cell d47 of Library fund</t>
  </si>
  <si>
    <t>1.  "Budget Authority Amount" cell added to budget year column of all funds.</t>
  </si>
  <si>
    <t>16.</t>
  </si>
  <si>
    <t>17.</t>
  </si>
  <si>
    <t>Consumer Price Index adjustment (3 times 16)</t>
  </si>
  <si>
    <t>18.</t>
  </si>
  <si>
    <t>(15 plus 17)</t>
  </si>
  <si>
    <t xml:space="preserve">you must publish notice of vote by the governing body to adopt such budget in the official county newspaper and </t>
  </si>
  <si>
    <t>attach a copy of the published notice to this budget.</t>
  </si>
  <si>
    <t>Tax levy excluding debt service</t>
  </si>
  <si>
    <t>Increase in personal property (5a minus 5b)</t>
  </si>
  <si>
    <t>Real estate</t>
  </si>
  <si>
    <t>State assessed</t>
  </si>
  <si>
    <t>New improvements</t>
  </si>
  <si>
    <t>Total adjustment (sum of 6a, 6b, and 6c)</t>
  </si>
  <si>
    <t>Total valuation adjustment (sum of 4, 5c, 6d &amp;7)</t>
  </si>
  <si>
    <t>Total valuation less valuation adjustment (9 minus 8)</t>
  </si>
  <si>
    <t>Factor for increase (8 divided by 10)</t>
  </si>
  <si>
    <t>Amount of increase (11 times 3)</t>
  </si>
  <si>
    <t>Notice of the vote to adopt required to be published and attached to the budget?</t>
  </si>
  <si>
    <t>4b. The certificate page has a statement "Notice of the vote to adopt required . . . ?" which will either show "yes" or "no."  This statement compares the certificate page total ad valorem tax amount to the amount on line 18 of the computation to determine limit page. If a "yes" appears a notice of the vote to adopt the budget will need to be published in the offical county newspaper and a copy of such publication must be attached to the budget.  No action is required if a "no" appears.</t>
  </si>
  <si>
    <t>5. The majority of information on the computation to determine limit page comes from data on the input other page (inputOth) and the debt service page (DebtSvs).  If there is incorrect information on the computation page please correct the source of the information (inputOth page or DebtSvs page). If you are unable to correct the error please call us for assistance.</t>
  </si>
  <si>
    <r>
      <t>5a.</t>
    </r>
    <r>
      <rPr>
        <b/>
        <sz val="12"/>
        <rFont val="Times New Roman"/>
        <family val="1"/>
      </rPr>
      <t xml:space="preserve"> Note</t>
    </r>
    <r>
      <rPr>
        <sz val="12"/>
        <rFont val="Times New Roman"/>
        <family val="1"/>
      </rPr>
      <t xml:space="preserve">: K.S.A. 79-2925b provides that the property tax levied to pay principal and interest upon bonded indebtedness, temporary notes, and no-fund warrants, shall not be included in the comparison between the current budget year total levy and the budget year total levy.  If the city wants to include the debt service levy for temporary notes and no-fund warrants (shown on fund page(s) other than the debt service fund page and not automatically linked to the computation to determine limit page) lines 2 and 14 will need to be changed, manually, to include the additional levy amount in the max levy computation.  In order to do this the protection must be taken off of the page and the amounts changed.  You </t>
    </r>
    <r>
      <rPr>
        <u/>
        <sz val="12"/>
        <rFont val="Times New Roman"/>
        <family val="1"/>
      </rPr>
      <t>are not required</t>
    </r>
    <r>
      <rPr>
        <sz val="12"/>
        <rFont val="Times New Roman"/>
        <family val="1"/>
      </rPr>
      <t xml:space="preserve"> to utilize the additional levy amounts as a part of the computation to determine the max levy amount.</t>
    </r>
  </si>
  <si>
    <t>5b. Complete and print the published notice option utilized if the max levy is exceeded and have it published.  Attach the publication to the budget.</t>
  </si>
  <si>
    <t>Vote publication required?</t>
  </si>
  <si>
    <t xml:space="preserve">Sample Notice of Vote Publication </t>
  </si>
  <si>
    <t>Sample Notice of Vote Publication</t>
  </si>
  <si>
    <t>Pursuant to K.S.A. 79-2925b, as amended by 2014 House Bill 2047</t>
  </si>
  <si>
    <t>Total Property Tax Levied</t>
  </si>
  <si>
    <t xml:space="preserve">Approved (vote) </t>
  </si>
  <si>
    <t>to</t>
  </si>
  <si>
    <t>The following changes were made to this workbook on 5/7/14</t>
  </si>
  <si>
    <t>1.  Several changes to workbook associated with 2014 HB 2047.</t>
  </si>
  <si>
    <t>The following changes were made to this workbook on 4/4/14</t>
  </si>
  <si>
    <t>The following changes were made to this workbook on 6/10/13</t>
  </si>
  <si>
    <t>The following changes were made to this workbook on 3/21/13</t>
  </si>
  <si>
    <t>The following changes were made to this workbook on 1/31/13</t>
  </si>
  <si>
    <t>The following changes were made to this workbook on 10/8/12</t>
  </si>
  <si>
    <t>The following changes were made to this workbook on 6/13/12</t>
  </si>
  <si>
    <t>The following changes were made to this workbook on 4/10/12</t>
  </si>
  <si>
    <t>The following changes were made to this workbook on 2/22/12</t>
  </si>
  <si>
    <t>The following changes were made to this workbook on 1/31/12</t>
  </si>
  <si>
    <t>The following changes were made to this workbook on 8/16/11</t>
  </si>
  <si>
    <t>The following changes were made to this workbook on 6/23/11</t>
  </si>
  <si>
    <t>The following changes were made to this workbook on 6/17/11</t>
  </si>
  <si>
    <t>The following changes were made to this workbook on 4/19/11</t>
  </si>
  <si>
    <t>The following changes were made to this workbook on 4/8/11</t>
  </si>
  <si>
    <t>The following changes were made to this workbook on 8/29/10</t>
  </si>
  <si>
    <t>The following changes were made to this workbook on 1/05/10</t>
  </si>
  <si>
    <t>The following changes were made to this workbook on 12/28/09</t>
  </si>
  <si>
    <t>The following changes were made to this workbook on 12/08/09</t>
  </si>
  <si>
    <t>The following changes were made to this workbook on 10/2/09</t>
  </si>
  <si>
    <t>The following changes were made to this workbook on7/16/09</t>
  </si>
  <si>
    <t>The following changes were made to this workbook on 3/19/09</t>
  </si>
  <si>
    <t>In no event will published notice of the vote be required if the total budget year tax levy is $1,000 or less.</t>
  </si>
  <si>
    <t>City of Frankfort</t>
  </si>
  <si>
    <t>Marshall County</t>
  </si>
  <si>
    <t>Special Parks &amp; Recreation</t>
  </si>
  <si>
    <t>Ambulance</t>
  </si>
  <si>
    <t>Water Utility</t>
  </si>
  <si>
    <t>Sewer Utility</t>
  </si>
  <si>
    <t>Melody Tommer</t>
  </si>
  <si>
    <t>City Clerk</t>
  </si>
  <si>
    <t>9:00 p.m.</t>
  </si>
  <si>
    <t>Capital Improvement</t>
  </si>
  <si>
    <t>12-1,118</t>
  </si>
  <si>
    <t xml:space="preserve">    NONE</t>
  </si>
  <si>
    <t xml:space="preserve">    Swimming Pool</t>
  </si>
  <si>
    <t>12/01/2010</t>
  </si>
  <si>
    <t>3.00 - 4.50</t>
  </si>
  <si>
    <t>Appropriation to Library Board</t>
  </si>
  <si>
    <t>Revitalization Rebates</t>
  </si>
  <si>
    <t>Personal Services</t>
  </si>
  <si>
    <t>Contractual Services</t>
  </si>
  <si>
    <t>Commodities</t>
  </si>
  <si>
    <t>Local Alcoholic Liquor Tax</t>
  </si>
  <si>
    <t>Capital Outlay</t>
  </si>
  <si>
    <t>Appropriation - Marshall County</t>
  </si>
  <si>
    <t>Charges for Services</t>
  </si>
  <si>
    <t>Donations</t>
  </si>
  <si>
    <t>Charges to Customers</t>
  </si>
  <si>
    <t>Materials/Labor Sold</t>
  </si>
  <si>
    <t>Operations:</t>
  </si>
  <si>
    <t>Sales Tax</t>
  </si>
  <si>
    <t>Sales &amp; Late Charges</t>
  </si>
  <si>
    <t>Refunds-Reimbursements</t>
  </si>
  <si>
    <t>Labor-Supplies Sold</t>
  </si>
  <si>
    <t>Transfer fr General</t>
  </si>
  <si>
    <t>August 11, 2014</t>
  </si>
  <si>
    <t>Special Assessments</t>
  </si>
  <si>
    <t>Fines and Court Costs</t>
  </si>
  <si>
    <t>ATV Tags</t>
  </si>
  <si>
    <t>Occupation Tax</t>
  </si>
  <si>
    <t>Park-Pool Receipts</t>
  </si>
  <si>
    <t>Refuse Collections</t>
  </si>
  <si>
    <t>Dog Licenses</t>
  </si>
  <si>
    <t>Building Permits</t>
  </si>
  <si>
    <t>Licenses (Card/CMB)</t>
  </si>
  <si>
    <t>Library Payroll &amp; Benefits Reimbursed</t>
  </si>
  <si>
    <t>Reimbursed Spending</t>
  </si>
  <si>
    <t>Supplies Sold</t>
  </si>
  <si>
    <t>Rent</t>
  </si>
  <si>
    <t>Services Sold</t>
  </si>
  <si>
    <t>Miscellaneous, Other</t>
  </si>
  <si>
    <t>Donations from Private Sources</t>
  </si>
  <si>
    <t>Energy Grant Proceeds</t>
  </si>
  <si>
    <t>GAC Building Interest on Idle Funds</t>
  </si>
  <si>
    <t>USDA Settlement-State of KS-GAC Bldg</t>
  </si>
  <si>
    <t>Utility Service - Contractual</t>
  </si>
  <si>
    <t>Waste Disposal - Contractual</t>
  </si>
  <si>
    <t>GAC Building</t>
  </si>
  <si>
    <t>Transfer to Capital Improvement Fund</t>
  </si>
  <si>
    <t>General Administration:</t>
  </si>
  <si>
    <t>Total General Administration</t>
  </si>
  <si>
    <t>Park:</t>
  </si>
  <si>
    <t>Total Park</t>
  </si>
  <si>
    <t>Police Protection:</t>
  </si>
  <si>
    <t>Total Police Protection</t>
  </si>
  <si>
    <t>Fire Protection:</t>
  </si>
  <si>
    <t>Total Fire Protection</t>
  </si>
  <si>
    <t>Streets &amp; Alleys</t>
  </si>
  <si>
    <t>Total Streets &amp; Alleys</t>
  </si>
  <si>
    <t>Employee Benefits:</t>
  </si>
  <si>
    <t xml:space="preserve">  Payroll Taxes</t>
  </si>
  <si>
    <t xml:space="preserve">  Pension/Retirement</t>
  </si>
  <si>
    <t xml:space="preserve">  Health Insurance</t>
  </si>
  <si>
    <t>Total Employee Benefits</t>
  </si>
  <si>
    <t>Sales Tax-Streets &amp; Improvements</t>
  </si>
  <si>
    <t>Total Sales Tax-Streets &amp; Improv.</t>
  </si>
  <si>
    <t>Capital Outlay:</t>
  </si>
  <si>
    <t>Total Capital Outlay</t>
  </si>
  <si>
    <t>Markus  Frese, CPA</t>
  </si>
  <si>
    <t>720 Broadway</t>
  </si>
  <si>
    <t>Marysville, KS  66508</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</si>
</sst>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5" formatCode="&quot;$&quot;#,##0_);\(&quot;$&quot;#,##0\)"/>
    <numFmt numFmtId="6" formatCode="&quot;$&quot;#,##0_);[Red]\(&quot;$&quot;#,##0\)"/>
    <numFmt numFmtId="43" formatCode="_(* #,##0.00_);_(* \(#,##0.00\);_(* &quot;-&quot;??_);_(@_)"/>
    <numFmt numFmtId="164" formatCode="0.000_)"/>
    <numFmt numFmtId="165" formatCode="0.00000_)"/>
    <numFmt numFmtId="166" formatCode="0_)"/>
    <numFmt numFmtId="167" formatCode="0.00000"/>
    <numFmt numFmtId="168" formatCode="m/d/yy"/>
    <numFmt numFmtId="169" formatCode="m/d"/>
    <numFmt numFmtId="170" formatCode="_(* #,##0_);_(* \(#,##0\);_(* &quot;-&quot;??_);_(@_)"/>
    <numFmt numFmtId="171" formatCode="0.000"/>
    <numFmt numFmtId="172" formatCode="#,##0.000"/>
    <numFmt numFmtId="173" formatCode="[$-409]mmmm\ d\,\ yyyy;@"/>
    <numFmt numFmtId="174" formatCode="[$-409]h:mm\ AM/PM;@"/>
    <numFmt numFmtId="175" formatCode="&quot;$&quot;#,##0"/>
    <numFmt numFmtId="176" formatCode="&quot;$&quot;#,##0.00"/>
    <numFmt numFmtId="177" formatCode="#,###"/>
    <numFmt numFmtId="178" formatCode="0.0%"/>
    <numFmt numFmtId="179" formatCode="#,##0.000_);[Red]\(#,##0.000\)"/>
  </numFmts>
  <fonts count="64" x14ac:knownFonts="1">
    <font>
      <sz val="12"/>
      <name val="Courier"/>
    </font>
    <font>
      <b/>
      <sz val="12"/>
      <name val="Courier"/>
      <family val="3"/>
    </font>
    <font>
      <sz val="12"/>
      <name val="Courier"/>
      <family val="3"/>
    </font>
    <font>
      <b/>
      <sz val="12"/>
      <name val="Times New Roman"/>
      <family val="1"/>
    </font>
    <font>
      <sz val="12"/>
      <name val="Times New Roman"/>
      <family val="1"/>
    </font>
    <font>
      <u/>
      <sz val="12"/>
      <name val="Times New Roman"/>
      <family val="1"/>
    </font>
    <font>
      <sz val="14"/>
      <name val="Times New Roman"/>
      <family val="1"/>
    </font>
    <font>
      <sz val="11"/>
      <name val="Times New Roman"/>
      <family val="1"/>
    </font>
    <font>
      <sz val="9"/>
      <name val="Times New Roman"/>
      <family val="1"/>
    </font>
    <font>
      <sz val="8"/>
      <name val="Courier"/>
      <family val="3"/>
    </font>
    <font>
      <u/>
      <sz val="12"/>
      <color indexed="12"/>
      <name val="Courier"/>
      <family val="3"/>
    </font>
    <font>
      <sz val="8"/>
      <name val="Times New Roman"/>
      <family val="1"/>
    </font>
    <font>
      <b/>
      <u/>
      <sz val="12"/>
      <name val="Times New Roman"/>
      <family val="1"/>
    </font>
    <font>
      <b/>
      <u/>
      <sz val="12"/>
      <color indexed="10"/>
      <name val="Times New Roman"/>
      <family val="1"/>
    </font>
    <font>
      <b/>
      <u/>
      <sz val="12"/>
      <name val="Courier"/>
      <family val="3"/>
    </font>
    <font>
      <sz val="12"/>
      <color indexed="10"/>
      <name val="Times New Roman"/>
      <family val="1"/>
    </font>
    <font>
      <b/>
      <sz val="12"/>
      <color indexed="10"/>
      <name val="Times New Roman"/>
      <family val="1"/>
    </font>
    <font>
      <b/>
      <sz val="8"/>
      <name val="Times New Roman"/>
      <family val="1"/>
    </font>
    <font>
      <sz val="12"/>
      <color indexed="10"/>
      <name val="Courier"/>
      <family val="3"/>
    </font>
    <font>
      <i/>
      <sz val="12"/>
      <name val="Times New Roman"/>
      <family val="1"/>
    </font>
    <font>
      <sz val="12"/>
      <color indexed="8"/>
      <name val="Times New Roman"/>
      <family val="1"/>
    </font>
    <font>
      <b/>
      <sz val="14"/>
      <name val="Times New Roman"/>
      <family val="1"/>
    </font>
    <font>
      <b/>
      <sz val="12"/>
      <color indexed="8"/>
      <name val="Times New Roman"/>
      <family val="1"/>
    </font>
    <font>
      <b/>
      <sz val="11"/>
      <name val="Times New Roman"/>
      <family val="1"/>
    </font>
    <font>
      <sz val="11"/>
      <color indexed="8"/>
      <name val="Times New Roman"/>
      <family val="1"/>
    </font>
    <font>
      <b/>
      <sz val="11"/>
      <color indexed="8"/>
      <name val="Times New Roman"/>
      <family val="1"/>
    </font>
    <font>
      <b/>
      <u/>
      <sz val="8"/>
      <color indexed="10"/>
      <name val="Times New Roman"/>
      <family val="1"/>
    </font>
    <font>
      <sz val="12"/>
      <name val="Courier"/>
      <family val="3"/>
    </font>
    <font>
      <sz val="12"/>
      <name val="Courier New"/>
      <family val="3"/>
    </font>
    <font>
      <b/>
      <u/>
      <sz val="12"/>
      <name val="Courier"/>
      <family val="3"/>
    </font>
    <font>
      <b/>
      <sz val="12"/>
      <name val="Courier"/>
      <family val="3"/>
    </font>
    <font>
      <i/>
      <sz val="12"/>
      <name val="Courier"/>
      <family val="3"/>
    </font>
    <font>
      <i/>
      <u/>
      <sz val="12"/>
      <name val="Courier"/>
      <family val="3"/>
    </font>
    <font>
      <sz val="12"/>
      <name val="Courier New"/>
      <family val="3"/>
    </font>
    <font>
      <b/>
      <u/>
      <sz val="8"/>
      <name val="Times New Roman"/>
      <family val="1"/>
    </font>
    <font>
      <sz val="9"/>
      <color indexed="10"/>
      <name val="Times New Roman"/>
      <family val="1"/>
    </font>
    <font>
      <sz val="11"/>
      <name val="Cambria"/>
      <family val="1"/>
    </font>
    <font>
      <b/>
      <sz val="11"/>
      <color indexed="8"/>
      <name val="Cambria"/>
      <family val="1"/>
    </font>
    <font>
      <b/>
      <sz val="13"/>
      <name val="Times New Roman"/>
      <family val="1"/>
    </font>
    <font>
      <u/>
      <sz val="12"/>
      <color indexed="12"/>
      <name val="Times New Roman"/>
      <family val="1"/>
    </font>
    <font>
      <sz val="10"/>
      <name val="Times New Roman"/>
      <family val="1"/>
    </font>
    <font>
      <b/>
      <u/>
      <sz val="10"/>
      <name val="Times New Roman"/>
      <family val="1"/>
    </font>
    <font>
      <b/>
      <sz val="10"/>
      <name val="Times New Roman"/>
      <family val="1"/>
    </font>
    <font>
      <sz val="10"/>
      <color indexed="10"/>
      <name val="Times New Roman"/>
      <family val="1"/>
    </font>
    <font>
      <sz val="10"/>
      <name val="Courier"/>
      <family val="3"/>
    </font>
    <font>
      <u/>
      <sz val="12"/>
      <color indexed="10"/>
      <name val="Times New Roman"/>
      <family val="1"/>
    </font>
    <font>
      <u/>
      <sz val="12"/>
      <color indexed="12"/>
      <name val="Courier New"/>
      <family val="3"/>
    </font>
    <font>
      <b/>
      <sz val="11"/>
      <name val="Calibri"/>
      <family val="2"/>
    </font>
    <font>
      <sz val="11"/>
      <color theme="1"/>
      <name val="Calibri"/>
      <family val="2"/>
      <scheme val="minor"/>
    </font>
    <font>
      <b/>
      <sz val="11"/>
      <color theme="1"/>
      <name val="Calibri"/>
      <family val="2"/>
      <scheme val="minor"/>
    </font>
    <font>
      <u/>
      <sz val="12"/>
      <color rgb="FFFF0000"/>
      <name val="Times New Roman"/>
      <family val="1"/>
    </font>
    <font>
      <b/>
      <sz val="11"/>
      <color theme="1"/>
      <name val="Cambria"/>
      <family val="1"/>
    </font>
    <font>
      <sz val="11"/>
      <color rgb="FF000000"/>
      <name val="Cambria"/>
      <family val="1"/>
    </font>
    <font>
      <b/>
      <sz val="12"/>
      <color rgb="FF000000"/>
      <name val="Times New Roman"/>
      <family val="1"/>
    </font>
    <font>
      <sz val="10"/>
      <color rgb="FFFF0000"/>
      <name val="Times New Roman"/>
      <family val="1"/>
    </font>
    <font>
      <sz val="12"/>
      <color rgb="FFFF0000"/>
      <name val="Times New Roman"/>
      <family val="1"/>
    </font>
    <font>
      <b/>
      <sz val="12"/>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
      <b/>
      <u/>
      <sz val="12"/>
      <color rgb="FFFF0000"/>
      <name val="Times New Roman"/>
      <family val="1"/>
    </font>
    <font>
      <b/>
      <sz val="10"/>
      <color rgb="FFFF0000"/>
      <name val="Times New Roman"/>
      <family val="1"/>
    </font>
    <font>
      <b/>
      <sz val="14"/>
      <color theme="1"/>
      <name val="Calibri"/>
      <family val="2"/>
      <scheme val="minor"/>
    </font>
  </fonts>
  <fills count="19">
    <fill>
      <patternFill patternType="none"/>
    </fill>
    <fill>
      <patternFill patternType="gray125"/>
    </fill>
    <fill>
      <patternFill patternType="solid">
        <fgColor indexed="11"/>
      </patternFill>
    </fill>
    <fill>
      <patternFill patternType="solid">
        <fgColor indexed="26"/>
        <bgColor indexed="64"/>
      </patternFill>
    </fill>
    <fill>
      <patternFill patternType="solid">
        <fgColor indexed="43"/>
        <bgColor indexed="64"/>
      </patternFill>
    </fill>
    <fill>
      <patternFill patternType="solid">
        <fgColor indexed="10"/>
        <bgColor indexed="64"/>
      </patternFill>
    </fill>
    <fill>
      <patternFill patternType="solid">
        <fgColor indexed="11"/>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indexed="13"/>
        <bgColor indexed="64"/>
      </patternFill>
    </fill>
    <fill>
      <patternFill patternType="solid">
        <fgColor indexed="34"/>
        <bgColor indexed="64"/>
      </patternFill>
    </fill>
    <fill>
      <patternFill patternType="solid">
        <fgColor rgb="FFFFFF99"/>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theme="0"/>
        <bgColor indexed="64"/>
      </patternFill>
    </fill>
    <fill>
      <patternFill patternType="solid">
        <fgColor rgb="FFFFFF00"/>
        <bgColor indexed="64"/>
      </patternFill>
    </fill>
    <fill>
      <patternFill patternType="solid">
        <fgColor rgb="FFFFFFCC"/>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bottom style="double">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08">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8" fillId="0" borderId="0" applyFont="0" applyFill="0" applyBorder="0" applyAlignment="0" applyProtection="0"/>
    <xf numFmtId="43" fontId="2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46" fillId="0" borderId="0" applyNumberFormat="0" applyFill="0" applyBorder="0" applyAlignment="0" applyProtection="0">
      <alignment vertical="top"/>
      <protection locked="0"/>
    </xf>
    <xf numFmtId="0" fontId="27"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8"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8" fillId="0" borderId="0"/>
    <xf numFmtId="0" fontId="28" fillId="0" borderId="0"/>
    <xf numFmtId="0" fontId="28" fillId="0" borderId="0"/>
    <xf numFmtId="0" fontId="2" fillId="0" borderId="0"/>
    <xf numFmtId="0" fontId="2" fillId="0" borderId="0"/>
    <xf numFmtId="0" fontId="2" fillId="0" borderId="0"/>
    <xf numFmtId="0" fontId="33" fillId="0" borderId="0"/>
    <xf numFmtId="0" fontId="28" fillId="0" borderId="0"/>
    <xf numFmtId="0" fontId="28" fillId="0" borderId="0"/>
    <xf numFmtId="0" fontId="28" fillId="0" borderId="0"/>
    <xf numFmtId="0" fontId="28" fillId="0" borderId="0"/>
    <xf numFmtId="0" fontId="33" fillId="0" borderId="0"/>
    <xf numFmtId="0" fontId="28" fillId="0" borderId="0"/>
    <xf numFmtId="0" fontId="28" fillId="0" borderId="0"/>
    <xf numFmtId="0" fontId="28" fillId="0" borderId="0"/>
    <xf numFmtId="0" fontId="28" fillId="0" borderId="0"/>
    <xf numFmtId="0" fontId="33" fillId="0" borderId="0"/>
    <xf numFmtId="0" fontId="28" fillId="0" borderId="0"/>
    <xf numFmtId="0" fontId="28" fillId="0" borderId="0"/>
    <xf numFmtId="0" fontId="28" fillId="0" borderId="0"/>
    <xf numFmtId="0" fontId="28" fillId="0" borderId="0"/>
    <xf numFmtId="0" fontId="33"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 fillId="0" borderId="0"/>
    <xf numFmtId="0" fontId="28" fillId="0" borderId="0"/>
    <xf numFmtId="0" fontId="33" fillId="0" borderId="0"/>
    <xf numFmtId="0" fontId="28" fillId="0" borderId="0"/>
    <xf numFmtId="0" fontId="2" fillId="0" borderId="0"/>
    <xf numFmtId="0" fontId="28"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 fillId="0" borderId="0"/>
    <xf numFmtId="0" fontId="28" fillId="0" borderId="0"/>
    <xf numFmtId="0" fontId="2" fillId="0" borderId="0"/>
    <xf numFmtId="0" fontId="2"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 fillId="0" borderId="0"/>
    <xf numFmtId="0" fontId="27"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 fillId="0" borderId="0"/>
    <xf numFmtId="0" fontId="28" fillId="0" borderId="0"/>
    <xf numFmtId="0" fontId="27" fillId="0" borderId="0"/>
    <xf numFmtId="0" fontId="2" fillId="0" borderId="0"/>
    <xf numFmtId="0" fontId="2" fillId="0" borderId="0"/>
    <xf numFmtId="0" fontId="28" fillId="0" borderId="0"/>
    <xf numFmtId="0" fontId="28" fillId="0" borderId="0"/>
    <xf numFmtId="0" fontId="2" fillId="0" borderId="0"/>
    <xf numFmtId="0" fontId="28" fillId="0" borderId="0"/>
    <xf numFmtId="0" fontId="27" fillId="0" borderId="0"/>
    <xf numFmtId="0" fontId="2" fillId="0" borderId="0"/>
    <xf numFmtId="0" fontId="27"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7" fillId="0" borderId="0"/>
    <xf numFmtId="0" fontId="2" fillId="0" borderId="0"/>
    <xf numFmtId="0" fontId="28" fillId="0" borderId="0"/>
    <xf numFmtId="0" fontId="28" fillId="0" borderId="0"/>
    <xf numFmtId="0" fontId="2" fillId="0" borderId="0"/>
    <xf numFmtId="0" fontId="27" fillId="0" borderId="0"/>
    <xf numFmtId="0" fontId="2" fillId="0" borderId="0"/>
    <xf numFmtId="0" fontId="2" fillId="0" borderId="0"/>
    <xf numFmtId="0" fontId="28" fillId="0" borderId="0"/>
    <xf numFmtId="0" fontId="27" fillId="0" borderId="0"/>
    <xf numFmtId="0" fontId="2" fillId="0" borderId="0"/>
    <xf numFmtId="0" fontId="27" fillId="0" borderId="0"/>
    <xf numFmtId="0" fontId="2" fillId="0" borderId="0"/>
    <xf numFmtId="0" fontId="2" fillId="0" borderId="0"/>
    <xf numFmtId="0" fontId="28" fillId="0" borderId="0"/>
    <xf numFmtId="0" fontId="27" fillId="0" borderId="0"/>
    <xf numFmtId="0" fontId="2"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8" fillId="0" borderId="0"/>
    <xf numFmtId="0" fontId="28" fillId="0" borderId="0"/>
    <xf numFmtId="0" fontId="27" fillId="0" borderId="0"/>
    <xf numFmtId="0" fontId="2" fillId="0" borderId="0"/>
    <xf numFmtId="0" fontId="2" fillId="0" borderId="0"/>
    <xf numFmtId="0" fontId="28" fillId="0" borderId="0"/>
    <xf numFmtId="0" fontId="2" fillId="0" borderId="0"/>
    <xf numFmtId="0" fontId="2" fillId="0" borderId="0"/>
    <xf numFmtId="0" fontId="28" fillId="0" borderId="0"/>
    <xf numFmtId="0" fontId="27"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0" fontId="28" fillId="0" borderId="0"/>
    <xf numFmtId="0" fontId="2" fillId="0" borderId="0"/>
    <xf numFmtId="0" fontId="28" fillId="0" borderId="0"/>
    <xf numFmtId="0" fontId="28" fillId="0" borderId="0"/>
    <xf numFmtId="0" fontId="2" fillId="0" borderId="0"/>
    <xf numFmtId="0" fontId="27" fillId="0" borderId="0"/>
    <xf numFmtId="0" fontId="2" fillId="0" borderId="0"/>
    <xf numFmtId="0" fontId="2" fillId="0" borderId="0"/>
    <xf numFmtId="0" fontId="28" fillId="0" borderId="0"/>
    <xf numFmtId="0" fontId="2" fillId="0" borderId="0"/>
    <xf numFmtId="0" fontId="2" fillId="0" borderId="0"/>
    <xf numFmtId="0" fontId="28" fillId="0" borderId="0"/>
    <xf numFmtId="0" fontId="27" fillId="0" borderId="0"/>
    <xf numFmtId="0" fontId="2" fillId="0" borderId="0"/>
    <xf numFmtId="0" fontId="28"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 fillId="0" borderId="0"/>
    <xf numFmtId="0" fontId="28"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2" fillId="0" borderId="0"/>
    <xf numFmtId="0" fontId="2" fillId="0" borderId="0"/>
    <xf numFmtId="0" fontId="28"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 fillId="0" borderId="0"/>
    <xf numFmtId="0" fontId="27" fillId="0" borderId="0"/>
    <xf numFmtId="0" fontId="2"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8" fillId="0" borderId="0"/>
    <xf numFmtId="0" fontId="28" fillId="0" borderId="0"/>
    <xf numFmtId="0" fontId="28"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7" fillId="0" borderId="0"/>
    <xf numFmtId="0" fontId="2" fillId="0" borderId="0"/>
    <xf numFmtId="0" fontId="2" fillId="0" borderId="0"/>
    <xf numFmtId="0" fontId="2" fillId="0" borderId="0"/>
    <xf numFmtId="0" fontId="2" fillId="0" borderId="0"/>
    <xf numFmtId="0" fontId="2" fillId="0" borderId="0"/>
    <xf numFmtId="0" fontId="48" fillId="0" borderId="0"/>
    <xf numFmtId="0" fontId="48" fillId="0" borderId="0"/>
    <xf numFmtId="0" fontId="48" fillId="0" borderId="0"/>
    <xf numFmtId="0" fontId="2" fillId="0" borderId="0"/>
    <xf numFmtId="0" fontId="2" fillId="0" borderId="0"/>
    <xf numFmtId="0" fontId="48"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48" fillId="0" borderId="0"/>
    <xf numFmtId="0" fontId="2"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8" fillId="0" borderId="0"/>
    <xf numFmtId="0" fontId="28" fillId="0" borderId="0"/>
    <xf numFmtId="0" fontId="28" fillId="0" borderId="0"/>
    <xf numFmtId="0" fontId="2" fillId="0" borderId="0"/>
    <xf numFmtId="0" fontId="28" fillId="0" borderId="0"/>
    <xf numFmtId="0" fontId="2" fillId="0" borderId="0"/>
    <xf numFmtId="0" fontId="28" fillId="0" borderId="0"/>
    <xf numFmtId="0" fontId="28"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 fillId="0" borderId="0"/>
    <xf numFmtId="0" fontId="28" fillId="0" borderId="0"/>
    <xf numFmtId="0" fontId="28" fillId="0" borderId="0"/>
    <xf numFmtId="0" fontId="2" fillId="0" borderId="0"/>
    <xf numFmtId="0" fontId="28" fillId="0" borderId="0"/>
    <xf numFmtId="0" fontId="28"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7" fillId="0" borderId="0"/>
    <xf numFmtId="0" fontId="2" fillId="0" borderId="0"/>
    <xf numFmtId="0" fontId="2" fillId="0" borderId="0"/>
    <xf numFmtId="0" fontId="2" fillId="0" borderId="0"/>
    <xf numFmtId="0" fontId="28" fillId="0" borderId="0"/>
    <xf numFmtId="0" fontId="2" fillId="0" borderId="0"/>
    <xf numFmtId="0" fontId="28" fillId="0" borderId="0"/>
    <xf numFmtId="0" fontId="28" fillId="0" borderId="0"/>
    <xf numFmtId="0" fontId="2" fillId="0" borderId="0"/>
    <xf numFmtId="0" fontId="2" fillId="0" borderId="0"/>
    <xf numFmtId="0" fontId="28"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 fillId="0" borderId="0"/>
    <xf numFmtId="0" fontId="28" fillId="0" borderId="0"/>
    <xf numFmtId="0" fontId="28" fillId="0" borderId="0"/>
    <xf numFmtId="0" fontId="28" fillId="0" borderId="0"/>
    <xf numFmtId="0" fontId="2"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 fillId="0" borderId="0"/>
    <xf numFmtId="0" fontId="2" fillId="0" borderId="0"/>
    <xf numFmtId="0" fontId="2" fillId="0" borderId="0"/>
    <xf numFmtId="0" fontId="28" fillId="0" borderId="0"/>
    <xf numFmtId="0" fontId="28" fillId="0" borderId="0"/>
    <xf numFmtId="0" fontId="28" fillId="0" borderId="0"/>
    <xf numFmtId="0" fontId="28" fillId="0" borderId="0"/>
    <xf numFmtId="0" fontId="28" fillId="0" borderId="0"/>
    <xf numFmtId="0" fontId="28" fillId="0" borderId="0"/>
    <xf numFmtId="0" fontId="2" fillId="0" borderId="0"/>
    <xf numFmtId="0" fontId="2" fillId="0" borderId="0"/>
    <xf numFmtId="0" fontId="28" fillId="0" borderId="0"/>
    <xf numFmtId="0" fontId="2" fillId="0" borderId="0"/>
    <xf numFmtId="0" fontId="2" fillId="0" borderId="0"/>
    <xf numFmtId="0" fontId="28" fillId="0" borderId="0"/>
    <xf numFmtId="0" fontId="2" fillId="0" borderId="0"/>
    <xf numFmtId="0" fontId="2" fillId="0" borderId="0"/>
  </cellStyleXfs>
  <cellXfs count="887">
    <xf numFmtId="0" fontId="0" fillId="0" borderId="0" xfId="0"/>
    <xf numFmtId="0" fontId="4" fillId="0" borderId="0" xfId="0" applyFont="1"/>
    <xf numFmtId="0" fontId="4" fillId="0" borderId="0" xfId="0" applyFont="1" applyProtection="1">
      <protection locked="0"/>
    </xf>
    <xf numFmtId="0" fontId="4" fillId="2" borderId="1" xfId="0" applyFont="1" applyFill="1" applyBorder="1" applyProtection="1">
      <protection locked="0"/>
    </xf>
    <xf numFmtId="0" fontId="4" fillId="3" borderId="2" xfId="0" applyFont="1" applyFill="1" applyBorder="1" applyProtection="1"/>
    <xf numFmtId="0" fontId="4" fillId="3" borderId="0" xfId="0" applyFont="1" applyFill="1" applyProtection="1"/>
    <xf numFmtId="0" fontId="4" fillId="3" borderId="0" xfId="0" applyFont="1" applyFill="1" applyAlignment="1" applyProtection="1">
      <alignment horizontal="right"/>
    </xf>
    <xf numFmtId="37" fontId="4" fillId="3" borderId="0" xfId="0" applyNumberFormat="1" applyFont="1" applyFill="1" applyAlignment="1" applyProtection="1">
      <alignment horizontal="right"/>
    </xf>
    <xf numFmtId="0" fontId="4" fillId="3" borderId="0" xfId="0" applyFont="1" applyFill="1" applyAlignment="1" applyProtection="1">
      <alignment horizontal="centerContinuous"/>
    </xf>
    <xf numFmtId="0" fontId="4" fillId="3" borderId="3" xfId="0" applyFont="1" applyFill="1" applyBorder="1" applyProtection="1"/>
    <xf numFmtId="37" fontId="4" fillId="3" borderId="0" xfId="0" applyNumberFormat="1" applyFont="1" applyFill="1" applyProtection="1"/>
    <xf numFmtId="0" fontId="3" fillId="3" borderId="0" xfId="507" applyFont="1" applyFill="1" applyAlignment="1" applyProtection="1">
      <alignment horizontal="centerContinuous"/>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4" fillId="3" borderId="5" xfId="0" applyFont="1" applyFill="1" applyBorder="1" applyAlignment="1" applyProtection="1">
      <alignment horizontal="center"/>
    </xf>
    <xf numFmtId="14" fontId="4" fillId="3" borderId="5" xfId="0" quotePrefix="1" applyNumberFormat="1" applyFont="1" applyFill="1" applyBorder="1" applyAlignment="1" applyProtection="1">
      <alignment horizontal="center"/>
    </xf>
    <xf numFmtId="0" fontId="4" fillId="3" borderId="2" xfId="0" applyFont="1" applyFill="1" applyBorder="1" applyAlignment="1" applyProtection="1">
      <alignment horizontal="fill"/>
    </xf>
    <xf numFmtId="0" fontId="3" fillId="3" borderId="0" xfId="0" applyFont="1" applyFill="1" applyAlignment="1" applyProtection="1">
      <alignment horizontal="left"/>
    </xf>
    <xf numFmtId="0" fontId="7" fillId="3" borderId="5" xfId="0" applyFont="1" applyFill="1" applyBorder="1" applyAlignment="1" applyProtection="1">
      <alignment horizontal="center"/>
    </xf>
    <xf numFmtId="0" fontId="4" fillId="3" borderId="0" xfId="0" applyFont="1" applyFill="1" applyAlignment="1" applyProtection="1">
      <alignment horizontal="center"/>
    </xf>
    <xf numFmtId="0" fontId="4" fillId="3" borderId="0" xfId="0" applyNumberFormat="1" applyFont="1" applyFill="1" applyAlignment="1" applyProtection="1">
      <alignment horizontal="right"/>
    </xf>
    <xf numFmtId="2" fontId="4" fillId="2" borderId="1" xfId="0" applyNumberFormat="1" applyFont="1" applyFill="1" applyBorder="1" applyAlignment="1" applyProtection="1">
      <alignment horizontal="center"/>
      <protection locked="0"/>
    </xf>
    <xf numFmtId="3" fontId="4" fillId="2" borderId="1" xfId="0" applyNumberFormat="1" applyFont="1" applyFill="1" applyBorder="1" applyAlignment="1" applyProtection="1">
      <alignment horizontal="center"/>
      <protection locked="0"/>
    </xf>
    <xf numFmtId="1" fontId="4" fillId="2" borderId="1" xfId="0" applyNumberFormat="1" applyFont="1" applyFill="1" applyBorder="1" applyAlignment="1" applyProtection="1">
      <alignment horizontal="center"/>
      <protection locked="0"/>
    </xf>
    <xf numFmtId="3" fontId="3" fillId="4" borderId="6" xfId="0" applyNumberFormat="1" applyFont="1" applyFill="1" applyBorder="1" applyAlignment="1" applyProtection="1">
      <alignment horizontal="center"/>
    </xf>
    <xf numFmtId="14" fontId="4" fillId="2" borderId="1" xfId="0" applyNumberFormat="1" applyFont="1" applyFill="1" applyBorder="1" applyAlignment="1" applyProtection="1">
      <alignment horizontal="center"/>
      <protection locked="0"/>
    </xf>
    <xf numFmtId="0" fontId="4" fillId="5" borderId="0" xfId="506" applyFont="1" applyFill="1" applyProtection="1"/>
    <xf numFmtId="0" fontId="4" fillId="5" borderId="0" xfId="0" applyFont="1" applyFill="1" applyProtection="1"/>
    <xf numFmtId="0" fontId="3" fillId="0" borderId="0" xfId="0" applyFont="1" applyAlignment="1">
      <alignment horizontal="center" vertical="center"/>
    </xf>
    <xf numFmtId="0" fontId="4" fillId="0" borderId="0" xfId="0" applyFont="1" applyAlignment="1">
      <alignment vertical="center"/>
    </xf>
    <xf numFmtId="0" fontId="4" fillId="0" borderId="0" xfId="0" applyFont="1" applyAlignment="1">
      <alignment horizontal="left" vertical="center"/>
    </xf>
    <xf numFmtId="0" fontId="4" fillId="0" borderId="0" xfId="0" applyFont="1" applyAlignment="1">
      <alignment vertical="center" wrapText="1"/>
    </xf>
    <xf numFmtId="0" fontId="4" fillId="0" borderId="0" xfId="0" applyFont="1" applyAlignment="1" applyProtection="1">
      <alignment vertical="center" wrapText="1"/>
    </xf>
    <xf numFmtId="0" fontId="16" fillId="0" borderId="0" xfId="0" applyFont="1" applyAlignment="1">
      <alignment vertical="center" wrapText="1"/>
    </xf>
    <xf numFmtId="0" fontId="4" fillId="6" borderId="0" xfId="0" applyFont="1" applyFill="1" applyAlignment="1">
      <alignment vertical="center"/>
    </xf>
    <xf numFmtId="0" fontId="4" fillId="0" borderId="0" xfId="0" applyFont="1" applyFill="1" applyAlignment="1">
      <alignment vertical="center"/>
    </xf>
    <xf numFmtId="0" fontId="4" fillId="3" borderId="0" xfId="0" applyFont="1" applyFill="1" applyAlignment="1">
      <alignment vertical="center" wrapText="1"/>
    </xf>
    <xf numFmtId="0" fontId="4" fillId="0" borderId="0" xfId="0" applyFont="1" applyFill="1" applyAlignment="1">
      <alignment vertical="center" wrapText="1"/>
    </xf>
    <xf numFmtId="0" fontId="4" fillId="7" borderId="0" xfId="0" applyFont="1" applyFill="1" applyAlignment="1">
      <alignment vertical="center" wrapText="1"/>
    </xf>
    <xf numFmtId="0" fontId="4" fillId="5" borderId="0" xfId="0" applyFont="1" applyFill="1" applyAlignment="1">
      <alignment vertical="center"/>
    </xf>
    <xf numFmtId="37" fontId="4" fillId="0" borderId="0" xfId="0" applyNumberFormat="1" applyFont="1" applyFill="1" applyAlignment="1" applyProtection="1">
      <alignment horizontal="left" vertical="center" wrapText="1"/>
    </xf>
    <xf numFmtId="0" fontId="4" fillId="0" borderId="0" xfId="0" applyFont="1" applyAlignment="1" applyProtection="1">
      <alignment vertical="center"/>
      <protection locked="0"/>
    </xf>
    <xf numFmtId="37" fontId="3" fillId="3" borderId="0" xfId="0" applyNumberFormat="1" applyFont="1" applyFill="1" applyAlignment="1" applyProtection="1">
      <alignment horizontal="left" vertical="center"/>
    </xf>
    <xf numFmtId="0" fontId="4" fillId="3" borderId="0" xfId="0" applyFont="1" applyFill="1" applyAlignment="1" applyProtection="1">
      <alignment vertical="center"/>
    </xf>
    <xf numFmtId="37" fontId="4" fillId="3" borderId="0" xfId="0" applyNumberFormat="1" applyFont="1" applyFill="1" applyAlignment="1" applyProtection="1">
      <alignment horizontal="left" vertical="center"/>
    </xf>
    <xf numFmtId="37" fontId="4" fillId="3" borderId="0" xfId="0" applyNumberFormat="1" applyFont="1" applyFill="1" applyBorder="1" applyAlignment="1" applyProtection="1">
      <alignment horizontal="left" vertical="center"/>
      <protection locked="0"/>
    </xf>
    <xf numFmtId="37" fontId="3" fillId="3" borderId="0" xfId="0" applyNumberFormat="1" applyFont="1" applyFill="1" applyAlignment="1" applyProtection="1">
      <alignment horizontal="centerContinuous" vertical="center"/>
    </xf>
    <xf numFmtId="0" fontId="4" fillId="3" borderId="0" xfId="0" applyFont="1" applyFill="1" applyAlignment="1" applyProtection="1">
      <alignment horizontal="centerContinuous" vertical="center"/>
    </xf>
    <xf numFmtId="0" fontId="3" fillId="8" borderId="0" xfId="0" applyFont="1" applyFill="1" applyAlignment="1" applyProtection="1">
      <alignment vertical="center"/>
    </xf>
    <xf numFmtId="0" fontId="4" fillId="8" borderId="0" xfId="0" applyFont="1" applyFill="1" applyAlignment="1" applyProtection="1">
      <alignment vertical="center"/>
    </xf>
    <xf numFmtId="37" fontId="3" fillId="9" borderId="0" xfId="0" applyNumberFormat="1" applyFont="1" applyFill="1" applyAlignment="1" applyProtection="1">
      <alignment horizontal="left" vertical="center"/>
    </xf>
    <xf numFmtId="0" fontId="4" fillId="9" borderId="0" xfId="0" applyFont="1" applyFill="1" applyAlignment="1" applyProtection="1">
      <alignment vertical="center"/>
    </xf>
    <xf numFmtId="37" fontId="4" fillId="3" borderId="7" xfId="0" applyNumberFormat="1" applyFont="1" applyFill="1" applyBorder="1" applyAlignment="1" applyProtection="1">
      <alignment horizontal="center" vertical="center"/>
    </xf>
    <xf numFmtId="37" fontId="4" fillId="7" borderId="5" xfId="0" applyNumberFormat="1" applyFont="1" applyFill="1" applyBorder="1" applyAlignment="1" applyProtection="1">
      <alignment horizontal="center" vertical="center"/>
    </xf>
    <xf numFmtId="37" fontId="4" fillId="3" borderId="1" xfId="0" applyNumberFormat="1" applyFont="1" applyFill="1" applyBorder="1" applyAlignment="1" applyProtection="1">
      <alignment horizontal="left" vertical="center"/>
    </xf>
    <xf numFmtId="0" fontId="4" fillId="3" borderId="1" xfId="0" applyFont="1" applyFill="1" applyBorder="1" applyAlignment="1" applyProtection="1">
      <alignment vertical="center"/>
    </xf>
    <xf numFmtId="3" fontId="4" fillId="2" borderId="5" xfId="0" applyNumberFormat="1" applyFont="1" applyFill="1" applyBorder="1" applyAlignment="1" applyProtection="1">
      <alignment vertical="center"/>
      <protection locked="0"/>
    </xf>
    <xf numFmtId="3" fontId="4" fillId="2" borderId="1" xfId="0" applyNumberFormat="1" applyFont="1" applyFill="1" applyBorder="1" applyAlignment="1" applyProtection="1">
      <alignment vertical="center"/>
      <protection locked="0"/>
    </xf>
    <xf numFmtId="0" fontId="0" fillId="3" borderId="0" xfId="0" applyFill="1" applyAlignment="1">
      <alignment vertical="center"/>
    </xf>
    <xf numFmtId="0" fontId="4" fillId="2" borderId="1" xfId="0" applyFont="1" applyFill="1" applyBorder="1" applyAlignment="1" applyProtection="1">
      <alignment vertical="center"/>
      <protection locked="0"/>
    </xf>
    <xf numFmtId="37" fontId="4" fillId="3" borderId="2" xfId="0" applyNumberFormat="1" applyFont="1" applyFill="1" applyBorder="1" applyAlignment="1" applyProtection="1">
      <alignment horizontal="left" vertical="center"/>
    </xf>
    <xf numFmtId="0" fontId="4" fillId="3" borderId="2" xfId="0" applyFont="1" applyFill="1" applyBorder="1" applyAlignment="1" applyProtection="1">
      <alignment vertical="center"/>
    </xf>
    <xf numFmtId="0" fontId="4" fillId="3" borderId="8" xfId="0" applyFont="1" applyFill="1" applyBorder="1" applyAlignment="1" applyProtection="1">
      <alignment vertical="center"/>
    </xf>
    <xf numFmtId="37" fontId="4" fillId="3" borderId="9" xfId="0" applyNumberFormat="1" applyFont="1" applyFill="1" applyBorder="1" applyAlignment="1" applyProtection="1">
      <alignment vertical="center"/>
    </xf>
    <xf numFmtId="37" fontId="4" fillId="4" borderId="9" xfId="0" applyNumberFormat="1" applyFont="1" applyFill="1" applyBorder="1" applyAlignment="1" applyProtection="1">
      <alignment vertical="center"/>
    </xf>
    <xf numFmtId="37" fontId="4" fillId="3" borderId="0" xfId="0" applyNumberFormat="1" applyFont="1" applyFill="1" applyBorder="1" applyAlignment="1" applyProtection="1">
      <alignment horizontal="left"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164" fontId="4" fillId="2" borderId="1" xfId="0" applyNumberFormat="1" applyFont="1" applyFill="1" applyBorder="1" applyAlignment="1" applyProtection="1">
      <alignment vertical="center"/>
      <protection locked="0"/>
    </xf>
    <xf numFmtId="164" fontId="4" fillId="3" borderId="1" xfId="0" applyNumberFormat="1" applyFont="1" applyFill="1" applyBorder="1" applyAlignment="1" applyProtection="1">
      <alignment vertical="center"/>
      <protection locked="0"/>
    </xf>
    <xf numFmtId="164" fontId="4" fillId="3" borderId="2" xfId="0" applyNumberFormat="1" applyFont="1" applyFill="1" applyBorder="1" applyAlignment="1" applyProtection="1">
      <alignment vertical="center"/>
      <protection locked="0"/>
    </xf>
    <xf numFmtId="0" fontId="4" fillId="3" borderId="7" xfId="0" applyFont="1" applyFill="1" applyBorder="1" applyAlignment="1" applyProtection="1">
      <alignment vertical="center"/>
    </xf>
    <xf numFmtId="3" fontId="4" fillId="4" borderId="1" xfId="0" applyNumberFormat="1" applyFont="1" applyFill="1" applyBorder="1" applyAlignment="1" applyProtection="1">
      <alignment vertical="center"/>
    </xf>
    <xf numFmtId="164" fontId="4" fillId="3" borderId="5" xfId="0" applyNumberFormat="1" applyFont="1" applyFill="1" applyBorder="1" applyAlignment="1" applyProtection="1">
      <alignment vertical="center"/>
      <protection locked="0"/>
    </xf>
    <xf numFmtId="3" fontId="4" fillId="3" borderId="0" xfId="0" applyNumberFormat="1" applyFont="1" applyFill="1" applyBorder="1" applyAlignment="1" applyProtection="1">
      <alignment vertical="center"/>
      <protection locked="0"/>
    </xf>
    <xf numFmtId="37" fontId="4" fillId="8" borderId="0" xfId="0" applyNumberFormat="1" applyFont="1" applyFill="1" applyAlignment="1" applyProtection="1">
      <alignment horizontal="center" vertical="center"/>
    </xf>
    <xf numFmtId="0" fontId="4" fillId="8" borderId="2" xfId="0" applyFont="1" applyFill="1" applyBorder="1" applyAlignment="1">
      <alignment horizontal="center" vertical="center"/>
    </xf>
    <xf numFmtId="37" fontId="4" fillId="3" borderId="1" xfId="0" applyNumberFormat="1" applyFont="1" applyFill="1" applyBorder="1" applyAlignment="1" applyProtection="1">
      <alignment vertical="center"/>
    </xf>
    <xf numFmtId="164" fontId="4" fillId="4" borderId="1" xfId="0" applyNumberFormat="1" applyFont="1" applyFill="1" applyBorder="1" applyAlignment="1" applyProtection="1">
      <alignment vertical="center"/>
    </xf>
    <xf numFmtId="37" fontId="4" fillId="7" borderId="2" xfId="0" applyNumberFormat="1" applyFont="1" applyFill="1" applyBorder="1" applyAlignment="1" applyProtection="1">
      <alignment horizontal="left" vertical="center"/>
    </xf>
    <xf numFmtId="0" fontId="4" fillId="7" borderId="2" xfId="0" applyFont="1" applyFill="1" applyBorder="1" applyAlignment="1" applyProtection="1">
      <alignment vertical="center"/>
    </xf>
    <xf numFmtId="37" fontId="4" fillId="7" borderId="8" xfId="0" applyNumberFormat="1" applyFont="1" applyFill="1" applyBorder="1" applyAlignment="1" applyProtection="1">
      <alignment horizontal="left" vertical="center"/>
    </xf>
    <xf numFmtId="0" fontId="4" fillId="7" borderId="8" xfId="0" applyFont="1" applyFill="1" applyBorder="1" applyAlignment="1" applyProtection="1">
      <alignment vertical="center"/>
    </xf>
    <xf numFmtId="0" fontId="4" fillId="3" borderId="9" xfId="0" applyFont="1" applyFill="1" applyBorder="1" applyAlignment="1" applyProtection="1">
      <alignment vertical="center"/>
    </xf>
    <xf numFmtId="37" fontId="12" fillId="8" borderId="0" xfId="0" applyNumberFormat="1" applyFont="1" applyFill="1" applyAlignment="1" applyProtection="1">
      <alignment horizontal="left" vertical="center"/>
    </xf>
    <xf numFmtId="0" fontId="5" fillId="7" borderId="0" xfId="0" applyFont="1" applyFill="1" applyAlignment="1" applyProtection="1">
      <alignment vertical="center"/>
    </xf>
    <xf numFmtId="0" fontId="5" fillId="3" borderId="0" xfId="0" applyFont="1" applyFill="1" applyAlignment="1" applyProtection="1">
      <alignment horizontal="center" vertical="center"/>
    </xf>
    <xf numFmtId="3" fontId="4" fillId="3" borderId="0" xfId="0" applyNumberFormat="1" applyFont="1" applyFill="1" applyAlignment="1" applyProtection="1">
      <alignment vertical="center"/>
    </xf>
    <xf numFmtId="0" fontId="4" fillId="3" borderId="0" xfId="0" applyFont="1" applyFill="1" applyAlignment="1" applyProtection="1">
      <alignment vertical="center"/>
      <protection locked="0"/>
    </xf>
    <xf numFmtId="0" fontId="4" fillId="8" borderId="2" xfId="0" applyFont="1" applyFill="1" applyBorder="1" applyAlignment="1" applyProtection="1">
      <alignment vertical="center"/>
    </xf>
    <xf numFmtId="0" fontId="4" fillId="3" borderId="7" xfId="0" applyFont="1" applyFill="1" applyBorder="1" applyAlignment="1" applyProtection="1">
      <alignment vertical="center"/>
      <protection locked="0"/>
    </xf>
    <xf numFmtId="3" fontId="4" fillId="6" borderId="1" xfId="0" applyNumberFormat="1" applyFont="1" applyFill="1" applyBorder="1" applyAlignment="1" applyProtection="1">
      <alignment vertical="center"/>
      <protection locked="0"/>
    </xf>
    <xf numFmtId="0" fontId="4" fillId="8" borderId="8" xfId="0" applyFont="1" applyFill="1" applyBorder="1" applyAlignment="1" applyProtection="1">
      <alignment vertical="center"/>
    </xf>
    <xf numFmtId="0" fontId="4" fillId="3" borderId="9" xfId="0" applyFont="1" applyFill="1" applyBorder="1" applyAlignment="1" applyProtection="1">
      <alignment vertical="center"/>
      <protection locked="0"/>
    </xf>
    <xf numFmtId="0" fontId="0" fillId="0" borderId="0" xfId="0" applyAlignment="1">
      <alignment vertical="center"/>
    </xf>
    <xf numFmtId="37" fontId="4" fillId="3" borderId="8" xfId="0" applyNumberFormat="1" applyFont="1" applyFill="1" applyBorder="1" applyAlignment="1" applyProtection="1">
      <alignment horizontal="left" vertical="center"/>
    </xf>
    <xf numFmtId="37" fontId="4" fillId="6" borderId="1" xfId="0" applyNumberFormat="1" applyFont="1" applyFill="1" applyBorder="1" applyAlignment="1" applyProtection="1">
      <alignment vertical="center"/>
      <protection locked="0"/>
    </xf>
    <xf numFmtId="37" fontId="3" fillId="3" borderId="8" xfId="0" applyNumberFormat="1" applyFont="1" applyFill="1" applyBorder="1" applyAlignment="1" applyProtection="1">
      <alignment horizontal="left" vertical="center"/>
    </xf>
    <xf numFmtId="0" fontId="12" fillId="3" borderId="0" xfId="0" applyFont="1" applyFill="1" applyBorder="1" applyAlignment="1" applyProtection="1">
      <alignment horizontal="center" vertical="center"/>
    </xf>
    <xf numFmtId="171" fontId="4" fillId="6" borderId="2" xfId="0" applyNumberFormat="1" applyFont="1" applyFill="1" applyBorder="1" applyAlignment="1" applyProtection="1">
      <alignment vertical="center"/>
      <protection locked="0"/>
    </xf>
    <xf numFmtId="171" fontId="4" fillId="6" borderId="8" xfId="0" applyNumberFormat="1" applyFont="1" applyFill="1" applyBorder="1" applyAlignment="1" applyProtection="1">
      <alignment vertical="center"/>
      <protection locked="0"/>
    </xf>
    <xf numFmtId="0" fontId="4" fillId="3" borderId="10" xfId="0" applyFont="1" applyFill="1" applyBorder="1" applyAlignment="1" applyProtection="1">
      <alignment vertical="center"/>
    </xf>
    <xf numFmtId="171" fontId="4" fillId="6" borderId="10"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2" xfId="0" applyFill="1" applyBorder="1" applyAlignment="1" applyProtection="1">
      <alignment vertical="center"/>
    </xf>
    <xf numFmtId="37" fontId="3" fillId="8" borderId="0" xfId="0" applyNumberFormat="1" applyFont="1" applyFill="1" applyAlignment="1" applyProtection="1">
      <alignment horizontal="left" vertical="center"/>
    </xf>
    <xf numFmtId="3" fontId="4" fillId="8" borderId="0" xfId="0" applyNumberFormat="1" applyFont="1" applyFill="1" applyAlignment="1" applyProtection="1">
      <alignment vertical="center"/>
    </xf>
    <xf numFmtId="3" fontId="4" fillId="3" borderId="7" xfId="0" applyNumberFormat="1" applyFont="1" applyFill="1" applyBorder="1" applyAlignment="1" applyProtection="1">
      <alignment vertical="center"/>
    </xf>
    <xf numFmtId="3" fontId="4" fillId="3" borderId="9" xfId="0" applyNumberFormat="1" applyFont="1" applyFill="1" applyBorder="1" applyAlignment="1" applyProtection="1">
      <alignment vertical="center"/>
    </xf>
    <xf numFmtId="0" fontId="3" fillId="8" borderId="0" xfId="0" applyFont="1" applyFill="1" applyAlignment="1">
      <alignment vertical="center"/>
    </xf>
    <xf numFmtId="0" fontId="1" fillId="8" borderId="0" xfId="0" applyFont="1" applyFill="1" applyAlignment="1">
      <alignment vertical="center"/>
    </xf>
    <xf numFmtId="0" fontId="0" fillId="8" borderId="0" xfId="0" applyFill="1" applyAlignment="1" applyProtection="1">
      <alignment vertical="center"/>
      <protection locked="0"/>
    </xf>
    <xf numFmtId="0" fontId="4" fillId="3" borderId="2" xfId="0" applyFont="1" applyFill="1" applyBorder="1" applyAlignment="1">
      <alignment vertical="center"/>
    </xf>
    <xf numFmtId="0" fontId="0" fillId="3" borderId="2" xfId="0" applyFill="1" applyBorder="1" applyAlignment="1">
      <alignment vertical="center"/>
    </xf>
    <xf numFmtId="0" fontId="0" fillId="3" borderId="7" xfId="0" applyFill="1" applyBorder="1" applyAlignment="1">
      <alignment vertical="center"/>
    </xf>
    <xf numFmtId="0" fontId="4" fillId="3" borderId="8" xfId="0" applyFont="1" applyFill="1" applyBorder="1" applyAlignment="1">
      <alignment vertical="center"/>
    </xf>
    <xf numFmtId="0" fontId="0" fillId="3" borderId="8" xfId="0" applyFill="1" applyBorder="1" applyAlignment="1">
      <alignment vertical="center"/>
    </xf>
    <xf numFmtId="0" fontId="0" fillId="3" borderId="9" xfId="0" applyFill="1" applyBorder="1" applyAlignment="1">
      <alignment vertical="center"/>
    </xf>
    <xf numFmtId="0" fontId="0" fillId="5" borderId="0" xfId="0" applyFill="1" applyAlignment="1">
      <alignment vertical="center"/>
    </xf>
    <xf numFmtId="0" fontId="4" fillId="7" borderId="3" xfId="0" applyFont="1" applyFill="1" applyBorder="1" applyAlignment="1">
      <alignment horizontal="center" vertical="center"/>
    </xf>
    <xf numFmtId="0" fontId="4" fillId="7" borderId="5" xfId="0" applyFont="1" applyFill="1" applyBorder="1" applyAlignment="1">
      <alignment horizontal="center" vertical="center"/>
    </xf>
    <xf numFmtId="0" fontId="15" fillId="3" borderId="0" xfId="0" applyFont="1" applyFill="1" applyAlignment="1">
      <alignment vertical="center"/>
    </xf>
    <xf numFmtId="0" fontId="18" fillId="3" borderId="0" xfId="0" applyFont="1" applyFill="1" applyAlignment="1">
      <alignment vertical="center"/>
    </xf>
    <xf numFmtId="37" fontId="4" fillId="3" borderId="1" xfId="0" applyNumberFormat="1" applyFont="1" applyFill="1" applyBorder="1" applyAlignment="1">
      <alignment vertical="center"/>
    </xf>
    <xf numFmtId="0" fontId="4" fillId="3" borderId="0" xfId="0" applyFont="1" applyFill="1" applyAlignment="1" applyProtection="1">
      <alignment horizontal="right" vertical="center"/>
    </xf>
    <xf numFmtId="37" fontId="4" fillId="3" borderId="0" xfId="0" applyNumberFormat="1" applyFont="1" applyFill="1" applyAlignment="1" applyProtection="1">
      <alignment horizontal="center" vertical="center"/>
    </xf>
    <xf numFmtId="37" fontId="4" fillId="3" borderId="0" xfId="0" applyNumberFormat="1" applyFont="1" applyFill="1" applyAlignment="1" applyProtection="1">
      <alignment horizontal="centerContinuous" vertical="center"/>
    </xf>
    <xf numFmtId="37" fontId="4" fillId="3" borderId="11" xfId="0" applyNumberFormat="1" applyFont="1" applyFill="1" applyBorder="1" applyAlignment="1" applyProtection="1">
      <alignment horizontal="centerContinuous" vertical="center"/>
    </xf>
    <xf numFmtId="0" fontId="4" fillId="3" borderId="8" xfId="0" applyFont="1" applyFill="1" applyBorder="1" applyAlignment="1" applyProtection="1">
      <alignment horizontal="centerContinuous" vertical="center"/>
    </xf>
    <xf numFmtId="0" fontId="4" fillId="3" borderId="9" xfId="0" applyFont="1" applyFill="1" applyBorder="1" applyAlignment="1" applyProtection="1">
      <alignment horizontal="centerContinuous" vertical="center"/>
    </xf>
    <xf numFmtId="37" fontId="4" fillId="3" borderId="2" xfId="0" applyNumberFormat="1" applyFont="1" applyFill="1" applyBorder="1" applyAlignment="1" applyProtection="1">
      <alignment horizontal="fill" vertical="center"/>
    </xf>
    <xf numFmtId="37" fontId="4" fillId="3" borderId="3" xfId="0" applyNumberFormat="1" applyFont="1" applyFill="1" applyBorder="1" applyAlignment="1" applyProtection="1">
      <alignment horizontal="left" vertical="center"/>
    </xf>
    <xf numFmtId="37" fontId="4" fillId="3" borderId="3" xfId="0" applyNumberFormat="1" applyFont="1" applyFill="1" applyBorder="1" applyAlignment="1" applyProtection="1">
      <alignment horizontal="center" vertical="center"/>
    </xf>
    <xf numFmtId="37" fontId="4" fillId="3" borderId="4" xfId="0" applyNumberFormat="1" applyFont="1" applyFill="1" applyBorder="1" applyAlignment="1" applyProtection="1">
      <alignment horizontal="center" vertical="center"/>
    </xf>
    <xf numFmtId="0" fontId="4" fillId="3" borderId="4" xfId="0" applyFont="1" applyFill="1" applyBorder="1" applyAlignment="1">
      <alignment horizontal="center" vertical="center"/>
    </xf>
    <xf numFmtId="37" fontId="3" fillId="3" borderId="2" xfId="0" applyNumberFormat="1" applyFont="1" applyFill="1" applyBorder="1" applyAlignment="1" applyProtection="1">
      <alignment horizontal="left" vertical="center"/>
    </xf>
    <xf numFmtId="37" fontId="4" fillId="3" borderId="5" xfId="0" applyNumberFormat="1" applyFont="1" applyFill="1" applyBorder="1" applyAlignment="1" applyProtection="1">
      <alignment horizontal="center" vertical="center"/>
    </xf>
    <xf numFmtId="0" fontId="4" fillId="3" borderId="5" xfId="0" applyFont="1" applyFill="1" applyBorder="1" applyAlignment="1">
      <alignment horizontal="center" vertical="center"/>
    </xf>
    <xf numFmtId="37" fontId="4" fillId="3" borderId="11" xfId="0" applyNumberFormat="1" applyFont="1" applyFill="1" applyBorder="1" applyAlignment="1" applyProtection="1">
      <alignment horizontal="left" vertical="center"/>
    </xf>
    <xf numFmtId="37" fontId="4" fillId="3" borderId="1" xfId="0" applyNumberFormat="1" applyFont="1" applyFill="1" applyBorder="1" applyAlignment="1" applyProtection="1">
      <alignment horizontal="center" vertical="center"/>
    </xf>
    <xf numFmtId="0" fontId="4" fillId="3" borderId="3" xfId="0" applyFont="1" applyFill="1" applyBorder="1" applyAlignment="1" applyProtection="1">
      <alignment vertical="center"/>
    </xf>
    <xf numFmtId="0" fontId="4" fillId="3" borderId="4" xfId="0" applyFont="1" applyFill="1" applyBorder="1" applyAlignment="1" applyProtection="1">
      <alignment vertical="center"/>
    </xf>
    <xf numFmtId="37" fontId="12" fillId="3" borderId="11" xfId="0" applyNumberFormat="1" applyFont="1" applyFill="1" applyBorder="1" applyAlignment="1" applyProtection="1">
      <alignment horizontal="left" vertical="center"/>
    </xf>
    <xf numFmtId="37" fontId="12" fillId="3" borderId="9" xfId="0" applyNumberFormat="1" applyFont="1" applyFill="1" applyBorder="1" applyAlignment="1" applyProtection="1">
      <alignment horizontal="center" vertical="center"/>
    </xf>
    <xf numFmtId="0" fontId="4" fillId="3" borderId="1" xfId="0" applyFont="1" applyFill="1" applyBorder="1" applyAlignment="1" applyProtection="1">
      <alignment horizontal="center" vertical="center"/>
    </xf>
    <xf numFmtId="0" fontId="4" fillId="3" borderId="5" xfId="0" applyFont="1" applyFill="1" applyBorder="1" applyAlignment="1" applyProtection="1">
      <alignment vertical="center"/>
    </xf>
    <xf numFmtId="37" fontId="4" fillId="4" borderId="1" xfId="0" applyNumberFormat="1" applyFont="1" applyFill="1" applyBorder="1" applyAlignment="1" applyProtection="1">
      <alignment horizontal="center" vertical="center"/>
    </xf>
    <xf numFmtId="37" fontId="4" fillId="3" borderId="11" xfId="0" applyNumberFormat="1" applyFont="1" applyFill="1" applyBorder="1" applyAlignment="1" applyProtection="1">
      <alignment vertical="center"/>
    </xf>
    <xf numFmtId="0" fontId="4" fillId="3" borderId="9" xfId="0" applyFont="1" applyFill="1" applyBorder="1" applyAlignment="1" applyProtection="1">
      <alignment horizontal="center" vertical="center"/>
    </xf>
    <xf numFmtId="37" fontId="4" fillId="3" borderId="9" xfId="0" applyNumberFormat="1" applyFont="1" applyFill="1" applyBorder="1" applyAlignment="1" applyProtection="1">
      <alignment horizontal="center" vertical="center"/>
    </xf>
    <xf numFmtId="0" fontId="4" fillId="3" borderId="12" xfId="0" applyFont="1" applyFill="1" applyBorder="1" applyAlignment="1" applyProtection="1">
      <alignment horizontal="center" vertical="center"/>
    </xf>
    <xf numFmtId="0" fontId="4" fillId="3" borderId="13" xfId="0" applyFont="1" applyFill="1" applyBorder="1" applyAlignment="1" applyProtection="1">
      <alignment horizontal="center" vertical="center"/>
    </xf>
    <xf numFmtId="0" fontId="4" fillId="10" borderId="1" xfId="0" applyFont="1" applyFill="1" applyBorder="1" applyAlignment="1" applyProtection="1">
      <alignment vertical="center"/>
    </xf>
    <xf numFmtId="37" fontId="4" fillId="10" borderId="1" xfId="0" applyNumberFormat="1" applyFont="1" applyFill="1" applyBorder="1" applyAlignment="1" applyProtection="1">
      <alignment vertical="center"/>
    </xf>
    <xf numFmtId="0" fontId="0" fillId="10" borderId="1" xfId="0" applyFill="1" applyBorder="1" applyAlignment="1" applyProtection="1">
      <alignment vertical="center"/>
    </xf>
    <xf numFmtId="0" fontId="15" fillId="10" borderId="9" xfId="0" applyFont="1" applyFill="1" applyBorder="1" applyAlignment="1" applyProtection="1">
      <alignment horizontal="center" vertical="center"/>
    </xf>
    <xf numFmtId="37" fontId="4" fillId="3" borderId="0" xfId="0" applyNumberFormat="1" applyFont="1" applyFill="1" applyAlignment="1" applyProtection="1">
      <alignment horizontal="right" vertical="center"/>
    </xf>
    <xf numFmtId="0" fontId="4" fillId="3" borderId="0" xfId="0" applyFont="1" applyFill="1" applyBorder="1" applyAlignment="1" applyProtection="1">
      <alignment horizontal="right" vertical="center"/>
    </xf>
    <xf numFmtId="0" fontId="4" fillId="3" borderId="0" xfId="0" applyFont="1" applyFill="1" applyAlignment="1" applyProtection="1">
      <alignment horizontal="left" vertical="center"/>
    </xf>
    <xf numFmtId="0" fontId="4" fillId="3" borderId="0" xfId="0" applyFont="1" applyFill="1" applyAlignment="1" applyProtection="1">
      <alignment horizontal="center" vertical="center"/>
    </xf>
    <xf numFmtId="0" fontId="4" fillId="3" borderId="0" xfId="0" applyFont="1" applyFill="1" applyAlignment="1">
      <alignment vertical="center"/>
    </xf>
    <xf numFmtId="37" fontId="4" fillId="3" borderId="0" xfId="0" applyNumberFormat="1" applyFont="1" applyFill="1" applyAlignment="1">
      <alignment vertical="center"/>
    </xf>
    <xf numFmtId="0" fontId="3" fillId="3" borderId="0" xfId="0" applyFont="1" applyFill="1" applyAlignment="1">
      <alignment horizontal="center" vertical="center"/>
    </xf>
    <xf numFmtId="0" fontId="3" fillId="3" borderId="0" xfId="0" applyFont="1" applyFill="1" applyAlignment="1">
      <alignment horizontal="center" vertical="center" wrapText="1"/>
    </xf>
    <xf numFmtId="0" fontId="4" fillId="3" borderId="0" xfId="0" quotePrefix="1" applyFont="1" applyFill="1" applyAlignment="1">
      <alignment horizontal="right" vertical="center"/>
    </xf>
    <xf numFmtId="3" fontId="4" fillId="3" borderId="0" xfId="0" applyNumberFormat="1" applyFont="1" applyFill="1" applyAlignment="1">
      <alignment vertical="center"/>
    </xf>
    <xf numFmtId="3" fontId="4" fillId="3" borderId="0" xfId="0" quotePrefix="1" applyNumberFormat="1" applyFont="1" applyFill="1" applyAlignment="1">
      <alignment vertical="center"/>
    </xf>
    <xf numFmtId="3" fontId="4" fillId="3" borderId="2" xfId="0" applyNumberFormat="1" applyFont="1" applyFill="1" applyBorder="1" applyAlignment="1">
      <alignment vertical="center"/>
    </xf>
    <xf numFmtId="3" fontId="4" fillId="3" borderId="8" xfId="0" applyNumberFormat="1" applyFont="1" applyFill="1" applyBorder="1" applyAlignment="1" applyProtection="1">
      <alignment horizontal="right" vertical="center"/>
    </xf>
    <xf numFmtId="3" fontId="4" fillId="3" borderId="8" xfId="0" applyNumberFormat="1" applyFont="1" applyFill="1" applyBorder="1" applyAlignment="1">
      <alignment vertical="center"/>
    </xf>
    <xf numFmtId="3" fontId="4" fillId="3" borderId="2" xfId="0" applyNumberFormat="1" applyFont="1" applyFill="1" applyBorder="1" applyAlignment="1" applyProtection="1">
      <alignment vertical="center"/>
    </xf>
    <xf numFmtId="3" fontId="4" fillId="3" borderId="0" xfId="0" applyNumberFormat="1" applyFont="1" applyFill="1" applyBorder="1" applyAlignment="1">
      <alignment vertical="center"/>
    </xf>
    <xf numFmtId="0" fontId="4" fillId="3" borderId="0" xfId="0" quotePrefix="1" applyFont="1" applyFill="1" applyAlignment="1">
      <alignment vertical="center"/>
    </xf>
    <xf numFmtId="0" fontId="4" fillId="3" borderId="0" xfId="0" applyFont="1" applyFill="1" applyAlignment="1">
      <alignment horizontal="right" vertical="center"/>
    </xf>
    <xf numFmtId="3" fontId="4" fillId="3" borderId="8" xfId="0" applyNumberFormat="1" applyFont="1" applyFill="1" applyBorder="1" applyAlignment="1" applyProtection="1">
      <alignment vertical="center"/>
    </xf>
    <xf numFmtId="3" fontId="4" fillId="3" borderId="10" xfId="0" applyNumberFormat="1" applyFont="1" applyFill="1" applyBorder="1" applyAlignment="1">
      <alignment vertical="center"/>
    </xf>
    <xf numFmtId="0" fontId="4" fillId="3" borderId="10" xfId="0" applyFont="1" applyFill="1" applyBorder="1" applyAlignment="1">
      <alignment vertical="center"/>
    </xf>
    <xf numFmtId="0" fontId="4" fillId="3" borderId="0" xfId="0" applyFont="1" applyFill="1" applyBorder="1" applyAlignment="1">
      <alignment vertical="center"/>
    </xf>
    <xf numFmtId="167" fontId="4" fillId="3" borderId="2" xfId="0" applyNumberFormat="1" applyFont="1" applyFill="1" applyBorder="1" applyAlignment="1">
      <alignment vertical="center"/>
    </xf>
    <xf numFmtId="0" fontId="4" fillId="3" borderId="0" xfId="0" quotePrefix="1" applyFont="1" applyFill="1" applyBorder="1" applyAlignment="1">
      <alignment vertical="center"/>
    </xf>
    <xf numFmtId="3" fontId="4" fillId="3" borderId="14" xfId="0" applyNumberFormat="1" applyFont="1" applyFill="1" applyBorder="1" applyAlignment="1">
      <alignment vertical="center"/>
    </xf>
    <xf numFmtId="3" fontId="4" fillId="3" borderId="2" xfId="1" applyNumberFormat="1" applyFont="1" applyFill="1" applyBorder="1" applyAlignment="1" applyProtection="1">
      <alignment vertical="center"/>
    </xf>
    <xf numFmtId="37" fontId="4" fillId="3" borderId="0" xfId="0" applyNumberFormat="1" applyFont="1" applyFill="1" applyAlignment="1" applyProtection="1">
      <alignment vertical="center"/>
    </xf>
    <xf numFmtId="0" fontId="4" fillId="3" borderId="2" xfId="0" applyFont="1" applyFill="1" applyBorder="1" applyAlignment="1" applyProtection="1">
      <alignment horizontal="centerContinuous" vertical="center"/>
    </xf>
    <xf numFmtId="0" fontId="4" fillId="3" borderId="3"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66" fontId="4" fillId="3" borderId="0" xfId="0" applyNumberFormat="1" applyFont="1" applyFill="1" applyAlignment="1" applyProtection="1">
      <alignment vertical="center"/>
    </xf>
    <xf numFmtId="37" fontId="4" fillId="3" borderId="2" xfId="0" applyNumberFormat="1" applyFont="1" applyFill="1" applyBorder="1" applyAlignment="1" applyProtection="1">
      <alignment vertical="center"/>
    </xf>
    <xf numFmtId="165" fontId="4" fillId="4" borderId="2" xfId="0" applyNumberFormat="1" applyFont="1" applyFill="1" applyBorder="1" applyAlignment="1" applyProtection="1">
      <alignment vertical="center"/>
    </xf>
    <xf numFmtId="0" fontId="3" fillId="3" borderId="2" xfId="0" applyFont="1" applyFill="1" applyBorder="1" applyAlignment="1" applyProtection="1">
      <alignment horizontal="center" vertical="center"/>
    </xf>
    <xf numFmtId="0" fontId="3" fillId="3" borderId="3" xfId="0" applyFont="1" applyFill="1" applyBorder="1" applyAlignment="1" applyProtection="1">
      <alignment horizontal="center" vertical="center"/>
    </xf>
    <xf numFmtId="0" fontId="3" fillId="3" borderId="4" xfId="0" applyFont="1" applyFill="1" applyBorder="1" applyAlignment="1" applyProtection="1">
      <alignment horizontal="center" vertical="center"/>
    </xf>
    <xf numFmtId="0" fontId="3" fillId="3" borderId="5" xfId="0" applyFont="1" applyFill="1" applyBorder="1" applyAlignment="1" applyProtection="1">
      <alignment horizontal="center" vertical="center"/>
    </xf>
    <xf numFmtId="1" fontId="4" fillId="3" borderId="5" xfId="0" applyNumberFormat="1" applyFont="1" applyFill="1" applyBorder="1" applyAlignment="1" applyProtection="1">
      <alignment horizontal="center" vertical="center"/>
    </xf>
    <xf numFmtId="0" fontId="4" fillId="6" borderId="5" xfId="0" applyFont="1" applyFill="1" applyBorder="1" applyAlignment="1" applyProtection="1">
      <alignment vertical="center"/>
      <protection locked="0"/>
    </xf>
    <xf numFmtId="170" fontId="4" fillId="6" borderId="5" xfId="1" applyNumberFormat="1" applyFont="1" applyFill="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1" xfId="0" applyFont="1" applyFill="1" applyBorder="1" applyAlignment="1" applyProtection="1">
      <alignment vertical="center"/>
      <protection locked="0"/>
    </xf>
    <xf numFmtId="170" fontId="4" fillId="6" borderId="1" xfId="1"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center" vertical="center"/>
    </xf>
    <xf numFmtId="3" fontId="4" fillId="4" borderId="1"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protection locked="0"/>
    </xf>
    <xf numFmtId="37" fontId="3" fillId="3" borderId="1" xfId="0" applyNumberFormat="1" applyFont="1" applyFill="1" applyBorder="1" applyAlignment="1" applyProtection="1">
      <alignment horizontal="center" vertical="center"/>
    </xf>
    <xf numFmtId="0" fontId="4" fillId="6" borderId="1" xfId="0" applyFont="1" applyFill="1" applyBorder="1" applyAlignment="1" applyProtection="1">
      <alignment horizontal="center" vertical="center"/>
      <protection locked="0"/>
    </xf>
    <xf numFmtId="1" fontId="4" fillId="3" borderId="0" xfId="0" applyNumberFormat="1" applyFont="1" applyFill="1" applyBorder="1" applyAlignment="1" applyProtection="1">
      <alignment horizontal="right" vertical="center"/>
    </xf>
    <xf numFmtId="0" fontId="3" fillId="3" borderId="0" xfId="507" applyFont="1" applyFill="1" applyAlignment="1" applyProtection="1">
      <alignment horizontal="centerContinuous" vertical="center"/>
    </xf>
    <xf numFmtId="0" fontId="4" fillId="3" borderId="2" xfId="0" applyFont="1" applyFill="1" applyBorder="1" applyAlignment="1" applyProtection="1">
      <alignment horizontal="fill" vertical="center"/>
    </xf>
    <xf numFmtId="0" fontId="4" fillId="3" borderId="15" xfId="0" applyFont="1" applyFill="1" applyBorder="1" applyAlignment="1" applyProtection="1">
      <alignment horizontal="centerContinuous" vertical="center"/>
    </xf>
    <xf numFmtId="0" fontId="4" fillId="3" borderId="13" xfId="0" applyFont="1" applyFill="1" applyBorder="1" applyAlignment="1" applyProtection="1">
      <alignment horizontal="centerContinuous" vertical="center"/>
    </xf>
    <xf numFmtId="0" fontId="4" fillId="3" borderId="4" xfId="0" applyFont="1" applyFill="1" applyBorder="1" applyAlignment="1" applyProtection="1">
      <alignment horizontal="center" vertical="center"/>
    </xf>
    <xf numFmtId="1" fontId="4" fillId="3" borderId="16" xfId="0" applyNumberFormat="1" applyFont="1" applyFill="1" applyBorder="1" applyAlignment="1" applyProtection="1">
      <alignment horizontal="center" vertical="center"/>
    </xf>
    <xf numFmtId="0" fontId="4" fillId="3" borderId="1" xfId="0" applyFont="1" applyFill="1" applyBorder="1" applyAlignment="1" applyProtection="1">
      <alignment horizontal="left" vertical="center"/>
    </xf>
    <xf numFmtId="2" fontId="4" fillId="3" borderId="1" xfId="0" applyNumberFormat="1" applyFont="1" applyFill="1" applyBorder="1" applyAlignment="1" applyProtection="1">
      <alignment vertical="center"/>
    </xf>
    <xf numFmtId="3" fontId="4" fillId="3" borderId="1" xfId="0" applyNumberFormat="1" applyFont="1" applyFill="1" applyBorder="1" applyAlignment="1" applyProtection="1">
      <alignment vertical="center"/>
    </xf>
    <xf numFmtId="2" fontId="4" fillId="2" borderId="1" xfId="0" applyNumberFormat="1" applyFont="1" applyFill="1" applyBorder="1" applyAlignment="1" applyProtection="1">
      <alignment horizontal="center" vertical="center"/>
      <protection locked="0"/>
    </xf>
    <xf numFmtId="3" fontId="4" fillId="2" borderId="1" xfId="0" applyNumberFormat="1" applyFont="1" applyFill="1" applyBorder="1" applyAlignment="1" applyProtection="1">
      <alignment horizontal="center" vertical="center"/>
      <protection locked="0"/>
    </xf>
    <xf numFmtId="37" fontId="4" fillId="2" borderId="1" xfId="0" applyNumberFormat="1" applyFont="1" applyFill="1" applyBorder="1" applyAlignment="1" applyProtection="1">
      <alignment horizontal="center" vertical="center"/>
      <protection locked="0"/>
    </xf>
    <xf numFmtId="169" fontId="4" fillId="2" borderId="1" xfId="0" applyNumberFormat="1" applyFont="1" applyFill="1" applyBorder="1" applyAlignment="1" applyProtection="1">
      <alignment horizontal="center" vertical="center"/>
      <protection locked="0"/>
    </xf>
    <xf numFmtId="0" fontId="3" fillId="3" borderId="1" xfId="0" applyFont="1" applyFill="1" applyBorder="1" applyAlignment="1" applyProtection="1">
      <alignment horizontal="left" vertical="center"/>
    </xf>
    <xf numFmtId="168" fontId="3" fillId="3" borderId="1" xfId="0" applyNumberFormat="1" applyFont="1" applyFill="1" applyBorder="1" applyAlignment="1" applyProtection="1">
      <alignment horizontal="center" vertical="center"/>
    </xf>
    <xf numFmtId="2" fontId="3" fillId="3" borderId="1"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37" fontId="3" fillId="4" borderId="1" xfId="0" applyNumberFormat="1" applyFont="1" applyFill="1" applyBorder="1" applyAlignment="1" applyProtection="1">
      <alignment horizontal="center" vertical="center"/>
    </xf>
    <xf numFmtId="169" fontId="3" fillId="3" borderId="1" xfId="0" applyNumberFormat="1" applyFont="1" applyFill="1" applyBorder="1" applyAlignment="1" applyProtection="1">
      <alignment horizontal="center" vertical="center"/>
    </xf>
    <xf numFmtId="168" fontId="4" fillId="3" borderId="1" xfId="0" applyNumberFormat="1" applyFont="1" applyFill="1" applyBorder="1" applyAlignment="1" applyProtection="1">
      <alignment horizontal="center" vertical="center"/>
    </xf>
    <xf numFmtId="2" fontId="4" fillId="3" borderId="1" xfId="0" applyNumberFormat="1" applyFont="1" applyFill="1" applyBorder="1" applyAlignment="1" applyProtection="1">
      <alignment horizontal="center" vertical="center"/>
    </xf>
    <xf numFmtId="3" fontId="4" fillId="3" borderId="1" xfId="0" applyNumberFormat="1" applyFont="1" applyFill="1" applyBorder="1" applyAlignment="1" applyProtection="1">
      <alignment horizontal="center" vertical="center"/>
    </xf>
    <xf numFmtId="169" fontId="4" fillId="3" borderId="1" xfId="0" applyNumberFormat="1" applyFont="1" applyFill="1" applyBorder="1" applyAlignment="1" applyProtection="1">
      <alignment horizontal="center" vertical="center"/>
    </xf>
    <xf numFmtId="1" fontId="3" fillId="3" borderId="1" xfId="0" applyNumberFormat="1" applyFont="1" applyFill="1" applyBorder="1" applyAlignment="1" applyProtection="1">
      <alignment horizontal="center" vertical="center"/>
    </xf>
    <xf numFmtId="3" fontId="3" fillId="4" borderId="1" xfId="0" applyNumberFormat="1" applyFont="1" applyFill="1" applyBorder="1" applyAlignment="1" applyProtection="1">
      <alignment horizontal="center" vertical="center"/>
    </xf>
    <xf numFmtId="1" fontId="4" fillId="3" borderId="1" xfId="0" applyNumberFormat="1" applyFont="1" applyFill="1" applyBorder="1" applyAlignment="1" applyProtection="1">
      <alignment horizontal="center" vertical="center"/>
    </xf>
    <xf numFmtId="37" fontId="4" fillId="0" borderId="0" xfId="0" applyNumberFormat="1" applyFont="1" applyAlignment="1" applyProtection="1">
      <alignment vertical="center"/>
      <protection locked="0"/>
    </xf>
    <xf numFmtId="0" fontId="4" fillId="0" borderId="0" xfId="0" applyFont="1" applyAlignment="1" applyProtection="1">
      <alignment horizontal="left" vertical="center"/>
      <protection locked="0"/>
    </xf>
    <xf numFmtId="0" fontId="4" fillId="3" borderId="0" xfId="0" applyNumberFormat="1" applyFont="1" applyFill="1" applyAlignment="1" applyProtection="1">
      <alignment horizontal="right" vertical="center"/>
    </xf>
    <xf numFmtId="0" fontId="3" fillId="3" borderId="0" xfId="0" applyFont="1" applyFill="1" applyAlignment="1" applyProtection="1">
      <alignment vertical="center"/>
    </xf>
    <xf numFmtId="0" fontId="4" fillId="3" borderId="0" xfId="0" applyFont="1" applyFill="1" applyBorder="1" applyAlignment="1" applyProtection="1">
      <alignment horizontal="fill" vertical="center"/>
    </xf>
    <xf numFmtId="0" fontId="4" fillId="3" borderId="5" xfId="0" applyNumberFormat="1" applyFont="1" applyFill="1" applyBorder="1" applyAlignment="1" applyProtection="1">
      <alignment horizontal="center" vertical="center"/>
    </xf>
    <xf numFmtId="0" fontId="4" fillId="3" borderId="11" xfId="0" applyFont="1" applyFill="1" applyBorder="1" applyAlignment="1" applyProtection="1">
      <alignment horizontal="left" vertical="center"/>
    </xf>
    <xf numFmtId="37" fontId="4" fillId="2" borderId="11" xfId="0" applyNumberFormat="1" applyFont="1" applyFill="1" applyBorder="1" applyAlignment="1" applyProtection="1">
      <alignment vertical="center"/>
      <protection locked="0"/>
    </xf>
    <xf numFmtId="3" fontId="4" fillId="3" borderId="11" xfId="0" applyNumberFormat="1" applyFont="1" applyFill="1" applyBorder="1" applyAlignment="1" applyProtection="1">
      <alignment vertical="center"/>
    </xf>
    <xf numFmtId="0" fontId="4" fillId="3" borderId="16" xfId="0" applyFont="1" applyFill="1" applyBorder="1" applyAlignment="1" applyProtection="1">
      <alignment horizontal="left" vertical="center"/>
    </xf>
    <xf numFmtId="3" fontId="4" fillId="2" borderId="11" xfId="0" applyNumberFormat="1" applyFont="1" applyFill="1" applyBorder="1" applyAlignment="1" applyProtection="1">
      <alignment vertical="center"/>
      <protection locked="0"/>
    </xf>
    <xf numFmtId="3" fontId="4" fillId="2" borderId="9" xfId="0" applyNumberFormat="1" applyFont="1" applyFill="1" applyBorder="1" applyAlignment="1" applyProtection="1">
      <alignment vertical="center"/>
      <protection locked="0"/>
    </xf>
    <xf numFmtId="37" fontId="4" fillId="3" borderId="1" xfId="0" applyNumberFormat="1" applyFont="1" applyFill="1" applyBorder="1" applyAlignment="1" applyProtection="1">
      <alignment horizontal="fill" vertical="center"/>
    </xf>
    <xf numFmtId="37" fontId="4" fillId="2" borderId="1" xfId="0" applyNumberFormat="1" applyFont="1" applyFill="1" applyBorder="1" applyAlignment="1" applyProtection="1">
      <alignment vertical="center"/>
      <protection locked="0"/>
    </xf>
    <xf numFmtId="0" fontId="4" fillId="2" borderId="11" xfId="0" applyFont="1" applyFill="1" applyBorder="1" applyAlignment="1" applyProtection="1">
      <alignment horizontal="left" vertical="center"/>
      <protection locked="0"/>
    </xf>
    <xf numFmtId="37" fontId="15" fillId="10" borderId="11" xfId="0" applyNumberFormat="1" applyFont="1" applyFill="1" applyBorder="1" applyAlignment="1" applyProtection="1">
      <alignment horizontal="center" vertical="center"/>
    </xf>
    <xf numFmtId="37" fontId="15" fillId="10" borderId="9" xfId="0" applyNumberFormat="1" applyFont="1" applyFill="1" applyBorder="1" applyAlignment="1" applyProtection="1">
      <alignment horizontal="center" vertical="center"/>
    </xf>
    <xf numFmtId="37" fontId="3" fillId="3" borderId="11" xfId="0" applyNumberFormat="1" applyFont="1" applyFill="1" applyBorder="1" applyAlignment="1" applyProtection="1">
      <alignment horizontal="left" vertical="center"/>
    </xf>
    <xf numFmtId="37" fontId="3" fillId="4" borderId="1" xfId="0" applyNumberFormat="1" applyFont="1" applyFill="1" applyBorder="1" applyAlignment="1" applyProtection="1">
      <alignment vertical="center"/>
    </xf>
    <xf numFmtId="3" fontId="3" fillId="4" borderId="11" xfId="0" applyNumberFormat="1" applyFont="1" applyFill="1" applyBorder="1" applyAlignment="1" applyProtection="1">
      <alignment vertical="center"/>
    </xf>
    <xf numFmtId="3" fontId="3" fillId="4" borderId="1" xfId="0" applyNumberFormat="1" applyFont="1" applyFill="1" applyBorder="1" applyAlignment="1" applyProtection="1">
      <alignment vertical="center"/>
    </xf>
    <xf numFmtId="0" fontId="3" fillId="3" borderId="0" xfId="0" applyFont="1" applyFill="1" applyAlignment="1" applyProtection="1">
      <alignment horizontal="left" vertical="center"/>
    </xf>
    <xf numFmtId="0" fontId="3" fillId="3" borderId="11" xfId="0" applyFont="1" applyFill="1" applyBorder="1" applyAlignment="1" applyProtection="1">
      <alignment horizontal="left" vertical="center"/>
    </xf>
    <xf numFmtId="3" fontId="4" fillId="4" borderId="11" xfId="0" applyNumberFormat="1" applyFont="1" applyFill="1" applyBorder="1" applyAlignment="1" applyProtection="1">
      <alignment vertical="center"/>
    </xf>
    <xf numFmtId="3" fontId="4" fillId="0" borderId="0" xfId="0" applyNumberFormat="1" applyFont="1" applyFill="1" applyBorder="1" applyAlignment="1" applyProtection="1">
      <alignment vertical="center"/>
      <protection locked="0"/>
    </xf>
    <xf numFmtId="0" fontId="4" fillId="4" borderId="11" xfId="0" applyFont="1" applyFill="1" applyBorder="1" applyAlignment="1" applyProtection="1">
      <alignment vertical="center"/>
    </xf>
    <xf numFmtId="0" fontId="4" fillId="2" borderId="11" xfId="0" applyFont="1" applyFill="1" applyBorder="1" applyAlignment="1" applyProtection="1">
      <alignment vertical="center"/>
      <protection locked="0"/>
    </xf>
    <xf numFmtId="0" fontId="4" fillId="3" borderId="11" xfId="0" applyFont="1" applyFill="1" applyBorder="1" applyAlignment="1" applyProtection="1">
      <alignment vertical="center"/>
    </xf>
    <xf numFmtId="37" fontId="4" fillId="4" borderId="1" xfId="0" applyNumberFormat="1" applyFont="1" applyFill="1" applyBorder="1" applyAlignment="1" applyProtection="1">
      <alignment vertical="center"/>
    </xf>
    <xf numFmtId="0" fontId="15" fillId="0" borderId="0" xfId="0" applyFont="1" applyAlignment="1" applyProtection="1">
      <alignment vertical="center"/>
    </xf>
    <xf numFmtId="0" fontId="13" fillId="3" borderId="0" xfId="0" applyFont="1" applyFill="1" applyAlignment="1" applyProtection="1">
      <alignment horizontal="center" vertical="center"/>
    </xf>
    <xf numFmtId="0" fontId="4" fillId="3" borderId="0" xfId="0" applyFont="1" applyFill="1" applyAlignment="1" applyProtection="1">
      <alignment horizontal="fill" vertical="center"/>
    </xf>
    <xf numFmtId="1" fontId="4" fillId="3" borderId="3" xfId="0" applyNumberFormat="1" applyFont="1" applyFill="1" applyBorder="1" applyAlignment="1" applyProtection="1">
      <alignment horizontal="center" vertical="center"/>
    </xf>
    <xf numFmtId="0" fontId="4" fillId="6" borderId="1" xfId="0" applyFont="1" applyFill="1" applyBorder="1" applyAlignment="1" applyProtection="1">
      <alignment horizontal="left" vertical="center"/>
      <protection locked="0"/>
    </xf>
    <xf numFmtId="0" fontId="4" fillId="2" borderId="1" xfId="0" applyFont="1" applyFill="1" applyBorder="1" applyAlignment="1" applyProtection="1">
      <alignment horizontal="left" vertical="center"/>
      <protection locked="0"/>
    </xf>
    <xf numFmtId="0" fontId="4" fillId="6" borderId="0" xfId="0" applyFont="1" applyFill="1" applyAlignment="1" applyProtection="1">
      <alignment horizontal="left" vertical="center"/>
      <protection locked="0"/>
    </xf>
    <xf numFmtId="37" fontId="3" fillId="4" borderId="6" xfId="0" applyNumberFormat="1" applyFont="1" applyFill="1" applyBorder="1" applyAlignment="1" applyProtection="1">
      <alignment vertical="center"/>
    </xf>
    <xf numFmtId="0" fontId="15" fillId="3" borderId="0" xfId="0" applyFont="1" applyFill="1" applyAlignment="1" applyProtection="1">
      <alignment vertical="center"/>
    </xf>
    <xf numFmtId="37" fontId="4" fillId="3" borderId="16" xfId="0" applyNumberFormat="1" applyFont="1" applyFill="1" applyBorder="1" applyAlignment="1" applyProtection="1">
      <alignment horizontal="left" vertical="center"/>
    </xf>
    <xf numFmtId="3" fontId="4" fillId="11" borderId="1" xfId="0" applyNumberFormat="1" applyFont="1" applyFill="1" applyBorder="1" applyAlignment="1" applyProtection="1">
      <alignment vertical="center"/>
    </xf>
    <xf numFmtId="37" fontId="4" fillId="3" borderId="0" xfId="0" applyNumberFormat="1" applyFont="1" applyFill="1" applyBorder="1" applyAlignment="1" applyProtection="1">
      <alignment horizontal="fill" vertical="center"/>
    </xf>
    <xf numFmtId="3" fontId="4" fillId="3" borderId="1" xfId="0" applyNumberFormat="1" applyFont="1" applyFill="1" applyBorder="1" applyAlignment="1" applyProtection="1">
      <alignment vertical="center"/>
      <protection locked="0"/>
    </xf>
    <xf numFmtId="0" fontId="4" fillId="3" borderId="11" xfId="0" applyFont="1" applyFill="1" applyBorder="1" applyAlignment="1" applyProtection="1">
      <alignment vertical="center"/>
      <protection locked="0"/>
    </xf>
    <xf numFmtId="3" fontId="4" fillId="3" borderId="2" xfId="0" applyNumberFormat="1" applyFont="1" applyFill="1" applyBorder="1" applyAlignment="1" applyProtection="1">
      <alignment horizontal="fill" vertical="center"/>
    </xf>
    <xf numFmtId="0" fontId="4" fillId="3" borderId="15" xfId="0" applyFont="1" applyFill="1" applyBorder="1" applyAlignment="1" applyProtection="1">
      <alignment vertical="center"/>
    </xf>
    <xf numFmtId="37" fontId="15" fillId="10" borderId="1" xfId="0" applyNumberFormat="1" applyFont="1" applyFill="1" applyBorder="1" applyAlignment="1" applyProtection="1">
      <alignment horizontal="center" vertical="center"/>
    </xf>
    <xf numFmtId="0" fontId="4" fillId="3" borderId="0" xfId="0" applyFont="1" applyFill="1" applyAlignment="1">
      <alignment horizontal="center" vertical="center"/>
    </xf>
    <xf numFmtId="0" fontId="19" fillId="3" borderId="0" xfId="0" applyFont="1" applyFill="1" applyAlignment="1">
      <alignment horizontal="center" vertical="center"/>
    </xf>
    <xf numFmtId="0" fontId="12" fillId="3" borderId="0" xfId="0" applyFont="1" applyFill="1" applyAlignment="1">
      <alignment horizontal="center" vertical="center"/>
    </xf>
    <xf numFmtId="0" fontId="4" fillId="3" borderId="9" xfId="0" applyFont="1" applyFill="1" applyBorder="1" applyAlignment="1">
      <alignment horizontal="center" vertical="center"/>
    </xf>
    <xf numFmtId="0" fontId="11" fillId="3" borderId="3" xfId="0" applyFont="1" applyFill="1" applyBorder="1" applyAlignment="1">
      <alignment vertical="center"/>
    </xf>
    <xf numFmtId="0" fontId="11" fillId="3" borderId="9" xfId="0" applyFont="1" applyFill="1" applyBorder="1" applyAlignment="1">
      <alignment horizontal="center" vertical="center"/>
    </xf>
    <xf numFmtId="0" fontId="11" fillId="3" borderId="13" xfId="0" applyFont="1" applyFill="1" applyBorder="1" applyAlignment="1">
      <alignment vertical="center"/>
    </xf>
    <xf numFmtId="0" fontId="11" fillId="3" borderId="1" xfId="0" applyFont="1" applyFill="1" applyBorder="1" applyAlignment="1">
      <alignment horizontal="center" vertical="center"/>
    </xf>
    <xf numFmtId="0" fontId="4" fillId="3" borderId="9" xfId="0" applyFont="1" applyFill="1" applyBorder="1" applyAlignment="1">
      <alignment vertical="center"/>
    </xf>
    <xf numFmtId="0" fontId="4" fillId="3" borderId="1" xfId="0" applyFont="1" applyFill="1" applyBorder="1" applyAlignment="1">
      <alignment horizontal="center" vertical="center"/>
    </xf>
    <xf numFmtId="0" fontId="11" fillId="3" borderId="16" xfId="0" applyFont="1" applyFill="1" applyBorder="1" applyAlignment="1">
      <alignment vertical="center"/>
    </xf>
    <xf numFmtId="3" fontId="11" fillId="6" borderId="1" xfId="0" applyNumberFormat="1" applyFont="1" applyFill="1" applyBorder="1" applyAlignment="1" applyProtection="1">
      <alignment horizontal="center" vertical="center"/>
      <protection locked="0"/>
    </xf>
    <xf numFmtId="0" fontId="11" fillId="3" borderId="2" xfId="0" applyFont="1" applyFill="1" applyBorder="1" applyAlignment="1">
      <alignment vertical="center"/>
    </xf>
    <xf numFmtId="3" fontId="11" fillId="4" borderId="1" xfId="0" applyNumberFormat="1" applyFont="1" applyFill="1" applyBorder="1" applyAlignment="1">
      <alignment horizontal="center" vertical="center"/>
    </xf>
    <xf numFmtId="0" fontId="11" fillId="3" borderId="0" xfId="0" applyFont="1" applyFill="1" applyAlignment="1">
      <alignment vertical="center"/>
    </xf>
    <xf numFmtId="3" fontId="11" fillId="3" borderId="0" xfId="0" applyNumberFormat="1" applyFont="1" applyFill="1" applyAlignment="1">
      <alignment horizontal="center" vertical="center"/>
    </xf>
    <xf numFmtId="0" fontId="11" fillId="3" borderId="0" xfId="0" applyFont="1" applyFill="1" applyAlignment="1">
      <alignment horizontal="center" vertical="center"/>
    </xf>
    <xf numFmtId="0" fontId="11" fillId="6" borderId="1" xfId="0" applyFont="1" applyFill="1" applyBorder="1" applyAlignment="1" applyProtection="1">
      <alignment vertical="center"/>
      <protection locked="0"/>
    </xf>
    <xf numFmtId="0" fontId="11" fillId="6" borderId="13" xfId="0" applyFont="1" applyFill="1" applyBorder="1" applyAlignment="1" applyProtection="1">
      <alignment vertical="center"/>
      <protection locked="0"/>
    </xf>
    <xf numFmtId="0" fontId="11" fillId="6" borderId="0" xfId="0" applyFont="1" applyFill="1" applyAlignment="1" applyProtection="1">
      <alignment vertical="center"/>
      <protection locked="0"/>
    </xf>
    <xf numFmtId="0" fontId="11" fillId="6" borderId="9" xfId="0" applyFont="1" applyFill="1" applyBorder="1" applyAlignment="1" applyProtection="1">
      <alignment vertical="center"/>
      <protection locked="0"/>
    </xf>
    <xf numFmtId="0" fontId="11" fillId="6" borderId="5" xfId="0" applyFont="1" applyFill="1" applyBorder="1" applyAlignment="1" applyProtection="1">
      <alignment vertical="center"/>
      <protection locked="0"/>
    </xf>
    <xf numFmtId="0" fontId="11" fillId="6" borderId="12" xfId="0" applyFont="1" applyFill="1" applyBorder="1" applyAlignment="1" applyProtection="1">
      <alignment vertical="center"/>
      <protection locked="0"/>
    </xf>
    <xf numFmtId="3" fontId="17" fillId="10" borderId="1" xfId="0" applyNumberFormat="1" applyFont="1" applyFill="1" applyBorder="1" applyAlignment="1">
      <alignment horizontal="center" vertical="center"/>
    </xf>
    <xf numFmtId="3" fontId="4" fillId="0" borderId="0" xfId="0" applyNumberFormat="1" applyFont="1" applyAlignment="1">
      <alignment vertical="center"/>
    </xf>
    <xf numFmtId="0" fontId="4" fillId="0" borderId="0" xfId="0" applyFont="1" applyAlignment="1">
      <alignment horizontal="centerContinuous" vertical="center"/>
    </xf>
    <xf numFmtId="1" fontId="4" fillId="3" borderId="11" xfId="0" applyNumberFormat="1" applyFont="1" applyFill="1" applyBorder="1" applyAlignment="1" applyProtection="1">
      <alignment horizontal="centerContinuous" vertical="center"/>
    </xf>
    <xf numFmtId="164" fontId="4" fillId="3" borderId="1" xfId="0" applyNumberFormat="1" applyFont="1" applyFill="1" applyBorder="1" applyAlignment="1" applyProtection="1">
      <alignment vertical="center"/>
    </xf>
    <xf numFmtId="37" fontId="4" fillId="3" borderId="5" xfId="0" applyNumberFormat="1" applyFont="1" applyFill="1" applyBorder="1" applyAlignment="1" applyProtection="1">
      <alignment horizontal="fill" vertical="center"/>
    </xf>
    <xf numFmtId="1" fontId="5" fillId="3" borderId="0" xfId="0" applyNumberFormat="1" applyFont="1" applyFill="1" applyAlignment="1" applyProtection="1">
      <alignment horizontal="center" vertical="center"/>
    </xf>
    <xf numFmtId="3" fontId="4" fillId="3" borderId="2" xfId="0" applyNumberFormat="1" applyFont="1" applyFill="1" applyBorder="1" applyAlignment="1" applyProtection="1">
      <alignment horizontal="center" vertical="center"/>
    </xf>
    <xf numFmtId="0" fontId="4" fillId="3" borderId="3"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wrapText="1"/>
    </xf>
    <xf numFmtId="3" fontId="4" fillId="6" borderId="1" xfId="0" applyNumberFormat="1" applyFont="1" applyFill="1" applyBorder="1" applyAlignment="1" applyProtection="1">
      <alignment horizontal="center" vertical="center"/>
      <protection locked="0"/>
    </xf>
    <xf numFmtId="172" fontId="4" fillId="3" borderId="1" xfId="0" applyNumberFormat="1" applyFont="1" applyFill="1" applyBorder="1" applyAlignment="1" applyProtection="1">
      <alignment horizontal="center" vertical="center"/>
    </xf>
    <xf numFmtId="3" fontId="4" fillId="6" borderId="3" xfId="0" applyNumberFormat="1" applyFont="1" applyFill="1" applyBorder="1" applyAlignment="1" applyProtection="1">
      <alignment horizontal="center" vertical="center"/>
      <protection locked="0"/>
    </xf>
    <xf numFmtId="3" fontId="4" fillId="3" borderId="6" xfId="0" applyNumberFormat="1" applyFont="1" applyFill="1" applyBorder="1" applyAlignment="1" applyProtection="1">
      <alignment horizontal="center" vertical="center"/>
    </xf>
    <xf numFmtId="172" fontId="4" fillId="3" borderId="6" xfId="0" applyNumberFormat="1" applyFont="1" applyFill="1" applyBorder="1" applyAlignment="1" applyProtection="1">
      <alignment horizontal="center" vertical="center"/>
    </xf>
    <xf numFmtId="172" fontId="4" fillId="3" borderId="2" xfId="0" applyNumberFormat="1" applyFont="1" applyFill="1" applyBorder="1" applyAlignment="1" applyProtection="1">
      <alignment horizontal="center" vertical="center"/>
    </xf>
    <xf numFmtId="172" fontId="4" fillId="3" borderId="0" xfId="0" applyNumberFormat="1" applyFont="1" applyFill="1" applyBorder="1" applyAlignment="1" applyProtection="1">
      <alignment horizontal="center" vertical="center"/>
    </xf>
    <xf numFmtId="3" fontId="4" fillId="3" borderId="2" xfId="0" applyNumberFormat="1" applyFont="1" applyFill="1" applyBorder="1" applyAlignment="1">
      <alignment horizontal="center" vertical="center"/>
    </xf>
    <xf numFmtId="0" fontId="0" fillId="3" borderId="0" xfId="0" applyFill="1" applyAlignment="1">
      <alignment horizontal="center" vertical="center"/>
    </xf>
    <xf numFmtId="172" fontId="4" fillId="3" borderId="2" xfId="0" applyNumberFormat="1" applyFont="1" applyFill="1" applyBorder="1" applyAlignment="1">
      <alignment horizontal="center" vertical="center"/>
    </xf>
    <xf numFmtId="171" fontId="4" fillId="3" borderId="0" xfId="0" applyNumberFormat="1" applyFont="1" applyFill="1" applyBorder="1" applyAlignment="1" applyProtection="1">
      <alignment vertical="center"/>
    </xf>
    <xf numFmtId="0" fontId="5" fillId="0" borderId="0" xfId="0" applyFont="1" applyAlignment="1">
      <alignment vertical="center"/>
    </xf>
    <xf numFmtId="3" fontId="26" fillId="10" borderId="0" xfId="0" applyNumberFormat="1" applyFont="1" applyFill="1" applyAlignment="1">
      <alignment horizontal="center" vertical="center"/>
    </xf>
    <xf numFmtId="37" fontId="3" fillId="12" borderId="1" xfId="0" applyNumberFormat="1" applyFont="1" applyFill="1" applyBorder="1" applyAlignment="1" applyProtection="1">
      <alignment vertical="center"/>
    </xf>
    <xf numFmtId="37" fontId="4" fillId="12" borderId="1" xfId="0" applyNumberFormat="1" applyFont="1" applyFill="1" applyBorder="1" applyAlignment="1" applyProtection="1">
      <alignment vertical="center"/>
    </xf>
    <xf numFmtId="0" fontId="4" fillId="0" borderId="0" xfId="466" applyFont="1" applyAlignment="1">
      <alignment vertical="center"/>
    </xf>
    <xf numFmtId="0" fontId="4" fillId="0" borderId="0" xfId="120" applyFont="1" applyAlignment="1">
      <alignment vertical="center" wrapText="1"/>
    </xf>
    <xf numFmtId="0" fontId="4" fillId="6" borderId="2" xfId="0" applyFont="1" applyFill="1" applyBorder="1" applyAlignment="1" applyProtection="1">
      <alignment vertical="center"/>
      <protection locked="0"/>
    </xf>
    <xf numFmtId="0" fontId="4" fillId="6" borderId="8" xfId="0" applyFont="1" applyFill="1" applyBorder="1" applyAlignment="1" applyProtection="1">
      <alignment vertical="center"/>
      <protection locked="0"/>
    </xf>
    <xf numFmtId="0" fontId="28" fillId="0" borderId="0" xfId="471"/>
    <xf numFmtId="0" fontId="4" fillId="0" borderId="0" xfId="471" applyFont="1" applyAlignment="1">
      <alignment horizontal="left" vertical="center"/>
    </xf>
    <xf numFmtId="173" fontId="11" fillId="0" borderId="0" xfId="471" applyNumberFormat="1" applyFont="1" applyAlignment="1">
      <alignment horizontal="left" vertical="center"/>
    </xf>
    <xf numFmtId="49" fontId="4" fillId="0" borderId="0" xfId="471" applyNumberFormat="1" applyFont="1" applyAlignment="1">
      <alignment horizontal="left" vertical="center"/>
    </xf>
    <xf numFmtId="0" fontId="11" fillId="0" borderId="0" xfId="471" applyFont="1" applyAlignment="1">
      <alignment horizontal="left" vertical="center"/>
    </xf>
    <xf numFmtId="174" fontId="11" fillId="0" borderId="0" xfId="471" applyNumberFormat="1" applyFont="1" applyAlignment="1">
      <alignment horizontal="left" vertical="center"/>
    </xf>
    <xf numFmtId="0" fontId="27" fillId="0" borderId="0" xfId="172" applyFont="1" applyFill="1"/>
    <xf numFmtId="0" fontId="27" fillId="0" borderId="0" xfId="172" applyFont="1"/>
    <xf numFmtId="0" fontId="29" fillId="0" borderId="0" xfId="0" applyFont="1" applyAlignment="1">
      <alignment horizontal="center"/>
    </xf>
    <xf numFmtId="0" fontId="27" fillId="0" borderId="0" xfId="0" applyFont="1"/>
    <xf numFmtId="0" fontId="30" fillId="0" borderId="0" xfId="0" applyFont="1"/>
    <xf numFmtId="0" fontId="30" fillId="0" borderId="0" xfId="0" applyFont="1" applyAlignment="1"/>
    <xf numFmtId="0" fontId="27" fillId="0" borderId="0" xfId="0" quotePrefix="1" applyFont="1"/>
    <xf numFmtId="0" fontId="27" fillId="0" borderId="0" xfId="0" applyFont="1" applyAlignment="1"/>
    <xf numFmtId="0" fontId="0" fillId="0" borderId="0" xfId="0" applyAlignment="1"/>
    <xf numFmtId="0" fontId="30" fillId="0" borderId="0" xfId="0" applyFont="1" applyAlignment="1">
      <alignment horizontal="center"/>
    </xf>
    <xf numFmtId="0" fontId="4" fillId="0" borderId="0" xfId="84" applyFont="1" applyAlignment="1">
      <alignment vertical="center"/>
    </xf>
    <xf numFmtId="0" fontId="5" fillId="0" borderId="0" xfId="89" applyFont="1" applyAlignment="1">
      <alignment vertical="center"/>
    </xf>
    <xf numFmtId="0" fontId="4" fillId="3" borderId="0" xfId="0" applyFont="1" applyFill="1"/>
    <xf numFmtId="0" fontId="50" fillId="3" borderId="0" xfId="0" applyFont="1" applyFill="1" applyAlignment="1" applyProtection="1">
      <alignment horizontal="right" vertical="center"/>
      <protection locked="0"/>
    </xf>
    <xf numFmtId="0" fontId="7" fillId="3" borderId="0" xfId="0" applyFont="1" applyFill="1" applyAlignment="1" applyProtection="1">
      <alignment horizontal="left" vertical="center"/>
      <protection locked="0"/>
    </xf>
    <xf numFmtId="14" fontId="4" fillId="2" borderId="1" xfId="0" applyNumberFormat="1" applyFont="1" applyFill="1" applyBorder="1" applyAlignment="1" applyProtection="1">
      <alignment horizontal="center" vertical="center"/>
      <protection locked="0"/>
    </xf>
    <xf numFmtId="3" fontId="11" fillId="4" borderId="5" xfId="0" applyNumberFormat="1" applyFont="1" applyFill="1" applyBorder="1" applyAlignment="1">
      <alignment horizontal="center" vertical="center"/>
    </xf>
    <xf numFmtId="3" fontId="4" fillId="11" borderId="11" xfId="0" applyNumberFormat="1" applyFont="1" applyFill="1" applyBorder="1" applyAlignment="1" applyProtection="1">
      <alignment vertical="center"/>
    </xf>
    <xf numFmtId="3" fontId="4" fillId="3" borderId="0" xfId="0" applyNumberFormat="1" applyFont="1" applyFill="1" applyBorder="1" applyAlignment="1" applyProtection="1">
      <alignment vertical="center"/>
    </xf>
    <xf numFmtId="49" fontId="4" fillId="2" borderId="1" xfId="0" applyNumberFormat="1" applyFont="1" applyFill="1" applyBorder="1" applyAlignment="1" applyProtection="1">
      <alignment horizontal="center" vertical="center"/>
      <protection locked="0"/>
    </xf>
    <xf numFmtId="0" fontId="4" fillId="3" borderId="0" xfId="55" applyFont="1" applyFill="1" applyAlignment="1" applyProtection="1">
      <alignment horizontal="right" vertical="center"/>
    </xf>
    <xf numFmtId="0" fontId="2" fillId="0" borderId="0" xfId="50"/>
    <xf numFmtId="0" fontId="4" fillId="3" borderId="0" xfId="50" applyFont="1" applyFill="1" applyAlignment="1" applyProtection="1">
      <alignment vertical="center"/>
    </xf>
    <xf numFmtId="0" fontId="4" fillId="0" borderId="0" xfId="50" applyFont="1" applyAlignment="1" applyProtection="1">
      <alignment vertical="center"/>
      <protection locked="0"/>
    </xf>
    <xf numFmtId="37" fontId="4" fillId="3" borderId="0" xfId="50" applyNumberFormat="1" applyFont="1" applyFill="1" applyAlignment="1" applyProtection="1">
      <alignment horizontal="left" vertical="center"/>
    </xf>
    <xf numFmtId="0" fontId="3" fillId="3" borderId="0" xfId="50" applyFont="1" applyFill="1" applyAlignment="1" applyProtection="1">
      <alignment vertical="center"/>
    </xf>
    <xf numFmtId="3" fontId="4" fillId="2" borderId="1" xfId="50" applyNumberFormat="1" applyFont="1" applyFill="1" applyBorder="1" applyAlignment="1" applyProtection="1">
      <alignment vertical="center"/>
      <protection locked="0"/>
    </xf>
    <xf numFmtId="3" fontId="4" fillId="4" borderId="1" xfId="50" applyNumberFormat="1" applyFont="1" applyFill="1" applyBorder="1" applyAlignment="1" applyProtection="1">
      <alignment vertical="center"/>
    </xf>
    <xf numFmtId="0" fontId="4" fillId="3" borderId="0" xfId="50" applyFont="1" applyFill="1" applyAlignment="1" applyProtection="1">
      <alignment vertical="center"/>
      <protection locked="0"/>
    </xf>
    <xf numFmtId="0" fontId="2" fillId="0" borderId="0" xfId="50" applyAlignment="1">
      <alignment vertical="center"/>
    </xf>
    <xf numFmtId="1" fontId="4" fillId="3" borderId="0" xfId="50" applyNumberFormat="1" applyFont="1" applyFill="1" applyBorder="1" applyAlignment="1" applyProtection="1">
      <alignment horizontal="right" vertical="center"/>
    </xf>
    <xf numFmtId="37" fontId="4" fillId="3" borderId="0" xfId="50" quotePrefix="1" applyNumberFormat="1" applyFont="1" applyFill="1" applyAlignment="1" applyProtection="1">
      <alignment horizontal="right" vertical="center"/>
    </xf>
    <xf numFmtId="37" fontId="4" fillId="3" borderId="11" xfId="50" applyNumberFormat="1" applyFont="1" applyFill="1" applyBorder="1" applyAlignment="1" applyProtection="1">
      <alignment horizontal="left" vertical="center"/>
    </xf>
    <xf numFmtId="3" fontId="4" fillId="3" borderId="1" xfId="50" applyNumberFormat="1" applyFont="1" applyFill="1" applyBorder="1" applyAlignment="1" applyProtection="1">
      <alignment vertical="center"/>
    </xf>
    <xf numFmtId="37" fontId="4" fillId="3" borderId="11" xfId="50" applyNumberFormat="1" applyFont="1" applyFill="1" applyBorder="1" applyAlignment="1" applyProtection="1">
      <alignment vertical="center"/>
    </xf>
    <xf numFmtId="0" fontId="4" fillId="3" borderId="11" xfId="50" applyFont="1" applyFill="1" applyBorder="1" applyAlignment="1" applyProtection="1">
      <alignment vertical="center"/>
    </xf>
    <xf numFmtId="37" fontId="4" fillId="3" borderId="0" xfId="50" applyNumberFormat="1" applyFont="1" applyFill="1" applyAlignment="1" applyProtection="1">
      <alignment vertical="center"/>
    </xf>
    <xf numFmtId="0" fontId="4" fillId="3" borderId="0" xfId="50" applyFont="1" applyFill="1" applyAlignment="1" applyProtection="1">
      <alignment horizontal="right" vertical="center"/>
    </xf>
    <xf numFmtId="37" fontId="4" fillId="3" borderId="0" xfId="50" applyNumberFormat="1" applyFont="1" applyFill="1" applyAlignment="1" applyProtection="1">
      <alignment horizontal="right" vertical="center"/>
    </xf>
    <xf numFmtId="37" fontId="4" fillId="3" borderId="0" xfId="50" applyNumberFormat="1" applyFont="1" applyFill="1" applyAlignment="1" applyProtection="1">
      <alignment horizontal="fill" vertical="center"/>
    </xf>
    <xf numFmtId="37" fontId="4" fillId="3" borderId="16" xfId="50" applyNumberFormat="1" applyFont="1" applyFill="1" applyBorder="1" applyAlignment="1" applyProtection="1">
      <alignment horizontal="left" vertical="center"/>
    </xf>
    <xf numFmtId="37" fontId="3" fillId="3" borderId="11" xfId="50" applyNumberFormat="1" applyFont="1" applyFill="1" applyBorder="1" applyAlignment="1" applyProtection="1">
      <alignment horizontal="left" vertical="center"/>
    </xf>
    <xf numFmtId="0" fontId="15" fillId="0" borderId="0" xfId="50" applyFont="1" applyAlignment="1" applyProtection="1">
      <alignment vertical="center"/>
    </xf>
    <xf numFmtId="0" fontId="13" fillId="3" borderId="0" xfId="50" applyFont="1" applyFill="1" applyAlignment="1" applyProtection="1">
      <alignment horizontal="center" vertical="center"/>
    </xf>
    <xf numFmtId="37" fontId="4" fillId="2" borderId="11" xfId="50" applyNumberFormat="1" applyFont="1" applyFill="1" applyBorder="1" applyAlignment="1" applyProtection="1">
      <alignment horizontal="left" vertical="center"/>
      <protection locked="0"/>
    </xf>
    <xf numFmtId="3" fontId="3" fillId="4" borderId="1" xfId="50" applyNumberFormat="1" applyFont="1" applyFill="1" applyBorder="1" applyAlignment="1" applyProtection="1">
      <alignment vertical="center"/>
    </xf>
    <xf numFmtId="0" fontId="4" fillId="3" borderId="11" xfId="50" applyFont="1" applyFill="1" applyBorder="1" applyAlignment="1" applyProtection="1">
      <alignment vertical="center"/>
      <protection locked="0"/>
    </xf>
    <xf numFmtId="3" fontId="4" fillId="3" borderId="1" xfId="50" applyNumberFormat="1" applyFont="1" applyFill="1" applyBorder="1" applyAlignment="1" applyProtection="1">
      <alignment horizontal="fill" vertical="center"/>
    </xf>
    <xf numFmtId="37" fontId="4" fillId="6" borderId="0" xfId="50" applyNumberFormat="1" applyFont="1" applyFill="1" applyAlignment="1" applyProtection="1">
      <alignment horizontal="left" vertical="center"/>
      <protection locked="0"/>
    </xf>
    <xf numFmtId="0" fontId="4" fillId="2" borderId="11" xfId="50" applyFont="1" applyFill="1" applyBorder="1" applyAlignment="1" applyProtection="1">
      <alignment horizontal="left" vertical="center"/>
      <protection locked="0"/>
    </xf>
    <xf numFmtId="3" fontId="3" fillId="3" borderId="1" xfId="50" applyNumberFormat="1" applyFont="1" applyFill="1" applyBorder="1" applyAlignment="1" applyProtection="1">
      <alignment vertical="center"/>
    </xf>
    <xf numFmtId="0" fontId="4" fillId="13" borderId="17" xfId="50" applyFont="1" applyFill="1" applyBorder="1" applyAlignment="1" applyProtection="1">
      <alignment vertical="center"/>
      <protection locked="0"/>
    </xf>
    <xf numFmtId="0" fontId="4" fillId="13" borderId="12" xfId="50" applyFont="1" applyFill="1" applyBorder="1" applyAlignment="1" applyProtection="1">
      <alignment vertical="center"/>
      <protection locked="0"/>
    </xf>
    <xf numFmtId="175" fontId="11" fillId="13" borderId="17" xfId="50" applyNumberFormat="1" applyFont="1" applyFill="1" applyBorder="1" applyAlignment="1" applyProtection="1">
      <alignment vertical="center"/>
      <protection locked="0"/>
    </xf>
    <xf numFmtId="175" fontId="11" fillId="13" borderId="16" xfId="50" applyNumberFormat="1" applyFont="1" applyFill="1" applyBorder="1" applyAlignment="1" applyProtection="1">
      <alignment horizontal="center" vertical="center"/>
      <protection locked="0"/>
    </xf>
    <xf numFmtId="175" fontId="11" fillId="13" borderId="17" xfId="50" applyNumberFormat="1" applyFont="1" applyFill="1" applyBorder="1" applyAlignment="1" applyProtection="1">
      <alignment horizontal="center" vertical="center"/>
      <protection locked="0"/>
    </xf>
    <xf numFmtId="0" fontId="11" fillId="13" borderId="0" xfId="50" applyFont="1" applyFill="1" applyBorder="1" applyAlignment="1" applyProtection="1">
      <alignment vertical="center"/>
      <protection locked="0"/>
    </xf>
    <xf numFmtId="0" fontId="11" fillId="13" borderId="0" xfId="50" applyFont="1" applyFill="1" applyBorder="1" applyAlignment="1" applyProtection="1">
      <alignment horizontal="left" vertical="center"/>
      <protection locked="0"/>
    </xf>
    <xf numFmtId="37" fontId="4" fillId="6" borderId="11" xfId="50" applyNumberFormat="1" applyFont="1" applyFill="1" applyBorder="1" applyAlignment="1" applyProtection="1">
      <alignment horizontal="right" vertical="center"/>
      <protection locked="0"/>
    </xf>
    <xf numFmtId="3" fontId="3" fillId="4" borderId="11" xfId="50" applyNumberFormat="1" applyFont="1" applyFill="1" applyBorder="1" applyAlignment="1" applyProtection="1">
      <alignment vertical="center"/>
    </xf>
    <xf numFmtId="3" fontId="4" fillId="3" borderId="11" xfId="50" applyNumberFormat="1" applyFont="1" applyFill="1" applyBorder="1" applyAlignment="1" applyProtection="1">
      <alignment vertical="center"/>
    </xf>
    <xf numFmtId="37" fontId="4" fillId="6" borderId="11" xfId="50" applyNumberFormat="1" applyFont="1" applyFill="1" applyBorder="1" applyAlignment="1" applyProtection="1">
      <alignment vertical="center"/>
      <protection locked="0"/>
    </xf>
    <xf numFmtId="3" fontId="4" fillId="2" borderId="11" xfId="50" applyNumberFormat="1" applyFont="1" applyFill="1" applyBorder="1" applyAlignment="1" applyProtection="1">
      <alignment vertical="center"/>
      <protection locked="0"/>
    </xf>
    <xf numFmtId="3" fontId="3" fillId="3" borderId="11" xfId="50" applyNumberFormat="1" applyFont="1" applyFill="1" applyBorder="1" applyAlignment="1" applyProtection="1">
      <alignment vertical="center"/>
    </xf>
    <xf numFmtId="3" fontId="4" fillId="4" borderId="11" xfId="50" applyNumberFormat="1" applyFont="1" applyFill="1" applyBorder="1" applyAlignment="1" applyProtection="1">
      <alignment vertical="center"/>
    </xf>
    <xf numFmtId="37" fontId="3" fillId="3" borderId="2" xfId="50" applyNumberFormat="1" applyFont="1" applyFill="1" applyBorder="1" applyAlignment="1" applyProtection="1">
      <alignment vertical="center"/>
    </xf>
    <xf numFmtId="37" fontId="3" fillId="3" borderId="0" xfId="50" applyNumberFormat="1" applyFont="1" applyFill="1" applyBorder="1" applyAlignment="1" applyProtection="1">
      <alignment vertical="center"/>
    </xf>
    <xf numFmtId="0" fontId="8" fillId="7" borderId="1" xfId="0" applyFont="1" applyFill="1" applyBorder="1" applyAlignment="1" applyProtection="1">
      <alignment vertical="center" shrinkToFit="1"/>
    </xf>
    <xf numFmtId="37" fontId="4" fillId="3" borderId="4" xfId="50" applyNumberFormat="1" applyFont="1" applyFill="1" applyBorder="1" applyAlignment="1" applyProtection="1">
      <alignment horizontal="center" vertical="center"/>
    </xf>
    <xf numFmtId="37" fontId="4" fillId="3" borderId="5" xfId="50" applyNumberFormat="1" applyFont="1" applyFill="1" applyBorder="1" applyAlignment="1" applyProtection="1">
      <alignment horizontal="center" vertical="center"/>
    </xf>
    <xf numFmtId="0" fontId="35" fillId="0" borderId="0" xfId="0" applyFont="1" applyAlignment="1" applyProtection="1">
      <alignment vertical="center"/>
    </xf>
    <xf numFmtId="0" fontId="36" fillId="0" borderId="0" xfId="0" applyFont="1"/>
    <xf numFmtId="0" fontId="36" fillId="14" borderId="0" xfId="0" applyFont="1" applyFill="1"/>
    <xf numFmtId="0" fontId="36" fillId="13" borderId="0" xfId="0" applyFont="1" applyFill="1"/>
    <xf numFmtId="0" fontId="51" fillId="14" borderId="0" xfId="0" applyFont="1" applyFill="1" applyAlignment="1">
      <alignment horizontal="center" wrapText="1"/>
    </xf>
    <xf numFmtId="0" fontId="51" fillId="13" borderId="0" xfId="0" applyFont="1" applyFill="1"/>
    <xf numFmtId="0" fontId="36" fillId="13" borderId="0" xfId="0" applyFont="1" applyFill="1" applyAlignment="1">
      <alignment horizontal="center"/>
    </xf>
    <xf numFmtId="0" fontId="51" fillId="13" borderId="18" xfId="0" applyFont="1" applyFill="1" applyBorder="1"/>
    <xf numFmtId="0" fontId="36" fillId="13" borderId="19" xfId="0" applyFont="1" applyFill="1" applyBorder="1"/>
    <xf numFmtId="0" fontId="36" fillId="13" borderId="20" xfId="0" applyFont="1" applyFill="1" applyBorder="1"/>
    <xf numFmtId="175" fontId="36" fillId="13" borderId="21" xfId="0" applyNumberFormat="1" applyFont="1" applyFill="1" applyBorder="1"/>
    <xf numFmtId="0" fontId="36" fillId="13" borderId="0" xfId="0" applyFont="1" applyFill="1" applyBorder="1"/>
    <xf numFmtId="175" fontId="36" fillId="13" borderId="2" xfId="0" applyNumberFormat="1" applyFont="1" applyFill="1" applyBorder="1" applyAlignment="1">
      <alignment horizontal="center"/>
    </xf>
    <xf numFmtId="0" fontId="36" fillId="13" borderId="22" xfId="0" applyFont="1" applyFill="1" applyBorder="1"/>
    <xf numFmtId="0" fontId="36" fillId="13" borderId="23" xfId="0" applyFont="1" applyFill="1" applyBorder="1"/>
    <xf numFmtId="0" fontId="36" fillId="13" borderId="24" xfId="0" applyFont="1" applyFill="1" applyBorder="1"/>
    <xf numFmtId="0" fontId="36" fillId="13" borderId="25" xfId="0" applyFont="1" applyFill="1" applyBorder="1"/>
    <xf numFmtId="175" fontId="36" fillId="13" borderId="0" xfId="0" applyNumberFormat="1" applyFont="1" applyFill="1"/>
    <xf numFmtId="0" fontId="36" fillId="13" borderId="18" xfId="0" applyFont="1" applyFill="1" applyBorder="1"/>
    <xf numFmtId="0" fontId="36" fillId="13" borderId="26" xfId="0" applyFont="1" applyFill="1" applyBorder="1"/>
    <xf numFmtId="175" fontId="36" fillId="15" borderId="21" xfId="0" applyNumberFormat="1" applyFont="1" applyFill="1" applyBorder="1" applyAlignment="1" applyProtection="1">
      <alignment horizontal="center"/>
      <protection locked="0"/>
    </xf>
    <xf numFmtId="172" fontId="36" fillId="13" borderId="0" xfId="0" applyNumberFormat="1" applyFont="1" applyFill="1" applyBorder="1" applyAlignment="1">
      <alignment horizontal="center"/>
    </xf>
    <xf numFmtId="0" fontId="52" fillId="0" borderId="0" xfId="0" applyFont="1" applyBorder="1"/>
    <xf numFmtId="0" fontId="36" fillId="0" borderId="0" xfId="0" applyFont="1" applyBorder="1"/>
    <xf numFmtId="0" fontId="51" fillId="0" borderId="0" xfId="0" applyFont="1" applyBorder="1" applyAlignment="1">
      <alignment horizontal="centerContinuous"/>
    </xf>
    <xf numFmtId="0" fontId="36" fillId="0" borderId="0" xfId="0" applyFont="1" applyBorder="1" applyAlignment="1">
      <alignment horizontal="centerContinuous"/>
    </xf>
    <xf numFmtId="0" fontId="36" fillId="14" borderId="0" xfId="0" applyFont="1" applyFill="1" applyBorder="1"/>
    <xf numFmtId="0" fontId="36" fillId="13" borderId="27" xfId="0" applyFont="1" applyFill="1" applyBorder="1"/>
    <xf numFmtId="0" fontId="36" fillId="13" borderId="10" xfId="0" applyFont="1" applyFill="1" applyBorder="1"/>
    <xf numFmtId="0" fontId="36" fillId="13" borderId="28" xfId="0" applyFont="1" applyFill="1" applyBorder="1"/>
    <xf numFmtId="5" fontId="36" fillId="13" borderId="24" xfId="0" applyNumberFormat="1" applyFont="1" applyFill="1" applyBorder="1" applyAlignment="1">
      <alignment horizontal="center"/>
    </xf>
    <xf numFmtId="0" fontId="36" fillId="13" borderId="24" xfId="0" applyFont="1" applyFill="1" applyBorder="1" applyAlignment="1">
      <alignment horizontal="center"/>
    </xf>
    <xf numFmtId="172" fontId="36" fillId="13" borderId="24" xfId="0" applyNumberFormat="1" applyFont="1" applyFill="1" applyBorder="1" applyAlignment="1">
      <alignment horizontal="center"/>
    </xf>
    <xf numFmtId="176" fontId="36" fillId="13" borderId="24" xfId="0" applyNumberFormat="1" applyFont="1" applyFill="1" applyBorder="1" applyAlignment="1">
      <alignment horizontal="center"/>
    </xf>
    <xf numFmtId="0" fontId="36" fillId="13" borderId="0" xfId="0" applyFont="1" applyFill="1" applyAlignment="1">
      <alignment horizontal="center" wrapText="1"/>
    </xf>
    <xf numFmtId="0" fontId="51" fillId="13" borderId="18" xfId="0" applyFont="1" applyFill="1" applyBorder="1" applyAlignment="1"/>
    <xf numFmtId="0" fontId="36" fillId="13" borderId="19" xfId="0" applyFont="1" applyFill="1" applyBorder="1" applyAlignment="1"/>
    <xf numFmtId="0" fontId="36" fillId="13" borderId="20" xfId="0" applyFont="1" applyFill="1" applyBorder="1" applyAlignment="1"/>
    <xf numFmtId="0" fontId="36" fillId="13" borderId="26" xfId="0" applyFont="1" applyFill="1" applyBorder="1" applyAlignment="1"/>
    <xf numFmtId="0" fontId="36" fillId="13" borderId="22" xfId="0" applyFont="1" applyFill="1" applyBorder="1" applyAlignment="1"/>
    <xf numFmtId="0" fontId="36" fillId="13" borderId="27" xfId="0" applyFont="1" applyFill="1" applyBorder="1" applyAlignment="1"/>
    <xf numFmtId="0" fontId="36" fillId="13" borderId="10" xfId="0" applyFont="1" applyFill="1" applyBorder="1" applyAlignment="1"/>
    <xf numFmtId="0" fontId="36" fillId="13" borderId="28" xfId="0" applyFont="1" applyFill="1" applyBorder="1" applyAlignment="1"/>
    <xf numFmtId="171" fontId="36" fillId="13" borderId="0" xfId="0" applyNumberFormat="1" applyFont="1" applyFill="1" applyBorder="1" applyAlignment="1">
      <alignment horizontal="center"/>
    </xf>
    <xf numFmtId="0" fontId="36" fillId="13" borderId="23" xfId="0" applyFont="1" applyFill="1" applyBorder="1" applyAlignment="1"/>
    <xf numFmtId="5" fontId="36" fillId="13" borderId="0" xfId="0" applyNumberFormat="1" applyFont="1" applyFill="1" applyBorder="1" applyAlignment="1">
      <alignment horizontal="center"/>
    </xf>
    <xf numFmtId="0" fontId="36" fillId="14" borderId="0" xfId="0" applyFont="1" applyFill="1" applyAlignment="1"/>
    <xf numFmtId="172" fontId="36" fillId="15" borderId="2" xfId="0" applyNumberFormat="1" applyFont="1" applyFill="1" applyBorder="1" applyAlignment="1" applyProtection="1">
      <alignment horizontal="center"/>
      <protection locked="0"/>
    </xf>
    <xf numFmtId="176" fontId="36" fillId="13" borderId="0" xfId="0" applyNumberFormat="1" applyFont="1" applyFill="1" applyBorder="1"/>
    <xf numFmtId="0" fontId="36" fillId="16" borderId="0" xfId="0" applyFont="1" applyFill="1"/>
    <xf numFmtId="0" fontId="38" fillId="0" borderId="0" xfId="0" applyFont="1" applyAlignment="1">
      <alignment horizontal="center"/>
    </xf>
    <xf numFmtId="0" fontId="4" fillId="0" borderId="0" xfId="0" applyFont="1" applyAlignment="1">
      <alignment wrapText="1"/>
    </xf>
    <xf numFmtId="0" fontId="39" fillId="0" borderId="0" xfId="13" applyFont="1" applyAlignment="1" applyProtection="1"/>
    <xf numFmtId="3" fontId="4" fillId="3" borderId="5" xfId="0" applyNumberFormat="1" applyFont="1" applyFill="1" applyBorder="1" applyAlignment="1" applyProtection="1">
      <alignment horizontal="center" vertical="center"/>
    </xf>
    <xf numFmtId="3" fontId="4" fillId="3" borderId="3" xfId="0" applyNumberFormat="1" applyFont="1" applyFill="1" applyBorder="1" applyAlignment="1" applyProtection="1">
      <alignment horizontal="center" vertical="center"/>
    </xf>
    <xf numFmtId="3" fontId="4" fillId="6" borderId="11" xfId="50" applyNumberFormat="1" applyFont="1" applyFill="1" applyBorder="1" applyAlignment="1" applyProtection="1">
      <alignment horizontal="right" vertical="center"/>
      <protection locked="0"/>
    </xf>
    <xf numFmtId="0" fontId="4" fillId="0" borderId="0" xfId="55" applyFont="1" applyAlignment="1">
      <alignment vertical="center" wrapText="1"/>
    </xf>
    <xf numFmtId="0" fontId="20" fillId="0" borderId="0" xfId="0" applyFont="1"/>
    <xf numFmtId="0" fontId="21" fillId="0" borderId="0" xfId="0" applyFont="1" applyAlignment="1">
      <alignment horizontal="center"/>
    </xf>
    <xf numFmtId="0" fontId="3" fillId="0" borderId="0" xfId="0" applyFont="1" applyAlignment="1">
      <alignment wrapText="1"/>
    </xf>
    <xf numFmtId="0" fontId="0"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4" fillId="0" borderId="0" xfId="0" applyNumberFormat="1" applyFont="1" applyFill="1" applyBorder="1" applyAlignment="1" applyProtection="1">
      <alignment vertical="center"/>
    </xf>
    <xf numFmtId="0" fontId="3" fillId="0" borderId="0" xfId="0" applyNumberFormat="1" applyFont="1" applyFill="1" applyBorder="1" applyAlignment="1" applyProtection="1">
      <alignment vertical="center" wrapText="1"/>
    </xf>
    <xf numFmtId="0" fontId="20" fillId="0" borderId="0" xfId="0" applyNumberFormat="1" applyFont="1" applyFill="1" applyBorder="1" applyAlignment="1" applyProtection="1">
      <alignment vertical="center"/>
    </xf>
    <xf numFmtId="0" fontId="23" fillId="0" borderId="0" xfId="0" applyNumberFormat="1" applyFont="1" applyFill="1" applyBorder="1" applyAlignment="1" applyProtection="1">
      <alignment vertical="center" wrapText="1"/>
    </xf>
    <xf numFmtId="0" fontId="7" fillId="0" borderId="0" xfId="0" applyNumberFormat="1" applyFont="1" applyFill="1" applyBorder="1" applyAlignment="1" applyProtection="1">
      <alignment vertical="center"/>
    </xf>
    <xf numFmtId="0" fontId="22" fillId="0" borderId="0" xfId="0" applyNumberFormat="1" applyFont="1" applyFill="1" applyBorder="1" applyAlignment="1" applyProtection="1">
      <alignment vertical="center" wrapText="1"/>
    </xf>
    <xf numFmtId="0" fontId="24" fillId="0" borderId="0" xfId="0" applyNumberFormat="1" applyFont="1" applyFill="1" applyBorder="1" applyAlignment="1" applyProtection="1">
      <alignment vertical="center"/>
    </xf>
    <xf numFmtId="0" fontId="4" fillId="0" borderId="0" xfId="55" applyFont="1" applyAlignment="1">
      <alignment vertical="center"/>
    </xf>
    <xf numFmtId="0" fontId="53" fillId="0" borderId="0" xfId="0" applyFont="1" applyAlignment="1">
      <alignment wrapText="1"/>
    </xf>
    <xf numFmtId="0" fontId="23" fillId="0" borderId="0" xfId="0" applyFont="1" applyAlignment="1">
      <alignment wrapText="1"/>
    </xf>
    <xf numFmtId="172" fontId="4" fillId="15" borderId="12" xfId="50" applyNumberFormat="1" applyFont="1" applyFill="1" applyBorder="1" applyAlignment="1" applyProtection="1">
      <alignment horizontal="center"/>
      <protection locked="0"/>
    </xf>
    <xf numFmtId="0" fontId="40" fillId="13" borderId="17" xfId="50" applyFont="1" applyFill="1" applyBorder="1" applyProtection="1"/>
    <xf numFmtId="0" fontId="4" fillId="13" borderId="0" xfId="50" applyFont="1" applyFill="1" applyBorder="1" applyProtection="1"/>
    <xf numFmtId="175" fontId="4" fillId="13" borderId="12" xfId="50" applyNumberFormat="1" applyFont="1" applyFill="1" applyBorder="1" applyAlignment="1" applyProtection="1">
      <alignment horizontal="center"/>
    </xf>
    <xf numFmtId="0" fontId="4" fillId="13" borderId="16" xfId="50" applyFont="1" applyFill="1" applyBorder="1" applyProtection="1"/>
    <xf numFmtId="0" fontId="4" fillId="13" borderId="2" xfId="50" applyFont="1" applyFill="1" applyBorder="1" applyProtection="1"/>
    <xf numFmtId="175" fontId="4" fillId="17" borderId="7" xfId="50" applyNumberFormat="1" applyFont="1" applyFill="1" applyBorder="1" applyAlignment="1" applyProtection="1">
      <alignment horizontal="center"/>
    </xf>
    <xf numFmtId="0" fontId="4" fillId="0" borderId="0" xfId="50" applyFont="1" applyFill="1" applyBorder="1" applyProtection="1"/>
    <xf numFmtId="0" fontId="4" fillId="13" borderId="17" xfId="50" applyFont="1" applyFill="1" applyBorder="1" applyProtection="1"/>
    <xf numFmtId="0" fontId="4" fillId="13" borderId="12" xfId="50" applyFont="1" applyFill="1" applyBorder="1" applyProtection="1"/>
    <xf numFmtId="171" fontId="4" fillId="13" borderId="12" xfId="50" applyNumberFormat="1" applyFont="1" applyFill="1" applyBorder="1" applyAlignment="1" applyProtection="1">
      <alignment horizontal="center"/>
    </xf>
    <xf numFmtId="0" fontId="4" fillId="17" borderId="17" xfId="50" applyFont="1" applyFill="1" applyBorder="1" applyProtection="1"/>
    <xf numFmtId="0" fontId="4" fillId="17" borderId="0" xfId="50" applyFont="1" applyFill="1" applyBorder="1" applyProtection="1"/>
    <xf numFmtId="0" fontId="4" fillId="17" borderId="16" xfId="50" applyFont="1" applyFill="1" applyBorder="1" applyProtection="1"/>
    <xf numFmtId="0" fontId="4" fillId="17" borderId="2" xfId="50" applyFont="1" applyFill="1" applyBorder="1" applyProtection="1"/>
    <xf numFmtId="0" fontId="4" fillId="0" borderId="0" xfId="50" applyFont="1" applyProtection="1"/>
    <xf numFmtId="175" fontId="4" fillId="13" borderId="7" xfId="50" applyNumberFormat="1" applyFont="1" applyFill="1" applyBorder="1" applyAlignment="1" applyProtection="1">
      <alignment horizontal="center"/>
    </xf>
    <xf numFmtId="0" fontId="5" fillId="0" borderId="0" xfId="90" applyFont="1" applyAlignment="1">
      <alignment vertical="center"/>
    </xf>
    <xf numFmtId="0" fontId="54" fillId="0" borderId="0" xfId="0" applyFont="1" applyAlignment="1">
      <alignment vertical="center"/>
    </xf>
    <xf numFmtId="0" fontId="55" fillId="0" borderId="0" xfId="0" applyFont="1" applyAlignment="1" applyProtection="1">
      <alignment horizontal="center" vertical="center"/>
      <protection locked="0"/>
    </xf>
    <xf numFmtId="0" fontId="56" fillId="3" borderId="0" xfId="0" applyFont="1" applyFill="1" applyAlignment="1" applyProtection="1">
      <alignment horizontal="center" vertical="center"/>
    </xf>
    <xf numFmtId="37" fontId="4" fillId="3" borderId="29" xfId="0" applyNumberFormat="1" applyFont="1" applyFill="1" applyBorder="1" applyAlignment="1" applyProtection="1">
      <alignment vertical="center"/>
    </xf>
    <xf numFmtId="0" fontId="4" fillId="3" borderId="29" xfId="0" applyFont="1" applyFill="1" applyBorder="1" applyAlignment="1" applyProtection="1">
      <alignment vertical="center"/>
    </xf>
    <xf numFmtId="170" fontId="4" fillId="6" borderId="1" xfId="1" applyNumberFormat="1" applyFont="1" applyFill="1" applyBorder="1" applyAlignment="1" applyProtection="1">
      <alignment vertical="center"/>
      <protection locked="0"/>
    </xf>
    <xf numFmtId="37" fontId="3" fillId="3" borderId="0" xfId="0" applyNumberFormat="1" applyFont="1" applyFill="1" applyBorder="1" applyAlignment="1" applyProtection="1">
      <alignment vertical="center"/>
    </xf>
    <xf numFmtId="0" fontId="4" fillId="2" borderId="11" xfId="34" applyNumberFormat="1" applyFont="1" applyFill="1" applyBorder="1" applyAlignment="1" applyProtection="1">
      <alignment horizontal="left" vertical="center"/>
      <protection locked="0"/>
    </xf>
    <xf numFmtId="0" fontId="4" fillId="2" borderId="11" xfId="55" applyNumberFormat="1" applyFont="1" applyFill="1" applyBorder="1" applyAlignment="1" applyProtection="1">
      <alignment horizontal="left" vertical="center"/>
      <protection locked="0"/>
    </xf>
    <xf numFmtId="0" fontId="4" fillId="13" borderId="0" xfId="50" applyFont="1" applyFill="1" applyBorder="1" applyAlignment="1" applyProtection="1">
      <alignment vertical="center"/>
      <protection locked="0"/>
    </xf>
    <xf numFmtId="0" fontId="4" fillId="13" borderId="0" xfId="50" applyFont="1" applyFill="1" applyBorder="1" applyAlignment="1" applyProtection="1">
      <alignment vertical="center"/>
    </xf>
    <xf numFmtId="0" fontId="40" fillId="13" borderId="0" xfId="50" applyFont="1" applyFill="1" applyBorder="1" applyAlignment="1" applyProtection="1">
      <alignment vertical="center"/>
      <protection locked="0"/>
    </xf>
    <xf numFmtId="175" fontId="40" fillId="15" borderId="1" xfId="50" applyNumberFormat="1" applyFont="1" applyFill="1" applyBorder="1" applyAlignment="1" applyProtection="1">
      <alignment horizontal="center" vertical="center"/>
      <protection locked="0"/>
    </xf>
    <xf numFmtId="0" fontId="4" fillId="13" borderId="17" xfId="50" applyFont="1" applyFill="1" applyBorder="1" applyAlignment="1" applyProtection="1">
      <alignment vertical="center"/>
    </xf>
    <xf numFmtId="0" fontId="4" fillId="13" borderId="12" xfId="50" applyFont="1" applyFill="1" applyBorder="1" applyAlignment="1" applyProtection="1">
      <alignment vertical="center"/>
    </xf>
    <xf numFmtId="175" fontId="40" fillId="13" borderId="17" xfId="50" applyNumberFormat="1" applyFont="1" applyFill="1" applyBorder="1" applyAlignment="1" applyProtection="1">
      <alignment horizontal="center" vertical="center"/>
    </xf>
    <xf numFmtId="0" fontId="40" fillId="13" borderId="0" xfId="50" applyFont="1" applyFill="1" applyBorder="1" applyAlignment="1" applyProtection="1">
      <alignment horizontal="left" vertical="center"/>
    </xf>
    <xf numFmtId="0" fontId="40" fillId="13" borderId="12" xfId="50" applyFont="1" applyFill="1" applyBorder="1" applyAlignment="1" applyProtection="1">
      <alignment vertical="center"/>
    </xf>
    <xf numFmtId="0" fontId="40" fillId="13" borderId="0" xfId="50" applyFont="1" applyFill="1" applyBorder="1" applyAlignment="1" applyProtection="1">
      <alignment vertical="center"/>
    </xf>
    <xf numFmtId="175" fontId="40" fillId="13" borderId="16" xfId="50" applyNumberFormat="1" applyFont="1" applyFill="1" applyBorder="1" applyAlignment="1" applyProtection="1">
      <alignment horizontal="center" vertical="center"/>
    </xf>
    <xf numFmtId="175" fontId="40" fillId="13" borderId="17" xfId="50" applyNumberFormat="1" applyFont="1" applyFill="1" applyBorder="1" applyAlignment="1" applyProtection="1">
      <alignment vertical="center"/>
    </xf>
    <xf numFmtId="0" fontId="42" fillId="17" borderId="2" xfId="50" applyFont="1" applyFill="1" applyBorder="1" applyAlignment="1" applyProtection="1">
      <alignment vertical="center"/>
    </xf>
    <xf numFmtId="0" fontId="40" fillId="17" borderId="7" xfId="50" applyFont="1" applyFill="1" applyBorder="1" applyAlignment="1" applyProtection="1">
      <alignment vertical="center"/>
    </xf>
    <xf numFmtId="0" fontId="4" fillId="17" borderId="7" xfId="50" applyFont="1" applyFill="1" applyBorder="1" applyAlignment="1" applyProtection="1">
      <alignment vertical="center"/>
    </xf>
    <xf numFmtId="0" fontId="40" fillId="13" borderId="17" xfId="50" applyFont="1" applyFill="1" applyBorder="1" applyAlignment="1" applyProtection="1">
      <alignment horizontal="left" vertical="center"/>
    </xf>
    <xf numFmtId="175" fontId="42" fillId="17" borderId="16" xfId="50" applyNumberFormat="1" applyFont="1" applyFill="1" applyBorder="1" applyAlignment="1" applyProtection="1">
      <alignment horizontal="center" vertical="center"/>
    </xf>
    <xf numFmtId="175" fontId="42" fillId="17" borderId="7" xfId="50" applyNumberFormat="1" applyFont="1" applyFill="1" applyBorder="1" applyAlignment="1" applyProtection="1">
      <alignment horizontal="center" vertical="center"/>
      <protection locked="0"/>
    </xf>
    <xf numFmtId="172" fontId="40" fillId="13" borderId="9" xfId="50" applyNumberFormat="1" applyFont="1" applyFill="1" applyBorder="1" applyAlignment="1" applyProtection="1">
      <alignment horizontal="center" vertical="center"/>
      <protection locked="0"/>
    </xf>
    <xf numFmtId="0" fontId="40" fillId="13" borderId="17" xfId="50" applyFont="1" applyFill="1" applyBorder="1" applyAlignment="1" applyProtection="1">
      <alignment vertical="center"/>
    </xf>
    <xf numFmtId="3" fontId="4" fillId="3" borderId="0" xfId="0" applyNumberFormat="1"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xf>
    <xf numFmtId="171" fontId="4" fillId="3" borderId="0" xfId="0" applyNumberFormat="1" applyFont="1" applyFill="1" applyBorder="1" applyAlignment="1" applyProtection="1">
      <alignment horizontal="center" vertical="center"/>
    </xf>
    <xf numFmtId="3" fontId="4" fillId="3" borderId="30" xfId="0" applyNumberFormat="1" applyFont="1" applyFill="1" applyBorder="1" applyAlignment="1" applyProtection="1">
      <alignment horizontal="center" vertical="center"/>
    </xf>
    <xf numFmtId="172" fontId="4" fillId="3" borderId="30" xfId="0" applyNumberFormat="1" applyFont="1" applyFill="1" applyBorder="1" applyAlignment="1" applyProtection="1">
      <alignment horizontal="center" vertical="center"/>
    </xf>
    <xf numFmtId="37" fontId="4" fillId="3" borderId="0" xfId="0" applyNumberFormat="1" applyFont="1" applyFill="1" applyAlignment="1" applyProtection="1">
      <alignment horizontal="left" vertical="center"/>
      <protection locked="0"/>
    </xf>
    <xf numFmtId="37" fontId="4" fillId="3" borderId="2" xfId="0" applyNumberFormat="1" applyFont="1" applyFill="1" applyBorder="1" applyAlignment="1" applyProtection="1">
      <alignment vertical="center"/>
      <protection locked="0"/>
    </xf>
    <xf numFmtId="37" fontId="4" fillId="3" borderId="3" xfId="34" applyNumberFormat="1" applyFont="1" applyFill="1" applyBorder="1" applyAlignment="1" applyProtection="1">
      <alignment horizontal="center"/>
    </xf>
    <xf numFmtId="37" fontId="4" fillId="3" borderId="5" xfId="34" applyNumberFormat="1" applyFont="1" applyFill="1" applyBorder="1" applyAlignment="1" applyProtection="1">
      <alignment horizontal="center"/>
    </xf>
    <xf numFmtId="3" fontId="4" fillId="12" borderId="6" xfId="0" applyNumberFormat="1" applyFont="1" applyFill="1" applyBorder="1" applyAlignment="1" applyProtection="1">
      <alignment horizontal="center" vertical="center"/>
    </xf>
    <xf numFmtId="37" fontId="7" fillId="3" borderId="3" xfId="0" applyNumberFormat="1" applyFont="1" applyFill="1" applyBorder="1" applyAlignment="1" applyProtection="1">
      <alignment horizontal="center" vertical="center"/>
    </xf>
    <xf numFmtId="1" fontId="7" fillId="3" borderId="3" xfId="0" applyNumberFormat="1" applyFont="1" applyFill="1" applyBorder="1" applyAlignment="1" applyProtection="1">
      <alignment horizontal="center" vertical="center"/>
    </xf>
    <xf numFmtId="0" fontId="3" fillId="3" borderId="2" xfId="0" applyFont="1" applyFill="1" applyBorder="1" applyAlignment="1" applyProtection="1">
      <alignment vertical="center"/>
    </xf>
    <xf numFmtId="0" fontId="51" fillId="13" borderId="26" xfId="0" applyFont="1" applyFill="1" applyBorder="1" applyAlignment="1">
      <alignment horizontal="centerContinuous" vertical="center"/>
    </xf>
    <xf numFmtId="175" fontId="51" fillId="13" borderId="0" xfId="0" applyNumberFormat="1" applyFont="1" applyFill="1" applyBorder="1" applyAlignment="1">
      <alignment horizontal="centerContinuous" vertical="center"/>
    </xf>
    <xf numFmtId="0" fontId="51" fillId="13" borderId="0" xfId="0" applyFont="1" applyFill="1" applyBorder="1" applyAlignment="1">
      <alignment horizontal="centerContinuous" vertical="center"/>
    </xf>
    <xf numFmtId="172" fontId="51" fillId="13" borderId="0" xfId="0" applyNumberFormat="1" applyFont="1" applyFill="1" applyBorder="1" applyAlignment="1" applyProtection="1">
      <alignment horizontal="centerContinuous" vertical="center"/>
      <protection locked="0"/>
    </xf>
    <xf numFmtId="176" fontId="51" fillId="13" borderId="0" xfId="0" applyNumberFormat="1" applyFont="1" applyFill="1" applyBorder="1" applyAlignment="1">
      <alignment horizontal="centerContinuous" vertical="center"/>
    </xf>
    <xf numFmtId="0" fontId="51" fillId="13" borderId="22" xfId="0" applyFont="1" applyFill="1" applyBorder="1" applyAlignment="1">
      <alignment horizontal="centerContinuous" vertical="center"/>
    </xf>
    <xf numFmtId="0" fontId="51" fillId="13" borderId="26" xfId="0" applyFont="1" applyFill="1" applyBorder="1" applyAlignment="1">
      <alignment horizontal="centerContinuous"/>
    </xf>
    <xf numFmtId="175" fontId="51" fillId="13" borderId="0" xfId="0" applyNumberFormat="1" applyFont="1" applyFill="1" applyBorder="1" applyAlignment="1">
      <alignment horizontal="centerContinuous"/>
    </xf>
    <xf numFmtId="0" fontId="51" fillId="13" borderId="0" xfId="0" applyFont="1" applyFill="1" applyBorder="1" applyAlignment="1">
      <alignment horizontal="centerContinuous"/>
    </xf>
    <xf numFmtId="172" fontId="51" fillId="13" borderId="0" xfId="0" applyNumberFormat="1" applyFont="1" applyFill="1" applyBorder="1" applyAlignment="1" applyProtection="1">
      <alignment horizontal="centerContinuous"/>
      <protection locked="0"/>
    </xf>
    <xf numFmtId="176" fontId="51" fillId="13" borderId="0" xfId="0" applyNumberFormat="1" applyFont="1" applyFill="1" applyBorder="1" applyAlignment="1">
      <alignment horizontal="centerContinuous"/>
    </xf>
    <xf numFmtId="0" fontId="51" fillId="13" borderId="22" xfId="0" applyFont="1" applyFill="1" applyBorder="1" applyAlignment="1">
      <alignment horizontal="centerContinuous"/>
    </xf>
    <xf numFmtId="175" fontId="36" fillId="0" borderId="0" xfId="0" applyNumberFormat="1" applyFont="1"/>
    <xf numFmtId="175" fontId="36" fillId="13" borderId="24" xfId="0" applyNumberFormat="1" applyFont="1" applyFill="1" applyBorder="1" applyAlignment="1">
      <alignment horizontal="center"/>
    </xf>
    <xf numFmtId="172" fontId="36" fillId="13" borderId="24" xfId="0" applyNumberFormat="1" applyFont="1" applyFill="1" applyBorder="1" applyAlignment="1" applyProtection="1">
      <alignment horizontal="center"/>
      <protection locked="0"/>
    </xf>
    <xf numFmtId="176" fontId="36" fillId="13" borderId="24" xfId="0" applyNumberFormat="1" applyFont="1" applyFill="1" applyBorder="1"/>
    <xf numFmtId="172" fontId="36" fillId="13" borderId="0" xfId="0" applyNumberFormat="1" applyFont="1" applyFill="1" applyBorder="1" applyAlignment="1" applyProtection="1">
      <alignment horizontal="center"/>
      <protection locked="0"/>
    </xf>
    <xf numFmtId="175" fontId="36" fillId="13" borderId="19" xfId="0" applyNumberFormat="1" applyFont="1" applyFill="1" applyBorder="1" applyAlignment="1">
      <alignment horizontal="center"/>
    </xf>
    <xf numFmtId="0" fontId="36" fillId="13" borderId="19" xfId="0" applyFont="1" applyFill="1" applyBorder="1" applyAlignment="1">
      <alignment horizontal="center"/>
    </xf>
    <xf numFmtId="172" fontId="36" fillId="13" borderId="19" xfId="0" applyNumberFormat="1" applyFont="1" applyFill="1" applyBorder="1" applyAlignment="1" applyProtection="1">
      <alignment horizontal="center"/>
      <protection locked="0"/>
    </xf>
    <xf numFmtId="176" fontId="36" fillId="13" borderId="19" xfId="0" applyNumberFormat="1" applyFont="1" applyFill="1" applyBorder="1"/>
    <xf numFmtId="175" fontId="36" fillId="13" borderId="0" xfId="0" applyNumberFormat="1" applyFont="1" applyFill="1" applyBorder="1" applyAlignment="1" applyProtection="1">
      <alignment horizontal="center"/>
      <protection locked="0"/>
    </xf>
    <xf numFmtId="175" fontId="4" fillId="17" borderId="12" xfId="50" applyNumberFormat="1" applyFont="1" applyFill="1" applyBorder="1" applyAlignment="1" applyProtection="1">
      <alignment horizontal="center"/>
    </xf>
    <xf numFmtId="0" fontId="4" fillId="17" borderId="16" xfId="0" applyFont="1" applyFill="1" applyBorder="1" applyAlignment="1">
      <alignment vertical="center"/>
    </xf>
    <xf numFmtId="0" fontId="4" fillId="17" borderId="2" xfId="0" applyFont="1" applyFill="1" applyBorder="1" applyAlignment="1">
      <alignment vertical="center"/>
    </xf>
    <xf numFmtId="175" fontId="4" fillId="17" borderId="7" xfId="0" applyNumberFormat="1" applyFont="1" applyFill="1" applyBorder="1" applyAlignment="1">
      <alignment horizontal="center" vertical="center"/>
    </xf>
    <xf numFmtId="175" fontId="36" fillId="13" borderId="0" xfId="0" applyNumberFormat="1" applyFont="1" applyFill="1" applyBorder="1" applyAlignment="1">
      <alignment horizontal="center"/>
    </xf>
    <xf numFmtId="176" fontId="36" fillId="13" borderId="0" xfId="0" applyNumberFormat="1" applyFont="1" applyFill="1" applyBorder="1" applyAlignment="1">
      <alignment horizontal="center"/>
    </xf>
    <xf numFmtId="0" fontId="51" fillId="13" borderId="0" xfId="0" applyFont="1" applyFill="1" applyAlignment="1">
      <alignment horizontal="center" wrapText="1"/>
    </xf>
    <xf numFmtId="0" fontId="36" fillId="13" borderId="0" xfId="0" applyFont="1" applyFill="1" applyBorder="1" applyAlignment="1">
      <alignment horizontal="center"/>
    </xf>
    <xf numFmtId="175" fontId="36" fillId="15" borderId="2" xfId="0" applyNumberFormat="1" applyFont="1" applyFill="1" applyBorder="1" applyAlignment="1" applyProtection="1">
      <alignment horizontal="center"/>
      <protection locked="0"/>
    </xf>
    <xf numFmtId="0" fontId="51" fillId="13" borderId="0" xfId="0" applyFont="1" applyFill="1" applyAlignment="1">
      <alignment horizontal="center"/>
    </xf>
    <xf numFmtId="175" fontId="36" fillId="13" borderId="0" xfId="0" applyNumberFormat="1" applyFont="1" applyFill="1" applyAlignment="1">
      <alignment horizontal="center"/>
    </xf>
    <xf numFmtId="0" fontId="36" fillId="13" borderId="0" xfId="0" applyFont="1" applyFill="1" applyBorder="1" applyAlignment="1"/>
    <xf numFmtId="0" fontId="36" fillId="13" borderId="25" xfId="0" applyFont="1" applyFill="1" applyBorder="1" applyAlignment="1"/>
    <xf numFmtId="0" fontId="36" fillId="13" borderId="10" xfId="0" applyFont="1" applyFill="1" applyBorder="1" applyAlignment="1">
      <alignment horizontal="center"/>
    </xf>
    <xf numFmtId="0" fontId="4" fillId="3" borderId="0" xfId="13" applyNumberFormat="1" applyFont="1" applyFill="1" applyBorder="1" applyAlignment="1" applyProtection="1">
      <alignment horizontal="right" vertical="center"/>
    </xf>
    <xf numFmtId="0" fontId="4" fillId="0" borderId="0" xfId="90" applyFont="1" applyAlignment="1">
      <alignment vertical="center"/>
    </xf>
    <xf numFmtId="0" fontId="4" fillId="3" borderId="4" xfId="0" applyFont="1" applyFill="1" applyBorder="1" applyProtection="1"/>
    <xf numFmtId="0" fontId="4" fillId="13" borderId="0" xfId="0" applyFont="1" applyFill="1" applyAlignment="1" applyProtection="1">
      <alignment vertical="center"/>
      <protection locked="0"/>
    </xf>
    <xf numFmtId="10" fontId="4" fillId="2" borderId="1" xfId="0" applyNumberFormat="1" applyFont="1" applyFill="1" applyBorder="1" applyAlignment="1" applyProtection="1">
      <alignment vertical="center"/>
      <protection locked="0"/>
    </xf>
    <xf numFmtId="178" fontId="4" fillId="2" borderId="1" xfId="0" applyNumberFormat="1" applyFont="1" applyFill="1" applyBorder="1" applyAlignment="1" applyProtection="1">
      <alignment vertical="center"/>
      <protection locked="0"/>
    </xf>
    <xf numFmtId="171" fontId="4" fillId="3" borderId="9" xfId="0" applyNumberFormat="1" applyFont="1" applyFill="1" applyBorder="1" applyAlignment="1" applyProtection="1">
      <alignment vertical="center"/>
    </xf>
    <xf numFmtId="0" fontId="57" fillId="0" borderId="0" xfId="0" applyFont="1"/>
    <xf numFmtId="49" fontId="4" fillId="0" borderId="0" xfId="471" applyNumberFormat="1" applyFont="1" applyFill="1" applyAlignment="1" applyProtection="1">
      <alignment horizontal="left" vertical="center"/>
      <protection locked="0"/>
    </xf>
    <xf numFmtId="0" fontId="58" fillId="0" borderId="0" xfId="471" applyFont="1"/>
    <xf numFmtId="173" fontId="59" fillId="0" borderId="0" xfId="471" applyNumberFormat="1" applyFont="1" applyAlignment="1">
      <alignment horizontal="left" vertical="center"/>
    </xf>
    <xf numFmtId="0" fontId="59" fillId="0" borderId="0" xfId="471" applyNumberFormat="1" applyFont="1" applyAlignment="1">
      <alignment horizontal="left" vertical="center"/>
    </xf>
    <xf numFmtId="1" fontId="59" fillId="0" borderId="0" xfId="471" applyNumberFormat="1" applyFont="1" applyAlignment="1">
      <alignment horizontal="left" vertical="center"/>
    </xf>
    <xf numFmtId="0" fontId="60" fillId="0" borderId="0" xfId="471" applyFont="1" applyAlignment="1">
      <alignment horizontal="left" vertical="center"/>
    </xf>
    <xf numFmtId="49" fontId="4" fillId="3" borderId="0" xfId="0" applyNumberFormat="1" applyFont="1" applyFill="1" applyAlignment="1" applyProtection="1">
      <alignment horizontal="left" vertical="center"/>
    </xf>
    <xf numFmtId="0" fontId="42" fillId="17" borderId="17" xfId="50" applyFont="1" applyFill="1" applyBorder="1" applyAlignment="1" applyProtection="1">
      <alignment vertical="center"/>
      <protection locked="0"/>
    </xf>
    <xf numFmtId="0" fontId="4" fillId="17" borderId="0" xfId="50" applyFont="1" applyFill="1" applyBorder="1" applyAlignment="1" applyProtection="1">
      <alignment vertical="center"/>
      <protection locked="0"/>
    </xf>
    <xf numFmtId="0" fontId="40" fillId="17" borderId="0" xfId="50" applyFont="1" applyFill="1" applyBorder="1" applyAlignment="1" applyProtection="1">
      <alignment vertical="center"/>
      <protection locked="0"/>
    </xf>
    <xf numFmtId="0" fontId="4" fillId="0" borderId="0" xfId="0" applyFont="1" applyBorder="1" applyAlignment="1" applyProtection="1">
      <alignment vertical="center"/>
      <protection locked="0"/>
    </xf>
    <xf numFmtId="0" fontId="40" fillId="13" borderId="16" xfId="0" applyFont="1" applyFill="1" applyBorder="1" applyAlignment="1" applyProtection="1">
      <alignment vertical="center"/>
      <protection locked="0"/>
    </xf>
    <xf numFmtId="0" fontId="40" fillId="13" borderId="2" xfId="0" applyFont="1" applyFill="1" applyBorder="1" applyAlignment="1" applyProtection="1">
      <alignment vertical="center"/>
      <protection locked="0"/>
    </xf>
    <xf numFmtId="0" fontId="4" fillId="13" borderId="2" xfId="0" applyFont="1" applyFill="1" applyBorder="1" applyAlignment="1" applyProtection="1">
      <alignment vertical="center"/>
      <protection locked="0"/>
    </xf>
    <xf numFmtId="0" fontId="4" fillId="17" borderId="7" xfId="0" applyFont="1" applyFill="1" applyBorder="1" applyAlignment="1" applyProtection="1">
      <alignment vertical="center"/>
      <protection locked="0"/>
    </xf>
    <xf numFmtId="172" fontId="40" fillId="13" borderId="17" xfId="0" applyNumberFormat="1" applyFont="1" applyFill="1" applyBorder="1" applyAlignment="1" applyProtection="1">
      <alignment horizontal="center" vertical="center"/>
    </xf>
    <xf numFmtId="0" fontId="40" fillId="13" borderId="0" xfId="0" applyFont="1" applyFill="1" applyBorder="1" applyAlignment="1" applyProtection="1">
      <alignment horizontal="left" vertical="center"/>
    </xf>
    <xf numFmtId="0" fontId="41" fillId="13" borderId="0" xfId="0" applyFont="1" applyFill="1" applyBorder="1" applyAlignment="1" applyProtection="1">
      <alignment horizontal="center" vertical="center"/>
    </xf>
    <xf numFmtId="0" fontId="0" fillId="13" borderId="12" xfId="0" applyFill="1" applyBorder="1" applyAlignment="1" applyProtection="1">
      <alignment vertical="center"/>
    </xf>
    <xf numFmtId="172" fontId="40" fillId="17" borderId="16" xfId="0" applyNumberFormat="1" applyFont="1" applyFill="1" applyBorder="1" applyAlignment="1" applyProtection="1">
      <alignment horizontal="center" vertical="center"/>
    </xf>
    <xf numFmtId="172" fontId="40" fillId="13" borderId="11" xfId="0" applyNumberFormat="1" applyFont="1" applyFill="1" applyBorder="1" applyAlignment="1" applyProtection="1">
      <alignment horizontal="center" vertical="center"/>
    </xf>
    <xf numFmtId="172" fontId="40" fillId="17" borderId="11" xfId="0" applyNumberFormat="1" applyFont="1" applyFill="1" applyBorder="1" applyAlignment="1" applyProtection="1">
      <alignment horizontal="center" vertical="center"/>
    </xf>
    <xf numFmtId="0" fontId="40" fillId="13" borderId="2" xfId="0" applyFont="1" applyFill="1" applyBorder="1" applyAlignment="1" applyProtection="1">
      <alignment horizontal="left" vertical="center"/>
    </xf>
    <xf numFmtId="0" fontId="41" fillId="13" borderId="2" xfId="0" applyFont="1" applyFill="1" applyBorder="1" applyAlignment="1" applyProtection="1">
      <alignment horizontal="center" vertical="center"/>
    </xf>
    <xf numFmtId="0" fontId="0" fillId="13" borderId="7" xfId="0" applyFill="1" applyBorder="1" applyAlignment="1" applyProtection="1">
      <alignment vertical="center"/>
    </xf>
    <xf numFmtId="0" fontId="54" fillId="0" borderId="0" xfId="0" applyFont="1" applyProtection="1">
      <protection locked="0"/>
    </xf>
    <xf numFmtId="175" fontId="11" fillId="17" borderId="16" xfId="50" applyNumberFormat="1" applyFont="1" applyFill="1" applyBorder="1" applyAlignment="1" applyProtection="1">
      <alignment horizontal="center" vertical="center"/>
      <protection locked="0"/>
    </xf>
    <xf numFmtId="0" fontId="11" fillId="17" borderId="2" xfId="50" applyFont="1" applyFill="1" applyBorder="1" applyAlignment="1" applyProtection="1">
      <alignment vertical="center"/>
      <protection locked="0"/>
    </xf>
    <xf numFmtId="0" fontId="4" fillId="17" borderId="7" xfId="50" applyFont="1" applyFill="1" applyBorder="1" applyAlignment="1" applyProtection="1">
      <alignment vertical="center"/>
      <protection locked="0"/>
    </xf>
    <xf numFmtId="0" fontId="4" fillId="13" borderId="12" xfId="0" applyFont="1" applyFill="1" applyBorder="1" applyAlignment="1" applyProtection="1">
      <alignment vertical="center"/>
      <protection locked="0"/>
    </xf>
    <xf numFmtId="3" fontId="4" fillId="10" borderId="6" xfId="50" applyNumberFormat="1" applyFont="1" applyFill="1" applyBorder="1" applyAlignment="1" applyProtection="1">
      <alignment vertical="center"/>
    </xf>
    <xf numFmtId="3" fontId="4" fillId="11" borderId="6" xfId="0" applyNumberFormat="1" applyFont="1" applyFill="1" applyBorder="1" applyAlignment="1" applyProtection="1">
      <alignment vertical="center"/>
    </xf>
    <xf numFmtId="0" fontId="40" fillId="13" borderId="17" xfId="0" applyFont="1" applyFill="1" applyBorder="1" applyAlignment="1" applyProtection="1">
      <alignment vertical="center"/>
    </xf>
    <xf numFmtId="0" fontId="4" fillId="13" borderId="0" xfId="0" applyFont="1" applyFill="1" applyBorder="1" applyAlignment="1" applyProtection="1">
      <alignment vertical="center"/>
    </xf>
    <xf numFmtId="0" fontId="40" fillId="13" borderId="0" xfId="0" applyFont="1" applyFill="1" applyBorder="1" applyAlignment="1" applyProtection="1">
      <alignment vertical="center"/>
    </xf>
    <xf numFmtId="175" fontId="40" fillId="13" borderId="12" xfId="0" applyNumberFormat="1" applyFont="1" applyFill="1" applyBorder="1" applyAlignment="1" applyProtection="1">
      <alignment horizontal="center" vertical="center"/>
    </xf>
    <xf numFmtId="0" fontId="40" fillId="13" borderId="17" xfId="0" applyFont="1" applyFill="1" applyBorder="1" applyAlignment="1" applyProtection="1">
      <alignment horizontal="left" vertical="center"/>
    </xf>
    <xf numFmtId="175" fontId="40" fillId="15" borderId="1" xfId="0" applyNumberFormat="1" applyFont="1" applyFill="1" applyBorder="1" applyAlignment="1" applyProtection="1">
      <alignment horizontal="center" vertical="center"/>
      <protection locked="0"/>
    </xf>
    <xf numFmtId="172" fontId="42" fillId="13" borderId="9" xfId="0" applyNumberFormat="1" applyFont="1" applyFill="1" applyBorder="1" applyAlignment="1" applyProtection="1">
      <alignment horizontal="center" vertical="center"/>
    </xf>
    <xf numFmtId="0" fontId="42" fillId="17" borderId="17" xfId="0" applyFont="1" applyFill="1" applyBorder="1" applyAlignment="1" applyProtection="1">
      <alignment vertical="center"/>
    </xf>
    <xf numFmtId="0" fontId="4" fillId="17" borderId="0" xfId="0" applyFont="1" applyFill="1" applyBorder="1" applyAlignment="1" applyProtection="1">
      <alignment vertical="center"/>
    </xf>
    <xf numFmtId="0" fontId="40" fillId="17" borderId="0" xfId="0" applyFont="1" applyFill="1" applyBorder="1" applyAlignment="1" applyProtection="1">
      <alignment vertical="center"/>
    </xf>
    <xf numFmtId="175" fontId="42" fillId="17" borderId="9" xfId="0" applyNumberFormat="1" applyFont="1" applyFill="1" applyBorder="1" applyAlignment="1" applyProtection="1">
      <alignment horizontal="center" vertical="center"/>
    </xf>
    <xf numFmtId="37" fontId="40" fillId="3" borderId="16" xfId="0" applyNumberFormat="1" applyFont="1" applyFill="1" applyBorder="1" applyAlignment="1" applyProtection="1">
      <alignment horizontal="left" vertical="center"/>
    </xf>
    <xf numFmtId="0" fontId="44" fillId="13" borderId="2" xfId="0" applyFont="1" applyFill="1" applyBorder="1" applyAlignment="1">
      <alignment horizontal="left" vertical="center"/>
    </xf>
    <xf numFmtId="175" fontId="42" fillId="17" borderId="7" xfId="0" applyNumberFormat="1" applyFont="1" applyFill="1" applyBorder="1" applyAlignment="1" applyProtection="1">
      <alignment horizontal="center" vertical="center"/>
      <protection locked="0"/>
    </xf>
    <xf numFmtId="0" fontId="4" fillId="13" borderId="17" xfId="0" applyFont="1" applyFill="1" applyBorder="1" applyAlignment="1" applyProtection="1">
      <alignment vertical="center"/>
    </xf>
    <xf numFmtId="0" fontId="4" fillId="13" borderId="12" xfId="0" applyFont="1" applyFill="1" applyBorder="1" applyProtection="1">
      <protection locked="0"/>
    </xf>
    <xf numFmtId="175" fontId="40" fillId="13" borderId="17" xfId="0" applyNumberFormat="1" applyFont="1" applyFill="1" applyBorder="1" applyAlignment="1" applyProtection="1">
      <alignment horizontal="center" vertical="center"/>
    </xf>
    <xf numFmtId="0" fontId="40" fillId="13" borderId="12" xfId="0" applyFont="1" applyFill="1" applyBorder="1" applyAlignment="1" applyProtection="1">
      <alignment vertical="center"/>
    </xf>
    <xf numFmtId="175" fontId="40" fillId="13" borderId="16" xfId="0" applyNumberFormat="1" applyFont="1" applyFill="1" applyBorder="1" applyAlignment="1" applyProtection="1">
      <alignment horizontal="center" vertical="center"/>
    </xf>
    <xf numFmtId="0" fontId="43" fillId="0" borderId="0" xfId="0" applyFont="1" applyAlignment="1" applyProtection="1">
      <alignment horizontal="right" vertical="center"/>
    </xf>
    <xf numFmtId="175" fontId="11" fillId="13" borderId="17" xfId="0" applyNumberFormat="1" applyFont="1" applyFill="1" applyBorder="1" applyAlignment="1" applyProtection="1">
      <alignment horizontal="center" vertical="center"/>
    </xf>
    <xf numFmtId="0" fontId="4" fillId="13" borderId="12" xfId="0" applyFont="1" applyFill="1" applyBorder="1" applyAlignment="1" applyProtection="1">
      <alignment vertical="center"/>
    </xf>
    <xf numFmtId="175" fontId="11" fillId="13" borderId="17" xfId="0" applyNumberFormat="1" applyFont="1" applyFill="1" applyBorder="1" applyAlignment="1" applyProtection="1">
      <alignment vertical="center"/>
    </xf>
    <xf numFmtId="0" fontId="11" fillId="13" borderId="0" xfId="0" applyFont="1" applyFill="1" applyBorder="1" applyAlignment="1" applyProtection="1">
      <alignment vertical="center"/>
    </xf>
    <xf numFmtId="175" fontId="11" fillId="13" borderId="16" xfId="0" applyNumberFormat="1" applyFont="1" applyFill="1" applyBorder="1" applyAlignment="1" applyProtection="1">
      <alignment horizontal="center" vertical="center"/>
    </xf>
    <xf numFmtId="175" fontId="11" fillId="17" borderId="16" xfId="0" applyNumberFormat="1" applyFont="1" applyFill="1" applyBorder="1" applyAlignment="1" applyProtection="1">
      <alignment horizontal="center" vertical="center"/>
    </xf>
    <xf numFmtId="0" fontId="11" fillId="17" borderId="2" xfId="0" applyFont="1" applyFill="1" applyBorder="1" applyAlignment="1" applyProtection="1">
      <alignment vertical="center"/>
    </xf>
    <xf numFmtId="0" fontId="4" fillId="17" borderId="7" xfId="0" applyFont="1" applyFill="1" applyBorder="1" applyAlignment="1" applyProtection="1">
      <alignment vertical="center"/>
    </xf>
    <xf numFmtId="0" fontId="4" fillId="17" borderId="7" xfId="0" applyFont="1" applyFill="1" applyBorder="1" applyProtection="1">
      <protection locked="0"/>
    </xf>
    <xf numFmtId="0" fontId="54" fillId="0" borderId="0" xfId="0" applyFont="1"/>
    <xf numFmtId="0" fontId="4" fillId="13" borderId="0" xfId="34" applyFont="1" applyFill="1"/>
    <xf numFmtId="0" fontId="2" fillId="0" borderId="0" xfId="34"/>
    <xf numFmtId="0" fontId="4" fillId="13" borderId="0" xfId="34" applyFont="1" applyFill="1" applyAlignment="1">
      <alignment vertical="center"/>
    </xf>
    <xf numFmtId="37" fontId="4" fillId="13" borderId="0" xfId="34" applyNumberFormat="1" applyFont="1" applyFill="1" applyAlignment="1">
      <alignment vertical="center"/>
    </xf>
    <xf numFmtId="0" fontId="4" fillId="13" borderId="2" xfId="34" applyFont="1" applyFill="1" applyBorder="1" applyAlignment="1">
      <alignment vertical="center"/>
    </xf>
    <xf numFmtId="0" fontId="4" fillId="13" borderId="0" xfId="34" applyFont="1" applyFill="1" applyAlignment="1">
      <alignment horizontal="center" vertical="center"/>
    </xf>
    <xf numFmtId="0" fontId="5" fillId="13" borderId="0" xfId="34" applyFont="1" applyFill="1" applyAlignment="1">
      <alignment horizontal="center" vertical="center"/>
    </xf>
    <xf numFmtId="175" fontId="4" fillId="13" borderId="0" xfId="34" applyNumberFormat="1" applyFont="1" applyFill="1" applyAlignment="1">
      <alignment vertical="center"/>
    </xf>
    <xf numFmtId="175" fontId="4" fillId="13" borderId="10" xfId="34" applyNumberFormat="1" applyFont="1" applyFill="1" applyBorder="1" applyAlignment="1">
      <alignment vertical="center"/>
    </xf>
    <xf numFmtId="175" fontId="4" fillId="13" borderId="0" xfId="34" applyNumberFormat="1" applyFont="1" applyFill="1" applyBorder="1" applyAlignment="1">
      <alignment vertical="center"/>
    </xf>
    <xf numFmtId="0" fontId="55" fillId="17" borderId="0" xfId="34" applyFont="1" applyFill="1" applyAlignment="1">
      <alignment vertical="center"/>
    </xf>
    <xf numFmtId="0" fontId="55" fillId="13" borderId="0" xfId="34" applyFont="1" applyFill="1" applyAlignment="1">
      <alignment horizontal="center" vertical="center"/>
    </xf>
    <xf numFmtId="172" fontId="4" fillId="13" borderId="0" xfId="34" applyNumberFormat="1" applyFont="1" applyFill="1" applyAlignment="1">
      <alignment horizontal="center" vertical="center"/>
    </xf>
    <xf numFmtId="179" fontId="55" fillId="13" borderId="0" xfId="34" applyNumberFormat="1" applyFont="1" applyFill="1" applyAlignment="1">
      <alignment horizontal="center" vertical="center"/>
    </xf>
    <xf numFmtId="0" fontId="55" fillId="17" borderId="0" xfId="34" applyFont="1" applyFill="1" applyAlignment="1">
      <alignment horizontal="center" vertical="center"/>
    </xf>
    <xf numFmtId="0" fontId="61" fillId="17" borderId="0" xfId="34" applyFont="1" applyFill="1" applyAlignment="1">
      <alignment horizontal="center" vertical="center"/>
    </xf>
    <xf numFmtId="0" fontId="4" fillId="13" borderId="0" xfId="34" applyFont="1" applyFill="1" applyAlignment="1">
      <alignment horizontal="right" vertical="center"/>
    </xf>
    <xf numFmtId="0" fontId="4" fillId="13" borderId="0" xfId="34" applyFont="1" applyFill="1" applyAlignment="1">
      <alignment horizontal="left" vertical="center"/>
    </xf>
    <xf numFmtId="0" fontId="4" fillId="13" borderId="0" xfId="28" applyFont="1" applyFill="1"/>
    <xf numFmtId="0" fontId="2" fillId="13" borderId="0" xfId="34" applyFill="1"/>
    <xf numFmtId="0" fontId="3" fillId="13" borderId="0" xfId="28" applyFont="1" applyFill="1"/>
    <xf numFmtId="0" fontId="2" fillId="13" borderId="0" xfId="28" applyFill="1"/>
    <xf numFmtId="0" fontId="10" fillId="0" borderId="0" xfId="13" applyAlignment="1" applyProtection="1"/>
    <xf numFmtId="0" fontId="4" fillId="3" borderId="0" xfId="0" applyFont="1" applyFill="1" applyBorder="1" applyAlignment="1" applyProtection="1">
      <alignment horizontal="center" vertical="center"/>
    </xf>
    <xf numFmtId="37" fontId="4" fillId="3" borderId="0" xfId="0" applyNumberFormat="1" applyFont="1" applyFill="1" applyBorder="1" applyAlignment="1" applyProtection="1">
      <alignment horizontal="center" vertical="center"/>
    </xf>
    <xf numFmtId="0" fontId="4" fillId="3" borderId="0" xfId="0" applyFont="1" applyFill="1" applyBorder="1" applyAlignment="1" applyProtection="1">
      <alignment vertical="center"/>
      <protection locked="0"/>
    </xf>
    <xf numFmtId="37" fontId="4" fillId="3" borderId="0" xfId="0" applyNumberFormat="1" applyFont="1" applyFill="1" applyBorder="1" applyAlignment="1" applyProtection="1">
      <alignment horizontal="fill" vertical="center"/>
      <protection locked="0"/>
    </xf>
    <xf numFmtId="0" fontId="3" fillId="3" borderId="0" xfId="0" applyFont="1" applyFill="1" applyAlignment="1" applyProtection="1">
      <alignment horizontal="right"/>
    </xf>
    <xf numFmtId="6" fontId="4" fillId="13" borderId="0" xfId="34" applyNumberFormat="1" applyFont="1" applyFill="1" applyBorder="1" applyAlignment="1">
      <alignment horizontal="center" vertical="center"/>
    </xf>
    <xf numFmtId="1" fontId="4" fillId="3" borderId="15" xfId="0" applyNumberFormat="1" applyFont="1" applyFill="1" applyBorder="1" applyAlignment="1" applyProtection="1">
      <alignment horizontal="center" vertical="center"/>
    </xf>
    <xf numFmtId="37" fontId="4" fillId="3" borderId="15" xfId="0" applyNumberFormat="1" applyFont="1" applyFill="1" applyBorder="1" applyAlignment="1" applyProtection="1">
      <alignment horizontal="center" vertical="center"/>
    </xf>
    <xf numFmtId="0" fontId="4" fillId="3" borderId="0" xfId="0" applyFont="1" applyFill="1" applyBorder="1" applyAlignment="1" applyProtection="1">
      <alignment horizontal="left" vertical="center"/>
    </xf>
    <xf numFmtId="0" fontId="4" fillId="3" borderId="12" xfId="0" applyFont="1" applyFill="1" applyBorder="1" applyAlignment="1" applyProtection="1">
      <alignment horizontal="left" vertical="center"/>
    </xf>
    <xf numFmtId="37" fontId="7" fillId="3" borderId="13" xfId="0" applyNumberFormat="1" applyFont="1" applyFill="1" applyBorder="1" applyAlignment="1" applyProtection="1">
      <alignment horizontal="center" vertical="center"/>
    </xf>
    <xf numFmtId="0" fontId="4" fillId="0" borderId="0" xfId="0" applyFont="1" applyBorder="1" applyAlignment="1">
      <alignment vertical="center"/>
    </xf>
    <xf numFmtId="3" fontId="4" fillId="3" borderId="1" xfId="0" applyNumberFormat="1" applyFont="1" applyFill="1" applyBorder="1" applyAlignment="1" applyProtection="1">
      <alignment horizontal="right" vertical="center"/>
    </xf>
    <xf numFmtId="177" fontId="4" fillId="3" borderId="1" xfId="0" applyNumberFormat="1" applyFont="1" applyFill="1" applyBorder="1" applyAlignment="1" applyProtection="1">
      <alignment horizontal="right" vertical="center"/>
    </xf>
    <xf numFmtId="171" fontId="4" fillId="3" borderId="1" xfId="0" applyNumberFormat="1" applyFont="1" applyFill="1" applyBorder="1" applyAlignment="1" applyProtection="1">
      <alignment horizontal="right" vertical="center"/>
    </xf>
    <xf numFmtId="0" fontId="4" fillId="3" borderId="1" xfId="0" applyFont="1" applyFill="1" applyBorder="1" applyAlignment="1" applyProtection="1">
      <alignment horizontal="right" vertical="center"/>
    </xf>
    <xf numFmtId="3" fontId="4" fillId="3" borderId="29" xfId="0" applyNumberFormat="1" applyFont="1" applyFill="1" applyBorder="1" applyAlignment="1" applyProtection="1">
      <alignment horizontal="right" vertical="center"/>
    </xf>
    <xf numFmtId="0" fontId="4" fillId="3" borderId="29" xfId="0" applyFont="1" applyFill="1" applyBorder="1" applyAlignment="1" applyProtection="1">
      <alignment horizontal="right" vertical="center"/>
    </xf>
    <xf numFmtId="3" fontId="4" fillId="12" borderId="5" xfId="0" applyNumberFormat="1" applyFont="1" applyFill="1" applyBorder="1" applyAlignment="1" applyProtection="1">
      <alignment horizontal="right" vertical="center"/>
    </xf>
    <xf numFmtId="172" fontId="4" fillId="12" borderId="5" xfId="0" applyNumberFormat="1" applyFont="1" applyFill="1" applyBorder="1" applyAlignment="1" applyProtection="1">
      <alignment horizontal="right" vertical="center"/>
    </xf>
    <xf numFmtId="178" fontId="4" fillId="3" borderId="0" xfId="491" applyNumberFormat="1" applyFont="1" applyFill="1" applyAlignment="1" applyProtection="1">
      <alignment horizontal="center" vertical="center"/>
    </xf>
    <xf numFmtId="37" fontId="4" fillId="0" borderId="0" xfId="28" applyNumberFormat="1" applyFont="1" applyFill="1" applyAlignment="1" applyProtection="1">
      <alignment horizontal="left" vertical="center" wrapText="1"/>
    </xf>
    <xf numFmtId="0" fontId="4" fillId="0" borderId="0" xfId="494" applyFont="1" applyAlignment="1">
      <alignment vertical="center" wrapText="1"/>
    </xf>
    <xf numFmtId="0" fontId="4" fillId="0" borderId="0" xfId="27" applyFont="1" applyAlignment="1">
      <alignment vertical="center" wrapText="1"/>
    </xf>
    <xf numFmtId="0" fontId="4" fillId="0" borderId="0" xfId="28" applyFont="1" applyAlignment="1">
      <alignment vertical="center" wrapText="1"/>
    </xf>
    <xf numFmtId="0" fontId="4" fillId="0" borderId="0" xfId="397" applyFont="1" applyAlignment="1">
      <alignment vertical="center" wrapText="1"/>
    </xf>
    <xf numFmtId="0" fontId="4" fillId="0" borderId="0" xfId="430" applyNumberFormat="1" applyFont="1" applyAlignment="1">
      <alignment vertical="center" wrapText="1"/>
    </xf>
    <xf numFmtId="0" fontId="4" fillId="0" borderId="0" xfId="39" applyFont="1" applyAlignment="1">
      <alignment vertical="center" wrapText="1"/>
    </xf>
    <xf numFmtId="0" fontId="4" fillId="0" borderId="0" xfId="78" applyFont="1" applyAlignment="1">
      <alignment vertical="center" wrapText="1"/>
    </xf>
    <xf numFmtId="0" fontId="4" fillId="0" borderId="0" xfId="85" applyFont="1" applyAlignment="1">
      <alignment vertical="center" wrapText="1"/>
    </xf>
    <xf numFmtId="0" fontId="10" fillId="18" borderId="0" xfId="13" applyFill="1" applyAlignment="1" applyProtection="1"/>
    <xf numFmtId="0" fontId="48" fillId="18" borderId="0" xfId="376" applyFill="1"/>
    <xf numFmtId="0" fontId="48" fillId="0" borderId="0" xfId="376"/>
    <xf numFmtId="0" fontId="4" fillId="0" borderId="0" xfId="132" applyFont="1" applyAlignment="1">
      <alignment vertical="center"/>
    </xf>
    <xf numFmtId="0" fontId="62" fillId="13" borderId="9" xfId="0" applyFont="1" applyFill="1" applyBorder="1" applyAlignment="1">
      <alignment horizontal="center" vertical="center"/>
    </xf>
    <xf numFmtId="0" fontId="3" fillId="13" borderId="8" xfId="0" applyFont="1" applyFill="1" applyBorder="1" applyAlignment="1">
      <alignment horizontal="centerContinuous" vertical="center"/>
    </xf>
    <xf numFmtId="3" fontId="4" fillId="13" borderId="1" xfId="0" applyNumberFormat="1" applyFont="1" applyFill="1" applyBorder="1" applyAlignment="1" applyProtection="1">
      <alignment vertical="center"/>
    </xf>
    <xf numFmtId="3" fontId="4" fillId="3" borderId="0" xfId="50" applyNumberFormat="1" applyFont="1" applyFill="1" applyAlignment="1" applyProtection="1">
      <alignment horizontal="right" vertical="center"/>
    </xf>
    <xf numFmtId="3" fontId="4" fillId="3" borderId="1" xfId="50" applyNumberFormat="1" applyFont="1" applyFill="1" applyBorder="1" applyAlignment="1" applyProtection="1">
      <alignment horizontal="right" vertical="center"/>
    </xf>
    <xf numFmtId="0" fontId="4" fillId="3" borderId="0" xfId="50" applyFont="1" applyFill="1" applyAlignment="1" applyProtection="1">
      <alignment horizontal="left" vertical="center"/>
    </xf>
    <xf numFmtId="3" fontId="4" fillId="4" borderId="3" xfId="0" applyNumberFormat="1" applyFont="1" applyFill="1" applyBorder="1" applyAlignment="1" applyProtection="1">
      <alignment vertical="center"/>
    </xf>
    <xf numFmtId="37" fontId="13" fillId="3" borderId="10" xfId="0" applyNumberFormat="1" applyFont="1" applyFill="1" applyBorder="1" applyAlignment="1" applyProtection="1">
      <alignment horizontal="center" vertical="center"/>
    </xf>
    <xf numFmtId="37" fontId="4" fillId="6" borderId="11" xfId="0" applyNumberFormat="1" applyFont="1" applyFill="1" applyBorder="1" applyAlignment="1" applyProtection="1">
      <alignment horizontal="left" vertical="center"/>
      <protection locked="0"/>
    </xf>
    <xf numFmtId="0" fontId="4" fillId="6" borderId="9" xfId="0" applyFont="1" applyFill="1" applyBorder="1" applyAlignment="1" applyProtection="1">
      <alignment vertical="center"/>
    </xf>
    <xf numFmtId="49" fontId="4" fillId="6" borderId="9" xfId="471" applyNumberFormat="1" applyFont="1" applyFill="1" applyBorder="1" applyAlignment="1" applyProtection="1">
      <alignment horizontal="left" vertical="center"/>
      <protection locked="0"/>
    </xf>
    <xf numFmtId="0" fontId="4" fillId="6" borderId="8" xfId="471" applyFont="1" applyFill="1" applyBorder="1" applyAlignment="1" applyProtection="1">
      <alignment horizontal="left" vertical="center"/>
      <protection locked="0"/>
    </xf>
    <xf numFmtId="0" fontId="28" fillId="6" borderId="9" xfId="471" applyFill="1" applyBorder="1" applyAlignment="1" applyProtection="1">
      <alignment horizontal="left" vertical="center"/>
      <protection locked="0"/>
    </xf>
    <xf numFmtId="0" fontId="6" fillId="3" borderId="0" xfId="28" applyFont="1" applyFill="1" applyAlignment="1" applyProtection="1">
      <alignment horizontal="center" vertical="center"/>
    </xf>
    <xf numFmtId="3" fontId="4" fillId="3" borderId="0" xfId="28" applyNumberFormat="1" applyFont="1" applyFill="1" applyAlignment="1" applyProtection="1">
      <alignment vertical="center"/>
    </xf>
    <xf numFmtId="3" fontId="4" fillId="3" borderId="2" xfId="28" applyNumberFormat="1" applyFont="1" applyFill="1" applyBorder="1" applyAlignment="1" applyProtection="1">
      <alignment vertical="center"/>
    </xf>
    <xf numFmtId="3" fontId="4" fillId="3" borderId="0" xfId="28" applyNumberFormat="1" applyFont="1" applyFill="1" applyBorder="1" applyAlignment="1" applyProtection="1">
      <alignment vertical="center"/>
    </xf>
    <xf numFmtId="0" fontId="4" fillId="3" borderId="0" xfId="28" applyFont="1" applyFill="1" applyAlignment="1" applyProtection="1">
      <alignment horizontal="left" vertical="center"/>
    </xf>
    <xf numFmtId="0" fontId="4" fillId="13" borderId="0" xfId="28" applyFont="1" applyFill="1" applyAlignment="1" applyProtection="1">
      <alignment vertical="center"/>
    </xf>
    <xf numFmtId="0" fontId="4" fillId="3" borderId="0" xfId="28" quotePrefix="1" applyFont="1" applyFill="1" applyAlignment="1" applyProtection="1">
      <alignment vertical="center"/>
    </xf>
    <xf numFmtId="3" fontId="4" fillId="3" borderId="14" xfId="28" applyNumberFormat="1" applyFont="1" applyFill="1" applyBorder="1" applyAlignment="1" applyProtection="1">
      <alignment vertical="center"/>
    </xf>
    <xf numFmtId="0" fontId="4" fillId="3" borderId="0" xfId="28" quotePrefix="1" applyFont="1" applyFill="1" applyAlignment="1" applyProtection="1">
      <alignment horizontal="left" vertical="center"/>
    </xf>
    <xf numFmtId="10" fontId="4" fillId="3" borderId="2" xfId="28" applyNumberFormat="1" applyFont="1" applyFill="1" applyBorder="1" applyAlignment="1" applyProtection="1">
      <alignment vertical="center"/>
    </xf>
    <xf numFmtId="10" fontId="4" fillId="3" borderId="0" xfId="28" applyNumberFormat="1" applyFont="1" applyFill="1" applyBorder="1" applyAlignment="1" applyProtection="1">
      <alignment vertical="center"/>
    </xf>
    <xf numFmtId="0" fontId="6" fillId="3" borderId="0" xfId="28" applyFont="1" applyFill="1" applyAlignment="1" applyProtection="1">
      <alignment horizontal="left" vertical="center"/>
    </xf>
    <xf numFmtId="37" fontId="4" fillId="17" borderId="1" xfId="0" applyNumberFormat="1" applyFont="1" applyFill="1" applyBorder="1" applyAlignment="1" applyProtection="1">
      <alignment horizontal="left" vertical="center"/>
    </xf>
    <xf numFmtId="0" fontId="4" fillId="0" borderId="0" xfId="289" applyFont="1" applyAlignment="1">
      <alignment vertical="center" wrapText="1"/>
    </xf>
    <xf numFmtId="0" fontId="4" fillId="0" borderId="0" xfId="100" applyFont="1" applyAlignment="1">
      <alignment vertical="center" wrapText="1"/>
    </xf>
    <xf numFmtId="0" fontId="4" fillId="0" borderId="0" xfId="111" applyFont="1" applyAlignment="1">
      <alignment vertical="center" wrapText="1"/>
    </xf>
    <xf numFmtId="0" fontId="42" fillId="13" borderId="1" xfId="169" applyFont="1" applyFill="1" applyBorder="1" applyAlignment="1">
      <alignment horizontal="left" vertical="center"/>
    </xf>
    <xf numFmtId="0" fontId="42" fillId="13" borderId="1" xfId="169" applyFont="1" applyFill="1" applyBorder="1" applyAlignment="1">
      <alignment horizontal="left" vertical="center"/>
    </xf>
    <xf numFmtId="0" fontId="42" fillId="13" borderId="1" xfId="169" applyFont="1" applyFill="1" applyBorder="1" applyAlignment="1">
      <alignment horizontal="left" vertical="center"/>
    </xf>
    <xf numFmtId="0" fontId="48" fillId="16" borderId="0" xfId="377" applyFill="1" applyBorder="1"/>
    <xf numFmtId="0" fontId="48" fillId="16" borderId="0" xfId="377" applyFill="1" applyBorder="1" applyAlignment="1">
      <alignment horizontal="left" vertical="center"/>
    </xf>
    <xf numFmtId="0" fontId="48" fillId="16" borderId="0" xfId="377" applyFill="1" applyBorder="1" applyAlignment="1">
      <alignment horizontal="center" vertical="center"/>
    </xf>
    <xf numFmtId="0" fontId="47" fillId="0" borderId="0" xfId="0" applyFont="1"/>
    <xf numFmtId="0" fontId="48" fillId="16" borderId="0" xfId="377" applyFill="1"/>
    <xf numFmtId="0" fontId="49" fillId="16" borderId="0" xfId="377" applyFont="1" applyFill="1" applyBorder="1"/>
    <xf numFmtId="0" fontId="49" fillId="16" borderId="22" xfId="377" applyFont="1" applyFill="1" applyBorder="1"/>
    <xf numFmtId="0" fontId="49" fillId="16" borderId="26" xfId="377" applyFont="1" applyFill="1" applyBorder="1"/>
    <xf numFmtId="0" fontId="49" fillId="16" borderId="23" xfId="377" applyFont="1" applyFill="1" applyBorder="1"/>
    <xf numFmtId="0" fontId="49" fillId="16" borderId="24" xfId="377" applyFont="1" applyFill="1" applyBorder="1"/>
    <xf numFmtId="0" fontId="49" fillId="16" borderId="0" xfId="377" applyFont="1" applyFill="1" applyBorder="1" applyAlignment="1">
      <alignment horizontal="center"/>
    </xf>
    <xf numFmtId="0" fontId="49" fillId="16" borderId="0" xfId="377" applyFont="1" applyFill="1" applyBorder="1" applyAlignment="1">
      <alignment horizontal="right"/>
    </xf>
    <xf numFmtId="0" fontId="49" fillId="16" borderId="25" xfId="377" applyFont="1" applyFill="1" applyBorder="1"/>
    <xf numFmtId="3" fontId="49" fillId="16" borderId="2" xfId="377" applyNumberFormat="1" applyFont="1" applyFill="1" applyBorder="1"/>
    <xf numFmtId="3" fontId="49" fillId="16" borderId="8" xfId="377" applyNumberFormat="1" applyFont="1" applyFill="1" applyBorder="1"/>
    <xf numFmtId="0" fontId="4" fillId="0" borderId="0" xfId="0" applyFont="1" applyAlignment="1">
      <alignment vertical="top" wrapText="1"/>
    </xf>
    <xf numFmtId="0" fontId="49" fillId="16" borderId="2" xfId="377" applyFont="1" applyFill="1" applyBorder="1" applyAlignment="1" applyProtection="1">
      <alignment horizontal="center"/>
      <protection locked="0"/>
    </xf>
    <xf numFmtId="0" fontId="49" fillId="16" borderId="31" xfId="377" applyFont="1" applyFill="1" applyBorder="1" applyAlignment="1" applyProtection="1">
      <alignment horizontal="center"/>
      <protection locked="0"/>
    </xf>
    <xf numFmtId="1" fontId="3" fillId="6" borderId="1" xfId="0" applyNumberFormat="1" applyFont="1" applyFill="1" applyBorder="1" applyAlignment="1" applyProtection="1">
      <alignment horizontal="center" vertical="center"/>
      <protection locked="0"/>
    </xf>
    <xf numFmtId="1" fontId="4" fillId="7" borderId="3" xfId="0" applyNumberFormat="1" applyFont="1" applyFill="1" applyBorder="1" applyAlignment="1" applyProtection="1">
      <alignment horizontal="center" vertical="center"/>
    </xf>
    <xf numFmtId="1" fontId="4" fillId="3" borderId="2" xfId="0" applyNumberFormat="1" applyFont="1" applyFill="1" applyBorder="1" applyAlignment="1" applyProtection="1">
      <alignment horizontal="center" vertical="center"/>
    </xf>
    <xf numFmtId="1" fontId="4" fillId="3" borderId="2" xfId="0" applyNumberFormat="1" applyFont="1" applyFill="1" applyBorder="1" applyAlignment="1" applyProtection="1">
      <alignment horizontal="center" vertical="center"/>
      <protection locked="0"/>
    </xf>
    <xf numFmtId="1" fontId="4" fillId="3" borderId="0" xfId="0" applyNumberFormat="1" applyFont="1" applyFill="1" applyAlignment="1">
      <alignment vertical="center"/>
    </xf>
    <xf numFmtId="49" fontId="4" fillId="6" borderId="0" xfId="471" applyNumberFormat="1" applyFont="1" applyFill="1" applyAlignment="1" applyProtection="1">
      <alignment horizontal="left" vertical="center"/>
      <protection locked="0"/>
    </xf>
    <xf numFmtId="0" fontId="4" fillId="6" borderId="0" xfId="471" applyFont="1" applyFill="1" applyAlignment="1" applyProtection="1">
      <alignment horizontal="left" vertical="center"/>
      <protection locked="0"/>
    </xf>
    <xf numFmtId="0" fontId="4" fillId="6" borderId="5" xfId="0" quotePrefix="1" applyFont="1" applyFill="1" applyBorder="1" applyAlignment="1" applyProtection="1">
      <alignment horizontal="center" vertical="center"/>
      <protection locked="0"/>
    </xf>
    <xf numFmtId="14" fontId="4" fillId="2" borderId="1" xfId="0" quotePrefix="1" applyNumberFormat="1" applyFont="1" applyFill="1" applyBorder="1" applyAlignment="1" applyProtection="1">
      <alignment horizontal="center"/>
      <protection locked="0"/>
    </xf>
    <xf numFmtId="2" fontId="4" fillId="2" borderId="1" xfId="0" quotePrefix="1" applyNumberFormat="1" applyFont="1" applyFill="1" applyBorder="1" applyAlignment="1" applyProtection="1">
      <alignment horizontal="center"/>
      <protection locked="0"/>
    </xf>
    <xf numFmtId="0" fontId="4" fillId="2" borderId="11" xfId="0" applyFont="1" applyFill="1" applyBorder="1" applyAlignment="1" applyProtection="1">
      <alignment horizontal="left"/>
      <protection locked="0"/>
    </xf>
    <xf numFmtId="0" fontId="4" fillId="2" borderId="11" xfId="0" applyFont="1" applyFill="1" applyBorder="1" applyProtection="1">
      <protection locked="0"/>
    </xf>
    <xf numFmtId="37" fontId="13" fillId="3" borderId="0" xfId="0" applyNumberFormat="1" applyFont="1" applyFill="1" applyAlignment="1" applyProtection="1">
      <alignment horizontal="center" vertical="center"/>
    </xf>
    <xf numFmtId="0" fontId="14" fillId="0" borderId="0" xfId="0" applyFont="1" applyAlignment="1">
      <alignment horizontal="center" vertical="center"/>
    </xf>
    <xf numFmtId="37" fontId="12" fillId="3" borderId="0" xfId="0" applyNumberFormat="1" applyFont="1" applyFill="1" applyAlignment="1" applyProtection="1">
      <alignment horizontal="left" vertical="center"/>
    </xf>
    <xf numFmtId="0" fontId="0" fillId="0" borderId="0" xfId="0" applyAlignment="1">
      <alignment horizontal="left" vertical="center"/>
    </xf>
    <xf numFmtId="0" fontId="4" fillId="3" borderId="0" xfId="0" applyFont="1" applyFill="1" applyBorder="1" applyAlignment="1" applyProtection="1">
      <alignment vertical="center" wrapText="1"/>
    </xf>
    <xf numFmtId="0" fontId="0" fillId="0" borderId="0" xfId="0" applyAlignment="1">
      <alignment vertical="center" wrapText="1"/>
    </xf>
    <xf numFmtId="0" fontId="0" fillId="0" borderId="0" xfId="0" applyBorder="1" applyAlignment="1">
      <alignment vertical="center" wrapText="1"/>
    </xf>
    <xf numFmtId="0" fontId="15" fillId="3" borderId="0" xfId="0" applyFont="1" applyFill="1" applyBorder="1" applyAlignment="1">
      <alignment vertical="center"/>
    </xf>
    <xf numFmtId="0" fontId="18" fillId="0" borderId="0" xfId="0" applyFont="1" applyAlignment="1">
      <alignment vertical="center"/>
    </xf>
    <xf numFmtId="37" fontId="12" fillId="3" borderId="0" xfId="0" applyNumberFormat="1" applyFont="1" applyFill="1" applyBorder="1" applyAlignment="1" applyProtection="1">
      <alignment horizontal="center" vertical="center"/>
    </xf>
    <xf numFmtId="0" fontId="0" fillId="0" borderId="0" xfId="0" applyAlignment="1">
      <alignment horizontal="center" vertical="center"/>
    </xf>
    <xf numFmtId="0" fontId="4" fillId="5" borderId="10" xfId="0" applyFont="1" applyFill="1" applyBorder="1" applyAlignment="1">
      <alignment vertical="center" wrapText="1"/>
    </xf>
    <xf numFmtId="0" fontId="0" fillId="0" borderId="10" xfId="0" applyBorder="1" applyAlignment="1">
      <alignment vertical="center" wrapText="1"/>
    </xf>
    <xf numFmtId="0" fontId="3" fillId="7" borderId="0" xfId="0" applyFont="1" applyFill="1" applyBorder="1" applyAlignment="1">
      <alignment horizontal="center" vertical="center"/>
    </xf>
    <xf numFmtId="0" fontId="1" fillId="7" borderId="0" xfId="0" applyFont="1" applyFill="1" applyBorder="1" applyAlignment="1">
      <alignment horizontal="center" vertical="center"/>
    </xf>
    <xf numFmtId="0" fontId="4" fillId="0" borderId="0" xfId="471" applyFont="1" applyAlignment="1">
      <alignment horizontal="left" vertical="center" wrapText="1"/>
    </xf>
    <xf numFmtId="0" fontId="28" fillId="0" borderId="0" xfId="471" applyAlignment="1">
      <alignment horizontal="left" vertical="center" wrapText="1"/>
    </xf>
    <xf numFmtId="0" fontId="12" fillId="0" borderId="0" xfId="471" applyFont="1" applyAlignment="1">
      <alignment horizontal="left" vertical="center"/>
    </xf>
    <xf numFmtId="37" fontId="12" fillId="3" borderId="0" xfId="0" applyNumberFormat="1" applyFont="1" applyFill="1" applyAlignment="1" applyProtection="1">
      <alignment horizontal="center" vertical="center"/>
    </xf>
    <xf numFmtId="0" fontId="30" fillId="3" borderId="0" xfId="0" applyFont="1" applyFill="1" applyAlignment="1" applyProtection="1">
      <alignment horizontal="center" vertical="center"/>
    </xf>
    <xf numFmtId="37" fontId="4" fillId="3" borderId="0" xfId="0" applyNumberFormat="1" applyFont="1" applyFill="1" applyAlignment="1" applyProtection="1">
      <alignment horizontal="center" vertical="center"/>
    </xf>
    <xf numFmtId="0" fontId="4" fillId="3" borderId="0" xfId="0" applyFont="1" applyFill="1" applyAlignment="1" applyProtection="1">
      <alignment horizontal="center" vertical="center"/>
    </xf>
    <xf numFmtId="0" fontId="0" fillId="0" borderId="0" xfId="0" applyAlignment="1">
      <alignment vertical="center"/>
    </xf>
    <xf numFmtId="0" fontId="8" fillId="7" borderId="3" xfId="0" applyFont="1" applyFill="1" applyBorder="1" applyAlignment="1" applyProtection="1">
      <alignment horizontal="center" vertical="center" wrapText="1" shrinkToFit="1"/>
    </xf>
    <xf numFmtId="0" fontId="0" fillId="0" borderId="5" xfId="0" applyBorder="1" applyAlignment="1" applyProtection="1">
      <alignment horizontal="center" vertical="center" wrapText="1"/>
    </xf>
    <xf numFmtId="0" fontId="4" fillId="3" borderId="0" xfId="29" applyFont="1" applyFill="1" applyAlignment="1">
      <alignment horizontal="center" vertical="center"/>
    </xf>
    <xf numFmtId="37" fontId="3" fillId="3" borderId="0" xfId="0" applyNumberFormat="1" applyFont="1" applyFill="1" applyAlignment="1">
      <alignment horizontal="center" vertical="center"/>
    </xf>
    <xf numFmtId="0" fontId="3" fillId="3" borderId="0" xfId="0" applyFont="1" applyFill="1" applyAlignment="1">
      <alignment horizontal="center" vertical="center"/>
    </xf>
    <xf numFmtId="0" fontId="6" fillId="3" borderId="0" xfId="28" applyFont="1" applyFill="1" applyAlignment="1" applyProtection="1">
      <alignment horizontal="center" vertical="center"/>
    </xf>
    <xf numFmtId="37" fontId="3" fillId="3" borderId="0" xfId="0" applyNumberFormat="1" applyFont="1" applyFill="1" applyAlignment="1" applyProtection="1">
      <alignment horizontal="center" vertical="center"/>
    </xf>
    <xf numFmtId="37" fontId="4" fillId="3" borderId="11" xfId="0" applyNumberFormat="1" applyFont="1" applyFill="1" applyBorder="1" applyAlignment="1" applyProtection="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3" fillId="3" borderId="0" xfId="0" applyFont="1" applyFill="1" applyAlignment="1" applyProtection="1">
      <alignment horizontal="center" vertical="center"/>
    </xf>
    <xf numFmtId="0" fontId="4" fillId="3" borderId="16" xfId="0" applyFont="1" applyFill="1" applyBorder="1" applyAlignment="1" applyProtection="1">
      <alignment horizontal="center" vertical="center"/>
    </xf>
    <xf numFmtId="0" fontId="0" fillId="0" borderId="7" xfId="0" applyBorder="1" applyAlignment="1" applyProtection="1">
      <alignment vertical="center"/>
    </xf>
    <xf numFmtId="1" fontId="4" fillId="3" borderId="16" xfId="0" applyNumberFormat="1" applyFont="1" applyFill="1" applyBorder="1" applyAlignment="1" applyProtection="1">
      <alignment horizontal="center" vertical="center"/>
    </xf>
    <xf numFmtId="0" fontId="0" fillId="0" borderId="7" xfId="0" applyBorder="1" applyAlignment="1" applyProtection="1">
      <alignment horizontal="center" vertical="center"/>
    </xf>
    <xf numFmtId="0" fontId="12" fillId="13" borderId="0" xfId="492" applyFont="1" applyFill="1" applyAlignment="1">
      <alignment horizontal="center"/>
    </xf>
    <xf numFmtId="0" fontId="2" fillId="13" borderId="0" xfId="34" applyFill="1" applyAlignment="1">
      <alignment horizontal="center"/>
    </xf>
    <xf numFmtId="0" fontId="3" fillId="13" borderId="0" xfId="34" applyFont="1" applyFill="1" applyAlignment="1">
      <alignment horizontal="center" vertical="center"/>
    </xf>
    <xf numFmtId="0" fontId="12" fillId="13" borderId="0" xfId="34" applyFont="1" applyFill="1" applyAlignment="1">
      <alignment horizontal="center" vertical="center"/>
    </xf>
    <xf numFmtId="0" fontId="4" fillId="13" borderId="0" xfId="34" applyFont="1" applyFill="1" applyAlignment="1">
      <alignment vertical="center" wrapText="1"/>
    </xf>
    <xf numFmtId="172" fontId="41" fillId="13" borderId="15" xfId="0" applyNumberFormat="1" applyFont="1" applyFill="1" applyBorder="1" applyAlignment="1" applyProtection="1">
      <alignment horizontal="center"/>
    </xf>
    <xf numFmtId="0" fontId="14" fillId="0" borderId="10" xfId="0" applyFont="1" applyBorder="1" applyAlignment="1"/>
    <xf numFmtId="0" fontId="14" fillId="0" borderId="13" xfId="0" applyFont="1" applyBorder="1" applyAlignment="1"/>
    <xf numFmtId="0" fontId="41" fillId="13" borderId="15" xfId="50" applyFont="1" applyFill="1" applyBorder="1" applyAlignment="1" applyProtection="1">
      <alignment horizontal="center" vertical="center"/>
    </xf>
    <xf numFmtId="0" fontId="41" fillId="13" borderId="10" xfId="50" applyFont="1" applyFill="1" applyBorder="1" applyAlignment="1" applyProtection="1">
      <alignment horizontal="center" vertical="center"/>
    </xf>
    <xf numFmtId="0" fontId="2" fillId="0" borderId="13" xfId="50" applyBorder="1" applyAlignment="1" applyProtection="1">
      <alignment vertical="center"/>
    </xf>
    <xf numFmtId="3" fontId="4" fillId="3" borderId="10" xfId="55" applyNumberFormat="1" applyFont="1" applyFill="1" applyBorder="1" applyAlignment="1" applyProtection="1">
      <alignment horizontal="right" vertical="center"/>
    </xf>
    <xf numFmtId="0" fontId="2" fillId="0" borderId="13" xfId="55" applyBorder="1" applyAlignment="1">
      <alignment horizontal="right" vertical="center"/>
    </xf>
    <xf numFmtId="0" fontId="4" fillId="3" borderId="0" xfId="55" applyFont="1" applyFill="1" applyAlignment="1" applyProtection="1">
      <alignment horizontal="right" vertical="center"/>
    </xf>
    <xf numFmtId="0" fontId="4" fillId="0" borderId="12" xfId="55" applyFont="1" applyBorder="1" applyAlignment="1">
      <alignment horizontal="right" vertical="center"/>
    </xf>
    <xf numFmtId="0" fontId="4" fillId="3" borderId="0" xfId="0" applyNumberFormat="1" applyFont="1" applyFill="1" applyBorder="1" applyAlignment="1" applyProtection="1">
      <alignment horizontal="right" vertical="center"/>
    </xf>
    <xf numFmtId="0" fontId="0" fillId="0" borderId="0" xfId="0" applyAlignment="1">
      <alignment horizontal="right" vertical="center"/>
    </xf>
    <xf numFmtId="0" fontId="0" fillId="0" borderId="10" xfId="0" applyBorder="1" applyAlignment="1">
      <alignment vertical="center"/>
    </xf>
    <xf numFmtId="0" fontId="0" fillId="0" borderId="13" xfId="0" applyBorder="1" applyAlignment="1">
      <alignment vertical="center"/>
    </xf>
    <xf numFmtId="0" fontId="4" fillId="3" borderId="0" xfId="13" applyNumberFormat="1" applyFont="1" applyFill="1" applyBorder="1" applyAlignment="1" applyProtection="1">
      <alignment horizontal="right" vertical="center"/>
    </xf>
    <xf numFmtId="0" fontId="4" fillId="0" borderId="0" xfId="13" applyFont="1" applyAlignment="1" applyProtection="1">
      <alignment horizontal="right" vertical="center"/>
    </xf>
    <xf numFmtId="0" fontId="34" fillId="13" borderId="15" xfId="50" applyFont="1" applyFill="1" applyBorder="1" applyAlignment="1" applyProtection="1">
      <alignment horizontal="center" vertical="center"/>
      <protection locked="0"/>
    </xf>
    <xf numFmtId="0" fontId="41" fillId="13" borderId="15" xfId="0" applyFont="1" applyFill="1" applyBorder="1" applyAlignment="1" applyProtection="1">
      <alignment horizontal="center" vertical="center"/>
    </xf>
    <xf numFmtId="0" fontId="44" fillId="0" borderId="10" xfId="0" applyFont="1" applyBorder="1" applyAlignment="1">
      <alignment horizontal="center" vertical="center"/>
    </xf>
    <xf numFmtId="0" fontId="0" fillId="0" borderId="13" xfId="0" applyBorder="1" applyAlignment="1"/>
    <xf numFmtId="0" fontId="3" fillId="3" borderId="11" xfId="0" applyFont="1" applyFill="1" applyBorder="1" applyAlignment="1">
      <alignment horizontal="center" vertical="center"/>
    </xf>
    <xf numFmtId="0" fontId="3" fillId="3" borderId="9" xfId="0" applyFont="1" applyFill="1" applyBorder="1" applyAlignment="1">
      <alignment horizontal="center" vertical="center"/>
    </xf>
    <xf numFmtId="0" fontId="12" fillId="13" borderId="15" xfId="50" applyFont="1" applyFill="1" applyBorder="1" applyAlignment="1" applyProtection="1">
      <alignment horizontal="center"/>
    </xf>
    <xf numFmtId="0" fontId="0" fillId="0" borderId="10" xfId="0" applyBorder="1" applyAlignment="1">
      <alignment horizontal="center"/>
    </xf>
    <xf numFmtId="0" fontId="0" fillId="0" borderId="13" xfId="0" applyBorder="1" applyAlignment="1">
      <alignment horizontal="center"/>
    </xf>
    <xf numFmtId="0" fontId="12" fillId="13" borderId="10" xfId="50" applyFont="1" applyFill="1" applyBorder="1" applyAlignment="1" applyProtection="1">
      <alignment horizontal="center"/>
    </xf>
    <xf numFmtId="0" fontId="12" fillId="13" borderId="13" xfId="50" applyFont="1" applyFill="1" applyBorder="1" applyAlignment="1" applyProtection="1">
      <alignment horizontal="center"/>
    </xf>
    <xf numFmtId="0" fontId="2" fillId="0" borderId="10" xfId="50" applyBorder="1" applyAlignment="1" applyProtection="1">
      <alignment horizontal="center"/>
    </xf>
    <xf numFmtId="0" fontId="2" fillId="0" borderId="13" xfId="50" applyBorder="1" applyAlignment="1" applyProtection="1">
      <alignment horizontal="center"/>
    </xf>
    <xf numFmtId="37" fontId="4" fillId="13" borderId="0" xfId="0" applyNumberFormat="1" applyFont="1" applyFill="1" applyAlignment="1" applyProtection="1">
      <alignment horizontal="center" vertical="center"/>
    </xf>
    <xf numFmtId="37" fontId="4" fillId="13" borderId="0" xfId="77" applyNumberFormat="1" applyFont="1" applyFill="1" applyAlignment="1" applyProtection="1">
      <alignment horizontal="center"/>
    </xf>
    <xf numFmtId="37" fontId="4" fillId="3" borderId="2" xfId="0" applyNumberFormat="1" applyFont="1" applyFill="1" applyBorder="1" applyAlignment="1" applyProtection="1">
      <alignment horizontal="center" vertical="center"/>
      <protection locked="0"/>
    </xf>
    <xf numFmtId="0" fontId="4" fillId="3" borderId="0" xfId="0" applyFont="1" applyFill="1" applyAlignment="1">
      <alignment horizontal="right" vertical="center"/>
    </xf>
    <xf numFmtId="0" fontId="0" fillId="0" borderId="0" xfId="0" applyAlignment="1" applyProtection="1">
      <alignment vertical="center"/>
    </xf>
    <xf numFmtId="0" fontId="4" fillId="3" borderId="0" xfId="0" applyFont="1" applyFill="1" applyAlignment="1" applyProtection="1">
      <alignment horizontal="right" vertical="center"/>
    </xf>
    <xf numFmtId="0" fontId="49" fillId="16" borderId="23" xfId="377" applyFont="1" applyFill="1" applyBorder="1" applyAlignment="1">
      <alignment horizontal="left" vertical="top" wrapText="1"/>
    </xf>
    <xf numFmtId="0" fontId="49" fillId="16" borderId="24" xfId="377" applyFont="1" applyFill="1" applyBorder="1" applyAlignment="1">
      <alignment horizontal="left" vertical="top" wrapText="1"/>
    </xf>
    <xf numFmtId="0" fontId="49" fillId="16" borderId="25" xfId="377" applyFont="1" applyFill="1" applyBorder="1" applyAlignment="1">
      <alignment horizontal="left" vertical="top" wrapText="1"/>
    </xf>
    <xf numFmtId="0" fontId="63" fillId="16" borderId="32" xfId="377" applyFont="1" applyFill="1" applyBorder="1" applyAlignment="1">
      <alignment horizontal="center"/>
    </xf>
    <xf numFmtId="0" fontId="48" fillId="16" borderId="33" xfId="377" applyFill="1" applyBorder="1" applyAlignment="1">
      <alignment horizontal="center"/>
    </xf>
    <xf numFmtId="0" fontId="48" fillId="16" borderId="34" xfId="377" applyFill="1" applyBorder="1" applyAlignment="1">
      <alignment horizontal="center"/>
    </xf>
    <xf numFmtId="0" fontId="49" fillId="16" borderId="18" xfId="377" applyFont="1" applyFill="1" applyBorder="1" applyAlignment="1">
      <alignment horizontal="center"/>
    </xf>
    <xf numFmtId="0" fontId="49" fillId="16" borderId="19" xfId="377" applyFont="1" applyFill="1" applyBorder="1" applyAlignment="1">
      <alignment horizontal="center"/>
    </xf>
    <xf numFmtId="0" fontId="49" fillId="16" borderId="20" xfId="377" applyFont="1" applyFill="1" applyBorder="1" applyAlignment="1">
      <alignment horizontal="center"/>
    </xf>
    <xf numFmtId="0" fontId="63" fillId="0" borderId="32" xfId="377" applyFont="1" applyBorder="1" applyAlignment="1">
      <alignment horizontal="center"/>
    </xf>
    <xf numFmtId="0" fontId="63" fillId="0" borderId="33" xfId="377" applyFont="1" applyBorder="1" applyAlignment="1">
      <alignment horizontal="center"/>
    </xf>
    <xf numFmtId="0" fontId="63" fillId="0" borderId="34" xfId="377" applyFont="1" applyBorder="1" applyAlignment="1">
      <alignment horizontal="center"/>
    </xf>
    <xf numFmtId="0" fontId="49" fillId="16" borderId="26" xfId="377" applyFont="1" applyFill="1" applyBorder="1" applyAlignment="1">
      <alignment horizontal="center"/>
    </xf>
    <xf numFmtId="0" fontId="49" fillId="16" borderId="0" xfId="377" applyFont="1" applyFill="1" applyBorder="1" applyAlignment="1">
      <alignment horizontal="center"/>
    </xf>
    <xf numFmtId="0" fontId="49" fillId="16" borderId="22" xfId="377" applyFont="1" applyFill="1" applyBorder="1" applyAlignment="1">
      <alignment horizontal="center"/>
    </xf>
    <xf numFmtId="175" fontId="36" fillId="13" borderId="0" xfId="0" applyNumberFormat="1" applyFont="1" applyFill="1" applyBorder="1" applyAlignment="1">
      <alignment horizontal="center"/>
    </xf>
    <xf numFmtId="0" fontId="36" fillId="13" borderId="26" xfId="0" applyFont="1" applyFill="1" applyBorder="1" applyAlignment="1">
      <alignment vertical="top" wrapText="1"/>
    </xf>
    <xf numFmtId="0" fontId="36" fillId="0" borderId="0" xfId="0" applyFont="1" applyAlignment="1">
      <alignment vertical="top" wrapText="1"/>
    </xf>
    <xf numFmtId="0" fontId="36" fillId="0" borderId="22" xfId="0" applyFont="1" applyBorder="1" applyAlignment="1">
      <alignment vertical="top" wrapText="1"/>
    </xf>
    <xf numFmtId="176" fontId="36" fillId="13" borderId="0" xfId="0" applyNumberFormat="1" applyFont="1" applyFill="1" applyBorder="1" applyAlignment="1">
      <alignment horizontal="center"/>
    </xf>
    <xf numFmtId="0" fontId="36" fillId="0" borderId="22" xfId="0" applyFont="1" applyBorder="1" applyAlignment="1">
      <alignment horizontal="center"/>
    </xf>
    <xf numFmtId="171" fontId="36" fillId="15" borderId="2" xfId="0" applyNumberFormat="1" applyFont="1" applyFill="1" applyBorder="1" applyAlignment="1" applyProtection="1">
      <alignment horizontal="center"/>
      <protection locked="0"/>
    </xf>
    <xf numFmtId="176" fontId="36" fillId="0" borderId="22" xfId="0" applyNumberFormat="1" applyFont="1" applyBorder="1" applyAlignment="1">
      <alignment horizontal="center"/>
    </xf>
    <xf numFmtId="0" fontId="51" fillId="13" borderId="19" xfId="0" applyFont="1" applyFill="1" applyBorder="1" applyAlignment="1">
      <alignment horizontal="center" vertical="center"/>
    </xf>
    <xf numFmtId="0" fontId="51" fillId="13" borderId="0" xfId="0" applyFont="1" applyFill="1" applyAlignment="1">
      <alignment horizontal="center" wrapText="1"/>
    </xf>
    <xf numFmtId="0" fontId="36" fillId="13" borderId="0" xfId="0" applyFont="1" applyFill="1" applyBorder="1" applyAlignment="1">
      <alignment horizontal="center"/>
    </xf>
    <xf numFmtId="0" fontId="36" fillId="13" borderId="0" xfId="0" applyFont="1" applyFill="1" applyAlignment="1">
      <alignment wrapText="1"/>
    </xf>
    <xf numFmtId="175" fontId="36" fillId="15" borderId="21" xfId="0" applyNumberFormat="1" applyFont="1" applyFill="1" applyBorder="1" applyAlignment="1" applyProtection="1">
      <alignment horizontal="center"/>
      <protection locked="0"/>
    </xf>
    <xf numFmtId="175" fontId="36" fillId="15" borderId="2" xfId="0" applyNumberFormat="1" applyFont="1" applyFill="1" applyBorder="1" applyAlignment="1" applyProtection="1">
      <alignment horizontal="center"/>
      <protection locked="0"/>
    </xf>
    <xf numFmtId="0" fontId="36" fillId="13" borderId="0" xfId="0" applyFont="1" applyFill="1" applyBorder="1" applyAlignment="1"/>
    <xf numFmtId="0" fontId="36" fillId="0" borderId="0" xfId="0" applyFont="1" applyBorder="1" applyAlignment="1"/>
    <xf numFmtId="0" fontId="36" fillId="13" borderId="24" xfId="0" applyFont="1" applyFill="1" applyBorder="1" applyAlignment="1"/>
    <xf numFmtId="0" fontId="36" fillId="13" borderId="25" xfId="0" applyFont="1" applyFill="1" applyBorder="1" applyAlignment="1"/>
    <xf numFmtId="0" fontId="51" fillId="13" borderId="0" xfId="0" applyFont="1" applyFill="1" applyAlignment="1">
      <alignment horizontal="center"/>
    </xf>
    <xf numFmtId="0" fontId="36" fillId="0" borderId="0" xfId="0" applyFont="1" applyAlignment="1">
      <alignment wrapText="1"/>
    </xf>
    <xf numFmtId="175" fontId="36" fillId="13" borderId="0" xfId="0" applyNumberFormat="1" applyFont="1" applyFill="1" applyAlignment="1"/>
    <xf numFmtId="175" fontId="36" fillId="13" borderId="0" xfId="0" applyNumberFormat="1" applyFont="1" applyFill="1" applyAlignment="1">
      <alignment horizontal="center"/>
    </xf>
    <xf numFmtId="0" fontId="36" fillId="0" borderId="0" xfId="0" applyFont="1" applyAlignment="1">
      <alignment horizontal="center" wrapText="1"/>
    </xf>
    <xf numFmtId="0" fontId="51" fillId="13" borderId="0" xfId="0" applyFont="1" applyFill="1" applyAlignment="1">
      <alignment horizontal="center" vertical="center"/>
    </xf>
    <xf numFmtId="0" fontId="51" fillId="0" borderId="0" xfId="0" applyFont="1" applyAlignment="1">
      <alignment horizontal="center" vertical="center"/>
    </xf>
    <xf numFmtId="5" fontId="36" fillId="13" borderId="2" xfId="0" applyNumberFormat="1" applyFont="1" applyFill="1" applyBorder="1" applyAlignment="1">
      <alignment horizontal="center"/>
    </xf>
    <xf numFmtId="0" fontId="36" fillId="13" borderId="10" xfId="0" applyFont="1" applyFill="1" applyBorder="1" applyAlignment="1">
      <alignment horizontal="center"/>
    </xf>
    <xf numFmtId="0" fontId="36" fillId="0" borderId="19" xfId="0" applyFont="1" applyBorder="1" applyAlignment="1">
      <alignment horizontal="center" vertical="center"/>
    </xf>
    <xf numFmtId="0" fontId="51" fillId="13" borderId="0" xfId="0" applyFont="1" applyFill="1" applyBorder="1" applyAlignment="1">
      <alignment horizontal="center" wrapText="1"/>
    </xf>
    <xf numFmtId="0" fontId="51" fillId="0" borderId="0" xfId="0" applyFont="1" applyAlignment="1">
      <alignment horizontal="center" wrapText="1"/>
    </xf>
    <xf numFmtId="0" fontId="36" fillId="13" borderId="0" xfId="0" applyFont="1" applyFill="1" applyBorder="1" applyAlignment="1">
      <alignment wrapText="1"/>
    </xf>
  </cellXfs>
  <cellStyles count="508">
    <cellStyle name="Comma" xfId="1" builtinId="3"/>
    <cellStyle name="Comma 11 2" xfId="2"/>
    <cellStyle name="Comma 16" xfId="3"/>
    <cellStyle name="Comma 16 2" xfId="4"/>
    <cellStyle name="Comma 16 3" xfId="5"/>
    <cellStyle name="Comma 2 2" xfId="6"/>
    <cellStyle name="Comma 3 2" xfId="7"/>
    <cellStyle name="Comma 3 3" xfId="8"/>
    <cellStyle name="Comma 4 2" xfId="9"/>
    <cellStyle name="Comma 6 2" xfId="10"/>
    <cellStyle name="Comma 7 2" xfId="11"/>
    <cellStyle name="Comma 7 3" xfId="12"/>
    <cellStyle name="Hyperlink" xfId="13" builtinId="8"/>
    <cellStyle name="Hyperlink 2 2" xfId="14"/>
    <cellStyle name="Hyperlink 2 3" xfId="15"/>
    <cellStyle name="Hyperlink 3 2" xfId="16"/>
    <cellStyle name="Hyperlink 3 3" xfId="17"/>
    <cellStyle name="Hyperlink 3 4" xfId="18"/>
    <cellStyle name="Hyperlink 4" xfId="19"/>
    <cellStyle name="Hyperlink 4 2" xfId="20"/>
    <cellStyle name="Hyperlink 7" xfId="21"/>
    <cellStyle name="Hyperlink 7 2" xfId="22"/>
    <cellStyle name="Hyperlink 7 3" xfId="23"/>
    <cellStyle name="Hyperlink 8" xfId="24"/>
    <cellStyle name="Hyperlink 8 2" xfId="25"/>
    <cellStyle name="Normal" xfId="0" builtinId="0"/>
    <cellStyle name="Normal 10" xfId="26"/>
    <cellStyle name="Normal 10 2" xfId="27"/>
    <cellStyle name="Normal 10 2 2" xfId="28"/>
    <cellStyle name="Normal 10 2 2 2" xfId="29"/>
    <cellStyle name="Normal 10 2 2 3" xfId="30"/>
    <cellStyle name="Normal 10 2 3" xfId="31"/>
    <cellStyle name="Normal 10 3" xfId="32"/>
    <cellStyle name="Normal 10 4" xfId="33"/>
    <cellStyle name="Normal 10 5" xfId="34"/>
    <cellStyle name="Normal 10 5 2" xfId="35"/>
    <cellStyle name="Normal 10 5 3" xfId="36"/>
    <cellStyle name="Normal 10 6" xfId="37"/>
    <cellStyle name="Normal 10 7" xfId="38"/>
    <cellStyle name="Normal 11" xfId="39"/>
    <cellStyle name="Normal 11 2" xfId="40"/>
    <cellStyle name="Normal 11 2 2" xfId="41"/>
    <cellStyle name="Normal 11 2 3" xfId="42"/>
    <cellStyle name="Normal 11 3" xfId="43"/>
    <cellStyle name="Normal 11 4" xfId="44"/>
    <cellStyle name="Normal 11 5" xfId="45"/>
    <cellStyle name="Normal 11 5 2" xfId="46"/>
    <cellStyle name="Normal 11 5 3" xfId="47"/>
    <cellStyle name="Normal 11 6" xfId="48"/>
    <cellStyle name="Normal 12" xfId="49"/>
    <cellStyle name="Normal 12 10" xfId="50"/>
    <cellStyle name="Normal 12 11" xfId="51"/>
    <cellStyle name="Normal 12 12" xfId="52"/>
    <cellStyle name="Normal 12 13" xfId="53"/>
    <cellStyle name="Normal 12 2" xfId="54"/>
    <cellStyle name="Normal 12 2 2" xfId="55"/>
    <cellStyle name="Normal 12 3" xfId="56"/>
    <cellStyle name="Normal 12 4" xfId="57"/>
    <cellStyle name="Normal 12 5" xfId="58"/>
    <cellStyle name="Normal 12 6" xfId="59"/>
    <cellStyle name="Normal 12 7" xfId="60"/>
    <cellStyle name="Normal 12 8" xfId="61"/>
    <cellStyle name="Normal 12 9" xfId="62"/>
    <cellStyle name="Normal 13" xfId="63"/>
    <cellStyle name="Normal 13 10" xfId="64"/>
    <cellStyle name="Normal 13 11" xfId="65"/>
    <cellStyle name="Normal 13 12" xfId="66"/>
    <cellStyle name="Normal 13 13" xfId="67"/>
    <cellStyle name="Normal 13 2" xfId="68"/>
    <cellStyle name="Normal 13 2 2" xfId="69"/>
    <cellStyle name="Normal 13 3" xfId="70"/>
    <cellStyle name="Normal 13 4" xfId="71"/>
    <cellStyle name="Normal 13 5" xfId="72"/>
    <cellStyle name="Normal 13 6" xfId="73"/>
    <cellStyle name="Normal 13 7" xfId="74"/>
    <cellStyle name="Normal 13 8" xfId="75"/>
    <cellStyle name="Normal 13 9" xfId="76"/>
    <cellStyle name="Normal 14" xfId="77"/>
    <cellStyle name="Normal 14 2" xfId="78"/>
    <cellStyle name="Normal 14 3" xfId="79"/>
    <cellStyle name="Normal 14 4" xfId="80"/>
    <cellStyle name="Normal 14 5" xfId="81"/>
    <cellStyle name="Normal 14 6" xfId="82"/>
    <cellStyle name="Normal 14 7" xfId="83"/>
    <cellStyle name="Normal 15" xfId="84"/>
    <cellStyle name="Normal 15 2" xfId="85"/>
    <cellStyle name="Normal 15 3" xfId="86"/>
    <cellStyle name="Normal 15 4" xfId="87"/>
    <cellStyle name="Normal 15 5" xfId="88"/>
    <cellStyle name="Normal 16" xfId="89"/>
    <cellStyle name="Normal 16 2" xfId="90"/>
    <cellStyle name="Normal 16 3" xfId="91"/>
    <cellStyle name="Normal 16 4" xfId="92"/>
    <cellStyle name="Normal 16 5" xfId="93"/>
    <cellStyle name="Normal 17" xfId="94"/>
    <cellStyle name="Normal 17 2" xfId="95"/>
    <cellStyle name="Normal 17 3" xfId="96"/>
    <cellStyle name="Normal 17 4" xfId="97"/>
    <cellStyle name="Normal 17 5" xfId="98"/>
    <cellStyle name="Normal 18" xfId="99"/>
    <cellStyle name="Normal 18 2" xfId="100"/>
    <cellStyle name="Normal 18 2 2" xfId="101"/>
    <cellStyle name="Normal 18 2 3" xfId="102"/>
    <cellStyle name="Normal 18 3" xfId="103"/>
    <cellStyle name="Normal 18 4" xfId="104"/>
    <cellStyle name="Normal 18 5" xfId="105"/>
    <cellStyle name="Normal 18 6" xfId="106"/>
    <cellStyle name="Normal 18 7" xfId="107"/>
    <cellStyle name="Normal 18 8" xfId="108"/>
    <cellStyle name="Normal 18 9" xfId="109"/>
    <cellStyle name="Normal 19" xfId="110"/>
    <cellStyle name="Normal 19 2" xfId="111"/>
    <cellStyle name="Normal 19 2 2" xfId="112"/>
    <cellStyle name="Normal 19 2 3" xfId="113"/>
    <cellStyle name="Normal 19 3" xfId="114"/>
    <cellStyle name="Normal 19 4" xfId="115"/>
    <cellStyle name="Normal 19 5" xfId="116"/>
    <cellStyle name="Normal 19 6" xfId="117"/>
    <cellStyle name="Normal 19 7" xfId="118"/>
    <cellStyle name="Normal 19 8" xfId="119"/>
    <cellStyle name="Normal 2" xfId="120"/>
    <cellStyle name="Normal 2 10" xfId="121"/>
    <cellStyle name="Normal 2 10 10" xfId="122"/>
    <cellStyle name="Normal 2 10 11" xfId="123"/>
    <cellStyle name="Normal 2 10 11 2" xfId="124"/>
    <cellStyle name="Normal 2 10 11 2 2" xfId="125"/>
    <cellStyle name="Normal 2 10 11 2 2 2" xfId="126"/>
    <cellStyle name="Normal 2 10 11 3" xfId="127"/>
    <cellStyle name="Normal 2 10 11 4" xfId="128"/>
    <cellStyle name="Normal 2 10 11 5" xfId="129"/>
    <cellStyle name="Normal 2 10 12" xfId="130"/>
    <cellStyle name="Normal 2 10 2" xfId="131"/>
    <cellStyle name="Normal 2 10 2 2" xfId="132"/>
    <cellStyle name="Normal 2 10 3" xfId="133"/>
    <cellStyle name="Normal 2 10 3 2" xfId="134"/>
    <cellStyle name="Normal 2 10 4" xfId="135"/>
    <cellStyle name="Normal 2 10 4 2" xfId="136"/>
    <cellStyle name="Normal 2 10 5" xfId="137"/>
    <cellStyle name="Normal 2 10 5 2" xfId="138"/>
    <cellStyle name="Normal 2 10 6" xfId="139"/>
    <cellStyle name="Normal 2 10 6 2" xfId="140"/>
    <cellStyle name="Normal 2 10 7" xfId="141"/>
    <cellStyle name="Normal 2 10 7 2" xfId="142"/>
    <cellStyle name="Normal 2 10 8" xfId="143"/>
    <cellStyle name="Normal 2 10 8 2" xfId="144"/>
    <cellStyle name="Normal 2 10 9" xfId="145"/>
    <cellStyle name="Normal 2 11" xfId="146"/>
    <cellStyle name="Normal 2 11 10" xfId="147"/>
    <cellStyle name="Normal 2 11 11" xfId="148"/>
    <cellStyle name="Normal 2 11 2" xfId="149"/>
    <cellStyle name="Normal 2 11 2 2" xfId="150"/>
    <cellStyle name="Normal 2 11 3" xfId="151"/>
    <cellStyle name="Normal 2 11 3 2" xfId="152"/>
    <cellStyle name="Normal 2 11 4" xfId="153"/>
    <cellStyle name="Normal 2 11 4 2" xfId="154"/>
    <cellStyle name="Normal 2 11 5" xfId="155"/>
    <cellStyle name="Normal 2 11 5 2" xfId="156"/>
    <cellStyle name="Normal 2 11 6" xfId="157"/>
    <cellStyle name="Normal 2 11 6 2" xfId="158"/>
    <cellStyle name="Normal 2 11 7" xfId="159"/>
    <cellStyle name="Normal 2 11 7 2" xfId="160"/>
    <cellStyle name="Normal 2 11 8" xfId="161"/>
    <cellStyle name="Normal 2 11 8 2" xfId="162"/>
    <cellStyle name="Normal 2 11 9" xfId="163"/>
    <cellStyle name="Normal 2 12" xfId="164"/>
    <cellStyle name="Normal 2 13" xfId="165"/>
    <cellStyle name="Normal 2 14" xfId="166"/>
    <cellStyle name="Normal 2 15" xfId="167"/>
    <cellStyle name="Normal 2 16" xfId="168"/>
    <cellStyle name="Normal 2 17" xfId="169"/>
    <cellStyle name="Normal 2 17 2" xfId="170"/>
    <cellStyle name="Normal 2 17 3" xfId="171"/>
    <cellStyle name="Normal 2 2" xfId="172"/>
    <cellStyle name="Normal 2 2 10" xfId="173"/>
    <cellStyle name="Normal 2 2 10 2" xfId="174"/>
    <cellStyle name="Normal 2 2 11" xfId="175"/>
    <cellStyle name="Normal 2 2 11 2" xfId="176"/>
    <cellStyle name="Normal 2 2 12" xfId="177"/>
    <cellStyle name="Normal 2 2 12 2" xfId="178"/>
    <cellStyle name="Normal 2 2 12 2 2" xfId="179"/>
    <cellStyle name="Normal 2 2 12 2 3" xfId="180"/>
    <cellStyle name="Normal 2 2 12 2 4" xfId="181"/>
    <cellStyle name="Normal 2 2 12 3" xfId="182"/>
    <cellStyle name="Normal 2 2 12 4" xfId="183"/>
    <cellStyle name="Normal 2 2 13" xfId="184"/>
    <cellStyle name="Normal 2 2 13 2" xfId="185"/>
    <cellStyle name="Normal 2 2 13 2 2" xfId="186"/>
    <cellStyle name="Normal 2 2 13 2 3" xfId="187"/>
    <cellStyle name="Normal 2 2 13 2 4" xfId="188"/>
    <cellStyle name="Normal 2 2 13 3" xfId="189"/>
    <cellStyle name="Normal 2 2 13 4" xfId="190"/>
    <cellStyle name="Normal 2 2 14" xfId="191"/>
    <cellStyle name="Normal 2 2 14 2" xfId="192"/>
    <cellStyle name="Normal 2 2 15" xfId="193"/>
    <cellStyle name="Normal 2 2 15 2" xfId="194"/>
    <cellStyle name="Normal 2 2 16" xfId="195"/>
    <cellStyle name="Normal 2 2 16 2" xfId="196"/>
    <cellStyle name="Normal 2 2 16 3" xfId="197"/>
    <cellStyle name="Normal 2 2 17" xfId="198"/>
    <cellStyle name="Normal 2 2 18" xfId="199"/>
    <cellStyle name="Normal 2 2 19" xfId="200"/>
    <cellStyle name="Normal 2 2 2" xfId="201"/>
    <cellStyle name="Normal 2 2 2 2" xfId="202"/>
    <cellStyle name="Normal 2 2 2 2 2" xfId="203"/>
    <cellStyle name="Normal 2 2 2 2 3" xfId="204"/>
    <cellStyle name="Normal 2 2 2 2 3 2" xfId="205"/>
    <cellStyle name="Normal 2 2 2 2 3 3" xfId="206"/>
    <cellStyle name="Normal 2 2 2 3" xfId="207"/>
    <cellStyle name="Normal 2 2 2 3 2" xfId="208"/>
    <cellStyle name="Normal 2 2 2 3 3" xfId="209"/>
    <cellStyle name="Normal 2 2 2 3 4" xfId="210"/>
    <cellStyle name="Normal 2 2 2 4" xfId="211"/>
    <cellStyle name="Normal 2 2 2 4 2" xfId="212"/>
    <cellStyle name="Normal 2 2 2 5" xfId="213"/>
    <cellStyle name="Normal 2 2 2 5 2" xfId="214"/>
    <cellStyle name="Normal 2 2 2 5 3" xfId="215"/>
    <cellStyle name="Normal 2 2 2 5 4" xfId="216"/>
    <cellStyle name="Normal 2 2 2 6" xfId="217"/>
    <cellStyle name="Normal 2 2 2 6 2" xfId="218"/>
    <cellStyle name="Normal 2 2 2 7" xfId="219"/>
    <cellStyle name="Normal 2 2 2 7 2" xfId="220"/>
    <cellStyle name="Normal 2 2 2 7 3" xfId="221"/>
    <cellStyle name="Normal 2 2 2 8" xfId="222"/>
    <cellStyle name="Normal 2 2 20" xfId="223"/>
    <cellStyle name="Normal 2 2 21" xfId="224"/>
    <cellStyle name="Normal 2 2 22" xfId="225"/>
    <cellStyle name="Normal 2 2 3" xfId="226"/>
    <cellStyle name="Normal 2 2 3 2" xfId="227"/>
    <cellStyle name="Normal 2 2 4" xfId="228"/>
    <cellStyle name="Normal 2 2 4 2" xfId="229"/>
    <cellStyle name="Normal 2 2 5" xfId="230"/>
    <cellStyle name="Normal 2 2 5 2" xfId="231"/>
    <cellStyle name="Normal 2 2 6" xfId="232"/>
    <cellStyle name="Normal 2 2 6 2" xfId="233"/>
    <cellStyle name="Normal 2 2 7" xfId="234"/>
    <cellStyle name="Normal 2 2 7 2" xfId="235"/>
    <cellStyle name="Normal 2 2 8" xfId="236"/>
    <cellStyle name="Normal 2 2 8 2" xfId="237"/>
    <cellStyle name="Normal 2 2 9" xfId="238"/>
    <cellStyle name="Normal 2 2 9 2" xfId="239"/>
    <cellStyle name="Normal 2 3" xfId="240"/>
    <cellStyle name="Normal 2 3 10" xfId="241"/>
    <cellStyle name="Normal 2 3 11" xfId="242"/>
    <cellStyle name="Normal 2 3 12" xfId="243"/>
    <cellStyle name="Normal 2 3 13" xfId="244"/>
    <cellStyle name="Normal 2 3 14" xfId="245"/>
    <cellStyle name="Normal 2 3 15" xfId="246"/>
    <cellStyle name="Normal 2 3 2" xfId="247"/>
    <cellStyle name="Normal 2 3 2 2" xfId="248"/>
    <cellStyle name="Normal 2 3 2 2 2" xfId="249"/>
    <cellStyle name="Normal 2 3 2 2 3" xfId="250"/>
    <cellStyle name="Normal 2 3 2 3" xfId="251"/>
    <cellStyle name="Normal 2 3 2 4" xfId="252"/>
    <cellStyle name="Normal 2 3 2 5" xfId="253"/>
    <cellStyle name="Normal 2 3 3" xfId="254"/>
    <cellStyle name="Normal 2 3 3 2" xfId="255"/>
    <cellStyle name="Normal 2 3 3 3" xfId="256"/>
    <cellStyle name="Normal 2 3 4" xfId="257"/>
    <cellStyle name="Normal 2 3 5" xfId="258"/>
    <cellStyle name="Normal 2 3 6" xfId="259"/>
    <cellStyle name="Normal 2 3 7" xfId="260"/>
    <cellStyle name="Normal 2 3 8" xfId="261"/>
    <cellStyle name="Normal 2 3 9" xfId="262"/>
    <cellStyle name="Normal 2 4" xfId="263"/>
    <cellStyle name="Normal 2 4 10" xfId="264"/>
    <cellStyle name="Normal 2 4 11" xfId="265"/>
    <cellStyle name="Normal 2 4 12" xfId="266"/>
    <cellStyle name="Normal 2 4 12 2" xfId="267"/>
    <cellStyle name="Normal 2 4 12 3" xfId="268"/>
    <cellStyle name="Normal 2 4 13" xfId="269"/>
    <cellStyle name="Normal 2 4 13 2" xfId="270"/>
    <cellStyle name="Normal 2 4 13 3" xfId="271"/>
    <cellStyle name="Normal 2 4 2" xfId="272"/>
    <cellStyle name="Normal 2 4 2 2" xfId="273"/>
    <cellStyle name="Normal 2 4 2 2 2" xfId="274"/>
    <cellStyle name="Normal 2 4 2 2 3" xfId="275"/>
    <cellStyle name="Normal 2 4 2 3" xfId="276"/>
    <cellStyle name="Normal 2 4 2 4" xfId="277"/>
    <cellStyle name="Normal 2 4 2 5" xfId="278"/>
    <cellStyle name="Normal 2 4 3" xfId="279"/>
    <cellStyle name="Normal 2 4 3 2" xfId="280"/>
    <cellStyle name="Normal 2 4 3 3" xfId="281"/>
    <cellStyle name="Normal 2 4 4" xfId="282"/>
    <cellStyle name="Normal 2 4 5" xfId="283"/>
    <cellStyle name="Normal 2 4 6" xfId="284"/>
    <cellStyle name="Normal 2 4 7" xfId="285"/>
    <cellStyle name="Normal 2 4 8" xfId="286"/>
    <cellStyle name="Normal 2 4 9" xfId="287"/>
    <cellStyle name="Normal 2 5" xfId="288"/>
    <cellStyle name="Normal 2 5 10" xfId="289"/>
    <cellStyle name="Normal 2 5 11" xfId="290"/>
    <cellStyle name="Normal 2 5 12" xfId="291"/>
    <cellStyle name="Normal 2 5 12 2" xfId="292"/>
    <cellStyle name="Normal 2 5 12 3" xfId="293"/>
    <cellStyle name="Normal 2 5 2" xfId="294"/>
    <cellStyle name="Normal 2 5 2 2" xfId="295"/>
    <cellStyle name="Normal 2 5 3" xfId="296"/>
    <cellStyle name="Normal 2 5 3 2" xfId="297"/>
    <cellStyle name="Normal 2 5 4" xfId="298"/>
    <cellStyle name="Normal 2 5 5" xfId="299"/>
    <cellStyle name="Normal 2 5 6" xfId="300"/>
    <cellStyle name="Normal 2 5 7" xfId="301"/>
    <cellStyle name="Normal 2 5 8" xfId="302"/>
    <cellStyle name="Normal 2 5 9" xfId="303"/>
    <cellStyle name="Normal 2 6" xfId="304"/>
    <cellStyle name="Normal 2 6 10" xfId="305"/>
    <cellStyle name="Normal 2 6 11" xfId="306"/>
    <cellStyle name="Normal 2 6 12" xfId="307"/>
    <cellStyle name="Normal 2 6 2" xfId="308"/>
    <cellStyle name="Normal 2 6 2 2" xfId="309"/>
    <cellStyle name="Normal 2 6 3" xfId="310"/>
    <cellStyle name="Normal 2 6 3 2" xfId="311"/>
    <cellStyle name="Normal 2 6 4" xfId="312"/>
    <cellStyle name="Normal 2 6 5" xfId="313"/>
    <cellStyle name="Normal 2 6 6" xfId="314"/>
    <cellStyle name="Normal 2 6 7" xfId="315"/>
    <cellStyle name="Normal 2 6 8" xfId="316"/>
    <cellStyle name="Normal 2 6 9" xfId="317"/>
    <cellStyle name="Normal 2 7" xfId="318"/>
    <cellStyle name="Normal 2 7 10" xfId="319"/>
    <cellStyle name="Normal 2 7 11" xfId="320"/>
    <cellStyle name="Normal 2 7 2" xfId="321"/>
    <cellStyle name="Normal 2 7 2 2" xfId="322"/>
    <cellStyle name="Normal 2 7 2 3" xfId="323"/>
    <cellStyle name="Normal 2 7 3" xfId="324"/>
    <cellStyle name="Normal 2 7 3 2" xfId="325"/>
    <cellStyle name="Normal 2 7 4" xfId="326"/>
    <cellStyle name="Normal 2 7 4 2" xfId="327"/>
    <cellStyle name="Normal 2 7 5" xfId="328"/>
    <cellStyle name="Normal 2 7 5 2" xfId="329"/>
    <cellStyle name="Normal 2 7 6" xfId="330"/>
    <cellStyle name="Normal 2 7 6 2" xfId="331"/>
    <cellStyle name="Normal 2 7 7" xfId="332"/>
    <cellStyle name="Normal 2 7 7 2" xfId="333"/>
    <cellStyle name="Normal 2 7 8" xfId="334"/>
    <cellStyle name="Normal 2 7 8 2" xfId="335"/>
    <cellStyle name="Normal 2 7 9" xfId="336"/>
    <cellStyle name="Normal 2 8" xfId="337"/>
    <cellStyle name="Normal 2 8 10" xfId="338"/>
    <cellStyle name="Normal 2 8 11"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11" xfId="357"/>
    <cellStyle name="Normal 2 9 2" xfId="358"/>
    <cellStyle name="Normal 2 9 2 2" xfId="359"/>
    <cellStyle name="Normal 2 9 3" xfId="360"/>
    <cellStyle name="Normal 2 9 3 2" xfId="361"/>
    <cellStyle name="Normal 2 9 4" xfId="362"/>
    <cellStyle name="Normal 2 9 4 2" xfId="363"/>
    <cellStyle name="Normal 2 9 5" xfId="364"/>
    <cellStyle name="Normal 2 9 5 2" xfId="365"/>
    <cellStyle name="Normal 2 9 6" xfId="366"/>
    <cellStyle name="Normal 2 9 6 2" xfId="367"/>
    <cellStyle name="Normal 2 9 7" xfId="368"/>
    <cellStyle name="Normal 2 9 7 2" xfId="369"/>
    <cellStyle name="Normal 2 9 8" xfId="370"/>
    <cellStyle name="Normal 2 9 8 2" xfId="371"/>
    <cellStyle name="Normal 2 9 9" xfId="372"/>
    <cellStyle name="Normal 20" xfId="373"/>
    <cellStyle name="Normal 20 2" xfId="374"/>
    <cellStyle name="Normal 20 3" xfId="375"/>
    <cellStyle name="Normal 21" xfId="376"/>
    <cellStyle name="Normal 21 2" xfId="377"/>
    <cellStyle name="Normal 21 2 2" xfId="378"/>
    <cellStyle name="Normal 21 2 3" xfId="379"/>
    <cellStyle name="Normal 21 3" xfId="380"/>
    <cellStyle name="Normal 21 4" xfId="381"/>
    <cellStyle name="Normal 21 5" xfId="382"/>
    <cellStyle name="Normal 22" xfId="383"/>
    <cellStyle name="Normal 22 2" xfId="384"/>
    <cellStyle name="Normal 22 3" xfId="385"/>
    <cellStyle name="Normal 23" xfId="386"/>
    <cellStyle name="Normal 23 2" xfId="387"/>
    <cellStyle name="Normal 23 3" xfId="388"/>
    <cellStyle name="Normal 24" xfId="389"/>
    <cellStyle name="Normal 24 2" xfId="390"/>
    <cellStyle name="Normal 24 3" xfId="391"/>
    <cellStyle name="Normal 25" xfId="392"/>
    <cellStyle name="Normal 25 2" xfId="393"/>
    <cellStyle name="Normal 25 3" xfId="394"/>
    <cellStyle name="Normal 26" xfId="395"/>
    <cellStyle name="Normal 27" xfId="396"/>
    <cellStyle name="Normal 3" xfId="397"/>
    <cellStyle name="Normal 3 10" xfId="398"/>
    <cellStyle name="Normal 3 10 2" xfId="399"/>
    <cellStyle name="Normal 3 11" xfId="400"/>
    <cellStyle name="Normal 3 12" xfId="401"/>
    <cellStyle name="Normal 3 13" xfId="402"/>
    <cellStyle name="Normal 3 14" xfId="403"/>
    <cellStyle name="Normal 3 15" xfId="404"/>
    <cellStyle name="Normal 3 2" xfId="405"/>
    <cellStyle name="Normal 3 2 2" xfId="406"/>
    <cellStyle name="Normal 3 2 2 2" xfId="407"/>
    <cellStyle name="Normal 3 2 2 3" xfId="408"/>
    <cellStyle name="Normal 3 2 3" xfId="409"/>
    <cellStyle name="Normal 3 2 4" xfId="410"/>
    <cellStyle name="Normal 3 2 5" xfId="411"/>
    <cellStyle name="Normal 3 3" xfId="412"/>
    <cellStyle name="Normal 3 3 2" xfId="413"/>
    <cellStyle name="Normal 3 3 2 2" xfId="414"/>
    <cellStyle name="Normal 3 3 2 3" xfId="415"/>
    <cellStyle name="Normal 3 3 3" xfId="416"/>
    <cellStyle name="Normal 3 3 4" xfId="417"/>
    <cellStyle name="Normal 3 4" xfId="418"/>
    <cellStyle name="Normal 3 5" xfId="419"/>
    <cellStyle name="Normal 3 6" xfId="420"/>
    <cellStyle name="Normal 3 7" xfId="421"/>
    <cellStyle name="Normal 3 7 2" xfId="422"/>
    <cellStyle name="Normal 3 7 3" xfId="423"/>
    <cellStyle name="Normal 3 8" xfId="424"/>
    <cellStyle name="Normal 3 8 2" xfId="425"/>
    <cellStyle name="Normal 3 8 3" xfId="426"/>
    <cellStyle name="Normal 3 9" xfId="427"/>
    <cellStyle name="Normal 3 9 2" xfId="428"/>
    <cellStyle name="Normal 3 9 3" xfId="429"/>
    <cellStyle name="Normal 4" xfId="430"/>
    <cellStyle name="Normal 4 10" xfId="431"/>
    <cellStyle name="Normal 4 11" xfId="432"/>
    <cellStyle name="Normal 4 12" xfId="433"/>
    <cellStyle name="Normal 4 13" xfId="434"/>
    <cellStyle name="Normal 4 2" xfId="435"/>
    <cellStyle name="Normal 4 2 2" xfId="436"/>
    <cellStyle name="Normal 4 2 2 2" xfId="437"/>
    <cellStyle name="Normal 4 2 2 3" xfId="438"/>
    <cellStyle name="Normal 4 2 2 3 2" xfId="439"/>
    <cellStyle name="Normal 4 2 3" xfId="440"/>
    <cellStyle name="Normal 4 2 4" xfId="441"/>
    <cellStyle name="Normal 4 2 5" xfId="442"/>
    <cellStyle name="Normal 4 3" xfId="443"/>
    <cellStyle name="Normal 4 3 2" xfId="444"/>
    <cellStyle name="Normal 4 3 3" xfId="445"/>
    <cellStyle name="Normal 4 4" xfId="446"/>
    <cellStyle name="Normal 4 5" xfId="447"/>
    <cellStyle name="Normal 4 5 2" xfId="448"/>
    <cellStyle name="Normal 4 5 3" xfId="449"/>
    <cellStyle name="Normal 4 6" xfId="450"/>
    <cellStyle name="Normal 4 6 2" xfId="451"/>
    <cellStyle name="Normal 4 6 3" xfId="452"/>
    <cellStyle name="Normal 4 7" xfId="453"/>
    <cellStyle name="Normal 4 8" xfId="454"/>
    <cellStyle name="Normal 4 9" xfId="455"/>
    <cellStyle name="Normal 5" xfId="456"/>
    <cellStyle name="Normal 5 2" xfId="457"/>
    <cellStyle name="Normal 5 3" xfId="458"/>
    <cellStyle name="Normal 5 3 2" xfId="459"/>
    <cellStyle name="Normal 5 3 3" xfId="460"/>
    <cellStyle name="Normal 5 4" xfId="461"/>
    <cellStyle name="Normal 5 5" xfId="462"/>
    <cellStyle name="Normal 5 5 2" xfId="463"/>
    <cellStyle name="Normal 5 5 3" xfId="464"/>
    <cellStyle name="Normal 5 6" xfId="465"/>
    <cellStyle name="Normal 6" xfId="466"/>
    <cellStyle name="Normal 6 2" xfId="467"/>
    <cellStyle name="Normal 6 3" xfId="468"/>
    <cellStyle name="Normal 6 4" xfId="469"/>
    <cellStyle name="Normal 6 5" xfId="470"/>
    <cellStyle name="Normal 7 2" xfId="471"/>
    <cellStyle name="Normal 7 2 2" xfId="472"/>
    <cellStyle name="Normal 7 2 2 2" xfId="473"/>
    <cellStyle name="Normal 7 2 2 3" xfId="474"/>
    <cellStyle name="Normal 7 2 3" xfId="475"/>
    <cellStyle name="Normal 7 2 4" xfId="476"/>
    <cellStyle name="Normal 7 2 4 2" xfId="477"/>
    <cellStyle name="Normal 7 2 4 3" xfId="478"/>
    <cellStyle name="Normal 7 2 5" xfId="479"/>
    <cellStyle name="Normal 7 3" xfId="480"/>
    <cellStyle name="Normal 7 4" xfId="481"/>
    <cellStyle name="Normal 7 4 2" xfId="482"/>
    <cellStyle name="Normal 7 4 3" xfId="483"/>
    <cellStyle name="Normal 7 5" xfId="484"/>
    <cellStyle name="Normal 7 5 2" xfId="485"/>
    <cellStyle name="Normal 7 5 3" xfId="486"/>
    <cellStyle name="Normal 7 5 4" xfId="487"/>
    <cellStyle name="Normal 7 5 5" xfId="488"/>
    <cellStyle name="Normal 7 6" xfId="489"/>
    <cellStyle name="Normal 7 7" xfId="490"/>
    <cellStyle name="Normal 8" xfId="491"/>
    <cellStyle name="Normal 8 2" xfId="492"/>
    <cellStyle name="Normal 8 3" xfId="493"/>
    <cellStyle name="Normal 9" xfId="494"/>
    <cellStyle name="Normal 9 2" xfId="495"/>
    <cellStyle name="Normal 9 2 2" xfId="496"/>
    <cellStyle name="Normal 9 2 3" xfId="497"/>
    <cellStyle name="Normal 9 3" xfId="498"/>
    <cellStyle name="Normal 9 4" xfId="499"/>
    <cellStyle name="Normal 9 5" xfId="500"/>
    <cellStyle name="Normal 9 5 2" xfId="501"/>
    <cellStyle name="Normal 9 5 3" xfId="502"/>
    <cellStyle name="Normal 9 6" xfId="503"/>
    <cellStyle name="Normal 9 6 2" xfId="504"/>
    <cellStyle name="Normal 9 6 3" xfId="505"/>
    <cellStyle name="Normal_debt" xfId="506"/>
    <cellStyle name="Normal_lpform" xfId="507"/>
  </cellStyles>
  <dxfs count="113">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rgb="FFFF0000"/>
        </patternFill>
      </fill>
    </dxf>
    <dxf>
      <fill>
        <patternFill>
          <bgColor rgb="FFFF0000"/>
        </patternFill>
      </fill>
    </dxf>
    <dxf>
      <font>
        <b/>
        <i val="0"/>
        <condense val="0"/>
        <extend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Public\Documents\budget\YR2014\MTCITY2-201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inputPrYr"/>
      <sheetName val="inputOth"/>
      <sheetName val="inputBudSum"/>
      <sheetName val="cert"/>
      <sheetName val="computation"/>
      <sheetName val="mvalloc"/>
      <sheetName val="transfers"/>
      <sheetName val="TransferStatutes"/>
      <sheetName val="debt"/>
      <sheetName val="lpform"/>
      <sheetName val="Library Grant"/>
      <sheetName val="general"/>
      <sheetName val="GenDetail"/>
      <sheetName val="DebtSvs-library"/>
      <sheetName val="Sp Hiway"/>
      <sheetName val="Ambul-Water"/>
      <sheetName val="Sewer"/>
      <sheetName val="Capital Improv"/>
      <sheetName val="NonBudFunds"/>
      <sheetName val="summ"/>
      <sheetName val="nhood"/>
      <sheetName val="ordinance"/>
      <sheetName val="Tab A"/>
      <sheetName val="Tab B"/>
      <sheetName val="Tab C"/>
      <sheetName val="Tab D"/>
      <sheetName val="Tab E"/>
      <sheetName val="Mill Rate Computation"/>
      <sheetName val="Helpful Links"/>
      <sheetName val="legend"/>
    </sheetNames>
    <sheetDataSet>
      <sheetData sheetId="0"/>
      <sheetData sheetId="1">
        <row r="35">
          <cell r="B35" t="str">
            <v>Special Parks &amp; Recreation</v>
          </cell>
        </row>
        <row r="36">
          <cell r="B36" t="str">
            <v>Ambulance</v>
          </cell>
        </row>
        <row r="37">
          <cell r="B37" t="str">
            <v>Water Utility</v>
          </cell>
        </row>
        <row r="38">
          <cell r="B38" t="str">
            <v>Sewer Utility</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mailto:peter.haxton@library.ks.gov"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2.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11" Type="http://schemas.openxmlformats.org/officeDocument/2006/relationships/printerSettings" Target="../printerSettings/printerSettings29.bin"/><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3"/>
  <sheetViews>
    <sheetView workbookViewId="0">
      <selection activeCell="M77" sqref="M77"/>
    </sheetView>
  </sheetViews>
  <sheetFormatPr defaultRowHeight="15" x14ac:dyDescent="0.2"/>
  <cols>
    <col min="1" max="1" width="75.88671875" customWidth="1"/>
  </cols>
  <sheetData>
    <row r="1" spans="1:1" ht="15.75" x14ac:dyDescent="0.2">
      <c r="A1" s="28" t="s">
        <v>226</v>
      </c>
    </row>
    <row r="3" spans="1:1" ht="37.5" customHeight="1" x14ac:dyDescent="0.25">
      <c r="A3" s="457" t="s">
        <v>949</v>
      </c>
    </row>
    <row r="4" spans="1:1" ht="15.75" x14ac:dyDescent="0.2">
      <c r="A4" s="30"/>
    </row>
    <row r="5" spans="1:1" ht="57" customHeight="1" x14ac:dyDescent="0.2">
      <c r="A5" s="31" t="s">
        <v>7</v>
      </c>
    </row>
    <row r="6" spans="1:1" ht="15.75" x14ac:dyDescent="0.2">
      <c r="A6" s="31"/>
    </row>
    <row r="7" spans="1:1" ht="71.25" customHeight="1" x14ac:dyDescent="0.2">
      <c r="A7" s="31" t="s">
        <v>899</v>
      </c>
    </row>
    <row r="8" spans="1:1" ht="15.75" x14ac:dyDescent="0.2">
      <c r="A8" s="31"/>
    </row>
    <row r="9" spans="1:1" ht="37.5" customHeight="1" x14ac:dyDescent="0.2">
      <c r="A9" s="31" t="s">
        <v>286</v>
      </c>
    </row>
    <row r="11" spans="1:1" ht="69.75" customHeight="1" x14ac:dyDescent="0.2">
      <c r="A11" s="31" t="s">
        <v>64</v>
      </c>
    </row>
    <row r="13" spans="1:1" ht="15.75" x14ac:dyDescent="0.2">
      <c r="A13" s="28" t="s">
        <v>17</v>
      </c>
    </row>
    <row r="14" spans="1:1" ht="15.75" x14ac:dyDescent="0.2">
      <c r="A14" s="28"/>
    </row>
    <row r="15" spans="1:1" ht="15.75" x14ac:dyDescent="0.2">
      <c r="A15" s="30" t="s">
        <v>18</v>
      </c>
    </row>
    <row r="17" spans="1:1" ht="47.25" customHeight="1" x14ac:dyDescent="0.2">
      <c r="A17" s="32" t="s">
        <v>311</v>
      </c>
    </row>
    <row r="18" spans="1:1" ht="15.75" x14ac:dyDescent="0.2">
      <c r="A18" s="32"/>
    </row>
    <row r="20" spans="1:1" ht="15.75" x14ac:dyDescent="0.2">
      <c r="A20" s="28" t="s">
        <v>70</v>
      </c>
    </row>
    <row r="22" spans="1:1" ht="48.75" customHeight="1" x14ac:dyDescent="0.2">
      <c r="A22" s="31" t="s">
        <v>287</v>
      </c>
    </row>
    <row r="23" spans="1:1" ht="15.75" x14ac:dyDescent="0.2">
      <c r="A23" s="31"/>
    </row>
    <row r="24" spans="1:1" ht="27" customHeight="1" x14ac:dyDescent="0.2">
      <c r="A24" s="33" t="s">
        <v>288</v>
      </c>
    </row>
    <row r="25" spans="1:1" ht="15.75" x14ac:dyDescent="0.2">
      <c r="A25" s="31"/>
    </row>
    <row r="26" spans="1:1" ht="15.75" x14ac:dyDescent="0.2">
      <c r="A26" s="34" t="s">
        <v>217</v>
      </c>
    </row>
    <row r="27" spans="1:1" ht="15.75" x14ac:dyDescent="0.2">
      <c r="A27" s="35"/>
    </row>
    <row r="28" spans="1:1" ht="102" customHeight="1" x14ac:dyDescent="0.2">
      <c r="A28" s="36" t="s">
        <v>2</v>
      </c>
    </row>
    <row r="29" spans="1:1" ht="15.75" x14ac:dyDescent="0.2">
      <c r="A29" s="37"/>
    </row>
    <row r="30" spans="1:1" ht="34.5" customHeight="1" x14ac:dyDescent="0.2">
      <c r="A30" s="38" t="s">
        <v>289</v>
      </c>
    </row>
    <row r="31" spans="1:1" ht="15.75" x14ac:dyDescent="0.2">
      <c r="A31" s="37"/>
    </row>
    <row r="32" spans="1:1" ht="15.75" x14ac:dyDescent="0.2">
      <c r="A32" s="39" t="s">
        <v>16</v>
      </c>
    </row>
    <row r="33" spans="1:1" ht="15.75" x14ac:dyDescent="0.2">
      <c r="A33" s="37"/>
    </row>
    <row r="34" spans="1:1" ht="27.75" customHeight="1" x14ac:dyDescent="0.2">
      <c r="A34" s="31" t="s">
        <v>164</v>
      </c>
    </row>
    <row r="36" spans="1:1" ht="15.75" x14ac:dyDescent="0.2">
      <c r="A36" s="28" t="s">
        <v>165</v>
      </c>
    </row>
    <row r="38" spans="1:1" ht="54.75" customHeight="1" x14ac:dyDescent="0.2">
      <c r="A38" s="31" t="s">
        <v>704</v>
      </c>
    </row>
    <row r="39" spans="1:1" ht="49.5" customHeight="1" x14ac:dyDescent="0.2">
      <c r="A39" s="31" t="s">
        <v>228</v>
      </c>
    </row>
    <row r="40" spans="1:1" ht="53.25" customHeight="1" x14ac:dyDescent="0.2">
      <c r="A40" s="40" t="s">
        <v>290</v>
      </c>
    </row>
    <row r="41" spans="1:1" ht="94.5" x14ac:dyDescent="0.2">
      <c r="A41" s="688" t="s">
        <v>900</v>
      </c>
    </row>
    <row r="43" spans="1:1" ht="63" x14ac:dyDescent="0.2">
      <c r="A43" s="31" t="s">
        <v>705</v>
      </c>
    </row>
    <row r="44" spans="1:1" ht="47.25" x14ac:dyDescent="0.2">
      <c r="A44" s="31" t="s">
        <v>291</v>
      </c>
    </row>
    <row r="45" spans="1:1" ht="94.5" x14ac:dyDescent="0.2">
      <c r="A45" s="31" t="s">
        <v>65</v>
      </c>
    </row>
    <row r="46" spans="1:1" ht="15.75" x14ac:dyDescent="0.2">
      <c r="A46" s="31"/>
    </row>
    <row r="47" spans="1:1" ht="47.25" customHeight="1" x14ac:dyDescent="0.2">
      <c r="A47" s="689" t="s">
        <v>901</v>
      </c>
    </row>
    <row r="48" spans="1:1" ht="59.25" customHeight="1" x14ac:dyDescent="0.2">
      <c r="A48" s="728" t="s">
        <v>599</v>
      </c>
    </row>
    <row r="49" spans="1:1" ht="56.25" customHeight="1" x14ac:dyDescent="0.2">
      <c r="A49" s="690" t="s">
        <v>902</v>
      </c>
    </row>
    <row r="50" spans="1:1" ht="15.75" x14ac:dyDescent="0.2">
      <c r="A50" s="31"/>
    </row>
    <row r="51" spans="1:1" ht="69" customHeight="1" x14ac:dyDescent="0.2">
      <c r="A51" s="31" t="s">
        <v>600</v>
      </c>
    </row>
    <row r="52" spans="1:1" ht="57.75" customHeight="1" x14ac:dyDescent="0.2">
      <c r="A52" s="31" t="s">
        <v>601</v>
      </c>
    </row>
    <row r="53" spans="1:1" ht="90.75" customHeight="1" x14ac:dyDescent="0.2">
      <c r="A53" s="31" t="s">
        <v>971</v>
      </c>
    </row>
    <row r="54" spans="1:1" ht="78.75" x14ac:dyDescent="0.2">
      <c r="A54" s="691" t="s">
        <v>938</v>
      </c>
    </row>
    <row r="56" spans="1:1" ht="71.25" customHeight="1" x14ac:dyDescent="0.2">
      <c r="A56" s="31" t="s">
        <v>972</v>
      </c>
    </row>
    <row r="57" spans="1:1" ht="135.75" customHeight="1" x14ac:dyDescent="0.2">
      <c r="A57" s="31" t="s">
        <v>973</v>
      </c>
    </row>
    <row r="58" spans="1:1" ht="35.25" customHeight="1" x14ac:dyDescent="0.2">
      <c r="A58" s="31" t="s">
        <v>974</v>
      </c>
    </row>
    <row r="59" spans="1:1" ht="15.75" x14ac:dyDescent="0.2">
      <c r="A59" s="31"/>
    </row>
    <row r="60" spans="1:1" ht="63" x14ac:dyDescent="0.2">
      <c r="A60" s="691" t="s">
        <v>903</v>
      </c>
    </row>
    <row r="61" spans="1:1" ht="15.75" x14ac:dyDescent="0.2">
      <c r="A61" s="31"/>
    </row>
    <row r="62" spans="1:1" ht="63" x14ac:dyDescent="0.2">
      <c r="A62" s="31" t="s">
        <v>602</v>
      </c>
    </row>
    <row r="63" spans="1:1" ht="15.75" x14ac:dyDescent="0.2">
      <c r="A63" s="31" t="s">
        <v>610</v>
      </c>
    </row>
    <row r="64" spans="1:1" ht="63" x14ac:dyDescent="0.2">
      <c r="A64" s="31" t="s">
        <v>611</v>
      </c>
    </row>
    <row r="65" spans="1:1" ht="15.75" x14ac:dyDescent="0.2">
      <c r="A65" s="327" t="s">
        <v>612</v>
      </c>
    </row>
    <row r="67" spans="1:1" ht="47.25" x14ac:dyDescent="0.2">
      <c r="A67" s="31" t="s">
        <v>603</v>
      </c>
    </row>
    <row r="69" spans="1:1" ht="63" x14ac:dyDescent="0.2">
      <c r="A69" s="31" t="s">
        <v>604</v>
      </c>
    </row>
    <row r="70" spans="1:1" ht="15.75" x14ac:dyDescent="0.2">
      <c r="A70" s="31"/>
    </row>
    <row r="71" spans="1:1" ht="126" x14ac:dyDescent="0.2">
      <c r="A71" s="691" t="s">
        <v>904</v>
      </c>
    </row>
    <row r="73" spans="1:1" ht="94.5" x14ac:dyDescent="0.2">
      <c r="A73" s="31" t="s">
        <v>905</v>
      </c>
    </row>
    <row r="74" spans="1:1" ht="47.25" x14ac:dyDescent="0.2">
      <c r="A74" s="691" t="s">
        <v>937</v>
      </c>
    </row>
    <row r="75" spans="1:1" ht="78.75" x14ac:dyDescent="0.2">
      <c r="A75" s="462" t="s">
        <v>906</v>
      </c>
    </row>
    <row r="76" spans="1:1" ht="63" x14ac:dyDescent="0.2">
      <c r="A76" s="462" t="s">
        <v>907</v>
      </c>
    </row>
    <row r="77" spans="1:1" ht="63" x14ac:dyDescent="0.2">
      <c r="A77" s="462" t="s">
        <v>908</v>
      </c>
    </row>
    <row r="78" spans="1:1" ht="110.25" x14ac:dyDescent="0.2">
      <c r="A78" s="31" t="s">
        <v>909</v>
      </c>
    </row>
    <row r="79" spans="1:1" ht="63" x14ac:dyDescent="0.2">
      <c r="A79" s="691" t="s">
        <v>910</v>
      </c>
    </row>
    <row r="80" spans="1:1" ht="110.25" x14ac:dyDescent="0.2">
      <c r="A80" s="31" t="s">
        <v>911</v>
      </c>
    </row>
    <row r="81" spans="1:1" ht="126" x14ac:dyDescent="0.2">
      <c r="A81" s="31" t="s">
        <v>912</v>
      </c>
    </row>
    <row r="82" spans="1:1" ht="47.25" x14ac:dyDescent="0.2">
      <c r="A82" s="31" t="s">
        <v>913</v>
      </c>
    </row>
    <row r="83" spans="1:1" ht="78.75" x14ac:dyDescent="0.2">
      <c r="A83" s="31" t="s">
        <v>914</v>
      </c>
    </row>
    <row r="84" spans="1:1" ht="31.5" x14ac:dyDescent="0.2">
      <c r="A84" s="31" t="s">
        <v>915</v>
      </c>
    </row>
    <row r="85" spans="1:1" ht="78.75" x14ac:dyDescent="0.2">
      <c r="A85" s="31" t="s">
        <v>916</v>
      </c>
    </row>
    <row r="86" spans="1:1" ht="94.5" x14ac:dyDescent="0.2">
      <c r="A86" s="692" t="s">
        <v>917</v>
      </c>
    </row>
    <row r="87" spans="1:1" ht="78.75" x14ac:dyDescent="0.2">
      <c r="A87" s="693" t="s">
        <v>918</v>
      </c>
    </row>
    <row r="88" spans="1:1" ht="31.5" x14ac:dyDescent="0.2">
      <c r="A88" s="727" t="s">
        <v>919</v>
      </c>
    </row>
    <row r="89" spans="1:1" ht="47.25" x14ac:dyDescent="0.2">
      <c r="A89" s="691" t="s">
        <v>605</v>
      </c>
    </row>
    <row r="90" spans="1:1" ht="15.75" x14ac:dyDescent="0.2">
      <c r="A90" s="694" t="s">
        <v>606</v>
      </c>
    </row>
    <row r="91" spans="1:1" ht="31.5" x14ac:dyDescent="0.2">
      <c r="A91" s="462" t="s">
        <v>924</v>
      </c>
    </row>
    <row r="92" spans="1:1" ht="110.25" x14ac:dyDescent="0.2">
      <c r="A92" s="462" t="s">
        <v>925</v>
      </c>
    </row>
    <row r="93" spans="1:1" ht="126" x14ac:dyDescent="0.2">
      <c r="A93" s="462" t="s">
        <v>926</v>
      </c>
    </row>
    <row r="94" spans="1:1" ht="63" x14ac:dyDescent="0.2">
      <c r="A94" s="695" t="s">
        <v>927</v>
      </c>
    </row>
    <row r="95" spans="1:1" ht="63" x14ac:dyDescent="0.2">
      <c r="A95" s="696" t="s">
        <v>928</v>
      </c>
    </row>
    <row r="97" spans="1:1" ht="126" x14ac:dyDescent="0.2">
      <c r="A97" s="31" t="s">
        <v>920</v>
      </c>
    </row>
    <row r="98" spans="1:1" ht="126" x14ac:dyDescent="0.2">
      <c r="A98" s="31" t="s">
        <v>921</v>
      </c>
    </row>
    <row r="99" spans="1:1" ht="47.25" x14ac:dyDescent="0.2">
      <c r="A99" s="31" t="s">
        <v>922</v>
      </c>
    </row>
    <row r="100" spans="1:1" ht="15.75" x14ac:dyDescent="0.2">
      <c r="A100" s="31" t="s">
        <v>923</v>
      </c>
    </row>
    <row r="102" spans="1:1" ht="47.25" x14ac:dyDescent="0.2">
      <c r="A102" s="691" t="s">
        <v>929</v>
      </c>
    </row>
    <row r="103" spans="1:1" ht="15.75" x14ac:dyDescent="0.2">
      <c r="A103" s="729"/>
    </row>
    <row r="104" spans="1:1" ht="47.25" x14ac:dyDescent="0.2">
      <c r="A104" s="462" t="s">
        <v>930</v>
      </c>
    </row>
    <row r="105" spans="1:1" ht="94.5" x14ac:dyDescent="0.2">
      <c r="A105" s="462" t="s">
        <v>931</v>
      </c>
    </row>
    <row r="106" spans="1:1" ht="94.5" x14ac:dyDescent="0.2">
      <c r="A106" s="462" t="s">
        <v>932</v>
      </c>
    </row>
    <row r="107" spans="1:1" ht="15.75" x14ac:dyDescent="0.2">
      <c r="A107" s="462"/>
    </row>
    <row r="108" spans="1:1" ht="15.75" x14ac:dyDescent="0.2">
      <c r="A108" s="729"/>
    </row>
    <row r="109" spans="1:1" ht="15.75" x14ac:dyDescent="0.2">
      <c r="A109" s="729"/>
    </row>
    <row r="110" spans="1:1" ht="15.75" x14ac:dyDescent="0.2">
      <c r="A110" s="31"/>
    </row>
    <row r="111" spans="1:1" ht="15.75" x14ac:dyDescent="0.2">
      <c r="A111" s="31"/>
    </row>
    <row r="113" spans="1:1" ht="15.75" x14ac:dyDescent="0.2">
      <c r="A113" s="462"/>
    </row>
  </sheetData>
  <sheetProtection sheet="1"/>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8"/>
  <sheetViews>
    <sheetView zoomScale="75" workbookViewId="0">
      <selection activeCell="B36" sqref="B36"/>
    </sheetView>
  </sheetViews>
  <sheetFormatPr defaultRowHeight="15.75" x14ac:dyDescent="0.2"/>
  <cols>
    <col min="1" max="1" width="4.77734375" style="41" customWidth="1"/>
    <col min="2" max="2" width="20.77734375" style="41" customWidth="1"/>
    <col min="3" max="3" width="9.33203125" style="41" customWidth="1"/>
    <col min="4" max="4" width="8.6640625" style="41" customWidth="1"/>
    <col min="5" max="5" width="8.77734375" style="41" customWidth="1"/>
    <col min="6" max="6" width="12.77734375" style="41" customWidth="1"/>
    <col min="7" max="7" width="14.33203125" style="41" customWidth="1"/>
    <col min="8" max="13" width="9.77734375" style="41" customWidth="1"/>
    <col min="14" max="16384" width="8.88671875" style="41"/>
  </cols>
  <sheetData>
    <row r="1" spans="2:13" x14ac:dyDescent="0.2">
      <c r="B1" s="182" t="str">
        <f>inputPrYr!$D$2</f>
        <v>City of Frankfort</v>
      </c>
      <c r="C1" s="43"/>
      <c r="D1" s="43"/>
      <c r="E1" s="43"/>
      <c r="F1" s="43"/>
      <c r="G1" s="43"/>
      <c r="H1" s="43"/>
      <c r="I1" s="43"/>
      <c r="J1" s="43"/>
      <c r="K1" s="43"/>
      <c r="L1" s="43"/>
      <c r="M1" s="204">
        <f>inputPrYr!$C$5</f>
        <v>2015</v>
      </c>
    </row>
    <row r="2" spans="2:13" x14ac:dyDescent="0.2">
      <c r="B2" s="182"/>
      <c r="C2" s="43"/>
      <c r="D2" s="43"/>
      <c r="E2" s="43"/>
      <c r="F2" s="43"/>
      <c r="G2" s="43"/>
      <c r="H2" s="43"/>
      <c r="I2" s="43"/>
      <c r="J2" s="43"/>
      <c r="K2" s="43"/>
      <c r="L2" s="43"/>
      <c r="M2" s="156"/>
    </row>
    <row r="3" spans="2:13" x14ac:dyDescent="0.2">
      <c r="B3" s="205" t="s">
        <v>173</v>
      </c>
      <c r="C3" s="47"/>
      <c r="D3" s="47"/>
      <c r="E3" s="47"/>
      <c r="F3" s="47"/>
      <c r="G3" s="47"/>
      <c r="H3" s="47"/>
      <c r="I3" s="47"/>
      <c r="J3" s="47"/>
      <c r="K3" s="47"/>
      <c r="L3" s="47"/>
      <c r="M3" s="47"/>
    </row>
    <row r="4" spans="2:13" ht="10.5" customHeight="1" x14ac:dyDescent="0.2">
      <c r="B4" s="43"/>
      <c r="C4" s="206"/>
      <c r="D4" s="206"/>
      <c r="E4" s="206"/>
      <c r="F4" s="206"/>
      <c r="G4" s="206"/>
      <c r="H4" s="206"/>
      <c r="I4" s="206"/>
      <c r="J4" s="206"/>
      <c r="K4" s="206"/>
      <c r="L4" s="206"/>
      <c r="M4" s="206"/>
    </row>
    <row r="5" spans="2:13" ht="18" customHeight="1" x14ac:dyDescent="0.2">
      <c r="B5" s="140"/>
      <c r="C5" s="184" t="s">
        <v>141</v>
      </c>
      <c r="D5" s="184" t="s">
        <v>141</v>
      </c>
      <c r="E5" s="184" t="s">
        <v>155</v>
      </c>
      <c r="F5" s="184"/>
      <c r="G5" s="184" t="s">
        <v>254</v>
      </c>
      <c r="H5" s="43"/>
      <c r="I5" s="43"/>
      <c r="J5" s="207" t="s">
        <v>142</v>
      </c>
      <c r="K5" s="208"/>
      <c r="L5" s="207" t="s">
        <v>142</v>
      </c>
      <c r="M5" s="208"/>
    </row>
    <row r="6" spans="2:13" x14ac:dyDescent="0.2">
      <c r="B6" s="209" t="s">
        <v>814</v>
      </c>
      <c r="C6" s="209" t="s">
        <v>143</v>
      </c>
      <c r="D6" s="209" t="s">
        <v>255</v>
      </c>
      <c r="E6" s="209" t="s">
        <v>144</v>
      </c>
      <c r="F6" s="209" t="s">
        <v>97</v>
      </c>
      <c r="G6" s="209" t="s">
        <v>256</v>
      </c>
      <c r="H6" s="797" t="s">
        <v>145</v>
      </c>
      <c r="I6" s="798"/>
      <c r="J6" s="799">
        <f>M1-1</f>
        <v>2014</v>
      </c>
      <c r="K6" s="800"/>
      <c r="L6" s="799">
        <f>M1</f>
        <v>2015</v>
      </c>
      <c r="M6" s="800"/>
    </row>
    <row r="7" spans="2:13" x14ac:dyDescent="0.2">
      <c r="B7" s="185" t="s">
        <v>813</v>
      </c>
      <c r="C7" s="185" t="s">
        <v>146</v>
      </c>
      <c r="D7" s="185" t="s">
        <v>257</v>
      </c>
      <c r="E7" s="185" t="s">
        <v>122</v>
      </c>
      <c r="F7" s="185" t="s">
        <v>147</v>
      </c>
      <c r="G7" s="210" t="str">
        <f>CONCATENATE("Jan 1,",M1-1,"")</f>
        <v>Jan 1,2014</v>
      </c>
      <c r="H7" s="144" t="s">
        <v>155</v>
      </c>
      <c r="I7" s="144" t="s">
        <v>157</v>
      </c>
      <c r="J7" s="144" t="s">
        <v>155</v>
      </c>
      <c r="K7" s="144" t="s">
        <v>157</v>
      </c>
      <c r="L7" s="144" t="s">
        <v>155</v>
      </c>
      <c r="M7" s="144" t="s">
        <v>157</v>
      </c>
    </row>
    <row r="8" spans="2:13" x14ac:dyDescent="0.2">
      <c r="B8" s="211" t="s">
        <v>148</v>
      </c>
      <c r="C8" s="55"/>
      <c r="D8" s="55"/>
      <c r="E8" s="212"/>
      <c r="F8" s="213"/>
      <c r="G8" s="213"/>
      <c r="H8" s="55"/>
      <c r="I8" s="55"/>
      <c r="J8" s="213"/>
      <c r="K8" s="213"/>
      <c r="L8" s="213"/>
      <c r="M8" s="213"/>
    </row>
    <row r="9" spans="2:13" x14ac:dyDescent="0.2">
      <c r="B9" s="59"/>
      <c r="C9" s="351"/>
      <c r="D9" s="351"/>
      <c r="E9" s="214"/>
      <c r="F9" s="215"/>
      <c r="G9" s="216"/>
      <c r="H9" s="217"/>
      <c r="I9" s="217"/>
      <c r="J9" s="216"/>
      <c r="K9" s="216"/>
      <c r="L9" s="216"/>
      <c r="M9" s="216"/>
    </row>
    <row r="10" spans="2:13" x14ac:dyDescent="0.2">
      <c r="B10" s="59" t="s">
        <v>1017</v>
      </c>
      <c r="C10" s="351"/>
      <c r="D10" s="351"/>
      <c r="E10" s="214"/>
      <c r="F10" s="215"/>
      <c r="G10" s="216"/>
      <c r="H10" s="217"/>
      <c r="I10" s="217"/>
      <c r="J10" s="216"/>
      <c r="K10" s="216"/>
      <c r="L10" s="216"/>
      <c r="M10" s="216"/>
    </row>
    <row r="11" spans="2:13" x14ac:dyDescent="0.2">
      <c r="B11" s="59"/>
      <c r="C11" s="351"/>
      <c r="D11" s="351"/>
      <c r="E11" s="214"/>
      <c r="F11" s="215"/>
      <c r="G11" s="216"/>
      <c r="H11" s="217"/>
      <c r="I11" s="217"/>
      <c r="J11" s="216"/>
      <c r="K11" s="216"/>
      <c r="L11" s="216"/>
      <c r="M11" s="216"/>
    </row>
    <row r="12" spans="2:13" x14ac:dyDescent="0.2">
      <c r="B12" s="59"/>
      <c r="C12" s="351"/>
      <c r="D12" s="351"/>
      <c r="E12" s="214"/>
      <c r="F12" s="215"/>
      <c r="G12" s="216"/>
      <c r="H12" s="217"/>
      <c r="I12" s="217"/>
      <c r="J12" s="216"/>
      <c r="K12" s="216"/>
      <c r="L12" s="216"/>
      <c r="M12" s="216"/>
    </row>
    <row r="13" spans="2:13" x14ac:dyDescent="0.2">
      <c r="B13" s="59"/>
      <c r="C13" s="351"/>
      <c r="D13" s="351"/>
      <c r="E13" s="214"/>
      <c r="F13" s="215"/>
      <c r="G13" s="216"/>
      <c r="H13" s="217"/>
      <c r="I13" s="217"/>
      <c r="J13" s="216"/>
      <c r="K13" s="216"/>
      <c r="L13" s="216"/>
      <c r="M13" s="216"/>
    </row>
    <row r="14" spans="2:13" x14ac:dyDescent="0.2">
      <c r="B14" s="59"/>
      <c r="C14" s="351"/>
      <c r="D14" s="351"/>
      <c r="E14" s="214"/>
      <c r="F14" s="215"/>
      <c r="G14" s="216"/>
      <c r="H14" s="217"/>
      <c r="I14" s="217"/>
      <c r="J14" s="216"/>
      <c r="K14" s="216"/>
      <c r="L14" s="216"/>
      <c r="M14" s="216"/>
    </row>
    <row r="15" spans="2:13" x14ac:dyDescent="0.2">
      <c r="B15" s="59"/>
      <c r="C15" s="351"/>
      <c r="D15" s="351"/>
      <c r="E15" s="214"/>
      <c r="F15" s="215"/>
      <c r="G15" s="216"/>
      <c r="H15" s="217"/>
      <c r="I15" s="217"/>
      <c r="J15" s="216"/>
      <c r="K15" s="216"/>
      <c r="L15" s="216"/>
      <c r="M15" s="216"/>
    </row>
    <row r="16" spans="2:13" x14ac:dyDescent="0.2">
      <c r="B16" s="59"/>
      <c r="C16" s="351"/>
      <c r="D16" s="351"/>
      <c r="E16" s="214"/>
      <c r="F16" s="215"/>
      <c r="G16" s="216"/>
      <c r="H16" s="217"/>
      <c r="I16" s="217"/>
      <c r="J16" s="216"/>
      <c r="K16" s="216"/>
      <c r="L16" s="216"/>
      <c r="M16" s="216"/>
    </row>
    <row r="17" spans="2:13" x14ac:dyDescent="0.2">
      <c r="B17" s="59"/>
      <c r="C17" s="351"/>
      <c r="D17" s="351"/>
      <c r="E17" s="214"/>
      <c r="F17" s="215"/>
      <c r="G17" s="216"/>
      <c r="H17" s="217"/>
      <c r="I17" s="217"/>
      <c r="J17" s="216"/>
      <c r="K17" s="216"/>
      <c r="L17" s="216"/>
      <c r="M17" s="216"/>
    </row>
    <row r="18" spans="2:13" x14ac:dyDescent="0.2">
      <c r="B18" s="59"/>
      <c r="C18" s="351"/>
      <c r="D18" s="351"/>
      <c r="E18" s="214"/>
      <c r="F18" s="215"/>
      <c r="G18" s="216"/>
      <c r="H18" s="217"/>
      <c r="I18" s="217"/>
      <c r="J18" s="216"/>
      <c r="K18" s="216"/>
      <c r="L18" s="216"/>
      <c r="M18" s="216"/>
    </row>
    <row r="19" spans="2:13" x14ac:dyDescent="0.2">
      <c r="B19" s="59"/>
      <c r="C19" s="351"/>
      <c r="D19" s="351"/>
      <c r="E19" s="214"/>
      <c r="F19" s="215"/>
      <c r="G19" s="216"/>
      <c r="H19" s="217"/>
      <c r="I19" s="217"/>
      <c r="J19" s="216"/>
      <c r="K19" s="216"/>
      <c r="L19" s="216"/>
      <c r="M19" s="216"/>
    </row>
    <row r="20" spans="2:13" x14ac:dyDescent="0.2">
      <c r="B20" s="218" t="s">
        <v>149</v>
      </c>
      <c r="C20" s="219"/>
      <c r="D20" s="219"/>
      <c r="E20" s="220"/>
      <c r="F20" s="221"/>
      <c r="G20" s="222">
        <f>SUM(G9:G19)</f>
        <v>0</v>
      </c>
      <c r="H20" s="223"/>
      <c r="I20" s="223"/>
      <c r="J20" s="222">
        <f>SUM(J9:J19)</f>
        <v>0</v>
      </c>
      <c r="K20" s="222">
        <f>SUM(K9:K19)</f>
        <v>0</v>
      </c>
      <c r="L20" s="222">
        <f>SUM(L9:L19)</f>
        <v>0</v>
      </c>
      <c r="M20" s="222">
        <f>SUM(M9:M19)</f>
        <v>0</v>
      </c>
    </row>
    <row r="21" spans="2:13" x14ac:dyDescent="0.2">
      <c r="B21" s="211" t="s">
        <v>150</v>
      </c>
      <c r="C21" s="224"/>
      <c r="D21" s="224"/>
      <c r="E21" s="225"/>
      <c r="F21" s="226"/>
      <c r="G21" s="226"/>
      <c r="H21" s="227"/>
      <c r="I21" s="227"/>
      <c r="J21" s="226"/>
      <c r="K21" s="226"/>
      <c r="L21" s="226"/>
      <c r="M21" s="226"/>
    </row>
    <row r="22" spans="2:13" x14ac:dyDescent="0.2">
      <c r="B22" s="59"/>
      <c r="C22" s="351"/>
      <c r="D22" s="351"/>
      <c r="E22" s="214"/>
      <c r="F22" s="215"/>
      <c r="G22" s="216"/>
      <c r="H22" s="217"/>
      <c r="I22" s="217"/>
      <c r="J22" s="216"/>
      <c r="K22" s="216"/>
      <c r="L22" s="216"/>
      <c r="M22" s="216"/>
    </row>
    <row r="23" spans="2:13" x14ac:dyDescent="0.2">
      <c r="B23" s="59" t="s">
        <v>1017</v>
      </c>
      <c r="C23" s="351"/>
      <c r="D23" s="351"/>
      <c r="E23" s="214"/>
      <c r="F23" s="215"/>
      <c r="G23" s="216"/>
      <c r="H23" s="217"/>
      <c r="I23" s="217"/>
      <c r="J23" s="216"/>
      <c r="K23" s="216"/>
      <c r="L23" s="216"/>
      <c r="M23" s="216"/>
    </row>
    <row r="24" spans="2:13" x14ac:dyDescent="0.2">
      <c r="B24" s="59"/>
      <c r="C24" s="351"/>
      <c r="D24" s="351"/>
      <c r="E24" s="214"/>
      <c r="F24" s="215"/>
      <c r="G24" s="216"/>
      <c r="H24" s="217"/>
      <c r="I24" s="217"/>
      <c r="J24" s="216"/>
      <c r="K24" s="216"/>
      <c r="L24" s="216"/>
      <c r="M24" s="216"/>
    </row>
    <row r="25" spans="2:13" x14ac:dyDescent="0.2">
      <c r="B25" s="59"/>
      <c r="C25" s="351"/>
      <c r="D25" s="351"/>
      <c r="E25" s="214"/>
      <c r="F25" s="215"/>
      <c r="G25" s="216"/>
      <c r="H25" s="217"/>
      <c r="I25" s="217"/>
      <c r="J25" s="216"/>
      <c r="K25" s="216"/>
      <c r="L25" s="216"/>
      <c r="M25" s="216"/>
    </row>
    <row r="26" spans="2:13" x14ac:dyDescent="0.2">
      <c r="B26" s="59"/>
      <c r="C26" s="351"/>
      <c r="D26" s="351"/>
      <c r="E26" s="214"/>
      <c r="F26" s="215"/>
      <c r="G26" s="216"/>
      <c r="H26" s="217"/>
      <c r="I26" s="217"/>
      <c r="J26" s="216"/>
      <c r="K26" s="216"/>
      <c r="L26" s="216"/>
      <c r="M26" s="216"/>
    </row>
    <row r="27" spans="2:13" x14ac:dyDescent="0.2">
      <c r="B27" s="59"/>
      <c r="C27" s="351"/>
      <c r="D27" s="351"/>
      <c r="E27" s="214"/>
      <c r="F27" s="215"/>
      <c r="G27" s="216"/>
      <c r="H27" s="217"/>
      <c r="I27" s="217"/>
      <c r="J27" s="216"/>
      <c r="K27" s="216"/>
      <c r="L27" s="216"/>
      <c r="M27" s="216"/>
    </row>
    <row r="28" spans="2:13" x14ac:dyDescent="0.2">
      <c r="B28" s="59"/>
      <c r="C28" s="351"/>
      <c r="D28" s="351"/>
      <c r="E28" s="214"/>
      <c r="F28" s="215"/>
      <c r="G28" s="216"/>
      <c r="H28" s="217"/>
      <c r="I28" s="217"/>
      <c r="J28" s="216"/>
      <c r="K28" s="216"/>
      <c r="L28" s="216"/>
      <c r="M28" s="216"/>
    </row>
    <row r="29" spans="2:13" x14ac:dyDescent="0.2">
      <c r="B29" s="59"/>
      <c r="C29" s="351"/>
      <c r="D29" s="351"/>
      <c r="E29" s="214"/>
      <c r="F29" s="215"/>
      <c r="G29" s="216"/>
      <c r="H29" s="217"/>
      <c r="I29" s="217"/>
      <c r="J29" s="216"/>
      <c r="K29" s="216"/>
      <c r="L29" s="216"/>
      <c r="M29" s="216"/>
    </row>
    <row r="30" spans="2:13" x14ac:dyDescent="0.2">
      <c r="B30" s="59"/>
      <c r="C30" s="351"/>
      <c r="D30" s="351"/>
      <c r="E30" s="214"/>
      <c r="F30" s="215"/>
      <c r="G30" s="216"/>
      <c r="H30" s="217"/>
      <c r="I30" s="217"/>
      <c r="J30" s="216"/>
      <c r="K30" s="216"/>
      <c r="L30" s="216"/>
      <c r="M30" s="216"/>
    </row>
    <row r="31" spans="2:13" x14ac:dyDescent="0.2">
      <c r="B31" s="59"/>
      <c r="C31" s="351"/>
      <c r="D31" s="351"/>
      <c r="E31" s="214"/>
      <c r="F31" s="215"/>
      <c r="G31" s="216"/>
      <c r="H31" s="217"/>
      <c r="I31" s="217"/>
      <c r="J31" s="216"/>
      <c r="K31" s="216"/>
      <c r="L31" s="216"/>
      <c r="M31" s="216"/>
    </row>
    <row r="32" spans="2:13" x14ac:dyDescent="0.2">
      <c r="B32" s="218" t="s">
        <v>151</v>
      </c>
      <c r="C32" s="219"/>
      <c r="D32" s="219"/>
      <c r="E32" s="228"/>
      <c r="F32" s="221"/>
      <c r="G32" s="229">
        <f>SUM(G22:G31)</f>
        <v>0</v>
      </c>
      <c r="H32" s="223"/>
      <c r="I32" s="223"/>
      <c r="J32" s="229">
        <f>SUM(J22:J31)</f>
        <v>0</v>
      </c>
      <c r="K32" s="229">
        <f>SUM(K22:K31)</f>
        <v>0</v>
      </c>
      <c r="L32" s="222">
        <f>SUM(L22:L31)</f>
        <v>0</v>
      </c>
      <c r="M32" s="229">
        <f>SUM(M22:M31)</f>
        <v>0</v>
      </c>
    </row>
    <row r="33" spans="2:29" x14ac:dyDescent="0.2">
      <c r="B33" s="211" t="s">
        <v>152</v>
      </c>
      <c r="C33" s="224"/>
      <c r="D33" s="224"/>
      <c r="E33" s="225"/>
      <c r="F33" s="226"/>
      <c r="G33" s="230"/>
      <c r="H33" s="227"/>
      <c r="I33" s="227"/>
      <c r="J33" s="226"/>
      <c r="K33" s="226"/>
      <c r="L33" s="226"/>
      <c r="M33" s="226"/>
    </row>
    <row r="34" spans="2:29" x14ac:dyDescent="0.2">
      <c r="B34" s="59"/>
      <c r="C34" s="351"/>
      <c r="D34" s="351"/>
      <c r="E34" s="214"/>
      <c r="F34" s="215"/>
      <c r="G34" s="216"/>
      <c r="H34" s="217"/>
      <c r="I34" s="217"/>
      <c r="J34" s="216"/>
      <c r="K34" s="216"/>
      <c r="L34" s="216"/>
      <c r="M34" s="216"/>
    </row>
    <row r="35" spans="2:29" x14ac:dyDescent="0.2">
      <c r="B35" s="59" t="s">
        <v>1017</v>
      </c>
      <c r="C35" s="351"/>
      <c r="D35" s="351"/>
      <c r="E35" s="214"/>
      <c r="F35" s="215"/>
      <c r="G35" s="216"/>
      <c r="H35" s="217"/>
      <c r="I35" s="217"/>
      <c r="J35" s="216"/>
      <c r="K35" s="216"/>
      <c r="L35" s="216"/>
      <c r="M35" s="216"/>
    </row>
    <row r="36" spans="2:29" x14ac:dyDescent="0.2">
      <c r="B36" s="59"/>
      <c r="C36" s="351"/>
      <c r="D36" s="351"/>
      <c r="E36" s="214"/>
      <c r="F36" s="215"/>
      <c r="G36" s="216"/>
      <c r="H36" s="217"/>
      <c r="I36" s="217"/>
      <c r="J36" s="216"/>
      <c r="K36" s="216"/>
      <c r="L36" s="216"/>
      <c r="M36" s="216"/>
    </row>
    <row r="37" spans="2:29" x14ac:dyDescent="0.2">
      <c r="B37" s="59"/>
      <c r="C37" s="351"/>
      <c r="D37" s="351"/>
      <c r="E37" s="214"/>
      <c r="F37" s="215"/>
      <c r="G37" s="216"/>
      <c r="H37" s="217"/>
      <c r="I37" s="217"/>
      <c r="J37" s="216"/>
      <c r="K37" s="216"/>
      <c r="L37" s="216"/>
      <c r="M37" s="216"/>
    </row>
    <row r="38" spans="2:29" x14ac:dyDescent="0.2">
      <c r="B38" s="59"/>
      <c r="C38" s="351"/>
      <c r="D38" s="351"/>
      <c r="E38" s="214"/>
      <c r="F38" s="215"/>
      <c r="G38" s="216"/>
      <c r="H38" s="217"/>
      <c r="I38" s="217"/>
      <c r="J38" s="216"/>
      <c r="K38" s="216"/>
      <c r="L38" s="216"/>
      <c r="M38" s="216"/>
    </row>
    <row r="39" spans="2:29" x14ac:dyDescent="0.2">
      <c r="B39" s="59"/>
      <c r="C39" s="351"/>
      <c r="D39" s="351"/>
      <c r="E39" s="214"/>
      <c r="F39" s="215"/>
      <c r="G39" s="216"/>
      <c r="H39" s="217"/>
      <c r="I39" s="217"/>
      <c r="J39" s="216"/>
      <c r="K39" s="216"/>
      <c r="L39" s="216"/>
      <c r="M39" s="216"/>
    </row>
    <row r="40" spans="2:29" x14ac:dyDescent="0.2">
      <c r="B40" s="59"/>
      <c r="C40" s="351"/>
      <c r="D40" s="351"/>
      <c r="E40" s="214"/>
      <c r="F40" s="215"/>
      <c r="G40" s="216"/>
      <c r="H40" s="217"/>
      <c r="I40" s="217"/>
      <c r="J40" s="216"/>
      <c r="K40" s="216"/>
      <c r="L40" s="216"/>
      <c r="M40" s="216"/>
    </row>
    <row r="41" spans="2:29" x14ac:dyDescent="0.2">
      <c r="B41" s="59"/>
      <c r="C41" s="351"/>
      <c r="D41" s="351"/>
      <c r="E41" s="214"/>
      <c r="F41" s="215"/>
      <c r="G41" s="216"/>
      <c r="H41" s="217"/>
      <c r="I41" s="217"/>
      <c r="J41" s="216"/>
      <c r="K41" s="216"/>
      <c r="L41" s="216"/>
      <c r="M41" s="216"/>
      <c r="N41" s="29"/>
      <c r="O41" s="29"/>
      <c r="P41" s="29"/>
      <c r="Q41" s="29"/>
      <c r="R41" s="29"/>
      <c r="S41" s="29"/>
      <c r="T41" s="29"/>
      <c r="U41" s="29"/>
      <c r="V41" s="29"/>
      <c r="W41" s="29"/>
      <c r="X41" s="29"/>
      <c r="Y41" s="29"/>
      <c r="Z41" s="29"/>
      <c r="AA41" s="29"/>
      <c r="AB41" s="29"/>
      <c r="AC41" s="29"/>
    </row>
    <row r="42" spans="2:29" x14ac:dyDescent="0.2">
      <c r="B42" s="218" t="s">
        <v>258</v>
      </c>
      <c r="C42" s="199"/>
      <c r="D42" s="199"/>
      <c r="E42" s="228"/>
      <c r="F42" s="221"/>
      <c r="G42" s="229">
        <f>SUM(G34:G41)</f>
        <v>0</v>
      </c>
      <c r="H42" s="221"/>
      <c r="I42" s="221"/>
      <c r="J42" s="229">
        <f>SUM(J34:J41)</f>
        <v>0</v>
      </c>
      <c r="K42" s="229">
        <f>SUM(K34:K41)</f>
        <v>0</v>
      </c>
      <c r="L42" s="229">
        <f>SUM(L34:L41)</f>
        <v>0</v>
      </c>
      <c r="M42" s="229">
        <f>SUM(M34:M41)</f>
        <v>0</v>
      </c>
    </row>
    <row r="43" spans="2:29" x14ac:dyDescent="0.2">
      <c r="B43" s="218" t="s">
        <v>153</v>
      </c>
      <c r="C43" s="199"/>
      <c r="D43" s="199"/>
      <c r="E43" s="199"/>
      <c r="F43" s="221"/>
      <c r="G43" s="229">
        <f>SUM(G20+G32+G42)</f>
        <v>0</v>
      </c>
      <c r="H43" s="221"/>
      <c r="I43" s="221"/>
      <c r="J43" s="229">
        <f>SUM(J20+J32+J42)</f>
        <v>0</v>
      </c>
      <c r="K43" s="229">
        <f>SUM(K20+K32+K42)</f>
        <v>0</v>
      </c>
      <c r="L43" s="229">
        <f>SUM(L20+L32+L42)</f>
        <v>0</v>
      </c>
      <c r="M43" s="229">
        <f>SUM(M20+M32+M42)</f>
        <v>0</v>
      </c>
    </row>
    <row r="44" spans="2:29" x14ac:dyDescent="0.2">
      <c r="B44" s="29"/>
      <c r="C44" s="29"/>
      <c r="D44" s="29"/>
      <c r="E44" s="29"/>
      <c r="F44" s="29"/>
      <c r="G44" s="29"/>
      <c r="H44" s="29"/>
      <c r="I44" s="29"/>
      <c r="J44" s="29"/>
      <c r="K44" s="29"/>
      <c r="L44" s="29"/>
      <c r="M44" s="29"/>
    </row>
    <row r="45" spans="2:29" x14ac:dyDescent="0.2">
      <c r="F45" s="231"/>
      <c r="G45" s="231"/>
      <c r="J45" s="231"/>
      <c r="K45" s="231"/>
      <c r="L45" s="231"/>
      <c r="M45" s="231"/>
    </row>
    <row r="46" spans="2:29" x14ac:dyDescent="0.2">
      <c r="F46" s="29"/>
      <c r="H46" s="232"/>
      <c r="N46" s="29"/>
    </row>
    <row r="47" spans="2:29" x14ac:dyDescent="0.2">
      <c r="B47" s="29"/>
      <c r="C47" s="29"/>
      <c r="D47" s="29"/>
      <c r="E47" s="29"/>
      <c r="F47" s="29"/>
      <c r="G47" s="29"/>
      <c r="H47" s="29"/>
      <c r="I47" s="29"/>
      <c r="J47" s="29"/>
      <c r="K47" s="29"/>
      <c r="L47" s="29"/>
      <c r="M47" s="29"/>
    </row>
    <row r="48" spans="2:29" x14ac:dyDescent="0.2">
      <c r="B48" s="29"/>
      <c r="C48" s="29"/>
      <c r="D48" s="29"/>
      <c r="E48" s="29"/>
      <c r="F48" s="29"/>
      <c r="G48" s="29"/>
      <c r="H48" s="29"/>
      <c r="I48" s="29"/>
      <c r="J48" s="29"/>
      <c r="K48" s="29"/>
      <c r="L48" s="29"/>
      <c r="M48" s="29"/>
    </row>
  </sheetData>
  <mergeCells count="3">
    <mergeCell ref="H6:I6"/>
    <mergeCell ref="J6:K6"/>
    <mergeCell ref="L6:M6"/>
  </mergeCells>
  <phoneticPr fontId="0" type="noConversion"/>
  <pageMargins left="0.25" right="0.25" top="1" bottom="0.5" header="0.5" footer="0.25"/>
  <pageSetup scale="81" orientation="landscape" blackAndWhite="1" horizontalDpi="120" verticalDpi="144" r:id="rId1"/>
  <headerFooter alignWithMargins="0">
    <oddHeader>&amp;RState of Kansas
City</oddHeader>
    <oddFooter>&amp;CPage No. 5</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I30"/>
  <sheetViews>
    <sheetView zoomScale="75" workbookViewId="0">
      <selection activeCell="I12" sqref="I12"/>
    </sheetView>
  </sheetViews>
  <sheetFormatPr defaultRowHeight="15.75" x14ac:dyDescent="0.25"/>
  <cols>
    <col min="1" max="1" width="4.88671875" style="2" customWidth="1"/>
    <col min="2" max="2" width="23.5546875" style="2" customWidth="1"/>
    <col min="3" max="5" width="9.77734375" style="2" customWidth="1"/>
    <col min="6" max="6" width="18.33203125" style="2" customWidth="1"/>
    <col min="7" max="9" width="15.77734375" style="2" customWidth="1"/>
    <col min="10" max="16384" width="8.88671875" style="2"/>
  </cols>
  <sheetData>
    <row r="1" spans="2:9" x14ac:dyDescent="0.25">
      <c r="B1" s="10" t="str">
        <f>inputPrYr!$D$2</f>
        <v>City of Frankfort</v>
      </c>
      <c r="C1" s="5"/>
      <c r="D1" s="5"/>
      <c r="E1" s="5"/>
      <c r="F1" s="5"/>
      <c r="G1" s="5"/>
      <c r="H1" s="5"/>
      <c r="I1" s="20">
        <f>inputPrYr!C5</f>
        <v>2015</v>
      </c>
    </row>
    <row r="2" spans="2:9" x14ac:dyDescent="0.25">
      <c r="B2" s="10"/>
      <c r="C2" s="5"/>
      <c r="D2" s="5"/>
      <c r="E2" s="5"/>
      <c r="F2" s="5"/>
      <c r="G2" s="5"/>
      <c r="H2" s="5"/>
      <c r="I2" s="7"/>
    </row>
    <row r="3" spans="2:9" x14ac:dyDescent="0.25">
      <c r="B3" s="5"/>
      <c r="C3" s="5"/>
      <c r="D3" s="5"/>
      <c r="E3" s="5"/>
      <c r="F3" s="5"/>
      <c r="G3" s="5"/>
      <c r="H3" s="5"/>
      <c r="I3" s="6"/>
    </row>
    <row r="4" spans="2:9" x14ac:dyDescent="0.25">
      <c r="B4" s="11" t="s">
        <v>167</v>
      </c>
      <c r="C4" s="8"/>
      <c r="D4" s="8"/>
      <c r="E4" s="8"/>
      <c r="F4" s="8"/>
      <c r="G4" s="8"/>
      <c r="H4" s="8"/>
      <c r="I4" s="8"/>
    </row>
    <row r="5" spans="2:9" x14ac:dyDescent="0.25">
      <c r="B5" s="4"/>
      <c r="C5" s="16"/>
      <c r="D5" s="16"/>
      <c r="E5" s="16"/>
      <c r="F5" s="16"/>
      <c r="G5" s="16"/>
      <c r="H5" s="16"/>
      <c r="I5" s="16"/>
    </row>
    <row r="6" spans="2:9" x14ac:dyDescent="0.25">
      <c r="B6" s="9"/>
      <c r="C6" s="9"/>
      <c r="D6" s="9"/>
      <c r="E6" s="9"/>
      <c r="F6" s="12" t="s">
        <v>76</v>
      </c>
      <c r="G6" s="9"/>
      <c r="H6" s="9"/>
      <c r="I6" s="9"/>
    </row>
    <row r="7" spans="2:9" x14ac:dyDescent="0.25">
      <c r="B7" s="576"/>
      <c r="C7" s="13"/>
      <c r="D7" s="13" t="s">
        <v>154</v>
      </c>
      <c r="E7" s="13" t="s">
        <v>155</v>
      </c>
      <c r="F7" s="13" t="s">
        <v>97</v>
      </c>
      <c r="G7" s="13" t="s">
        <v>157</v>
      </c>
      <c r="H7" s="13" t="s">
        <v>158</v>
      </c>
      <c r="I7" s="13" t="s">
        <v>158</v>
      </c>
    </row>
    <row r="8" spans="2:9" x14ac:dyDescent="0.25">
      <c r="B8" s="13" t="s">
        <v>816</v>
      </c>
      <c r="C8" s="13" t="s">
        <v>159</v>
      </c>
      <c r="D8" s="13" t="s">
        <v>160</v>
      </c>
      <c r="E8" s="13" t="s">
        <v>144</v>
      </c>
      <c r="F8" s="13" t="s">
        <v>161</v>
      </c>
      <c r="G8" s="13" t="s">
        <v>207</v>
      </c>
      <c r="H8" s="13" t="s">
        <v>162</v>
      </c>
      <c r="I8" s="13" t="s">
        <v>162</v>
      </c>
    </row>
    <row r="9" spans="2:9" x14ac:dyDescent="0.25">
      <c r="B9" s="14" t="s">
        <v>815</v>
      </c>
      <c r="C9" s="14" t="s">
        <v>141</v>
      </c>
      <c r="D9" s="18" t="s">
        <v>163</v>
      </c>
      <c r="E9" s="14" t="s">
        <v>122</v>
      </c>
      <c r="F9" s="18" t="s">
        <v>220</v>
      </c>
      <c r="G9" s="15" t="str">
        <f>CONCATENATE("Jan 1,",I1-1,"")</f>
        <v>Jan 1,2014</v>
      </c>
      <c r="H9" s="14">
        <f>I1-1</f>
        <v>2014</v>
      </c>
      <c r="I9" s="14">
        <f>I1</f>
        <v>2015</v>
      </c>
    </row>
    <row r="10" spans="2:9" x14ac:dyDescent="0.25">
      <c r="B10" s="3" t="s">
        <v>1018</v>
      </c>
      <c r="C10" s="759" t="s">
        <v>1019</v>
      </c>
      <c r="D10" s="23">
        <v>240</v>
      </c>
      <c r="E10" s="760" t="s">
        <v>1020</v>
      </c>
      <c r="F10" s="22">
        <v>900000</v>
      </c>
      <c r="G10" s="22">
        <v>765000</v>
      </c>
      <c r="H10" s="22">
        <v>74419</v>
      </c>
      <c r="I10" s="22">
        <v>73069</v>
      </c>
    </row>
    <row r="11" spans="2:9" x14ac:dyDescent="0.25">
      <c r="B11" s="3"/>
      <c r="C11" s="25"/>
      <c r="D11" s="23"/>
      <c r="E11" s="21"/>
      <c r="F11" s="22"/>
      <c r="G11" s="22"/>
      <c r="H11" s="22"/>
      <c r="I11" s="22"/>
    </row>
    <row r="12" spans="2:9" x14ac:dyDescent="0.25">
      <c r="B12" s="3"/>
      <c r="C12" s="25"/>
      <c r="D12" s="23"/>
      <c r="E12" s="21"/>
      <c r="F12" s="22"/>
      <c r="G12" s="22"/>
      <c r="H12" s="22"/>
      <c r="I12" s="22"/>
    </row>
    <row r="13" spans="2:9" x14ac:dyDescent="0.25">
      <c r="B13" s="3"/>
      <c r="C13" s="25"/>
      <c r="D13" s="23"/>
      <c r="E13" s="21"/>
      <c r="F13" s="22"/>
      <c r="G13" s="22"/>
      <c r="H13" s="22"/>
      <c r="I13" s="22"/>
    </row>
    <row r="14" spans="2:9" x14ac:dyDescent="0.25">
      <c r="B14" s="3"/>
      <c r="C14" s="25"/>
      <c r="D14" s="23"/>
      <c r="E14" s="21"/>
      <c r="F14" s="22"/>
      <c r="G14" s="22"/>
      <c r="H14" s="22"/>
      <c r="I14" s="22"/>
    </row>
    <row r="15" spans="2:9" x14ac:dyDescent="0.25">
      <c r="B15" s="3"/>
      <c r="C15" s="25"/>
      <c r="D15" s="23"/>
      <c r="E15" s="21"/>
      <c r="F15" s="22"/>
      <c r="G15" s="22"/>
      <c r="H15" s="22"/>
      <c r="I15" s="22"/>
    </row>
    <row r="16" spans="2:9" x14ac:dyDescent="0.25">
      <c r="B16" s="3"/>
      <c r="C16" s="25"/>
      <c r="D16" s="23"/>
      <c r="E16" s="21"/>
      <c r="F16" s="22"/>
      <c r="G16" s="22"/>
      <c r="H16" s="22"/>
      <c r="I16" s="22"/>
    </row>
    <row r="17" spans="2:9" x14ac:dyDescent="0.25">
      <c r="B17" s="3"/>
      <c r="C17" s="25"/>
      <c r="D17" s="23"/>
      <c r="E17" s="21"/>
      <c r="F17" s="22"/>
      <c r="G17" s="22"/>
      <c r="H17" s="22"/>
      <c r="I17" s="22"/>
    </row>
    <row r="18" spans="2:9" x14ac:dyDescent="0.25">
      <c r="B18" s="3"/>
      <c r="C18" s="25"/>
      <c r="D18" s="23"/>
      <c r="E18" s="21"/>
      <c r="F18" s="22"/>
      <c r="G18" s="22"/>
      <c r="H18" s="22"/>
      <c r="I18" s="22"/>
    </row>
    <row r="19" spans="2:9" x14ac:dyDescent="0.25">
      <c r="B19" s="3"/>
      <c r="C19" s="25"/>
      <c r="D19" s="23"/>
      <c r="E19" s="21"/>
      <c r="F19" s="22"/>
      <c r="G19" s="22"/>
      <c r="H19" s="22"/>
      <c r="I19" s="22"/>
    </row>
    <row r="20" spans="2:9" x14ac:dyDescent="0.25">
      <c r="B20" s="3"/>
      <c r="C20" s="25"/>
      <c r="D20" s="23"/>
      <c r="E20" s="21"/>
      <c r="F20" s="22"/>
      <c r="G20" s="22"/>
      <c r="H20" s="22"/>
      <c r="I20" s="22"/>
    </row>
    <row r="21" spans="2:9" x14ac:dyDescent="0.25">
      <c r="B21" s="3"/>
      <c r="C21" s="25"/>
      <c r="D21" s="23"/>
      <c r="E21" s="21"/>
      <c r="F21" s="22"/>
      <c r="G21" s="22"/>
      <c r="H21" s="22"/>
      <c r="I21" s="22"/>
    </row>
    <row r="22" spans="2:9" x14ac:dyDescent="0.25">
      <c r="B22" s="3"/>
      <c r="C22" s="25"/>
      <c r="D22" s="23"/>
      <c r="E22" s="21"/>
      <c r="F22" s="22"/>
      <c r="G22" s="22"/>
      <c r="H22" s="22"/>
      <c r="I22" s="22"/>
    </row>
    <row r="23" spans="2:9" x14ac:dyDescent="0.25">
      <c r="B23" s="3"/>
      <c r="C23" s="25"/>
      <c r="D23" s="23"/>
      <c r="E23" s="21"/>
      <c r="F23" s="22"/>
      <c r="G23" s="22"/>
      <c r="H23" s="22"/>
      <c r="I23" s="22"/>
    </row>
    <row r="24" spans="2:9" x14ac:dyDescent="0.25">
      <c r="B24" s="3"/>
      <c r="C24" s="25"/>
      <c r="D24" s="23"/>
      <c r="E24" s="21"/>
      <c r="F24" s="22"/>
      <c r="G24" s="22"/>
      <c r="H24" s="22"/>
      <c r="I24" s="22"/>
    </row>
    <row r="25" spans="2:9" x14ac:dyDescent="0.25">
      <c r="B25" s="3"/>
      <c r="C25" s="25"/>
      <c r="D25" s="23"/>
      <c r="E25" s="21"/>
      <c r="F25" s="22"/>
      <c r="G25" s="22"/>
      <c r="H25" s="22"/>
      <c r="I25" s="22"/>
    </row>
    <row r="26" spans="2:9" x14ac:dyDescent="0.25">
      <c r="B26" s="3"/>
      <c r="C26" s="25"/>
      <c r="D26" s="23"/>
      <c r="E26" s="21"/>
      <c r="F26" s="22"/>
      <c r="G26" s="22"/>
      <c r="H26" s="22"/>
      <c r="I26" s="22"/>
    </row>
    <row r="27" spans="2:9" x14ac:dyDescent="0.25">
      <c r="B27" s="3"/>
      <c r="C27" s="25"/>
      <c r="D27" s="23"/>
      <c r="E27" s="21"/>
      <c r="F27" s="22"/>
      <c r="G27" s="22"/>
      <c r="H27" s="22"/>
      <c r="I27" s="22"/>
    </row>
    <row r="28" spans="2:9" ht="16.5" thickBot="1" x14ac:dyDescent="0.3">
      <c r="B28" s="17"/>
      <c r="C28" s="19"/>
      <c r="D28" s="19"/>
      <c r="E28" s="19"/>
      <c r="F28" s="671" t="s">
        <v>92</v>
      </c>
      <c r="G28" s="24">
        <f>SUM(G10:G27)</f>
        <v>765000</v>
      </c>
      <c r="H28" s="24">
        <f>SUM(H10:H27)</f>
        <v>74419</v>
      </c>
      <c r="I28" s="24">
        <f>SUM(I10:I27)</f>
        <v>73069</v>
      </c>
    </row>
    <row r="29" spans="2:9" ht="16.5" thickTop="1" x14ac:dyDescent="0.25">
      <c r="B29" s="5"/>
      <c r="C29" s="5"/>
      <c r="D29" s="5"/>
      <c r="E29" s="5"/>
      <c r="F29" s="5"/>
      <c r="G29" s="5"/>
      <c r="H29" s="10"/>
      <c r="I29" s="10"/>
    </row>
    <row r="30" spans="2:9" x14ac:dyDescent="0.25">
      <c r="B30" s="26" t="s">
        <v>22</v>
      </c>
      <c r="C30" s="27"/>
      <c r="D30" s="27"/>
      <c r="E30" s="27"/>
      <c r="F30" s="27"/>
      <c r="G30" s="27"/>
      <c r="H30" s="10"/>
      <c r="I30" s="10"/>
    </row>
  </sheetData>
  <phoneticPr fontId="0" type="noConversion"/>
  <pageMargins left="0.25" right="0.25" top="1" bottom="0.5" header="0.5" footer="0.5"/>
  <pageSetup scale="91" orientation="landscape" blackAndWhite="1" horizontalDpi="120" verticalDpi="144" r:id="rId1"/>
  <headerFooter alignWithMargins="0">
    <oddHeader>&amp;RState of Kansas
City</oddHeader>
    <oddFooter>&amp;CPage No.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I108"/>
  <sheetViews>
    <sheetView zoomScaleNormal="100" workbookViewId="0">
      <selection activeCell="E19" sqref="E19"/>
    </sheetView>
  </sheetViews>
  <sheetFormatPr defaultRowHeight="15" x14ac:dyDescent="0.2"/>
  <cols>
    <col min="1" max="1" width="2.5546875" style="645" customWidth="1"/>
    <col min="2" max="4" width="8.88671875" style="645"/>
    <col min="5" max="5" width="9.6640625" style="645" customWidth="1"/>
    <col min="6" max="6" width="8.88671875" style="645"/>
    <col min="7" max="7" width="9.6640625" style="645" customWidth="1"/>
    <col min="8" max="16384" width="8.88671875" style="645"/>
  </cols>
  <sheetData>
    <row r="1" spans="2:9" ht="15.75" x14ac:dyDescent="0.25">
      <c r="B1" s="644"/>
      <c r="C1" s="644"/>
      <c r="D1" s="644"/>
      <c r="E1" s="644"/>
      <c r="F1" s="644"/>
      <c r="G1" s="644"/>
      <c r="H1" s="644"/>
      <c r="I1" s="644"/>
    </row>
    <row r="2" spans="2:9" ht="15.75" x14ac:dyDescent="0.2">
      <c r="B2" s="803" t="s">
        <v>839</v>
      </c>
      <c r="C2" s="803"/>
      <c r="D2" s="803"/>
      <c r="E2" s="803"/>
      <c r="F2" s="803"/>
      <c r="G2" s="803"/>
      <c r="H2" s="803"/>
      <c r="I2" s="803"/>
    </row>
    <row r="3" spans="2:9" ht="15.75" x14ac:dyDescent="0.2">
      <c r="B3" s="803" t="s">
        <v>840</v>
      </c>
      <c r="C3" s="803"/>
      <c r="D3" s="803"/>
      <c r="E3" s="803"/>
      <c r="F3" s="803"/>
      <c r="G3" s="803"/>
      <c r="H3" s="803"/>
      <c r="I3" s="803"/>
    </row>
    <row r="4" spans="2:9" ht="15.75" x14ac:dyDescent="0.2">
      <c r="B4" s="646"/>
      <c r="C4" s="646"/>
      <c r="D4" s="646"/>
      <c r="E4" s="646"/>
      <c r="F4" s="646"/>
      <c r="G4" s="646"/>
      <c r="H4" s="646"/>
      <c r="I4" s="646"/>
    </row>
    <row r="5" spans="2:9" ht="15.75" x14ac:dyDescent="0.2">
      <c r="B5" s="804" t="str">
        <f>CONCATENATE("Budgeted Year: ",inputPrYr!C5,"")</f>
        <v>Budgeted Year: 2015</v>
      </c>
      <c r="C5" s="804"/>
      <c r="D5" s="804"/>
      <c r="E5" s="804"/>
      <c r="F5" s="804"/>
      <c r="G5" s="804"/>
      <c r="H5" s="804"/>
      <c r="I5" s="804"/>
    </row>
    <row r="6" spans="2:9" ht="15.75" x14ac:dyDescent="0.2">
      <c r="B6" s="647"/>
      <c r="C6" s="646"/>
      <c r="D6" s="646"/>
      <c r="E6" s="646"/>
      <c r="F6" s="646"/>
      <c r="G6" s="646"/>
      <c r="H6" s="646"/>
      <c r="I6" s="646"/>
    </row>
    <row r="7" spans="2:9" ht="15.75" x14ac:dyDescent="0.2">
      <c r="B7" s="647" t="str">
        <f>CONCATENATE("Library found in: ",inputPrYr!D2,"")</f>
        <v>Library found in: City of Frankfort</v>
      </c>
      <c r="C7" s="646"/>
      <c r="D7" s="646"/>
      <c r="E7" s="646"/>
      <c r="F7" s="646"/>
      <c r="G7" s="646"/>
      <c r="H7" s="646"/>
      <c r="I7" s="646"/>
    </row>
    <row r="8" spans="2:9" ht="15.75" x14ac:dyDescent="0.2">
      <c r="B8" s="647" t="str">
        <f>inputPrYr!D3</f>
        <v>Marshall County</v>
      </c>
      <c r="C8" s="646"/>
      <c r="D8" s="646"/>
      <c r="E8" s="646"/>
      <c r="F8" s="646"/>
      <c r="G8" s="646"/>
      <c r="H8" s="646"/>
      <c r="I8" s="646"/>
    </row>
    <row r="9" spans="2:9" ht="15.75" x14ac:dyDescent="0.2">
      <c r="B9" s="646"/>
      <c r="C9" s="646"/>
      <c r="D9" s="646"/>
      <c r="E9" s="646"/>
      <c r="F9" s="646"/>
      <c r="G9" s="646"/>
      <c r="H9" s="646"/>
      <c r="I9" s="646"/>
    </row>
    <row r="10" spans="2:9" ht="39" customHeight="1" x14ac:dyDescent="0.2">
      <c r="B10" s="805" t="s">
        <v>841</v>
      </c>
      <c r="C10" s="805"/>
      <c r="D10" s="805"/>
      <c r="E10" s="805"/>
      <c r="F10" s="805"/>
      <c r="G10" s="805"/>
      <c r="H10" s="805"/>
      <c r="I10" s="805"/>
    </row>
    <row r="11" spans="2:9" ht="15.75" x14ac:dyDescent="0.2">
      <c r="B11" s="646"/>
      <c r="C11" s="646"/>
      <c r="D11" s="646"/>
      <c r="E11" s="646"/>
      <c r="F11" s="646"/>
      <c r="G11" s="646"/>
      <c r="H11" s="646"/>
      <c r="I11" s="646"/>
    </row>
    <row r="12" spans="2:9" ht="15.75" x14ac:dyDescent="0.2">
      <c r="B12" s="648" t="s">
        <v>842</v>
      </c>
      <c r="C12" s="646"/>
      <c r="D12" s="646"/>
      <c r="E12" s="646"/>
      <c r="F12" s="646"/>
      <c r="G12" s="646"/>
      <c r="H12" s="646"/>
      <c r="I12" s="646"/>
    </row>
    <row r="13" spans="2:9" ht="15.75" x14ac:dyDescent="0.2">
      <c r="B13" s="646"/>
      <c r="C13" s="646"/>
      <c r="D13" s="646"/>
      <c r="E13" s="649" t="s">
        <v>843</v>
      </c>
      <c r="F13" s="646"/>
      <c r="G13" s="649" t="s">
        <v>844</v>
      </c>
      <c r="H13" s="646"/>
      <c r="I13" s="646"/>
    </row>
    <row r="14" spans="2:9" ht="15.75" x14ac:dyDescent="0.2">
      <c r="B14" s="646"/>
      <c r="C14" s="646"/>
      <c r="D14" s="646"/>
      <c r="E14" s="650">
        <f>inputPrYr!C5-1</f>
        <v>2014</v>
      </c>
      <c r="F14" s="646"/>
      <c r="G14" s="650">
        <f>inputPrYr!C5</f>
        <v>2015</v>
      </c>
      <c r="H14" s="646"/>
      <c r="I14" s="646"/>
    </row>
    <row r="15" spans="2:9" ht="15.75" x14ac:dyDescent="0.2">
      <c r="B15" s="647" t="s">
        <v>943</v>
      </c>
      <c r="C15" s="646"/>
      <c r="D15" s="646"/>
      <c r="E15" s="651">
        <f>'DebtSvs-library'!D47</f>
        <v>38049</v>
      </c>
      <c r="F15" s="646"/>
      <c r="G15" s="651">
        <f>'DebtSvs-library'!E80</f>
        <v>38590</v>
      </c>
      <c r="H15" s="646"/>
      <c r="I15" s="646"/>
    </row>
    <row r="16" spans="2:9" ht="15.75" x14ac:dyDescent="0.2">
      <c r="B16" s="647" t="s">
        <v>106</v>
      </c>
      <c r="C16" s="646"/>
      <c r="D16" s="646"/>
      <c r="E16" s="651">
        <f>'DebtSvs-library'!D48</f>
        <v>0</v>
      </c>
      <c r="F16" s="646"/>
      <c r="G16" s="651">
        <f>'DebtSvs-library'!E48</f>
        <v>0</v>
      </c>
      <c r="H16" s="646"/>
      <c r="I16" s="646"/>
    </row>
    <row r="17" spans="2:9" ht="15.75" x14ac:dyDescent="0.2">
      <c r="B17" s="647" t="s">
        <v>107</v>
      </c>
      <c r="C17" s="646"/>
      <c r="D17" s="646"/>
      <c r="E17" s="651">
        <f>'DebtSvs-library'!D49</f>
        <v>8660</v>
      </c>
      <c r="F17" s="646"/>
      <c r="G17" s="651">
        <f>'DebtSvs-library'!E49</f>
        <v>8260</v>
      </c>
      <c r="H17" s="646"/>
      <c r="I17" s="646"/>
    </row>
    <row r="18" spans="2:9" ht="15.75" x14ac:dyDescent="0.2">
      <c r="B18" s="647" t="s">
        <v>944</v>
      </c>
      <c r="C18" s="646"/>
      <c r="D18" s="646"/>
      <c r="E18" s="651">
        <f>'DebtSvs-library'!D50</f>
        <v>126</v>
      </c>
      <c r="F18" s="646"/>
      <c r="G18" s="651">
        <f>'DebtSvs-library'!E50</f>
        <v>128</v>
      </c>
      <c r="H18" s="646"/>
      <c r="I18" s="646"/>
    </row>
    <row r="19" spans="2:9" ht="15.75" x14ac:dyDescent="0.2">
      <c r="B19" s="647" t="s">
        <v>945</v>
      </c>
      <c r="C19" s="646"/>
      <c r="D19" s="646"/>
      <c r="E19" s="651">
        <f>'DebtSvs-library'!D51</f>
        <v>689</v>
      </c>
      <c r="F19" s="646"/>
      <c r="G19" s="651">
        <f>'DebtSvs-library'!E51</f>
        <v>488</v>
      </c>
      <c r="H19" s="646"/>
      <c r="I19" s="646"/>
    </row>
    <row r="20" spans="2:9" ht="15.75" x14ac:dyDescent="0.2">
      <c r="B20" s="646" t="s">
        <v>240</v>
      </c>
      <c r="C20" s="646"/>
      <c r="D20" s="646"/>
      <c r="E20" s="651">
        <v>0</v>
      </c>
      <c r="F20" s="646"/>
      <c r="G20" s="651">
        <v>0</v>
      </c>
      <c r="H20" s="646"/>
      <c r="I20" s="646"/>
    </row>
    <row r="21" spans="2:9" ht="15.75" x14ac:dyDescent="0.2">
      <c r="B21" s="646"/>
      <c r="C21" s="646"/>
      <c r="D21" s="646"/>
      <c r="E21" s="651">
        <v>0</v>
      </c>
      <c r="F21" s="646"/>
      <c r="G21" s="651">
        <v>0</v>
      </c>
      <c r="H21" s="646"/>
      <c r="I21" s="646"/>
    </row>
    <row r="22" spans="2:9" ht="15.75" x14ac:dyDescent="0.2">
      <c r="B22" s="646" t="s">
        <v>845</v>
      </c>
      <c r="C22" s="646"/>
      <c r="D22" s="646"/>
      <c r="E22" s="652">
        <f>SUM(E15:E21)</f>
        <v>47524</v>
      </c>
      <c r="F22" s="646"/>
      <c r="G22" s="652">
        <f>SUM(G15:G21)</f>
        <v>47466</v>
      </c>
      <c r="H22" s="646"/>
      <c r="I22" s="646"/>
    </row>
    <row r="23" spans="2:9" ht="15.75" x14ac:dyDescent="0.2">
      <c r="B23" s="646" t="s">
        <v>846</v>
      </c>
      <c r="C23" s="646"/>
      <c r="D23" s="646"/>
      <c r="E23" s="672">
        <f>G22-E22</f>
        <v>-58</v>
      </c>
      <c r="F23" s="646"/>
      <c r="G23" s="653"/>
      <c r="H23" s="646"/>
      <c r="I23" s="646"/>
    </row>
    <row r="24" spans="2:9" ht="15.75" x14ac:dyDescent="0.2">
      <c r="B24" s="646" t="s">
        <v>847</v>
      </c>
      <c r="C24" s="646"/>
      <c r="D24" s="654" t="str">
        <f>IF((G22-E22)&gt;0,"Qualify","Not Qualify")</f>
        <v>Not Qualify</v>
      </c>
      <c r="E24" s="646"/>
      <c r="F24" s="646"/>
      <c r="G24" s="646"/>
      <c r="H24" s="646"/>
      <c r="I24" s="646"/>
    </row>
    <row r="25" spans="2:9" ht="15.75" x14ac:dyDescent="0.2">
      <c r="B25" s="646"/>
      <c r="C25" s="646"/>
      <c r="D25" s="646"/>
      <c r="E25" s="646"/>
      <c r="F25" s="646"/>
      <c r="G25" s="646"/>
      <c r="H25" s="646"/>
      <c r="I25" s="646"/>
    </row>
    <row r="26" spans="2:9" ht="15.75" x14ac:dyDescent="0.2">
      <c r="B26" s="648" t="s">
        <v>848</v>
      </c>
      <c r="C26" s="646"/>
      <c r="D26" s="646"/>
      <c r="E26" s="646"/>
      <c r="F26" s="646"/>
      <c r="G26" s="646"/>
      <c r="H26" s="646"/>
      <c r="I26" s="646"/>
    </row>
    <row r="27" spans="2:9" ht="15.75" x14ac:dyDescent="0.2">
      <c r="B27" s="646" t="s">
        <v>849</v>
      </c>
      <c r="C27" s="646"/>
      <c r="D27" s="646"/>
      <c r="E27" s="651">
        <f>summ!D32</f>
        <v>3399546</v>
      </c>
      <c r="F27" s="646"/>
      <c r="G27" s="651">
        <f>summ!F32</f>
        <v>3443957</v>
      </c>
      <c r="H27" s="646"/>
      <c r="I27" s="646"/>
    </row>
    <row r="28" spans="2:9" ht="15.75" x14ac:dyDescent="0.2">
      <c r="B28" s="646" t="s">
        <v>850</v>
      </c>
      <c r="C28" s="646"/>
      <c r="D28" s="646"/>
      <c r="E28" s="655" t="str">
        <f>IF(G27-E27&gt;=0,"No","Yes")</f>
        <v>No</v>
      </c>
      <c r="F28" s="646"/>
      <c r="G28" s="646"/>
      <c r="H28" s="646"/>
      <c r="I28" s="646"/>
    </row>
    <row r="29" spans="2:9" ht="15.75" x14ac:dyDescent="0.2">
      <c r="B29" s="646" t="s">
        <v>851</v>
      </c>
      <c r="C29" s="646"/>
      <c r="D29" s="646"/>
      <c r="E29" s="649">
        <f>summ!E17</f>
        <v>11.192</v>
      </c>
      <c r="F29" s="646"/>
      <c r="G29" s="656">
        <f>summ!H17</f>
        <v>11.205</v>
      </c>
      <c r="H29" s="646"/>
      <c r="I29" s="646"/>
    </row>
    <row r="30" spans="2:9" ht="15.75" x14ac:dyDescent="0.2">
      <c r="B30" s="646" t="s">
        <v>852</v>
      </c>
      <c r="C30" s="646"/>
      <c r="D30" s="646"/>
      <c r="E30" s="657">
        <f>G29-E29</f>
        <v>1.2999999999999901E-2</v>
      </c>
      <c r="F30" s="646"/>
      <c r="G30" s="646"/>
      <c r="H30" s="646"/>
      <c r="I30" s="646"/>
    </row>
    <row r="31" spans="2:9" ht="15.75" x14ac:dyDescent="0.2">
      <c r="B31" s="646" t="s">
        <v>847</v>
      </c>
      <c r="C31" s="646"/>
      <c r="D31" s="658" t="str">
        <f>IF(E30&gt;=0,"Qualify","Not Qualify")</f>
        <v>Qualify</v>
      </c>
      <c r="E31" s="646"/>
      <c r="F31" s="646"/>
      <c r="G31" s="646"/>
      <c r="H31" s="646"/>
      <c r="I31" s="646"/>
    </row>
    <row r="32" spans="2:9" ht="15.75" x14ac:dyDescent="0.2">
      <c r="B32" s="646"/>
      <c r="C32" s="646"/>
      <c r="D32" s="646"/>
      <c r="E32" s="646"/>
      <c r="F32" s="646"/>
      <c r="G32" s="646"/>
      <c r="H32" s="646"/>
      <c r="I32" s="646"/>
    </row>
    <row r="33" spans="2:9" ht="15.75" x14ac:dyDescent="0.2">
      <c r="B33" s="646" t="s">
        <v>853</v>
      </c>
      <c r="C33" s="646"/>
      <c r="D33" s="646"/>
      <c r="E33" s="646"/>
      <c r="F33" s="659" t="str">
        <f>IF(D24="Not Qualify",IF(D31="Not Qualify",IF(D31="Not Qualify","Not Qualify","Qualify"),"Qualify"),"Qualify")</f>
        <v>Qualify</v>
      </c>
      <c r="G33" s="646"/>
      <c r="H33" s="646"/>
      <c r="I33" s="646"/>
    </row>
    <row r="34" spans="2:9" ht="15.75" x14ac:dyDescent="0.2">
      <c r="B34" s="646"/>
      <c r="C34" s="646"/>
      <c r="D34" s="646"/>
      <c r="E34" s="646"/>
      <c r="F34" s="646"/>
      <c r="G34" s="646"/>
      <c r="H34" s="646"/>
      <c r="I34" s="646"/>
    </row>
    <row r="35" spans="2:9" ht="15.75" x14ac:dyDescent="0.2">
      <c r="B35" s="646"/>
      <c r="C35" s="646"/>
      <c r="D35" s="646"/>
      <c r="E35" s="646"/>
      <c r="F35" s="646"/>
      <c r="G35" s="646"/>
      <c r="H35" s="646"/>
      <c r="I35" s="646"/>
    </row>
    <row r="36" spans="2:9" ht="37.5" customHeight="1" x14ac:dyDescent="0.2">
      <c r="B36" s="805" t="s">
        <v>854</v>
      </c>
      <c r="C36" s="805"/>
      <c r="D36" s="805"/>
      <c r="E36" s="805"/>
      <c r="F36" s="805"/>
      <c r="G36" s="805"/>
      <c r="H36" s="805"/>
      <c r="I36" s="805"/>
    </row>
    <row r="37" spans="2:9" ht="15.75" x14ac:dyDescent="0.2">
      <c r="B37" s="646"/>
      <c r="C37" s="646"/>
      <c r="D37" s="646"/>
      <c r="E37" s="646"/>
      <c r="F37" s="646"/>
      <c r="G37" s="646"/>
      <c r="H37" s="646"/>
      <c r="I37" s="646"/>
    </row>
    <row r="38" spans="2:9" ht="15.75" x14ac:dyDescent="0.2">
      <c r="B38" s="646"/>
      <c r="C38" s="646"/>
      <c r="D38" s="646"/>
      <c r="E38" s="646"/>
      <c r="F38" s="646"/>
      <c r="G38" s="646"/>
      <c r="H38" s="646"/>
      <c r="I38" s="646"/>
    </row>
    <row r="39" spans="2:9" ht="15.75" x14ac:dyDescent="0.2">
      <c r="B39" s="646"/>
      <c r="C39" s="646"/>
      <c r="D39" s="646"/>
      <c r="E39" s="646"/>
      <c r="F39" s="646"/>
      <c r="G39" s="646"/>
      <c r="H39" s="646"/>
      <c r="I39" s="646"/>
    </row>
    <row r="40" spans="2:9" ht="15.75" x14ac:dyDescent="0.2">
      <c r="B40" s="646"/>
      <c r="C40" s="646"/>
      <c r="D40" s="646"/>
      <c r="E40" s="660" t="s">
        <v>115</v>
      </c>
      <c r="F40" s="661">
        <v>7</v>
      </c>
      <c r="G40" s="646"/>
      <c r="H40" s="646"/>
      <c r="I40" s="646"/>
    </row>
    <row r="41" spans="2:9" ht="15.75" x14ac:dyDescent="0.2">
      <c r="B41" s="646"/>
      <c r="C41" s="646"/>
      <c r="D41" s="646"/>
      <c r="E41" s="646"/>
      <c r="F41" s="646"/>
      <c r="G41" s="646"/>
      <c r="H41" s="646"/>
      <c r="I41" s="646"/>
    </row>
    <row r="42" spans="2:9" ht="15.75" x14ac:dyDescent="0.2">
      <c r="B42" s="646"/>
      <c r="C42" s="646"/>
      <c r="D42" s="646"/>
      <c r="E42" s="646"/>
      <c r="F42" s="646"/>
      <c r="G42" s="646"/>
      <c r="H42" s="646"/>
      <c r="I42" s="646"/>
    </row>
    <row r="43" spans="2:9" ht="15.75" x14ac:dyDescent="0.25">
      <c r="B43" s="801" t="s">
        <v>855</v>
      </c>
      <c r="C43" s="802"/>
      <c r="D43" s="802"/>
      <c r="E43" s="802"/>
      <c r="F43" s="802"/>
      <c r="G43" s="802"/>
      <c r="H43" s="802"/>
      <c r="I43" s="802"/>
    </row>
    <row r="44" spans="2:9" ht="15.75" x14ac:dyDescent="0.2">
      <c r="B44" s="646"/>
      <c r="C44" s="646"/>
      <c r="D44" s="646"/>
      <c r="E44" s="646"/>
      <c r="F44" s="646"/>
      <c r="G44" s="646"/>
      <c r="H44" s="646"/>
      <c r="I44" s="646"/>
    </row>
    <row r="45" spans="2:9" ht="15.75" x14ac:dyDescent="0.25">
      <c r="B45" s="662" t="s">
        <v>856</v>
      </c>
      <c r="C45" s="646"/>
      <c r="D45" s="646"/>
      <c r="E45" s="646"/>
      <c r="F45" s="646"/>
      <c r="G45" s="646"/>
      <c r="H45" s="646"/>
      <c r="I45" s="646"/>
    </row>
    <row r="46" spans="2:9" ht="15.75" x14ac:dyDescent="0.25">
      <c r="B46" s="662" t="str">
        <f>CONCATENATE("sources in your ",G14," library fund is not equal to or greater than the amount from the same")</f>
        <v>sources in your 2015 library fund is not equal to or greater than the amount from the same</v>
      </c>
      <c r="C46" s="646"/>
      <c r="D46" s="646"/>
      <c r="E46" s="646"/>
      <c r="F46" s="646"/>
      <c r="G46" s="646"/>
      <c r="H46" s="646"/>
      <c r="I46" s="646"/>
    </row>
    <row r="47" spans="2:9" ht="15.75" x14ac:dyDescent="0.25">
      <c r="B47" s="662" t="str">
        <f>CONCATENATE("sources in ",E14,".")</f>
        <v>sources in 2014.</v>
      </c>
      <c r="C47" s="644"/>
      <c r="D47" s="644"/>
      <c r="E47" s="644"/>
      <c r="F47" s="644"/>
      <c r="G47" s="644"/>
      <c r="H47" s="644"/>
      <c r="I47" s="644"/>
    </row>
    <row r="48" spans="2:9" ht="15.75" x14ac:dyDescent="0.25">
      <c r="B48" s="644"/>
      <c r="C48" s="644"/>
      <c r="D48" s="644"/>
      <c r="E48" s="644"/>
      <c r="F48" s="644"/>
      <c r="G48" s="644"/>
      <c r="H48" s="644"/>
      <c r="I48" s="644"/>
    </row>
    <row r="49" spans="2:9" ht="15.75" x14ac:dyDescent="0.25">
      <c r="B49" s="662" t="s">
        <v>857</v>
      </c>
      <c r="C49" s="662"/>
      <c r="D49" s="663"/>
      <c r="E49" s="663"/>
      <c r="F49" s="663"/>
      <c r="G49" s="663"/>
      <c r="H49" s="663"/>
      <c r="I49" s="663"/>
    </row>
    <row r="50" spans="2:9" ht="15.75" x14ac:dyDescent="0.25">
      <c r="B50" s="662" t="s">
        <v>858</v>
      </c>
      <c r="C50" s="662"/>
      <c r="D50" s="663"/>
      <c r="E50" s="663"/>
      <c r="F50" s="663"/>
      <c r="G50" s="663"/>
      <c r="H50" s="663"/>
      <c r="I50" s="663"/>
    </row>
    <row r="51" spans="2:9" ht="15.75" x14ac:dyDescent="0.25">
      <c r="B51" s="662" t="s">
        <v>859</v>
      </c>
      <c r="C51" s="662"/>
      <c r="D51" s="663"/>
      <c r="E51" s="663"/>
      <c r="F51" s="663"/>
      <c r="G51" s="663"/>
      <c r="H51" s="663"/>
      <c r="I51" s="663"/>
    </row>
    <row r="52" spans="2:9" x14ac:dyDescent="0.2">
      <c r="B52" s="663"/>
      <c r="C52" s="663"/>
      <c r="D52" s="663"/>
      <c r="E52" s="663"/>
      <c r="F52" s="663"/>
      <c r="G52" s="663"/>
      <c r="H52" s="663"/>
      <c r="I52" s="663"/>
    </row>
    <row r="53" spans="2:9" ht="15.75" x14ac:dyDescent="0.25">
      <c r="B53" s="664" t="s">
        <v>860</v>
      </c>
      <c r="C53" s="663"/>
      <c r="D53" s="663"/>
      <c r="E53" s="663"/>
      <c r="F53" s="663"/>
      <c r="G53" s="663"/>
      <c r="H53" s="663"/>
      <c r="I53" s="663"/>
    </row>
    <row r="54" spans="2:9" x14ac:dyDescent="0.2">
      <c r="B54" s="663"/>
      <c r="C54" s="663"/>
      <c r="D54" s="663"/>
      <c r="E54" s="663"/>
      <c r="F54" s="663"/>
      <c r="G54" s="663"/>
      <c r="H54" s="663"/>
      <c r="I54" s="663"/>
    </row>
    <row r="55" spans="2:9" ht="15.75" x14ac:dyDescent="0.25">
      <c r="B55" s="662" t="s">
        <v>861</v>
      </c>
      <c r="C55" s="663"/>
      <c r="D55" s="663"/>
      <c r="E55" s="663"/>
      <c r="F55" s="663"/>
      <c r="G55" s="663"/>
      <c r="H55" s="663"/>
      <c r="I55" s="663"/>
    </row>
    <row r="56" spans="2:9" ht="15.75" x14ac:dyDescent="0.25">
      <c r="B56" s="662" t="s">
        <v>862</v>
      </c>
      <c r="C56" s="663"/>
      <c r="D56" s="663"/>
      <c r="E56" s="663"/>
      <c r="F56" s="663"/>
      <c r="G56" s="663"/>
      <c r="H56" s="663"/>
      <c r="I56" s="663"/>
    </row>
    <row r="57" spans="2:9" x14ac:dyDescent="0.2">
      <c r="B57" s="663"/>
      <c r="C57" s="663"/>
      <c r="D57" s="663"/>
      <c r="E57" s="663"/>
      <c r="F57" s="663"/>
      <c r="G57" s="663"/>
      <c r="H57" s="663"/>
      <c r="I57" s="663"/>
    </row>
    <row r="58" spans="2:9" ht="15.75" x14ac:dyDescent="0.25">
      <c r="B58" s="664" t="s">
        <v>863</v>
      </c>
      <c r="C58" s="662"/>
      <c r="D58" s="662"/>
      <c r="E58" s="662"/>
      <c r="F58" s="662"/>
      <c r="G58" s="663"/>
      <c r="H58" s="663"/>
      <c r="I58" s="663"/>
    </row>
    <row r="59" spans="2:9" ht="15.75" x14ac:dyDescent="0.25">
      <c r="B59" s="662"/>
      <c r="C59" s="662"/>
      <c r="D59" s="662"/>
      <c r="E59" s="662"/>
      <c r="F59" s="662"/>
      <c r="G59" s="663"/>
      <c r="H59" s="663"/>
      <c r="I59" s="663"/>
    </row>
    <row r="60" spans="2:9" ht="15.75" x14ac:dyDescent="0.25">
      <c r="B60" s="662" t="s">
        <v>864</v>
      </c>
      <c r="C60" s="662"/>
      <c r="D60" s="662"/>
      <c r="E60" s="662"/>
      <c r="F60" s="662"/>
      <c r="G60" s="663"/>
      <c r="H60" s="663"/>
      <c r="I60" s="663"/>
    </row>
    <row r="61" spans="2:9" ht="15.75" x14ac:dyDescent="0.25">
      <c r="B61" s="662" t="s">
        <v>865</v>
      </c>
      <c r="C61" s="662"/>
      <c r="D61" s="662"/>
      <c r="E61" s="662"/>
      <c r="F61" s="662"/>
      <c r="G61" s="663"/>
      <c r="H61" s="663"/>
      <c r="I61" s="663"/>
    </row>
    <row r="62" spans="2:9" ht="15.75" x14ac:dyDescent="0.25">
      <c r="B62" s="662" t="s">
        <v>866</v>
      </c>
      <c r="C62" s="662"/>
      <c r="D62" s="662"/>
      <c r="E62" s="662"/>
      <c r="F62" s="662"/>
      <c r="G62" s="663"/>
      <c r="H62" s="663"/>
      <c r="I62" s="663"/>
    </row>
    <row r="63" spans="2:9" ht="15.75" x14ac:dyDescent="0.25">
      <c r="B63" s="662" t="s">
        <v>867</v>
      </c>
      <c r="C63" s="662"/>
      <c r="D63" s="662"/>
      <c r="E63" s="662"/>
      <c r="F63" s="662"/>
      <c r="G63" s="663"/>
      <c r="H63" s="663"/>
      <c r="I63" s="663"/>
    </row>
    <row r="64" spans="2:9" x14ac:dyDescent="0.2">
      <c r="B64" s="665"/>
      <c r="C64" s="665"/>
      <c r="D64" s="665"/>
      <c r="E64" s="665"/>
      <c r="F64" s="665"/>
      <c r="G64" s="663"/>
      <c r="H64" s="663"/>
      <c r="I64" s="663"/>
    </row>
    <row r="65" spans="2:9" ht="15.75" x14ac:dyDescent="0.25">
      <c r="B65" s="662" t="s">
        <v>868</v>
      </c>
      <c r="C65" s="665"/>
      <c r="D65" s="665"/>
      <c r="E65" s="665"/>
      <c r="F65" s="665"/>
      <c r="G65" s="663"/>
      <c r="H65" s="663"/>
      <c r="I65" s="663"/>
    </row>
    <row r="66" spans="2:9" ht="15.75" x14ac:dyDescent="0.25">
      <c r="B66" s="662" t="s">
        <v>869</v>
      </c>
      <c r="C66" s="665"/>
      <c r="D66" s="665"/>
      <c r="E66" s="665"/>
      <c r="F66" s="665"/>
      <c r="G66" s="663"/>
      <c r="H66" s="663"/>
      <c r="I66" s="663"/>
    </row>
    <row r="67" spans="2:9" x14ac:dyDescent="0.2">
      <c r="B67" s="665"/>
      <c r="C67" s="665"/>
      <c r="D67" s="665"/>
      <c r="E67" s="665"/>
      <c r="F67" s="665"/>
      <c r="G67" s="663"/>
      <c r="H67" s="663"/>
      <c r="I67" s="663"/>
    </row>
    <row r="68" spans="2:9" ht="15.75" x14ac:dyDescent="0.25">
      <c r="B68" s="662" t="s">
        <v>870</v>
      </c>
      <c r="C68" s="665"/>
      <c r="D68" s="665"/>
      <c r="E68" s="665"/>
      <c r="F68" s="665"/>
      <c r="G68" s="663"/>
      <c r="H68" s="663"/>
      <c r="I68" s="663"/>
    </row>
    <row r="69" spans="2:9" ht="15.75" x14ac:dyDescent="0.25">
      <c r="B69" s="662" t="s">
        <v>871</v>
      </c>
      <c r="C69" s="665"/>
      <c r="D69" s="665"/>
      <c r="E69" s="665"/>
      <c r="F69" s="665"/>
      <c r="G69" s="663"/>
      <c r="H69" s="663"/>
      <c r="I69" s="663"/>
    </row>
    <row r="70" spans="2:9" x14ac:dyDescent="0.2">
      <c r="B70" s="665"/>
      <c r="C70" s="665"/>
      <c r="D70" s="665"/>
      <c r="E70" s="665"/>
      <c r="F70" s="665"/>
      <c r="G70" s="663"/>
      <c r="H70" s="663"/>
      <c r="I70" s="663"/>
    </row>
    <row r="71" spans="2:9" ht="15.75" x14ac:dyDescent="0.25">
      <c r="B71" s="664" t="s">
        <v>872</v>
      </c>
      <c r="C71" s="665"/>
      <c r="D71" s="665"/>
      <c r="E71" s="665"/>
      <c r="F71" s="665"/>
      <c r="G71" s="663"/>
      <c r="H71" s="663"/>
      <c r="I71" s="663"/>
    </row>
    <row r="72" spans="2:9" x14ac:dyDescent="0.2">
      <c r="B72" s="665"/>
      <c r="C72" s="665"/>
      <c r="D72" s="665"/>
      <c r="E72" s="665"/>
      <c r="F72" s="665"/>
      <c r="G72" s="663"/>
      <c r="H72" s="663"/>
      <c r="I72" s="663"/>
    </row>
    <row r="73" spans="2:9" ht="15.75" x14ac:dyDescent="0.25">
      <c r="B73" s="662" t="s">
        <v>873</v>
      </c>
      <c r="C73" s="665"/>
      <c r="D73" s="665"/>
      <c r="E73" s="665"/>
      <c r="F73" s="665"/>
      <c r="G73" s="663"/>
      <c r="H73" s="663"/>
      <c r="I73" s="663"/>
    </row>
    <row r="74" spans="2:9" ht="15.75" x14ac:dyDescent="0.25">
      <c r="B74" s="662" t="s">
        <v>874</v>
      </c>
      <c r="C74" s="665"/>
      <c r="D74" s="665"/>
      <c r="E74" s="665"/>
      <c r="F74" s="665"/>
      <c r="G74" s="663"/>
      <c r="H74" s="663"/>
      <c r="I74" s="663"/>
    </row>
    <row r="75" spans="2:9" x14ac:dyDescent="0.2">
      <c r="B75" s="665"/>
      <c r="C75" s="665"/>
      <c r="D75" s="665"/>
      <c r="E75" s="665"/>
      <c r="F75" s="665"/>
      <c r="G75" s="663"/>
      <c r="H75" s="663"/>
      <c r="I75" s="663"/>
    </row>
    <row r="76" spans="2:9" ht="15.75" x14ac:dyDescent="0.25">
      <c r="B76" s="664" t="s">
        <v>875</v>
      </c>
      <c r="C76" s="665"/>
      <c r="D76" s="665"/>
      <c r="E76" s="665"/>
      <c r="F76" s="665"/>
      <c r="G76" s="663"/>
      <c r="H76" s="663"/>
      <c r="I76" s="663"/>
    </row>
    <row r="77" spans="2:9" x14ac:dyDescent="0.2">
      <c r="B77" s="665"/>
      <c r="C77" s="665"/>
      <c r="D77" s="665"/>
      <c r="E77" s="665"/>
      <c r="F77" s="665"/>
      <c r="G77" s="663"/>
      <c r="H77" s="663"/>
      <c r="I77" s="663"/>
    </row>
    <row r="78" spans="2:9" ht="15.75" x14ac:dyDescent="0.25">
      <c r="B78" s="662" t="str">
        <f>CONCATENATE("If the ",G14," municipal budget has not been published and has not been submitted to the County")</f>
        <v>If the 2015 municipal budget has not been published and has not been submitted to the County</v>
      </c>
      <c r="C78" s="665"/>
      <c r="D78" s="665"/>
      <c r="E78" s="665"/>
      <c r="F78" s="665"/>
      <c r="G78" s="663"/>
      <c r="H78" s="663"/>
      <c r="I78" s="663"/>
    </row>
    <row r="79" spans="2:9" ht="15.75" x14ac:dyDescent="0.25">
      <c r="B79" s="662" t="s">
        <v>876</v>
      </c>
      <c r="C79" s="665"/>
      <c r="D79" s="665"/>
      <c r="E79" s="665"/>
      <c r="F79" s="665"/>
      <c r="G79" s="663"/>
      <c r="H79" s="663"/>
      <c r="I79" s="663"/>
    </row>
    <row r="80" spans="2:9" x14ac:dyDescent="0.2">
      <c r="B80" s="665"/>
      <c r="C80" s="665"/>
      <c r="D80" s="665"/>
      <c r="E80" s="665"/>
      <c r="F80" s="665"/>
      <c r="G80" s="663"/>
      <c r="H80" s="663"/>
      <c r="I80" s="663"/>
    </row>
    <row r="81" spans="2:9" ht="15.75" x14ac:dyDescent="0.25">
      <c r="B81" s="664" t="s">
        <v>402</v>
      </c>
      <c r="C81" s="665"/>
      <c r="D81" s="665"/>
      <c r="E81" s="665"/>
      <c r="F81" s="665"/>
      <c r="G81" s="663"/>
      <c r="H81" s="663"/>
      <c r="I81" s="663"/>
    </row>
    <row r="82" spans="2:9" x14ac:dyDescent="0.2">
      <c r="B82" s="665"/>
      <c r="C82" s="665"/>
      <c r="D82" s="665"/>
      <c r="E82" s="665"/>
      <c r="F82" s="665"/>
      <c r="G82" s="663"/>
      <c r="H82" s="663"/>
      <c r="I82" s="663"/>
    </row>
    <row r="83" spans="2:9" ht="15.75" x14ac:dyDescent="0.25">
      <c r="B83" s="662" t="s">
        <v>877</v>
      </c>
      <c r="C83" s="665"/>
      <c r="D83" s="665"/>
      <c r="E83" s="665"/>
      <c r="F83" s="665"/>
      <c r="G83" s="663"/>
      <c r="H83" s="663"/>
      <c r="I83" s="663"/>
    </row>
    <row r="84" spans="2:9" ht="15.75" x14ac:dyDescent="0.25">
      <c r="B84" s="662" t="str">
        <f>CONCATENATE("Budget Year ",G14," is equal to or greater than that for Current Year Estimate ",E14,".")</f>
        <v>Budget Year 2015 is equal to or greater than that for Current Year Estimate 2014.</v>
      </c>
      <c r="C84" s="665"/>
      <c r="D84" s="665"/>
      <c r="E84" s="665"/>
      <c r="F84" s="665"/>
      <c r="G84" s="663"/>
      <c r="H84" s="663"/>
      <c r="I84" s="663"/>
    </row>
    <row r="85" spans="2:9" x14ac:dyDescent="0.2">
      <c r="B85" s="665"/>
      <c r="C85" s="665"/>
      <c r="D85" s="665"/>
      <c r="E85" s="665"/>
      <c r="F85" s="665"/>
      <c r="G85" s="663"/>
      <c r="H85" s="663"/>
      <c r="I85" s="663"/>
    </row>
    <row r="86" spans="2:9" ht="15.75" x14ac:dyDescent="0.25">
      <c r="B86" s="662" t="s">
        <v>878</v>
      </c>
      <c r="C86" s="665"/>
      <c r="D86" s="665"/>
      <c r="E86" s="665"/>
      <c r="F86" s="665"/>
      <c r="G86" s="663"/>
      <c r="H86" s="663"/>
      <c r="I86" s="663"/>
    </row>
    <row r="87" spans="2:9" ht="15.75" x14ac:dyDescent="0.25">
      <c r="B87" s="662" t="s">
        <v>879</v>
      </c>
      <c r="C87" s="665"/>
      <c r="D87" s="665"/>
      <c r="E87" s="665"/>
      <c r="F87" s="665"/>
      <c r="G87" s="663"/>
      <c r="H87" s="663"/>
      <c r="I87" s="663"/>
    </row>
    <row r="88" spans="2:9" ht="15.75" x14ac:dyDescent="0.25">
      <c r="B88" s="662" t="s">
        <v>880</v>
      </c>
      <c r="C88" s="665"/>
      <c r="D88" s="665"/>
      <c r="E88" s="665"/>
      <c r="F88" s="665"/>
      <c r="G88" s="663"/>
      <c r="H88" s="663"/>
      <c r="I88" s="663"/>
    </row>
    <row r="89" spans="2:9" ht="15.75" x14ac:dyDescent="0.25">
      <c r="B89" s="662" t="str">
        <f>CONCATENATE("purpose for the previous (",E14,") year.")</f>
        <v>purpose for the previous (2014) year.</v>
      </c>
      <c r="C89" s="665"/>
      <c r="D89" s="665"/>
      <c r="E89" s="665"/>
      <c r="F89" s="665"/>
      <c r="G89" s="663"/>
      <c r="H89" s="663"/>
      <c r="I89" s="663"/>
    </row>
    <row r="90" spans="2:9" x14ac:dyDescent="0.2">
      <c r="B90" s="665"/>
      <c r="C90" s="665"/>
      <c r="D90" s="665"/>
      <c r="E90" s="665"/>
      <c r="F90" s="665"/>
      <c r="G90" s="663"/>
      <c r="H90" s="663"/>
      <c r="I90" s="663"/>
    </row>
    <row r="91" spans="2:9" ht="15.75" x14ac:dyDescent="0.25">
      <c r="B91" s="662" t="str">
        <f>CONCATENATE("Next, look to see if delinquent tax for ",G14," is budgeted. Often this line is budgeted at $0 or left")</f>
        <v>Next, look to see if delinquent tax for 2015 is budgeted. Often this line is budgeted at $0 or left</v>
      </c>
      <c r="C91" s="665"/>
      <c r="D91" s="665"/>
      <c r="E91" s="665"/>
      <c r="F91" s="665"/>
      <c r="G91" s="663"/>
      <c r="H91" s="663"/>
      <c r="I91" s="663"/>
    </row>
    <row r="92" spans="2:9" ht="15.75" x14ac:dyDescent="0.25">
      <c r="B92" s="662" t="s">
        <v>881</v>
      </c>
      <c r="C92" s="665"/>
      <c r="D92" s="665"/>
      <c r="E92" s="665"/>
      <c r="F92" s="665"/>
      <c r="G92" s="663"/>
      <c r="H92" s="663"/>
      <c r="I92" s="663"/>
    </row>
    <row r="93" spans="2:9" ht="15.75" x14ac:dyDescent="0.25">
      <c r="B93" s="662" t="s">
        <v>882</v>
      </c>
      <c r="C93" s="665"/>
      <c r="D93" s="665"/>
      <c r="E93" s="665"/>
      <c r="F93" s="665"/>
      <c r="G93" s="663"/>
      <c r="H93" s="663"/>
      <c r="I93" s="663"/>
    </row>
    <row r="94" spans="2:9" ht="15.75" x14ac:dyDescent="0.25">
      <c r="B94" s="662" t="s">
        <v>883</v>
      </c>
      <c r="C94" s="665"/>
      <c r="D94" s="665"/>
      <c r="E94" s="665"/>
      <c r="F94" s="665"/>
      <c r="G94" s="663"/>
      <c r="H94" s="663"/>
      <c r="I94" s="663"/>
    </row>
    <row r="95" spans="2:9" x14ac:dyDescent="0.2">
      <c r="B95" s="665"/>
      <c r="C95" s="665"/>
      <c r="D95" s="665"/>
      <c r="E95" s="665"/>
      <c r="F95" s="665"/>
      <c r="G95" s="663"/>
      <c r="H95" s="663"/>
      <c r="I95" s="663"/>
    </row>
    <row r="96" spans="2:9" ht="15.75" x14ac:dyDescent="0.25">
      <c r="B96" s="664" t="s">
        <v>884</v>
      </c>
      <c r="C96" s="665"/>
      <c r="D96" s="665"/>
      <c r="E96" s="665"/>
      <c r="F96" s="665"/>
      <c r="G96" s="663"/>
      <c r="H96" s="663"/>
      <c r="I96" s="663"/>
    </row>
    <row r="97" spans="2:9" x14ac:dyDescent="0.2">
      <c r="B97" s="665"/>
      <c r="C97" s="665"/>
      <c r="D97" s="665"/>
      <c r="E97" s="665"/>
      <c r="F97" s="665"/>
      <c r="G97" s="663"/>
      <c r="H97" s="663"/>
      <c r="I97" s="663"/>
    </row>
    <row r="98" spans="2:9" ht="15.75" x14ac:dyDescent="0.25">
      <c r="B98" s="662" t="s">
        <v>885</v>
      </c>
      <c r="C98" s="665"/>
      <c r="D98" s="665"/>
      <c r="E98" s="665"/>
      <c r="F98" s="665"/>
      <c r="G98" s="663"/>
      <c r="H98" s="663"/>
      <c r="I98" s="663"/>
    </row>
    <row r="99" spans="2:9" ht="15.75" x14ac:dyDescent="0.25">
      <c r="B99" s="662" t="s">
        <v>886</v>
      </c>
      <c r="C99" s="665"/>
      <c r="D99" s="665"/>
      <c r="E99" s="665"/>
      <c r="F99" s="665"/>
      <c r="G99" s="663"/>
      <c r="H99" s="663"/>
      <c r="I99" s="663"/>
    </row>
    <row r="100" spans="2:9" x14ac:dyDescent="0.2">
      <c r="B100" s="665"/>
      <c r="C100" s="665"/>
      <c r="D100" s="665"/>
      <c r="E100" s="665"/>
      <c r="F100" s="665"/>
      <c r="G100" s="663"/>
      <c r="H100" s="663"/>
      <c r="I100" s="663"/>
    </row>
    <row r="101" spans="2:9" ht="15.75" x14ac:dyDescent="0.25">
      <c r="B101" s="662" t="s">
        <v>887</v>
      </c>
      <c r="C101" s="665"/>
      <c r="D101" s="665"/>
      <c r="E101" s="665"/>
      <c r="F101" s="665"/>
      <c r="G101" s="663"/>
      <c r="H101" s="663"/>
      <c r="I101" s="663"/>
    </row>
    <row r="102" spans="2:9" ht="15.75" x14ac:dyDescent="0.25">
      <c r="B102" s="662" t="s">
        <v>888</v>
      </c>
      <c r="C102" s="665"/>
      <c r="D102" s="665"/>
      <c r="E102" s="665"/>
      <c r="F102" s="665"/>
      <c r="G102" s="663"/>
      <c r="H102" s="663"/>
      <c r="I102" s="663"/>
    </row>
    <row r="103" spans="2:9" ht="15.75" x14ac:dyDescent="0.25">
      <c r="B103" s="662" t="s">
        <v>889</v>
      </c>
      <c r="C103" s="665"/>
      <c r="D103" s="665"/>
      <c r="E103" s="665"/>
      <c r="F103" s="665"/>
      <c r="G103" s="663"/>
      <c r="H103" s="663"/>
      <c r="I103" s="663"/>
    </row>
    <row r="104" spans="2:9" ht="15.75" x14ac:dyDescent="0.25">
      <c r="B104" s="662" t="s">
        <v>890</v>
      </c>
      <c r="C104" s="665"/>
      <c r="D104" s="665"/>
      <c r="E104" s="665"/>
      <c r="F104" s="665"/>
      <c r="G104" s="663"/>
      <c r="H104" s="663"/>
      <c r="I104" s="663"/>
    </row>
    <row r="105" spans="2:9" ht="15.75" x14ac:dyDescent="0.25">
      <c r="B105" s="697" t="s">
        <v>940</v>
      </c>
      <c r="C105" s="698"/>
      <c r="D105" s="698"/>
      <c r="E105" s="698"/>
      <c r="F105" s="698"/>
      <c r="G105" s="663"/>
      <c r="H105" s="663"/>
      <c r="I105" s="663"/>
    </row>
    <row r="108" spans="2:9" x14ac:dyDescent="0.2">
      <c r="G108" s="666"/>
    </row>
  </sheetData>
  <mergeCells count="6">
    <mergeCell ref="B43:I43"/>
    <mergeCell ref="B2:I2"/>
    <mergeCell ref="B3:I3"/>
    <mergeCell ref="B5:I5"/>
    <mergeCell ref="B10:I10"/>
    <mergeCell ref="B36:I36"/>
  </mergeCells>
  <hyperlinks>
    <hyperlink ref="B105" r:id="rId1" display="mailto:peter.haxton@library.ks.gov"/>
  </hyperlinks>
  <pageMargins left="0.7" right="0.7" top="0.75" bottom="0.75" header="0.25" footer="0.25"/>
  <pageSetup scale="80" orientation="portrait" blackAndWhite="1" r:id="rId2"/>
  <headerFooter>
    <oddHeader>&amp;RState of Kansas
City</oddHeader>
  </headerFooter>
  <rowBreaks count="1" manualBreakCount="1">
    <brk id="40" max="1638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3"/>
  <sheetViews>
    <sheetView topLeftCell="A83" zoomScaleNormal="100" zoomScaleSheetLayoutView="100" workbookViewId="0">
      <selection activeCell="E94" sqref="E94"/>
    </sheetView>
  </sheetViews>
  <sheetFormatPr defaultRowHeight="15.75" x14ac:dyDescent="0.2"/>
  <cols>
    <col min="1" max="1" width="2.44140625" style="41" customWidth="1"/>
    <col min="2" max="2" width="31.109375" style="41" customWidth="1"/>
    <col min="3" max="4" width="15.77734375" style="41" customWidth="1"/>
    <col min="5" max="5" width="16.33203125" style="41" customWidth="1"/>
    <col min="6" max="6" width="6.88671875" style="41" customWidth="1"/>
    <col min="7" max="7" width="10.21875" style="41" customWidth="1"/>
    <col min="8" max="8" width="8.88671875" style="41" customWidth="1"/>
    <col min="9" max="9" width="5" style="41" customWidth="1"/>
    <col min="10" max="10" width="10" style="41" customWidth="1"/>
    <col min="11" max="16384" width="8.88671875" style="41"/>
  </cols>
  <sheetData>
    <row r="1" spans="2:5" x14ac:dyDescent="0.2">
      <c r="B1" s="182" t="str">
        <f>inputPrYr!D2</f>
        <v>City of Frankfort</v>
      </c>
      <c r="C1" s="43"/>
      <c r="D1" s="43"/>
      <c r="E1" s="233">
        <f>inputPrYr!C5</f>
        <v>2015</v>
      </c>
    </row>
    <row r="2" spans="2:5" x14ac:dyDescent="0.2">
      <c r="B2" s="43"/>
      <c r="C2" s="43"/>
      <c r="D2" s="43"/>
      <c r="E2" s="156"/>
    </row>
    <row r="3" spans="2:5" x14ac:dyDescent="0.2">
      <c r="B3" s="234"/>
      <c r="C3" s="43"/>
      <c r="D3" s="43"/>
      <c r="E3" s="124"/>
    </row>
    <row r="4" spans="2:5" x14ac:dyDescent="0.2">
      <c r="B4" s="361" t="s">
        <v>171</v>
      </c>
      <c r="C4" s="235"/>
      <c r="D4" s="235"/>
      <c r="E4" s="235"/>
    </row>
    <row r="5" spans="2:5" x14ac:dyDescent="0.2">
      <c r="B5" s="158" t="s">
        <v>104</v>
      </c>
      <c r="C5" s="673" t="s">
        <v>896</v>
      </c>
      <c r="D5" s="674" t="s">
        <v>897</v>
      </c>
      <c r="E5" s="132" t="s">
        <v>898</v>
      </c>
    </row>
    <row r="6" spans="2:5" x14ac:dyDescent="0.2">
      <c r="B6" s="502" t="str">
        <f>inputPrYr!B17</f>
        <v>General</v>
      </c>
      <c r="C6" s="210" t="str">
        <f>CONCATENATE("Actual for ",E1-2,"")</f>
        <v>Actual for 2013</v>
      </c>
      <c r="D6" s="210" t="str">
        <f>CONCATENATE("Estimate for ",E1-1,"")</f>
        <v>Estimate for 2014</v>
      </c>
      <c r="E6" s="193" t="str">
        <f>CONCATENATE("Year for ",E1,"")</f>
        <v>Year for 2015</v>
      </c>
    </row>
    <row r="7" spans="2:5" x14ac:dyDescent="0.2">
      <c r="B7" s="237" t="s">
        <v>214</v>
      </c>
      <c r="C7" s="238">
        <v>462419</v>
      </c>
      <c r="D7" s="239">
        <f>C112</f>
        <v>943576</v>
      </c>
      <c r="E7" s="213">
        <f>D112</f>
        <v>907804</v>
      </c>
    </row>
    <row r="8" spans="2:5" x14ac:dyDescent="0.2">
      <c r="B8" s="240" t="s">
        <v>216</v>
      </c>
      <c r="C8" s="147"/>
      <c r="D8" s="147"/>
      <c r="E8" s="77"/>
    </row>
    <row r="9" spans="2:5" x14ac:dyDescent="0.2">
      <c r="B9" s="237" t="s">
        <v>105</v>
      </c>
      <c r="C9" s="241">
        <v>190359</v>
      </c>
      <c r="D9" s="239">
        <f>IF(inputPrYr!H16&gt;0,inputPrYr!G17,inputPrYr!E17)</f>
        <v>203586</v>
      </c>
      <c r="E9" s="243" t="s">
        <v>93</v>
      </c>
    </row>
    <row r="10" spans="2:5" x14ac:dyDescent="0.2">
      <c r="B10" s="237" t="s">
        <v>106</v>
      </c>
      <c r="C10" s="241">
        <v>5296</v>
      </c>
      <c r="D10" s="241"/>
      <c r="E10" s="244"/>
    </row>
    <row r="11" spans="2:5" x14ac:dyDescent="0.2">
      <c r="B11" s="237" t="s">
        <v>107</v>
      </c>
      <c r="C11" s="241">
        <v>45560</v>
      </c>
      <c r="D11" s="241">
        <v>43245</v>
      </c>
      <c r="E11" s="213">
        <f>mvalloc!D7</f>
        <v>44197</v>
      </c>
    </row>
    <row r="12" spans="2:5" x14ac:dyDescent="0.2">
      <c r="B12" s="237" t="s">
        <v>108</v>
      </c>
      <c r="C12" s="241">
        <v>570</v>
      </c>
      <c r="D12" s="241">
        <v>627</v>
      </c>
      <c r="E12" s="213">
        <f>mvalloc!E7</f>
        <v>684</v>
      </c>
    </row>
    <row r="13" spans="2:5" x14ac:dyDescent="0.2">
      <c r="B13" s="237" t="s">
        <v>203</v>
      </c>
      <c r="C13" s="241">
        <v>3610</v>
      </c>
      <c r="D13" s="241">
        <v>3439</v>
      </c>
      <c r="E13" s="213">
        <f>mvalloc!F7</f>
        <v>2608</v>
      </c>
    </row>
    <row r="14" spans="2:5" x14ac:dyDescent="0.2">
      <c r="B14" s="237" t="s">
        <v>204</v>
      </c>
      <c r="C14" s="241">
        <v>0</v>
      </c>
      <c r="D14" s="241">
        <v>0</v>
      </c>
      <c r="E14" s="213">
        <f>inputOth!E16</f>
        <v>0</v>
      </c>
    </row>
    <row r="15" spans="2:5" x14ac:dyDescent="0.2">
      <c r="B15" s="237" t="s">
        <v>240</v>
      </c>
      <c r="C15" s="241">
        <v>0</v>
      </c>
      <c r="D15" s="241">
        <v>0</v>
      </c>
      <c r="E15" s="213">
        <f>inputOth!E42</f>
        <v>0</v>
      </c>
    </row>
    <row r="16" spans="2:5" x14ac:dyDescent="0.2">
      <c r="B16" s="237" t="s">
        <v>241</v>
      </c>
      <c r="C16" s="241">
        <v>0</v>
      </c>
      <c r="D16" s="241">
        <v>0</v>
      </c>
      <c r="E16" s="213">
        <f>inputOth!E43</f>
        <v>0</v>
      </c>
    </row>
    <row r="17" spans="2:5" x14ac:dyDescent="0.2">
      <c r="B17" s="238" t="s">
        <v>1040</v>
      </c>
      <c r="C17" s="241">
        <v>0</v>
      </c>
      <c r="D17" s="241">
        <v>0</v>
      </c>
      <c r="E17" s="244">
        <v>0</v>
      </c>
    </row>
    <row r="18" spans="2:5" x14ac:dyDescent="0.2">
      <c r="B18" s="238" t="s">
        <v>111</v>
      </c>
      <c r="C18" s="241">
        <v>0</v>
      </c>
      <c r="D18" s="241">
        <v>0</v>
      </c>
      <c r="E18" s="244">
        <v>0</v>
      </c>
    </row>
    <row r="19" spans="2:5" x14ac:dyDescent="0.2">
      <c r="B19" s="238" t="s">
        <v>109</v>
      </c>
      <c r="C19" s="241">
        <v>1776</v>
      </c>
      <c r="D19" s="241">
        <v>1800</v>
      </c>
      <c r="E19" s="244">
        <v>1725</v>
      </c>
    </row>
    <row r="20" spans="2:5" x14ac:dyDescent="0.2">
      <c r="B20" s="504" t="s">
        <v>720</v>
      </c>
      <c r="C20" s="241">
        <v>11835</v>
      </c>
      <c r="D20" s="241">
        <v>10000</v>
      </c>
      <c r="E20" s="244">
        <v>10000</v>
      </c>
    </row>
    <row r="21" spans="2:5" x14ac:dyDescent="0.2">
      <c r="B21" s="503" t="s">
        <v>721</v>
      </c>
      <c r="C21" s="241">
        <f>117269-11835</f>
        <v>105434</v>
      </c>
      <c r="D21" s="241">
        <v>103000</v>
      </c>
      <c r="E21" s="244">
        <v>103000</v>
      </c>
    </row>
    <row r="22" spans="2:5" x14ac:dyDescent="0.2">
      <c r="B22" s="503" t="s">
        <v>722</v>
      </c>
      <c r="C22" s="241">
        <v>53930</v>
      </c>
      <c r="D22" s="241">
        <v>54000</v>
      </c>
      <c r="E22" s="244">
        <v>54000</v>
      </c>
    </row>
    <row r="23" spans="2:5" x14ac:dyDescent="0.2">
      <c r="B23" s="503" t="s">
        <v>723</v>
      </c>
      <c r="C23" s="241">
        <v>0</v>
      </c>
      <c r="D23" s="241">
        <v>0</v>
      </c>
      <c r="E23" s="244">
        <v>0</v>
      </c>
    </row>
    <row r="24" spans="2:5" x14ac:dyDescent="0.2">
      <c r="B24" s="238" t="s">
        <v>1041</v>
      </c>
      <c r="C24" s="241">
        <v>875</v>
      </c>
      <c r="D24" s="241">
        <v>4000</v>
      </c>
      <c r="E24" s="244">
        <v>6000</v>
      </c>
    </row>
    <row r="25" spans="2:5" x14ac:dyDescent="0.2">
      <c r="B25" s="238" t="s">
        <v>1042</v>
      </c>
      <c r="C25" s="241">
        <v>300</v>
      </c>
      <c r="D25" s="241">
        <v>300</v>
      </c>
      <c r="E25" s="244">
        <v>300</v>
      </c>
    </row>
    <row r="26" spans="2:5" x14ac:dyDescent="0.2">
      <c r="B26" s="238" t="s">
        <v>1043</v>
      </c>
      <c r="C26" s="241">
        <v>0</v>
      </c>
      <c r="D26" s="241">
        <v>200</v>
      </c>
      <c r="E26" s="244">
        <v>200</v>
      </c>
    </row>
    <row r="27" spans="2:5" x14ac:dyDescent="0.2">
      <c r="B27" s="238" t="s">
        <v>1044</v>
      </c>
      <c r="C27" s="241">
        <v>15909</v>
      </c>
      <c r="D27" s="241">
        <v>16000</v>
      </c>
      <c r="E27" s="244">
        <v>16000</v>
      </c>
    </row>
    <row r="28" spans="2:5" x14ac:dyDescent="0.2">
      <c r="B28" s="238" t="s">
        <v>1045</v>
      </c>
      <c r="C28" s="241">
        <v>106664</v>
      </c>
      <c r="D28" s="241">
        <v>106150</v>
      </c>
      <c r="E28" s="244">
        <v>108000</v>
      </c>
    </row>
    <row r="29" spans="2:5" x14ac:dyDescent="0.2">
      <c r="B29" s="238" t="s">
        <v>1046</v>
      </c>
      <c r="C29" s="241">
        <v>1032</v>
      </c>
      <c r="D29" s="241">
        <v>600</v>
      </c>
      <c r="E29" s="244">
        <v>600</v>
      </c>
    </row>
    <row r="30" spans="2:5" x14ac:dyDescent="0.2">
      <c r="B30" s="238" t="s">
        <v>1047</v>
      </c>
      <c r="C30" s="241">
        <v>30</v>
      </c>
      <c r="D30" s="241">
        <v>100</v>
      </c>
      <c r="E30" s="244">
        <v>100</v>
      </c>
    </row>
    <row r="31" spans="2:5" x14ac:dyDescent="0.2">
      <c r="B31" s="238" t="s">
        <v>1048</v>
      </c>
      <c r="C31" s="241">
        <v>461</v>
      </c>
      <c r="D31" s="241">
        <v>200</v>
      </c>
      <c r="E31" s="244">
        <v>200</v>
      </c>
    </row>
    <row r="32" spans="2:5" x14ac:dyDescent="0.2">
      <c r="B32" s="238" t="s">
        <v>1049</v>
      </c>
      <c r="C32" s="241">
        <v>31395</v>
      </c>
      <c r="D32" s="241">
        <v>0</v>
      </c>
      <c r="E32" s="244">
        <v>0</v>
      </c>
    </row>
    <row r="33" spans="2:5" x14ac:dyDescent="0.2">
      <c r="B33" s="238" t="s">
        <v>1050</v>
      </c>
      <c r="C33" s="241">
        <f>50872-34670</f>
        <v>16202</v>
      </c>
      <c r="D33" s="241">
        <v>6000</v>
      </c>
      <c r="E33" s="244">
        <v>6000</v>
      </c>
    </row>
    <row r="34" spans="2:5" x14ac:dyDescent="0.2">
      <c r="B34" s="238" t="s">
        <v>1022</v>
      </c>
      <c r="C34" s="241">
        <v>-5477</v>
      </c>
      <c r="D34" s="241">
        <v>-4960</v>
      </c>
      <c r="E34" s="244"/>
    </row>
    <row r="35" spans="2:5" x14ac:dyDescent="0.2">
      <c r="B35" s="238"/>
      <c r="C35" s="241"/>
      <c r="D35" s="241"/>
      <c r="E35" s="244"/>
    </row>
    <row r="36" spans="2:5" x14ac:dyDescent="0.2">
      <c r="B36" s="238" t="s">
        <v>1051</v>
      </c>
      <c r="C36" s="241">
        <v>323</v>
      </c>
      <c r="D36" s="241">
        <v>0</v>
      </c>
      <c r="E36" s="244">
        <v>0</v>
      </c>
    </row>
    <row r="37" spans="2:5" x14ac:dyDescent="0.2">
      <c r="B37" s="238" t="s">
        <v>1052</v>
      </c>
      <c r="C37" s="241">
        <v>6606</v>
      </c>
      <c r="D37" s="241">
        <v>4000</v>
      </c>
      <c r="E37" s="244">
        <v>4000</v>
      </c>
    </row>
    <row r="38" spans="2:5" x14ac:dyDescent="0.2">
      <c r="B38" s="238" t="s">
        <v>1053</v>
      </c>
      <c r="C38" s="241">
        <v>780</v>
      </c>
      <c r="D38" s="241">
        <v>900</v>
      </c>
      <c r="E38" s="244">
        <v>900</v>
      </c>
    </row>
    <row r="39" spans="2:5" x14ac:dyDescent="0.2">
      <c r="B39" s="238" t="s">
        <v>1054</v>
      </c>
      <c r="C39" s="241">
        <v>4446</v>
      </c>
      <c r="D39" s="241">
        <v>0</v>
      </c>
      <c r="E39" s="244">
        <v>0</v>
      </c>
    </row>
    <row r="40" spans="2:5" x14ac:dyDescent="0.2">
      <c r="B40" s="238" t="s">
        <v>1055</v>
      </c>
      <c r="C40" s="241">
        <v>0</v>
      </c>
      <c r="D40" s="241">
        <v>0</v>
      </c>
      <c r="E40" s="244">
        <v>0</v>
      </c>
    </row>
    <row r="41" spans="2:5" x14ac:dyDescent="0.2">
      <c r="B41" s="238" t="s">
        <v>1056</v>
      </c>
      <c r="C41" s="241">
        <v>0</v>
      </c>
      <c r="D41" s="241">
        <v>0</v>
      </c>
      <c r="E41" s="244">
        <v>0</v>
      </c>
    </row>
    <row r="42" spans="2:5" x14ac:dyDescent="0.2">
      <c r="B42" s="238" t="s">
        <v>1057</v>
      </c>
      <c r="C42" s="241">
        <v>3309</v>
      </c>
      <c r="D42" s="241">
        <v>0</v>
      </c>
      <c r="E42" s="244">
        <v>0</v>
      </c>
    </row>
    <row r="43" spans="2:5" x14ac:dyDescent="0.2">
      <c r="B43" s="238" t="s">
        <v>1058</v>
      </c>
      <c r="C43" s="241">
        <v>500000</v>
      </c>
      <c r="D43" s="241">
        <v>0</v>
      </c>
      <c r="E43" s="244">
        <v>0</v>
      </c>
    </row>
    <row r="44" spans="2:5" x14ac:dyDescent="0.2">
      <c r="B44" s="238"/>
      <c r="C44" s="241"/>
      <c r="D44" s="241"/>
      <c r="E44" s="244"/>
    </row>
    <row r="45" spans="2:5" x14ac:dyDescent="0.2">
      <c r="B45" s="238"/>
      <c r="C45" s="241"/>
      <c r="D45" s="241"/>
      <c r="E45" s="244"/>
    </row>
    <row r="46" spans="2:5" x14ac:dyDescent="0.2">
      <c r="B46" s="238"/>
      <c r="C46" s="241"/>
      <c r="D46" s="241"/>
      <c r="E46" s="244"/>
    </row>
    <row r="47" spans="2:5" x14ac:dyDescent="0.2">
      <c r="B47" s="238"/>
      <c r="C47" s="241"/>
      <c r="D47" s="241"/>
      <c r="E47" s="244"/>
    </row>
    <row r="48" spans="2:5" x14ac:dyDescent="0.2">
      <c r="B48" s="238"/>
      <c r="C48" s="241"/>
      <c r="D48" s="241"/>
      <c r="E48" s="244"/>
    </row>
    <row r="49" spans="2:5" x14ac:dyDescent="0.2">
      <c r="B49" s="238"/>
      <c r="C49" s="241"/>
      <c r="D49" s="241"/>
      <c r="E49" s="244"/>
    </row>
    <row r="50" spans="2:5" x14ac:dyDescent="0.2">
      <c r="B50" s="238"/>
      <c r="C50" s="241"/>
      <c r="D50" s="241"/>
      <c r="E50" s="244"/>
    </row>
    <row r="51" spans="2:5" x14ac:dyDescent="0.2">
      <c r="B51" s="238"/>
      <c r="C51" s="241"/>
      <c r="D51" s="241"/>
      <c r="E51" s="244"/>
    </row>
    <row r="52" spans="2:5" x14ac:dyDescent="0.2">
      <c r="B52" s="238" t="s">
        <v>110</v>
      </c>
      <c r="C52" s="241"/>
      <c r="D52" s="241"/>
      <c r="E52" s="244"/>
    </row>
    <row r="53" spans="2:5" x14ac:dyDescent="0.2">
      <c r="B53" s="245" t="s">
        <v>112</v>
      </c>
      <c r="C53" s="241">
        <v>1263</v>
      </c>
      <c r="D53" s="241">
        <v>1200</v>
      </c>
      <c r="E53" s="244">
        <v>1200</v>
      </c>
    </row>
    <row r="54" spans="2:5" x14ac:dyDescent="0.2">
      <c r="B54" s="147" t="s">
        <v>14</v>
      </c>
      <c r="C54" s="241"/>
      <c r="D54" s="241"/>
      <c r="E54" s="244"/>
    </row>
    <row r="55" spans="2:5" x14ac:dyDescent="0.2">
      <c r="B55" s="237" t="s">
        <v>736</v>
      </c>
      <c r="C55" s="246" t="str">
        <f>IF(C56*0.1&lt;C54,"Exceed 10% Rule","")</f>
        <v/>
      </c>
      <c r="D55" s="246" t="str">
        <f>IF(D56*0.1&lt;D54,"Exceed 10% Rule","")</f>
        <v/>
      </c>
      <c r="E55" s="276" t="str">
        <f>IF(E56*0.1+E118&lt;E54,"Exceed 10% Rule","")</f>
        <v/>
      </c>
    </row>
    <row r="56" spans="2:5" x14ac:dyDescent="0.2">
      <c r="B56" s="248" t="s">
        <v>113</v>
      </c>
      <c r="C56" s="250">
        <f>SUM(C9:C54)</f>
        <v>1102488</v>
      </c>
      <c r="D56" s="250">
        <f>SUM(D9:D54)</f>
        <v>554387</v>
      </c>
      <c r="E56" s="251">
        <f>SUM(E10:E54)</f>
        <v>359714</v>
      </c>
    </row>
    <row r="57" spans="2:5" x14ac:dyDescent="0.2">
      <c r="B57" s="248" t="s">
        <v>114</v>
      </c>
      <c r="C57" s="250">
        <f>C7+C56</f>
        <v>1564907</v>
      </c>
      <c r="D57" s="250">
        <f>D7+D56</f>
        <v>1497963</v>
      </c>
      <c r="E57" s="251">
        <f>E7+E56</f>
        <v>1267518</v>
      </c>
    </row>
    <row r="58" spans="2:5" x14ac:dyDescent="0.2">
      <c r="B58" s="43"/>
      <c r="C58" s="43"/>
      <c r="D58" s="43"/>
      <c r="E58" s="43"/>
    </row>
    <row r="59" spans="2:5" x14ac:dyDescent="0.2">
      <c r="B59" s="124" t="s">
        <v>123</v>
      </c>
      <c r="C59" s="158">
        <f>IF(inputPrYr!D19&gt;0,8,7)</f>
        <v>8</v>
      </c>
      <c r="D59" s="159"/>
      <c r="E59" s="159"/>
    </row>
    <row r="60" spans="2:5" x14ac:dyDescent="0.2">
      <c r="B60" s="159"/>
      <c r="C60" s="159"/>
      <c r="D60" s="159"/>
      <c r="E60" s="159"/>
    </row>
    <row r="61" spans="2:5" x14ac:dyDescent="0.2">
      <c r="B61" s="182" t="str">
        <f>inputPrYr!D2</f>
        <v>City of Frankfort</v>
      </c>
      <c r="C61" s="43"/>
      <c r="D61" s="43"/>
      <c r="E61" s="156"/>
    </row>
    <row r="62" spans="2:5" x14ac:dyDescent="0.2">
      <c r="B62" s="43"/>
      <c r="C62" s="43"/>
      <c r="D62" s="43"/>
      <c r="E62" s="124"/>
    </row>
    <row r="63" spans="2:5" x14ac:dyDescent="0.2">
      <c r="B63" s="252" t="s">
        <v>170</v>
      </c>
      <c r="C63" s="206"/>
      <c r="D63" s="206"/>
      <c r="E63" s="206"/>
    </row>
    <row r="64" spans="2:5" x14ac:dyDescent="0.2">
      <c r="B64" s="43" t="s">
        <v>104</v>
      </c>
      <c r="C64" s="673" t="s">
        <v>896</v>
      </c>
      <c r="D64" s="674" t="s">
        <v>897</v>
      </c>
      <c r="E64" s="132" t="s">
        <v>898</v>
      </c>
    </row>
    <row r="65" spans="2:6" x14ac:dyDescent="0.2">
      <c r="B65" s="67" t="str">
        <f>inputPrYr!B17</f>
        <v>General</v>
      </c>
      <c r="C65" s="210" t="str">
        <f>CONCATENATE("Actual for ",E1-2,"")</f>
        <v>Actual for 2013</v>
      </c>
      <c r="D65" s="210" t="str">
        <f>CONCATENATE("Estimate for ",E1-1,"")</f>
        <v>Estimate for 2014</v>
      </c>
      <c r="E65" s="193" t="str">
        <f>CONCATENATE("Year for ",E1,"")</f>
        <v>Year for 2015</v>
      </c>
    </row>
    <row r="66" spans="2:6" x14ac:dyDescent="0.2">
      <c r="B66" s="253" t="s">
        <v>114</v>
      </c>
      <c r="C66" s="239">
        <f>C57</f>
        <v>1564907</v>
      </c>
      <c r="D66" s="239">
        <f>D57</f>
        <v>1497963</v>
      </c>
      <c r="E66" s="213">
        <f>E57</f>
        <v>1267518</v>
      </c>
    </row>
    <row r="67" spans="2:6" x14ac:dyDescent="0.2">
      <c r="B67" s="240" t="s">
        <v>116</v>
      </c>
      <c r="C67" s="147"/>
      <c r="D67" s="147"/>
      <c r="E67" s="77"/>
    </row>
    <row r="68" spans="2:6" x14ac:dyDescent="0.2">
      <c r="B68" s="237" t="str">
        <f>GenDetail!A7</f>
        <v>General Administration:</v>
      </c>
      <c r="C68" s="254">
        <f>GenDetail!B15</f>
        <v>88112</v>
      </c>
      <c r="D68" s="254">
        <f>GenDetail!C15</f>
        <v>103120</v>
      </c>
      <c r="E68" s="72">
        <f>GenDetail!D15</f>
        <v>103120</v>
      </c>
      <c r="F68" s="255"/>
    </row>
    <row r="69" spans="2:6" x14ac:dyDescent="0.2">
      <c r="B69" s="237" t="str">
        <f>GenDetail!A16</f>
        <v>Park:</v>
      </c>
      <c r="C69" s="254">
        <f>GenDetail!B22</f>
        <v>119090</v>
      </c>
      <c r="D69" s="254">
        <f>GenDetail!C22</f>
        <v>125419</v>
      </c>
      <c r="E69" s="72">
        <f>GenDetail!D22</f>
        <v>134069</v>
      </c>
      <c r="F69" s="255"/>
    </row>
    <row r="70" spans="2:6" x14ac:dyDescent="0.2">
      <c r="B70" s="237" t="str">
        <f>GenDetail!A23</f>
        <v>Police Protection:</v>
      </c>
      <c r="C70" s="254">
        <f>GenDetail!B29</f>
        <v>17883</v>
      </c>
      <c r="D70" s="254">
        <f>GenDetail!C29</f>
        <v>20200</v>
      </c>
      <c r="E70" s="72">
        <f>GenDetail!D29</f>
        <v>20200</v>
      </c>
    </row>
    <row r="71" spans="2:6" x14ac:dyDescent="0.2">
      <c r="B71" s="237" t="str">
        <f>GenDetail!A30</f>
        <v>Fire Protection:</v>
      </c>
      <c r="C71" s="254">
        <f>GenDetail!B35</f>
        <v>42633</v>
      </c>
      <c r="D71" s="254">
        <f>GenDetail!C35</f>
        <v>29300</v>
      </c>
      <c r="E71" s="72">
        <f>GenDetail!D35</f>
        <v>29300</v>
      </c>
    </row>
    <row r="72" spans="2:6" x14ac:dyDescent="0.2">
      <c r="B72" s="237" t="str">
        <f>GenDetail!A36</f>
        <v>Streets &amp; Alleys</v>
      </c>
      <c r="C72" s="254">
        <f>GenDetail!B42</f>
        <v>51311</v>
      </c>
      <c r="D72" s="254">
        <f>GenDetail!C42</f>
        <v>61000</v>
      </c>
      <c r="E72" s="72">
        <f>GenDetail!D42</f>
        <v>111000</v>
      </c>
    </row>
    <row r="73" spans="2:6" x14ac:dyDescent="0.2">
      <c r="B73" s="237" t="str">
        <f>GenDetail!A43</f>
        <v>Employee Benefits:</v>
      </c>
      <c r="C73" s="254">
        <f>GenDetail!B49</f>
        <v>53526</v>
      </c>
      <c r="D73" s="254">
        <f>GenDetail!C49</f>
        <v>62270</v>
      </c>
      <c r="E73" s="72">
        <f>GenDetail!D49</f>
        <v>62270</v>
      </c>
    </row>
    <row r="74" spans="2:6" x14ac:dyDescent="0.2">
      <c r="B74" s="237" t="str">
        <f>GenDetail!A50</f>
        <v>Sales Tax-Streets &amp; Improvements</v>
      </c>
      <c r="C74" s="254">
        <f>GenDetail!B56</f>
        <v>29105</v>
      </c>
      <c r="D74" s="254">
        <f>GenDetail!C56</f>
        <v>49000</v>
      </c>
      <c r="E74" s="72">
        <f>GenDetail!D56</f>
        <v>49000</v>
      </c>
    </row>
    <row r="75" spans="2:6" x14ac:dyDescent="0.2">
      <c r="B75" s="237" t="str">
        <f>GenDetail!A57</f>
        <v>Capital Outlay:</v>
      </c>
      <c r="C75" s="254">
        <f>GenDetail!B63</f>
        <v>0</v>
      </c>
      <c r="D75" s="254">
        <f>GenDetail!C63</f>
        <v>0</v>
      </c>
      <c r="E75" s="72">
        <f>GenDetail!D63</f>
        <v>0</v>
      </c>
    </row>
    <row r="76" spans="2:6" x14ac:dyDescent="0.2">
      <c r="B76" s="237">
        <f>GenDetail!A75</f>
        <v>0</v>
      </c>
      <c r="C76" s="254">
        <f>GenDetail!B81</f>
        <v>0</v>
      </c>
      <c r="D76" s="254">
        <f>GenDetail!C81</f>
        <v>0</v>
      </c>
      <c r="E76" s="72">
        <f>GenDetail!D81</f>
        <v>0</v>
      </c>
    </row>
    <row r="77" spans="2:6" x14ac:dyDescent="0.2">
      <c r="B77" s="237">
        <f>GenDetail!A82</f>
        <v>0</v>
      </c>
      <c r="C77" s="254">
        <f>GenDetail!B88</f>
        <v>0</v>
      </c>
      <c r="D77" s="254">
        <f>GenDetail!C88</f>
        <v>0</v>
      </c>
      <c r="E77" s="72">
        <f>GenDetail!D88</f>
        <v>0</v>
      </c>
    </row>
    <row r="78" spans="2:6" x14ac:dyDescent="0.2">
      <c r="B78" s="237">
        <f>GenDetail!A89</f>
        <v>0</v>
      </c>
      <c r="C78" s="254">
        <f>GenDetail!B95</f>
        <v>0</v>
      </c>
      <c r="D78" s="254">
        <f>GenDetail!C95</f>
        <v>0</v>
      </c>
      <c r="E78" s="72">
        <f>GenDetail!D95</f>
        <v>0</v>
      </c>
    </row>
    <row r="79" spans="2:6" x14ac:dyDescent="0.2">
      <c r="B79" s="237">
        <f>GenDetail!A96</f>
        <v>0</v>
      </c>
      <c r="C79" s="254">
        <f>GenDetail!B101</f>
        <v>0</v>
      </c>
      <c r="D79" s="254">
        <f>GenDetail!C101</f>
        <v>0</v>
      </c>
      <c r="E79" s="72">
        <f>GenDetail!D101</f>
        <v>0</v>
      </c>
    </row>
    <row r="80" spans="2:6" x14ac:dyDescent="0.2">
      <c r="B80" s="237">
        <f>GenDetail!A102</f>
        <v>0</v>
      </c>
      <c r="C80" s="254">
        <f>GenDetail!B108</f>
        <v>0</v>
      </c>
      <c r="D80" s="254">
        <f>GenDetail!C108</f>
        <v>0</v>
      </c>
      <c r="E80" s="72">
        <f>GenDetail!D108</f>
        <v>0</v>
      </c>
    </row>
    <row r="81" spans="2:5" x14ac:dyDescent="0.2">
      <c r="B81" s="237">
        <f>GenDetail!A109</f>
        <v>0</v>
      </c>
      <c r="C81" s="254">
        <f>GenDetail!B115</f>
        <v>0</v>
      </c>
      <c r="D81" s="254">
        <f>GenDetail!C115</f>
        <v>0</v>
      </c>
      <c r="E81" s="72">
        <f>GenDetail!D115</f>
        <v>0</v>
      </c>
    </row>
    <row r="82" spans="2:5" x14ac:dyDescent="0.2">
      <c r="B82" s="237">
        <f>GenDetail!A116</f>
        <v>0</v>
      </c>
      <c r="C82" s="254">
        <f>GenDetail!B122</f>
        <v>0</v>
      </c>
      <c r="D82" s="254">
        <f>GenDetail!C122</f>
        <v>0</v>
      </c>
      <c r="E82" s="72">
        <f>GenDetail!D122</f>
        <v>0</v>
      </c>
    </row>
    <row r="83" spans="2:5" x14ac:dyDescent="0.2">
      <c r="B83" s="237">
        <f>GenDetail!A123</f>
        <v>0</v>
      </c>
      <c r="C83" s="254">
        <f>GenDetail!B129</f>
        <v>0</v>
      </c>
      <c r="D83" s="254">
        <f>GenDetail!C129</f>
        <v>0</v>
      </c>
      <c r="E83" s="72">
        <f>GenDetail!D129</f>
        <v>0</v>
      </c>
    </row>
    <row r="84" spans="2:5" x14ac:dyDescent="0.2">
      <c r="B84" s="256" t="s">
        <v>626</v>
      </c>
      <c r="C84" s="353">
        <f>SUM(C68:C83)</f>
        <v>401660</v>
      </c>
      <c r="D84" s="353">
        <f>SUM(D68:D83)</f>
        <v>450309</v>
      </c>
      <c r="E84" s="270">
        <f>SUM(E68:E83)</f>
        <v>508959</v>
      </c>
    </row>
    <row r="85" spans="2:5" x14ac:dyDescent="0.2">
      <c r="B85" s="245"/>
      <c r="C85" s="241"/>
      <c r="D85" s="241"/>
      <c r="E85" s="244"/>
    </row>
    <row r="86" spans="2:5" x14ac:dyDescent="0.25">
      <c r="B86" s="761" t="s">
        <v>1059</v>
      </c>
      <c r="C86" s="241">
        <v>14258</v>
      </c>
      <c r="D86" s="241">
        <v>15200</v>
      </c>
      <c r="E86" s="244">
        <v>15200</v>
      </c>
    </row>
    <row r="87" spans="2:5" x14ac:dyDescent="0.25">
      <c r="B87" s="761"/>
      <c r="C87" s="241"/>
      <c r="D87" s="241"/>
      <c r="E87" s="244"/>
    </row>
    <row r="88" spans="2:5" x14ac:dyDescent="0.25">
      <c r="B88" s="761" t="s">
        <v>1060</v>
      </c>
      <c r="C88" s="241">
        <v>105229</v>
      </c>
      <c r="D88" s="241">
        <v>106150</v>
      </c>
      <c r="E88" s="244">
        <v>108000</v>
      </c>
    </row>
    <row r="89" spans="2:5" x14ac:dyDescent="0.25">
      <c r="B89" s="761"/>
      <c r="C89" s="241"/>
      <c r="D89" s="241"/>
      <c r="E89" s="244"/>
    </row>
    <row r="90" spans="2:5" x14ac:dyDescent="0.25">
      <c r="B90" s="761" t="s">
        <v>1050</v>
      </c>
      <c r="C90" s="241">
        <v>48014</v>
      </c>
      <c r="D90" s="241">
        <v>0</v>
      </c>
      <c r="E90" s="244">
        <v>0</v>
      </c>
    </row>
    <row r="91" spans="2:5" x14ac:dyDescent="0.25">
      <c r="B91" s="762"/>
      <c r="C91" s="241"/>
      <c r="D91" s="241"/>
      <c r="E91" s="244"/>
    </row>
    <row r="92" spans="2:5" x14ac:dyDescent="0.25">
      <c r="B92" s="762" t="s">
        <v>1061</v>
      </c>
      <c r="C92" s="241">
        <v>34670</v>
      </c>
      <c r="D92" s="241">
        <v>0</v>
      </c>
      <c r="E92" s="244">
        <v>834194</v>
      </c>
    </row>
    <row r="93" spans="2:5" x14ac:dyDescent="0.25">
      <c r="B93" s="762"/>
      <c r="C93" s="241"/>
      <c r="D93" s="241"/>
      <c r="E93" s="244"/>
    </row>
    <row r="94" spans="2:5" x14ac:dyDescent="0.25">
      <c r="B94" s="762" t="s">
        <v>1062</v>
      </c>
      <c r="C94" s="241">
        <v>17500</v>
      </c>
      <c r="D94" s="241">
        <v>18500</v>
      </c>
      <c r="E94" s="244">
        <v>9000</v>
      </c>
    </row>
    <row r="95" spans="2:5" x14ac:dyDescent="0.2">
      <c r="B95" s="257"/>
      <c r="C95" s="241"/>
      <c r="D95" s="241"/>
      <c r="E95" s="244"/>
    </row>
    <row r="96" spans="2:5" x14ac:dyDescent="0.2">
      <c r="B96" s="257"/>
      <c r="C96" s="241"/>
      <c r="D96" s="241"/>
      <c r="E96" s="244"/>
    </row>
    <row r="97" spans="2:10" x14ac:dyDescent="0.2">
      <c r="B97" s="257"/>
      <c r="C97" s="241"/>
      <c r="D97" s="241"/>
      <c r="E97" s="244"/>
    </row>
    <row r="98" spans="2:10" x14ac:dyDescent="0.2">
      <c r="B98" s="257"/>
      <c r="C98" s="241"/>
      <c r="D98" s="241"/>
      <c r="E98" s="244"/>
    </row>
    <row r="99" spans="2:10" x14ac:dyDescent="0.2">
      <c r="B99" s="257"/>
      <c r="C99" s="241"/>
      <c r="D99" s="241"/>
      <c r="E99" s="244"/>
    </row>
    <row r="100" spans="2:10" x14ac:dyDescent="0.2">
      <c r="B100" s="257"/>
      <c r="C100" s="241"/>
      <c r="D100" s="241"/>
      <c r="E100" s="244"/>
    </row>
    <row r="101" spans="2:10" x14ac:dyDescent="0.2">
      <c r="B101" s="257"/>
      <c r="C101" s="241"/>
      <c r="D101" s="241"/>
      <c r="E101" s="244"/>
    </row>
    <row r="102" spans="2:10" x14ac:dyDescent="0.2">
      <c r="B102" s="257"/>
      <c r="C102" s="241"/>
      <c r="D102" s="241"/>
      <c r="E102" s="244"/>
      <c r="G102" s="809" t="str">
        <f>CONCATENATE("Desired Carryover Into ",E1+1,"")</f>
        <v>Desired Carryover Into 2016</v>
      </c>
      <c r="H102" s="810"/>
      <c r="I102" s="810"/>
      <c r="J102" s="811"/>
    </row>
    <row r="103" spans="2:10" x14ac:dyDescent="0.2">
      <c r="B103" s="257"/>
      <c r="C103" s="241"/>
      <c r="D103" s="241"/>
      <c r="E103" s="244"/>
      <c r="G103" s="509"/>
      <c r="H103" s="506"/>
      <c r="I103" s="506"/>
      <c r="J103" s="510"/>
    </row>
    <row r="104" spans="2:10" x14ac:dyDescent="0.2">
      <c r="B104" s="257"/>
      <c r="C104" s="241"/>
      <c r="D104" s="241"/>
      <c r="E104" s="244"/>
      <c r="G104" s="520" t="s">
        <v>724</v>
      </c>
      <c r="H104" s="514"/>
      <c r="I104" s="514"/>
      <c r="J104" s="508">
        <v>0</v>
      </c>
    </row>
    <row r="105" spans="2:10" x14ac:dyDescent="0.2">
      <c r="B105" s="257"/>
      <c r="C105" s="241"/>
      <c r="D105" s="241"/>
      <c r="E105" s="244"/>
      <c r="G105" s="524" t="s">
        <v>725</v>
      </c>
      <c r="H105" s="505"/>
      <c r="I105" s="507"/>
      <c r="J105" s="523" t="str">
        <f>IF(J104=0,"",ROUND((J104+E118-G117)/inputOth!E7*1000,3)-general!G122)</f>
        <v/>
      </c>
    </row>
    <row r="106" spans="2:10" x14ac:dyDescent="0.2">
      <c r="B106" s="257"/>
      <c r="C106" s="241"/>
      <c r="D106" s="241"/>
      <c r="E106" s="244"/>
      <c r="G106" s="589" t="str">
        <f>CONCATENATE("",E1," Total Expenditures Must Be:")</f>
        <v>2015 Total Expenditures Must Be:</v>
      </c>
      <c r="H106" s="590"/>
      <c r="I106" s="591"/>
      <c r="J106" s="522">
        <f>IF(J104&gt;0,IF(E115&lt;E57,IF(J104=G117,E115,((J104-G117)*(1-D117))+E57),E115+(J104-G117)),0)</f>
        <v>0</v>
      </c>
    </row>
    <row r="107" spans="2:10" x14ac:dyDescent="0.2">
      <c r="B107" s="257"/>
      <c r="C107" s="241"/>
      <c r="D107" s="241"/>
      <c r="E107" s="244"/>
      <c r="G107" s="593" t="s">
        <v>836</v>
      </c>
      <c r="H107" s="594"/>
      <c r="I107" s="595"/>
      <c r="J107" s="627">
        <f>IF(J104&gt;0,J106-E115,0)</f>
        <v>0</v>
      </c>
    </row>
    <row r="108" spans="2:10" x14ac:dyDescent="0.2">
      <c r="B108" s="258" t="s">
        <v>13</v>
      </c>
      <c r="C108" s="241"/>
      <c r="D108" s="241"/>
      <c r="E108" s="259" t="str">
        <f>nhood!E6</f>
        <v/>
      </c>
    </row>
    <row r="109" spans="2:10" x14ac:dyDescent="0.2">
      <c r="B109" s="258" t="s">
        <v>14</v>
      </c>
      <c r="C109" s="241"/>
      <c r="D109" s="241"/>
      <c r="E109" s="244"/>
      <c r="G109" s="809" t="str">
        <f>CONCATENATE("Projected Carryover Into ",E1+1,"")</f>
        <v>Projected Carryover Into 2016</v>
      </c>
      <c r="H109" s="818"/>
      <c r="I109" s="818"/>
      <c r="J109" s="819"/>
    </row>
    <row r="110" spans="2:10" x14ac:dyDescent="0.2">
      <c r="B110" s="258" t="s">
        <v>737</v>
      </c>
      <c r="C110" s="246" t="str">
        <f>IF(C111*0.1&lt;C109,"Exceed 10% Rule","")</f>
        <v/>
      </c>
      <c r="D110" s="246" t="str">
        <f>IF(D111*0.1&lt;D109,"Exceed 10% Rule","")</f>
        <v/>
      </c>
      <c r="E110" s="276" t="str">
        <f>IF(E111*0.1&lt;E109,"Exceed 10% Rule","")</f>
        <v/>
      </c>
      <c r="G110" s="509"/>
      <c r="H110" s="506"/>
      <c r="I110" s="506"/>
      <c r="J110" s="510"/>
    </row>
    <row r="111" spans="2:10" x14ac:dyDescent="0.2">
      <c r="B111" s="248" t="s">
        <v>120</v>
      </c>
      <c r="C111" s="250">
        <f>SUM(C84:C109)</f>
        <v>621331</v>
      </c>
      <c r="D111" s="250">
        <f>SUM(D84:D109)</f>
        <v>590159</v>
      </c>
      <c r="E111" s="251">
        <f>SUM(E84:E109)</f>
        <v>1475353</v>
      </c>
      <c r="G111" s="511">
        <f>D112</f>
        <v>907804</v>
      </c>
      <c r="H111" s="512" t="str">
        <f>CONCATENATE("",E1-1," Ending Cash Balance (est.)")</f>
        <v>2014 Ending Cash Balance (est.)</v>
      </c>
      <c r="I111" s="513"/>
      <c r="J111" s="510"/>
    </row>
    <row r="112" spans="2:10" x14ac:dyDescent="0.2">
      <c r="B112" s="138" t="s">
        <v>215</v>
      </c>
      <c r="C112" s="254">
        <f>C57-C111</f>
        <v>943576</v>
      </c>
      <c r="D112" s="254">
        <f>D57-D111</f>
        <v>907804</v>
      </c>
      <c r="E112" s="243" t="s">
        <v>93</v>
      </c>
      <c r="G112" s="511">
        <f>E56</f>
        <v>359714</v>
      </c>
      <c r="H112" s="514" t="str">
        <f>CONCATENATE("",E1," Non-AV Receipts (est.)")</f>
        <v>2015 Non-AV Receipts (est.)</v>
      </c>
      <c r="I112" s="513"/>
      <c r="J112" s="510"/>
    </row>
    <row r="113" spans="2:11" x14ac:dyDescent="0.2">
      <c r="B113" s="158" t="str">
        <f>CONCATENATE("",E1-2,"/",E1-1,"/",E1," Budget Authority Amount:")</f>
        <v>2013/2014/2015 Budget Authority Amount:</v>
      </c>
      <c r="C113" s="679">
        <f>inputOth!B60</f>
        <v>997847</v>
      </c>
      <c r="D113" s="679">
        <f>inputPrYr!D17</f>
        <v>1441852</v>
      </c>
      <c r="E113" s="703">
        <f>E111</f>
        <v>1475353</v>
      </c>
      <c r="F113" s="260"/>
      <c r="G113" s="515">
        <f>IF(E117&gt;0,E116,E118)</f>
        <v>207835</v>
      </c>
      <c r="H113" s="514" t="str">
        <f>CONCATENATE("",E1," Ad Valorem Tax (est.)")</f>
        <v>2015 Ad Valorem Tax (est.)</v>
      </c>
      <c r="I113" s="513"/>
      <c r="J113" s="510"/>
      <c r="K113" s="607" t="str">
        <f>IF(G113=E118,"","Note: Does not include Delinquent Taxes")</f>
        <v/>
      </c>
    </row>
    <row r="114" spans="2:11" x14ac:dyDescent="0.2">
      <c r="B114" s="124"/>
      <c r="C114" s="812" t="s">
        <v>624</v>
      </c>
      <c r="D114" s="813"/>
      <c r="E114" s="244"/>
      <c r="F114" s="406" t="str">
        <f>IF(E111/0.95-E111&lt;E114,"Exceeds 5%","")</f>
        <v/>
      </c>
      <c r="G114" s="511">
        <f>SUM(G111:G113)</f>
        <v>1475353</v>
      </c>
      <c r="H114" s="514" t="str">
        <f>CONCATENATE("Total ",E1," Resources Available")</f>
        <v>Total 2015 Resources Available</v>
      </c>
      <c r="I114" s="513"/>
      <c r="J114" s="510"/>
    </row>
    <row r="115" spans="2:11" x14ac:dyDescent="0.2">
      <c r="B115" s="498" t="str">
        <f>CONCATENATE(C132,"     ",D132)</f>
        <v xml:space="preserve">     </v>
      </c>
      <c r="C115" s="814" t="s">
        <v>625</v>
      </c>
      <c r="D115" s="815"/>
      <c r="E115" s="213">
        <f>E111+E114</f>
        <v>1475353</v>
      </c>
      <c r="G115" s="516"/>
      <c r="H115" s="514"/>
      <c r="I115" s="514"/>
      <c r="J115" s="510"/>
    </row>
    <row r="116" spans="2:11" x14ac:dyDescent="0.2">
      <c r="B116" s="498" t="str">
        <f>CONCATENATE(C133,"     ",D133)</f>
        <v xml:space="preserve">     </v>
      </c>
      <c r="C116" s="261"/>
      <c r="D116" s="156" t="s">
        <v>121</v>
      </c>
      <c r="E116" s="72">
        <f>IF(E115-E57&gt;0,E115-E57,0)</f>
        <v>207835</v>
      </c>
      <c r="G116" s="515">
        <f>C111*0.05+C111</f>
        <v>652397.55000000005</v>
      </c>
      <c r="H116" s="514" t="str">
        <f>CONCATENATE("Less ",E1-2," Expenditures + 5%")</f>
        <v>Less 2013 Expenditures + 5%</v>
      </c>
      <c r="I116" s="513"/>
      <c r="J116" s="510"/>
    </row>
    <row r="117" spans="2:11" x14ac:dyDescent="0.2">
      <c r="B117" s="156"/>
      <c r="C117" s="356" t="s">
        <v>623</v>
      </c>
      <c r="D117" s="687">
        <f>inputOth!$E$47</f>
        <v>0</v>
      </c>
      <c r="E117" s="213">
        <f>ROUND(IF(D117&gt;0,(E116*D117),0),0)</f>
        <v>0</v>
      </c>
      <c r="G117" s="521">
        <f>G114-G116</f>
        <v>822955.45</v>
      </c>
      <c r="H117" s="517" t="str">
        <f>CONCATENATE("Projected ",E1+1," Carryover (est.)")</f>
        <v>Projected 2016 Carryover (est.)</v>
      </c>
      <c r="I117" s="518"/>
      <c r="J117" s="519"/>
    </row>
    <row r="118" spans="2:11" ht="16.5" thickBot="1" x14ac:dyDescent="0.25">
      <c r="B118" s="43"/>
      <c r="C118" s="816" t="str">
        <f>CONCATENATE("Amount of  ",$E$1-1," Ad Valorem Tax")</f>
        <v>Amount of  2014 Ad Valorem Tax</v>
      </c>
      <c r="D118" s="817"/>
      <c r="E118" s="613">
        <f>E116+E117</f>
        <v>207835</v>
      </c>
    </row>
    <row r="119" spans="2:11" ht="16.5" thickTop="1" x14ac:dyDescent="0.2">
      <c r="B119" s="43"/>
      <c r="C119" s="43"/>
      <c r="D119" s="43"/>
      <c r="E119" s="43"/>
      <c r="G119" s="806" t="s">
        <v>837</v>
      </c>
      <c r="H119" s="807"/>
      <c r="I119" s="807"/>
      <c r="J119" s="808"/>
    </row>
    <row r="120" spans="2:11" x14ac:dyDescent="0.2">
      <c r="B120" s="124" t="s">
        <v>123</v>
      </c>
      <c r="C120" s="158" t="str">
        <f>CONCATENATE("",C59,"a")</f>
        <v>8a</v>
      </c>
      <c r="D120" s="159"/>
      <c r="E120" s="159"/>
      <c r="G120" s="597"/>
      <c r="H120" s="598"/>
      <c r="I120" s="599"/>
      <c r="J120" s="600"/>
    </row>
    <row r="121" spans="2:11" x14ac:dyDescent="0.2">
      <c r="G121" s="601">
        <f>summ!H15</f>
        <v>60.347999999999999</v>
      </c>
      <c r="H121" s="598" t="str">
        <f>CONCATENATE("",E1," Fund Mill Rate")</f>
        <v>2015 Fund Mill Rate</v>
      </c>
      <c r="I121" s="599"/>
      <c r="J121" s="600"/>
    </row>
    <row r="122" spans="2:11" x14ac:dyDescent="0.2">
      <c r="B122" s="94"/>
      <c r="G122" s="602">
        <f>summ!E15</f>
        <v>59.886000000000003</v>
      </c>
      <c r="H122" s="598" t="str">
        <f>CONCATENATE("",E1-1," Fund Mill Rate")</f>
        <v>2014 Fund Mill Rate</v>
      </c>
      <c r="I122" s="599"/>
      <c r="J122" s="600"/>
    </row>
    <row r="123" spans="2:11" x14ac:dyDescent="0.2">
      <c r="G123" s="603">
        <f>summ!H27</f>
        <v>71.552999999999997</v>
      </c>
      <c r="H123" s="598" t="str">
        <f>CONCATENATE("Total ",E1," Mill Rate")</f>
        <v>Total 2015 Mill Rate</v>
      </c>
      <c r="I123" s="599"/>
      <c r="J123" s="600"/>
    </row>
    <row r="124" spans="2:11" x14ac:dyDescent="0.2">
      <c r="G124" s="602">
        <f>summ!E27</f>
        <v>71.078000000000003</v>
      </c>
      <c r="H124" s="604" t="str">
        <f>CONCATENATE("Total ",E1-1," Mill Rate")</f>
        <v>Total 2014 Mill Rate</v>
      </c>
      <c r="I124" s="605"/>
      <c r="J124" s="606"/>
    </row>
    <row r="125" spans="2:11" x14ac:dyDescent="0.2">
      <c r="B125" s="29"/>
      <c r="C125" s="29"/>
    </row>
    <row r="126" spans="2:11" x14ac:dyDescent="0.2">
      <c r="G126" s="730" t="s">
        <v>975</v>
      </c>
      <c r="H126" s="702"/>
      <c r="I126" s="701" t="str">
        <f>cert!F34</f>
        <v>No</v>
      </c>
    </row>
    <row r="132" spans="3:4" hidden="1" x14ac:dyDescent="0.2">
      <c r="C132" s="497" t="str">
        <f>IF(C111&gt;C113,"See Tab A","")</f>
        <v/>
      </c>
      <c r="D132" s="497" t="str">
        <f>IF(D111&gt;D113,"See Tab C","")</f>
        <v/>
      </c>
    </row>
    <row r="133" spans="3:4" hidden="1" x14ac:dyDescent="0.2">
      <c r="C133" s="497" t="str">
        <f>IF(C112&lt;0,"See Tab B","")</f>
        <v/>
      </c>
      <c r="D133" s="497" t="str">
        <f>IF(D112&lt;0,"See Tab D","")</f>
        <v/>
      </c>
    </row>
  </sheetData>
  <mergeCells count="6">
    <mergeCell ref="G119:J119"/>
    <mergeCell ref="G102:J102"/>
    <mergeCell ref="C114:D114"/>
    <mergeCell ref="C115:D115"/>
    <mergeCell ref="C118:D118"/>
    <mergeCell ref="G109:J109"/>
  </mergeCells>
  <phoneticPr fontId="0" type="noConversion"/>
  <conditionalFormatting sqref="E109">
    <cfRule type="cellIs" dxfId="112" priority="2" stopIfTrue="1" operator="greaterThan">
      <formula>$E$111*0.1</formula>
    </cfRule>
  </conditionalFormatting>
  <conditionalFormatting sqref="E114">
    <cfRule type="cellIs" dxfId="111" priority="3" stopIfTrue="1" operator="greaterThan">
      <formula>$E$111/0.95-$E$111</formula>
    </cfRule>
  </conditionalFormatting>
  <conditionalFormatting sqref="D111">
    <cfRule type="cellIs" dxfId="110" priority="4" stopIfTrue="1" operator="greaterThan">
      <formula>$D$113</formula>
    </cfRule>
  </conditionalFormatting>
  <conditionalFormatting sqref="C111">
    <cfRule type="cellIs" dxfId="109" priority="5" stopIfTrue="1" operator="greaterThan">
      <formula>$C$113</formula>
    </cfRule>
  </conditionalFormatting>
  <conditionalFormatting sqref="C112">
    <cfRule type="cellIs" dxfId="108" priority="6" stopIfTrue="1" operator="lessThan">
      <formula>0</formula>
    </cfRule>
  </conditionalFormatting>
  <conditionalFormatting sqref="C109">
    <cfRule type="cellIs" dxfId="107" priority="7" stopIfTrue="1" operator="greaterThan">
      <formula>$C$111*0.1</formula>
    </cfRule>
  </conditionalFormatting>
  <conditionalFormatting sqref="D109">
    <cfRule type="cellIs" dxfId="106" priority="8" stopIfTrue="1" operator="greaterThan">
      <formula>$D$111*0.1</formula>
    </cfRule>
  </conditionalFormatting>
  <conditionalFormatting sqref="D54">
    <cfRule type="cellIs" dxfId="105" priority="9" stopIfTrue="1" operator="greaterThan">
      <formula>$D$56*0.1</formula>
    </cfRule>
  </conditionalFormatting>
  <conditionalFormatting sqref="C54">
    <cfRule type="cellIs" dxfId="104" priority="10" stopIfTrue="1" operator="greaterThan">
      <formula>$C$56*0.1</formula>
    </cfRule>
  </conditionalFormatting>
  <conditionalFormatting sqref="E54">
    <cfRule type="cellIs" dxfId="103" priority="11" stopIfTrue="1" operator="greaterThan">
      <formula>$E$56*0.1+E118</formula>
    </cfRule>
  </conditionalFormatting>
  <conditionalFormatting sqref="D112">
    <cfRule type="cellIs" dxfId="102" priority="1" stopIfTrue="1" operator="lessThan">
      <formula>0</formula>
    </cfRule>
  </conditionalFormatting>
  <pageMargins left="0.5" right="0.5" top="1" bottom="0.5" header="0.5" footer="0.5"/>
  <pageSetup scale="78" fitToHeight="2" orientation="portrait" blackAndWhite="1" horizontalDpi="120" verticalDpi="144" r:id="rId1"/>
  <headerFooter alignWithMargins="0">
    <oddHeader>&amp;RState of Kansas
City</oddHeader>
  </headerFooter>
  <rowBreaks count="2" manualBreakCount="2">
    <brk id="59" min="1" max="4" man="1"/>
    <brk id="60" max="16383"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35"/>
  <sheetViews>
    <sheetView topLeftCell="A8" zoomScaleNormal="100" workbookViewId="0">
      <selection activeCell="D40" sqref="D40"/>
    </sheetView>
  </sheetViews>
  <sheetFormatPr defaultRowHeight="15.75" x14ac:dyDescent="0.2"/>
  <cols>
    <col min="1" max="1" width="28.33203125" style="29" customWidth="1"/>
    <col min="2" max="3" width="15.77734375" style="29" customWidth="1"/>
    <col min="4" max="4" width="16.109375" style="29" customWidth="1"/>
    <col min="5" max="16384" width="8.88671875" style="29"/>
  </cols>
  <sheetData>
    <row r="1" spans="1:4" x14ac:dyDescent="0.2">
      <c r="A1" s="182" t="str">
        <f>inputPrYr!D2</f>
        <v>City of Frankfort</v>
      </c>
      <c r="B1" s="43"/>
      <c r="C1" s="158"/>
      <c r="D1" s="43">
        <f>inputPrYr!C5</f>
        <v>2015</v>
      </c>
    </row>
    <row r="2" spans="1:4" x14ac:dyDescent="0.2">
      <c r="A2" s="43"/>
      <c r="B2" s="43"/>
      <c r="C2" s="43"/>
      <c r="D2" s="158"/>
    </row>
    <row r="3" spans="1:4" x14ac:dyDescent="0.2">
      <c r="A3" s="537"/>
      <c r="B3" s="262"/>
      <c r="C3" s="262"/>
      <c r="D3" s="262"/>
    </row>
    <row r="4" spans="1:4" x14ac:dyDescent="0.2">
      <c r="A4" s="675" t="s">
        <v>104</v>
      </c>
      <c r="B4" s="263" t="s">
        <v>896</v>
      </c>
      <c r="C4" s="132" t="s">
        <v>897</v>
      </c>
      <c r="D4" s="132" t="s">
        <v>898</v>
      </c>
    </row>
    <row r="5" spans="1:4" x14ac:dyDescent="0.2">
      <c r="A5" s="537" t="s">
        <v>367</v>
      </c>
      <c r="B5" s="236" t="str">
        <f>CONCATENATE("Actual for ",D1-2,"")</f>
        <v>Actual for 2013</v>
      </c>
      <c r="C5" s="236" t="str">
        <f>CONCATENATE("Estimate for ",D1-1,"")</f>
        <v>Estimate for 2014</v>
      </c>
      <c r="D5" s="236" t="str">
        <f>CONCATENATE("Year for ",D1,"")</f>
        <v>Year for 2015</v>
      </c>
    </row>
    <row r="6" spans="1:4" x14ac:dyDescent="0.2">
      <c r="A6" s="211" t="s">
        <v>116</v>
      </c>
      <c r="B6" s="77"/>
      <c r="C6" s="77"/>
      <c r="D6" s="77"/>
    </row>
    <row r="7" spans="1:4" x14ac:dyDescent="0.2">
      <c r="A7" s="264" t="s">
        <v>1063</v>
      </c>
      <c r="B7" s="77"/>
      <c r="C7" s="77"/>
      <c r="D7" s="77"/>
    </row>
    <row r="8" spans="1:4" x14ac:dyDescent="0.2">
      <c r="A8" s="265" t="s">
        <v>124</v>
      </c>
      <c r="B8" s="244">
        <v>41727</v>
      </c>
      <c r="C8" s="244">
        <v>43820</v>
      </c>
      <c r="D8" s="244">
        <v>43820</v>
      </c>
    </row>
    <row r="9" spans="1:4" x14ac:dyDescent="0.2">
      <c r="A9" s="265" t="s">
        <v>117</v>
      </c>
      <c r="B9" s="244">
        <v>41560</v>
      </c>
      <c r="C9" s="244">
        <v>50700</v>
      </c>
      <c r="D9" s="244">
        <v>50700</v>
      </c>
    </row>
    <row r="10" spans="1:4" x14ac:dyDescent="0.2">
      <c r="A10" s="265" t="s">
        <v>118</v>
      </c>
      <c r="B10" s="244">
        <v>4825</v>
      </c>
      <c r="C10" s="244">
        <v>8600</v>
      </c>
      <c r="D10" s="244">
        <v>8600</v>
      </c>
    </row>
    <row r="11" spans="1:4" x14ac:dyDescent="0.2">
      <c r="A11" s="265" t="s">
        <v>119</v>
      </c>
      <c r="B11" s="244">
        <v>0</v>
      </c>
      <c r="C11" s="244">
        <v>0</v>
      </c>
      <c r="D11" s="244">
        <v>0</v>
      </c>
    </row>
    <row r="12" spans="1:4" x14ac:dyDescent="0.2">
      <c r="A12" s="265"/>
      <c r="B12" s="244"/>
      <c r="C12" s="244"/>
      <c r="D12" s="244"/>
    </row>
    <row r="13" spans="1:4" x14ac:dyDescent="0.2">
      <c r="A13" s="59"/>
      <c r="B13" s="244"/>
      <c r="C13" s="244"/>
      <c r="D13" s="244"/>
    </row>
    <row r="14" spans="1:4" x14ac:dyDescent="0.2">
      <c r="A14" s="59"/>
      <c r="B14" s="244"/>
      <c r="C14" s="244"/>
      <c r="D14" s="244"/>
    </row>
    <row r="15" spans="1:4" x14ac:dyDescent="0.2">
      <c r="A15" s="211" t="s">
        <v>1064</v>
      </c>
      <c r="B15" s="249">
        <f>SUM(B8:B14)</f>
        <v>88112</v>
      </c>
      <c r="C15" s="249">
        <f>SUM(C8:C14)</f>
        <v>103120</v>
      </c>
      <c r="D15" s="249">
        <f>SUM(D8:D14)</f>
        <v>103120</v>
      </c>
    </row>
    <row r="16" spans="1:4" x14ac:dyDescent="0.2">
      <c r="A16" s="266" t="s">
        <v>1065</v>
      </c>
      <c r="B16" s="182"/>
      <c r="C16" s="182"/>
      <c r="D16" s="182"/>
    </row>
    <row r="17" spans="1:4" x14ac:dyDescent="0.2">
      <c r="A17" s="265" t="s">
        <v>124</v>
      </c>
      <c r="B17" s="244">
        <v>23633</v>
      </c>
      <c r="C17" s="244">
        <v>31000</v>
      </c>
      <c r="D17" s="244">
        <v>31000</v>
      </c>
    </row>
    <row r="18" spans="1:4" x14ac:dyDescent="0.2">
      <c r="A18" s="265" t="s">
        <v>117</v>
      </c>
      <c r="B18" s="244">
        <v>24083</v>
      </c>
      <c r="C18" s="244">
        <v>18000</v>
      </c>
      <c r="D18" s="244">
        <v>34000</v>
      </c>
    </row>
    <row r="19" spans="1:4" x14ac:dyDescent="0.2">
      <c r="A19" s="265" t="s">
        <v>118</v>
      </c>
      <c r="B19" s="244">
        <v>19605</v>
      </c>
      <c r="C19" s="244">
        <v>26000</v>
      </c>
      <c r="D19" s="244">
        <v>20000</v>
      </c>
    </row>
    <row r="20" spans="1:4" x14ac:dyDescent="0.2">
      <c r="A20" s="265" t="s">
        <v>119</v>
      </c>
      <c r="B20" s="244">
        <v>51769</v>
      </c>
      <c r="C20" s="244">
        <v>50419</v>
      </c>
      <c r="D20" s="244">
        <v>49069</v>
      </c>
    </row>
    <row r="21" spans="1:4" x14ac:dyDescent="0.2">
      <c r="A21" s="265"/>
      <c r="B21" s="244"/>
      <c r="C21" s="244"/>
      <c r="D21" s="244"/>
    </row>
    <row r="22" spans="1:4" x14ac:dyDescent="0.2">
      <c r="A22" s="211" t="s">
        <v>1066</v>
      </c>
      <c r="B22" s="249">
        <f>SUM(B17:B21)</f>
        <v>119090</v>
      </c>
      <c r="C22" s="249">
        <f>SUM(C17:C21)</f>
        <v>125419</v>
      </c>
      <c r="D22" s="249">
        <f>SUM(D17:D21)</f>
        <v>134069</v>
      </c>
    </row>
    <row r="23" spans="1:4" x14ac:dyDescent="0.2">
      <c r="A23" s="266" t="s">
        <v>1067</v>
      </c>
      <c r="B23" s="182"/>
      <c r="C23" s="182"/>
      <c r="D23" s="182"/>
    </row>
    <row r="24" spans="1:4" x14ac:dyDescent="0.2">
      <c r="A24" s="265" t="s">
        <v>124</v>
      </c>
      <c r="B24" s="244">
        <v>11411</v>
      </c>
      <c r="C24" s="244">
        <v>12000</v>
      </c>
      <c r="D24" s="244">
        <v>12000</v>
      </c>
    </row>
    <row r="25" spans="1:4" x14ac:dyDescent="0.2">
      <c r="A25" s="265" t="s">
        <v>117</v>
      </c>
      <c r="B25" s="244">
        <v>3364</v>
      </c>
      <c r="C25" s="244">
        <v>5200</v>
      </c>
      <c r="D25" s="244">
        <v>5200</v>
      </c>
    </row>
    <row r="26" spans="1:4" x14ac:dyDescent="0.2">
      <c r="A26" s="265" t="s">
        <v>118</v>
      </c>
      <c r="B26" s="244">
        <v>3108</v>
      </c>
      <c r="C26" s="244">
        <v>3000</v>
      </c>
      <c r="D26" s="244">
        <v>3000</v>
      </c>
    </row>
    <row r="27" spans="1:4" x14ac:dyDescent="0.2">
      <c r="A27" s="265" t="s">
        <v>119</v>
      </c>
      <c r="B27" s="244"/>
      <c r="C27" s="244"/>
      <c r="D27" s="244"/>
    </row>
    <row r="28" spans="1:4" x14ac:dyDescent="0.2">
      <c r="A28" s="265"/>
      <c r="B28" s="244"/>
      <c r="C28" s="244"/>
      <c r="D28" s="244"/>
    </row>
    <row r="29" spans="1:4" x14ac:dyDescent="0.2">
      <c r="A29" s="211" t="s">
        <v>1068</v>
      </c>
      <c r="B29" s="249">
        <f>SUM(B24:B28)</f>
        <v>17883</v>
      </c>
      <c r="C29" s="249">
        <f>SUM(C24:C28)</f>
        <v>20200</v>
      </c>
      <c r="D29" s="249">
        <f>SUM(D24:D28)</f>
        <v>20200</v>
      </c>
    </row>
    <row r="30" spans="1:4" x14ac:dyDescent="0.2">
      <c r="A30" s="266" t="s">
        <v>1069</v>
      </c>
      <c r="B30" s="182"/>
      <c r="C30" s="182"/>
      <c r="D30" s="182"/>
    </row>
    <row r="31" spans="1:4" x14ac:dyDescent="0.2">
      <c r="A31" s="265" t="s">
        <v>124</v>
      </c>
      <c r="B31" s="244">
        <v>9065</v>
      </c>
      <c r="C31" s="244">
        <v>6900</v>
      </c>
      <c r="D31" s="244">
        <v>6900</v>
      </c>
    </row>
    <row r="32" spans="1:4" x14ac:dyDescent="0.2">
      <c r="A32" s="265" t="s">
        <v>117</v>
      </c>
      <c r="B32" s="244">
        <v>4288</v>
      </c>
      <c r="C32" s="244">
        <v>7400</v>
      </c>
      <c r="D32" s="244">
        <v>7400</v>
      </c>
    </row>
    <row r="33" spans="1:4" x14ac:dyDescent="0.2">
      <c r="A33" s="265" t="s">
        <v>118</v>
      </c>
      <c r="B33" s="244">
        <v>4280</v>
      </c>
      <c r="C33" s="244">
        <v>15000</v>
      </c>
      <c r="D33" s="244">
        <v>15000</v>
      </c>
    </row>
    <row r="34" spans="1:4" x14ac:dyDescent="0.2">
      <c r="A34" s="265" t="s">
        <v>119</v>
      </c>
      <c r="B34" s="244">
        <v>25000</v>
      </c>
      <c r="C34" s="244">
        <v>0</v>
      </c>
      <c r="D34" s="244">
        <v>0</v>
      </c>
    </row>
    <row r="35" spans="1:4" x14ac:dyDescent="0.2">
      <c r="A35" s="211" t="s">
        <v>1070</v>
      </c>
      <c r="B35" s="249">
        <f>SUM(B31:B34)</f>
        <v>42633</v>
      </c>
      <c r="C35" s="249">
        <f>SUM(C31:C34)</f>
        <v>29300</v>
      </c>
      <c r="D35" s="249">
        <f>SUM(D31:D34)</f>
        <v>29300</v>
      </c>
    </row>
    <row r="36" spans="1:4" x14ac:dyDescent="0.2">
      <c r="A36" s="266" t="s">
        <v>1071</v>
      </c>
      <c r="B36" s="182"/>
      <c r="C36" s="182"/>
      <c r="D36" s="182"/>
    </row>
    <row r="37" spans="1:4" x14ac:dyDescent="0.2">
      <c r="A37" s="265" t="s">
        <v>124</v>
      </c>
      <c r="B37" s="244">
        <v>15601</v>
      </c>
      <c r="C37" s="244">
        <v>23000</v>
      </c>
      <c r="D37" s="244">
        <v>23000</v>
      </c>
    </row>
    <row r="38" spans="1:4" x14ac:dyDescent="0.2">
      <c r="A38" s="265" t="s">
        <v>117</v>
      </c>
      <c r="B38" s="244">
        <v>13259</v>
      </c>
      <c r="C38" s="244">
        <v>18000</v>
      </c>
      <c r="D38" s="244">
        <v>18000</v>
      </c>
    </row>
    <row r="39" spans="1:4" x14ac:dyDescent="0.2">
      <c r="A39" s="265" t="s">
        <v>118</v>
      </c>
      <c r="B39" s="244">
        <v>22451</v>
      </c>
      <c r="C39" s="244">
        <v>20000</v>
      </c>
      <c r="D39" s="244">
        <v>20000</v>
      </c>
    </row>
    <row r="40" spans="1:4" x14ac:dyDescent="0.2">
      <c r="A40" s="265" t="s">
        <v>119</v>
      </c>
      <c r="B40" s="244">
        <v>0</v>
      </c>
      <c r="C40" s="244">
        <v>0</v>
      </c>
      <c r="D40" s="244">
        <v>50000</v>
      </c>
    </row>
    <row r="41" spans="1:4" x14ac:dyDescent="0.2">
      <c r="A41" s="265"/>
      <c r="B41" s="244"/>
      <c r="C41" s="244"/>
      <c r="D41" s="244"/>
    </row>
    <row r="42" spans="1:4" x14ac:dyDescent="0.2">
      <c r="A42" s="211" t="s">
        <v>1072</v>
      </c>
      <c r="B42" s="249">
        <f>SUM(B37:B41)</f>
        <v>51311</v>
      </c>
      <c r="C42" s="249">
        <f>SUM(C37:C41)</f>
        <v>61000</v>
      </c>
      <c r="D42" s="249">
        <f>SUM(D37:D41)</f>
        <v>111000</v>
      </c>
    </row>
    <row r="43" spans="1:4" x14ac:dyDescent="0.2">
      <c r="A43" s="266" t="s">
        <v>1073</v>
      </c>
      <c r="B43" s="182"/>
      <c r="C43" s="182"/>
      <c r="D43" s="182"/>
    </row>
    <row r="44" spans="1:4" x14ac:dyDescent="0.2">
      <c r="A44" s="265" t="s">
        <v>1074</v>
      </c>
      <c r="B44" s="244">
        <v>13165</v>
      </c>
      <c r="C44" s="244">
        <v>14070</v>
      </c>
      <c r="D44" s="244">
        <v>14070</v>
      </c>
    </row>
    <row r="45" spans="1:4" x14ac:dyDescent="0.2">
      <c r="A45" s="265" t="s">
        <v>1075</v>
      </c>
      <c r="B45" s="244">
        <v>5981</v>
      </c>
      <c r="C45" s="244">
        <v>8400</v>
      </c>
      <c r="D45" s="244">
        <v>8400</v>
      </c>
    </row>
    <row r="46" spans="1:4" x14ac:dyDescent="0.2">
      <c r="A46" s="265" t="s">
        <v>1076</v>
      </c>
      <c r="B46" s="244">
        <v>34380</v>
      </c>
      <c r="C46" s="244">
        <v>39800</v>
      </c>
      <c r="D46" s="244">
        <v>39800</v>
      </c>
    </row>
    <row r="47" spans="1:4" x14ac:dyDescent="0.2">
      <c r="A47" s="265"/>
      <c r="B47" s="244"/>
      <c r="C47" s="244"/>
      <c r="D47" s="244"/>
    </row>
    <row r="48" spans="1:4" x14ac:dyDescent="0.2">
      <c r="A48" s="265"/>
      <c r="B48" s="244"/>
      <c r="C48" s="244"/>
      <c r="D48" s="244"/>
    </row>
    <row r="49" spans="1:4" x14ac:dyDescent="0.2">
      <c r="A49" s="211" t="s">
        <v>1077</v>
      </c>
      <c r="B49" s="249">
        <f>SUM(B44:B48)</f>
        <v>53526</v>
      </c>
      <c r="C49" s="249">
        <f>SUM(C44:C48)</f>
        <v>62270</v>
      </c>
      <c r="D49" s="249">
        <f>SUM(D44:D48)</f>
        <v>62270</v>
      </c>
    </row>
    <row r="50" spans="1:4" x14ac:dyDescent="0.2">
      <c r="A50" s="266" t="s">
        <v>1078</v>
      </c>
      <c r="B50" s="182"/>
      <c r="C50" s="182"/>
      <c r="D50" s="182"/>
    </row>
    <row r="51" spans="1:4" x14ac:dyDescent="0.2">
      <c r="A51" s="265" t="s">
        <v>124</v>
      </c>
      <c r="B51" s="244">
        <v>4969</v>
      </c>
      <c r="C51" s="244">
        <v>9000</v>
      </c>
      <c r="D51" s="244">
        <v>9000</v>
      </c>
    </row>
    <row r="52" spans="1:4" x14ac:dyDescent="0.2">
      <c r="A52" s="265" t="s">
        <v>117</v>
      </c>
      <c r="B52" s="244">
        <v>0</v>
      </c>
      <c r="C52" s="244">
        <v>5000</v>
      </c>
      <c r="D52" s="244">
        <v>5000</v>
      </c>
    </row>
    <row r="53" spans="1:4" x14ac:dyDescent="0.2">
      <c r="A53" s="265" t="s">
        <v>118</v>
      </c>
      <c r="B53" s="244">
        <v>136</v>
      </c>
      <c r="C53" s="244">
        <v>11000</v>
      </c>
      <c r="D53" s="244">
        <v>11000</v>
      </c>
    </row>
    <row r="54" spans="1:4" x14ac:dyDescent="0.2">
      <c r="A54" s="265" t="s">
        <v>119</v>
      </c>
      <c r="B54" s="244">
        <v>24000</v>
      </c>
      <c r="C54" s="244">
        <v>24000</v>
      </c>
      <c r="D54" s="244">
        <v>24000</v>
      </c>
    </row>
    <row r="55" spans="1:4" x14ac:dyDescent="0.2">
      <c r="A55" s="265"/>
      <c r="B55" s="244"/>
      <c r="C55" s="244"/>
      <c r="D55" s="244"/>
    </row>
    <row r="56" spans="1:4" x14ac:dyDescent="0.2">
      <c r="A56" s="211" t="s">
        <v>1079</v>
      </c>
      <c r="B56" s="249">
        <f>SUM(B51:B55)</f>
        <v>29105</v>
      </c>
      <c r="C56" s="249">
        <f>SUM(C51:C55)</f>
        <v>49000</v>
      </c>
      <c r="D56" s="249">
        <f>SUM(D51:D55)</f>
        <v>49000</v>
      </c>
    </row>
    <row r="57" spans="1:4" x14ac:dyDescent="0.2">
      <c r="A57" s="266" t="s">
        <v>1080</v>
      </c>
      <c r="B57" s="182"/>
      <c r="C57" s="182"/>
      <c r="D57" s="182"/>
    </row>
    <row r="58" spans="1:4" x14ac:dyDescent="0.2">
      <c r="A58" s="265" t="s">
        <v>124</v>
      </c>
      <c r="B58" s="244"/>
      <c r="C58" s="244">
        <v>0</v>
      </c>
      <c r="D58" s="244"/>
    </row>
    <row r="59" spans="1:4" x14ac:dyDescent="0.2">
      <c r="A59" s="265" t="s">
        <v>117</v>
      </c>
      <c r="B59" s="244"/>
      <c r="C59" s="244">
        <v>0</v>
      </c>
      <c r="D59" s="244"/>
    </row>
    <row r="60" spans="1:4" x14ac:dyDescent="0.2">
      <c r="A60" s="265" t="s">
        <v>118</v>
      </c>
      <c r="B60" s="244"/>
      <c r="C60" s="244">
        <v>0</v>
      </c>
      <c r="D60" s="244"/>
    </row>
    <row r="61" spans="1:4" x14ac:dyDescent="0.2">
      <c r="A61" s="265" t="s">
        <v>119</v>
      </c>
      <c r="B61" s="244"/>
      <c r="C61" s="244">
        <v>0</v>
      </c>
      <c r="D61" s="244"/>
    </row>
    <row r="62" spans="1:4" x14ac:dyDescent="0.2">
      <c r="A62" s="265"/>
      <c r="B62" s="244"/>
      <c r="C62" s="244"/>
      <c r="D62" s="244"/>
    </row>
    <row r="63" spans="1:4" x14ac:dyDescent="0.2">
      <c r="A63" s="211" t="s">
        <v>1081</v>
      </c>
      <c r="B63" s="249">
        <f>SUM(B58:B62)</f>
        <v>0</v>
      </c>
      <c r="C63" s="249">
        <f>SUM(C58:C62)</f>
        <v>0</v>
      </c>
      <c r="D63" s="249">
        <f>SUM(D58:D62)</f>
        <v>0</v>
      </c>
    </row>
    <row r="64" spans="1:4" x14ac:dyDescent="0.2">
      <c r="A64" s="43"/>
      <c r="B64" s="182"/>
      <c r="C64" s="182"/>
      <c r="D64" s="182"/>
    </row>
    <row r="65" spans="1:6" ht="16.5" thickBot="1" x14ac:dyDescent="0.25">
      <c r="A65" s="211" t="s">
        <v>363</v>
      </c>
      <c r="B65" s="267">
        <f>B15+B22+B29+B35+B42+B49+B56+B63</f>
        <v>401660</v>
      </c>
      <c r="C65" s="267">
        <f>C15+C22+C29+C35+C42+C49+C56+C63</f>
        <v>450309</v>
      </c>
      <c r="D65" s="267">
        <f>D15+D22+D29+D35+D42+D49+D56+D63</f>
        <v>508959</v>
      </c>
    </row>
    <row r="66" spans="1:6" ht="16.5" thickTop="1" x14ac:dyDescent="0.2">
      <c r="A66" s="268"/>
      <c r="B66" s="182"/>
      <c r="C66" s="182"/>
      <c r="D66" s="182"/>
    </row>
    <row r="67" spans="1:6" x14ac:dyDescent="0.2">
      <c r="A67" s="374" t="s">
        <v>123</v>
      </c>
      <c r="B67" s="182" t="str">
        <f>CONCATENATE("",general!C59,"b")</f>
        <v>8b</v>
      </c>
      <c r="C67" s="182"/>
      <c r="D67" s="182"/>
    </row>
    <row r="68" spans="1:6" x14ac:dyDescent="0.2">
      <c r="A68" s="43"/>
      <c r="B68" s="182"/>
      <c r="C68" s="182"/>
      <c r="D68" s="182"/>
    </row>
    <row r="69" spans="1:6" x14ac:dyDescent="0.2">
      <c r="A69" s="182" t="str">
        <f>A1</f>
        <v>City of Frankfort</v>
      </c>
      <c r="B69" s="43"/>
      <c r="C69" s="158"/>
      <c r="D69" s="43">
        <f>D1</f>
        <v>2015</v>
      </c>
    </row>
    <row r="70" spans="1:6" x14ac:dyDescent="0.2">
      <c r="A70" s="43"/>
      <c r="B70" s="43"/>
      <c r="C70" s="43"/>
      <c r="D70" s="158"/>
    </row>
    <row r="71" spans="1:6" x14ac:dyDescent="0.2">
      <c r="A71" s="234"/>
      <c r="B71" s="206"/>
      <c r="C71" s="206"/>
      <c r="D71" s="206"/>
      <c r="F71" s="678"/>
    </row>
    <row r="72" spans="1:6" x14ac:dyDescent="0.2">
      <c r="A72" s="676" t="s">
        <v>104</v>
      </c>
      <c r="B72" s="536" t="str">
        <f t="shared" ref="B72:D73" si="0">B4</f>
        <v xml:space="preserve">Prior Year </v>
      </c>
      <c r="C72" s="677" t="str">
        <f t="shared" si="0"/>
        <v xml:space="preserve">Current Year </v>
      </c>
      <c r="D72" s="535" t="str">
        <f t="shared" si="0"/>
        <v xml:space="preserve">Proposed Budget </v>
      </c>
      <c r="F72" s="678"/>
    </row>
    <row r="73" spans="1:6" x14ac:dyDescent="0.2">
      <c r="A73" s="537" t="s">
        <v>368</v>
      </c>
      <c r="B73" s="236" t="str">
        <f t="shared" si="0"/>
        <v>Actual for 2013</v>
      </c>
      <c r="C73" s="236" t="str">
        <f t="shared" si="0"/>
        <v>Estimate for 2014</v>
      </c>
      <c r="D73" s="236" t="str">
        <f t="shared" si="0"/>
        <v>Year for 2015</v>
      </c>
    </row>
    <row r="74" spans="1:6" x14ac:dyDescent="0.2">
      <c r="A74" s="211" t="s">
        <v>116</v>
      </c>
      <c r="B74" s="77"/>
      <c r="C74" s="77"/>
      <c r="D74" s="77"/>
    </row>
    <row r="75" spans="1:6" x14ac:dyDescent="0.2">
      <c r="A75" s="264"/>
      <c r="B75" s="77"/>
      <c r="C75" s="77"/>
      <c r="D75" s="77"/>
    </row>
    <row r="76" spans="1:6" x14ac:dyDescent="0.2">
      <c r="A76" s="265" t="s">
        <v>124</v>
      </c>
      <c r="B76" s="244"/>
      <c r="C76" s="244"/>
      <c r="D76" s="244"/>
    </row>
    <row r="77" spans="1:6" x14ac:dyDescent="0.2">
      <c r="A77" s="265" t="s">
        <v>117</v>
      </c>
      <c r="B77" s="244"/>
      <c r="C77" s="244"/>
      <c r="D77" s="244"/>
    </row>
    <row r="78" spans="1:6" x14ac:dyDescent="0.2">
      <c r="A78" s="265" t="s">
        <v>118</v>
      </c>
      <c r="B78" s="244"/>
      <c r="C78" s="244"/>
      <c r="D78" s="244"/>
    </row>
    <row r="79" spans="1:6" x14ac:dyDescent="0.2">
      <c r="A79" s="265" t="s">
        <v>119</v>
      </c>
      <c r="B79" s="244"/>
      <c r="C79" s="244"/>
      <c r="D79" s="244"/>
    </row>
    <row r="80" spans="1:6" x14ac:dyDescent="0.2">
      <c r="A80" s="59"/>
      <c r="B80" s="244"/>
      <c r="C80" s="244"/>
      <c r="D80" s="244"/>
    </row>
    <row r="81" spans="1:4" x14ac:dyDescent="0.2">
      <c r="A81" s="211" t="s">
        <v>76</v>
      </c>
      <c r="B81" s="249">
        <f>SUM(B76:B80)</f>
        <v>0</v>
      </c>
      <c r="C81" s="249">
        <f>SUM(C76:C80)</f>
        <v>0</v>
      </c>
      <c r="D81" s="249">
        <f>SUM(D76:D80)</f>
        <v>0</v>
      </c>
    </row>
    <row r="82" spans="1:4" x14ac:dyDescent="0.2">
      <c r="A82" s="266"/>
      <c r="B82" s="182"/>
      <c r="C82" s="182"/>
      <c r="D82" s="182"/>
    </row>
    <row r="83" spans="1:4" x14ac:dyDescent="0.2">
      <c r="A83" s="265" t="s">
        <v>124</v>
      </c>
      <c r="B83" s="244"/>
      <c r="C83" s="244"/>
      <c r="D83" s="244"/>
    </row>
    <row r="84" spans="1:4" x14ac:dyDescent="0.2">
      <c r="A84" s="265" t="s">
        <v>117</v>
      </c>
      <c r="B84" s="244"/>
      <c r="C84" s="244"/>
      <c r="D84" s="244"/>
    </row>
    <row r="85" spans="1:4" x14ac:dyDescent="0.2">
      <c r="A85" s="265" t="s">
        <v>118</v>
      </c>
      <c r="B85" s="244"/>
      <c r="C85" s="244"/>
      <c r="D85" s="244"/>
    </row>
    <row r="86" spans="1:4" x14ac:dyDescent="0.2">
      <c r="A86" s="265" t="s">
        <v>119</v>
      </c>
      <c r="B86" s="244"/>
      <c r="C86" s="244"/>
      <c r="D86" s="244"/>
    </row>
    <row r="87" spans="1:4" x14ac:dyDescent="0.2">
      <c r="A87" s="265"/>
      <c r="B87" s="244"/>
      <c r="C87" s="244"/>
      <c r="D87" s="244"/>
    </row>
    <row r="88" spans="1:4" x14ac:dyDescent="0.2">
      <c r="A88" s="211" t="s">
        <v>76</v>
      </c>
      <c r="B88" s="249">
        <f>SUM(B83:B87)</f>
        <v>0</v>
      </c>
      <c r="C88" s="249">
        <f>SUM(C83:C87)</f>
        <v>0</v>
      </c>
      <c r="D88" s="249">
        <f>SUM(D83:D87)</f>
        <v>0</v>
      </c>
    </row>
    <row r="89" spans="1:4" x14ac:dyDescent="0.2">
      <c r="A89" s="266"/>
      <c r="B89" s="182"/>
      <c r="C89" s="182"/>
      <c r="D89" s="182"/>
    </row>
    <row r="90" spans="1:4" x14ac:dyDescent="0.2">
      <c r="A90" s="265" t="s">
        <v>124</v>
      </c>
      <c r="B90" s="244"/>
      <c r="C90" s="244"/>
      <c r="D90" s="244"/>
    </row>
    <row r="91" spans="1:4" x14ac:dyDescent="0.2">
      <c r="A91" s="265" t="s">
        <v>117</v>
      </c>
      <c r="B91" s="244"/>
      <c r="C91" s="244"/>
      <c r="D91" s="244"/>
    </row>
    <row r="92" spans="1:4" x14ac:dyDescent="0.2">
      <c r="A92" s="265" t="s">
        <v>118</v>
      </c>
      <c r="B92" s="244"/>
      <c r="C92" s="244"/>
      <c r="D92" s="244"/>
    </row>
    <row r="93" spans="1:4" x14ac:dyDescent="0.2">
      <c r="A93" s="265" t="s">
        <v>119</v>
      </c>
      <c r="B93" s="244"/>
      <c r="C93" s="244"/>
      <c r="D93" s="244"/>
    </row>
    <row r="94" spans="1:4" x14ac:dyDescent="0.2">
      <c r="A94" s="265"/>
      <c r="B94" s="244"/>
      <c r="C94" s="244"/>
      <c r="D94" s="244"/>
    </row>
    <row r="95" spans="1:4" x14ac:dyDescent="0.2">
      <c r="A95" s="211" t="s">
        <v>76</v>
      </c>
      <c r="B95" s="249">
        <f>SUM(B90:B94)</f>
        <v>0</v>
      </c>
      <c r="C95" s="249">
        <f>SUM(C90:C94)</f>
        <v>0</v>
      </c>
      <c r="D95" s="249">
        <f>SUM(D90:D94)</f>
        <v>0</v>
      </c>
    </row>
    <row r="96" spans="1:4" x14ac:dyDescent="0.2">
      <c r="A96" s="266"/>
      <c r="B96" s="182"/>
      <c r="C96" s="182"/>
      <c r="D96" s="182"/>
    </row>
    <row r="97" spans="1:4" x14ac:dyDescent="0.2">
      <c r="A97" s="265" t="s">
        <v>124</v>
      </c>
      <c r="B97" s="244"/>
      <c r="C97" s="244"/>
      <c r="D97" s="244"/>
    </row>
    <row r="98" spans="1:4" x14ac:dyDescent="0.2">
      <c r="A98" s="265" t="s">
        <v>117</v>
      </c>
      <c r="B98" s="244"/>
      <c r="C98" s="244"/>
      <c r="D98" s="244"/>
    </row>
    <row r="99" spans="1:4" x14ac:dyDescent="0.2">
      <c r="A99" s="265" t="s">
        <v>118</v>
      </c>
      <c r="B99" s="244"/>
      <c r="C99" s="244"/>
      <c r="D99" s="244"/>
    </row>
    <row r="100" spans="1:4" x14ac:dyDescent="0.2">
      <c r="A100" s="265" t="s">
        <v>119</v>
      </c>
      <c r="B100" s="244"/>
      <c r="C100" s="244"/>
      <c r="D100" s="244"/>
    </row>
    <row r="101" spans="1:4" x14ac:dyDescent="0.2">
      <c r="A101" s="211" t="s">
        <v>76</v>
      </c>
      <c r="B101" s="249">
        <f>SUM(B97:B100)</f>
        <v>0</v>
      </c>
      <c r="C101" s="249">
        <f>SUM(C97:C100)</f>
        <v>0</v>
      </c>
      <c r="D101" s="249">
        <f>SUM(D97:D100)</f>
        <v>0</v>
      </c>
    </row>
    <row r="102" spans="1:4" x14ac:dyDescent="0.2">
      <c r="A102" s="266"/>
      <c r="B102" s="182"/>
      <c r="C102" s="182"/>
      <c r="D102" s="182"/>
    </row>
    <row r="103" spans="1:4" x14ac:dyDescent="0.2">
      <c r="A103" s="265" t="s">
        <v>124</v>
      </c>
      <c r="B103" s="244"/>
      <c r="C103" s="244"/>
      <c r="D103" s="244"/>
    </row>
    <row r="104" spans="1:4" x14ac:dyDescent="0.2">
      <c r="A104" s="265" t="s">
        <v>117</v>
      </c>
      <c r="B104" s="244"/>
      <c r="C104" s="244"/>
      <c r="D104" s="244"/>
    </row>
    <row r="105" spans="1:4" x14ac:dyDescent="0.2">
      <c r="A105" s="265" t="s">
        <v>118</v>
      </c>
      <c r="B105" s="244"/>
      <c r="C105" s="244"/>
      <c r="D105" s="244"/>
    </row>
    <row r="106" spans="1:4" x14ac:dyDescent="0.2">
      <c r="A106" s="265" t="s">
        <v>119</v>
      </c>
      <c r="B106" s="244"/>
      <c r="C106" s="244"/>
      <c r="D106" s="244"/>
    </row>
    <row r="107" spans="1:4" x14ac:dyDescent="0.2">
      <c r="A107" s="265"/>
      <c r="B107" s="244"/>
      <c r="C107" s="244"/>
      <c r="D107" s="244"/>
    </row>
    <row r="108" spans="1:4" x14ac:dyDescent="0.2">
      <c r="A108" s="211" t="s">
        <v>76</v>
      </c>
      <c r="B108" s="249">
        <f>SUM(B103:B107)</f>
        <v>0</v>
      </c>
      <c r="C108" s="249">
        <f>SUM(C103:C107)</f>
        <v>0</v>
      </c>
      <c r="D108" s="249">
        <f>SUM(D103:D107)</f>
        <v>0</v>
      </c>
    </row>
    <row r="109" spans="1:4" x14ac:dyDescent="0.2">
      <c r="A109" s="266"/>
      <c r="B109" s="182"/>
      <c r="C109" s="182"/>
      <c r="D109" s="182"/>
    </row>
    <row r="110" spans="1:4" x14ac:dyDescent="0.2">
      <c r="A110" s="265" t="s">
        <v>124</v>
      </c>
      <c r="B110" s="244"/>
      <c r="C110" s="244"/>
      <c r="D110" s="244"/>
    </row>
    <row r="111" spans="1:4" x14ac:dyDescent="0.2">
      <c r="A111" s="265" t="s">
        <v>117</v>
      </c>
      <c r="B111" s="244"/>
      <c r="C111" s="244"/>
      <c r="D111" s="244"/>
    </row>
    <row r="112" spans="1:4" x14ac:dyDescent="0.2">
      <c r="A112" s="265" t="s">
        <v>118</v>
      </c>
      <c r="B112" s="244"/>
      <c r="C112" s="244"/>
      <c r="D112" s="244"/>
    </row>
    <row r="113" spans="1:4" x14ac:dyDescent="0.2">
      <c r="A113" s="265" t="s">
        <v>119</v>
      </c>
      <c r="B113" s="244"/>
      <c r="C113" s="244"/>
      <c r="D113" s="244"/>
    </row>
    <row r="114" spans="1:4" x14ac:dyDescent="0.2">
      <c r="A114" s="265"/>
      <c r="B114" s="244"/>
      <c r="C114" s="244"/>
      <c r="D114" s="244"/>
    </row>
    <row r="115" spans="1:4" x14ac:dyDescent="0.2">
      <c r="A115" s="211" t="s">
        <v>76</v>
      </c>
      <c r="B115" s="249">
        <f>SUM(B110:B114)</f>
        <v>0</v>
      </c>
      <c r="C115" s="249">
        <f>SUM(C110:C114)</f>
        <v>0</v>
      </c>
      <c r="D115" s="249">
        <f>SUM(D110:D114)</f>
        <v>0</v>
      </c>
    </row>
    <row r="116" spans="1:4" x14ac:dyDescent="0.2">
      <c r="A116" s="266"/>
      <c r="B116" s="182"/>
      <c r="C116" s="182"/>
      <c r="D116" s="182"/>
    </row>
    <row r="117" spans="1:4" x14ac:dyDescent="0.2">
      <c r="A117" s="265" t="s">
        <v>124</v>
      </c>
      <c r="B117" s="244"/>
      <c r="C117" s="244"/>
      <c r="D117" s="244"/>
    </row>
    <row r="118" spans="1:4" x14ac:dyDescent="0.2">
      <c r="A118" s="265" t="s">
        <v>117</v>
      </c>
      <c r="B118" s="244"/>
      <c r="C118" s="244"/>
      <c r="D118" s="244"/>
    </row>
    <row r="119" spans="1:4" x14ac:dyDescent="0.2">
      <c r="A119" s="265" t="s">
        <v>118</v>
      </c>
      <c r="B119" s="244"/>
      <c r="C119" s="244"/>
      <c r="D119" s="244"/>
    </row>
    <row r="120" spans="1:4" x14ac:dyDescent="0.2">
      <c r="A120" s="265" t="s">
        <v>119</v>
      </c>
      <c r="B120" s="244"/>
      <c r="C120" s="244"/>
      <c r="D120" s="244"/>
    </row>
    <row r="121" spans="1:4" x14ac:dyDescent="0.2">
      <c r="A121" s="265"/>
      <c r="B121" s="244"/>
      <c r="C121" s="244"/>
      <c r="D121" s="244"/>
    </row>
    <row r="122" spans="1:4" x14ac:dyDescent="0.2">
      <c r="A122" s="211" t="s">
        <v>76</v>
      </c>
      <c r="B122" s="249">
        <f>SUM(B117:B121)</f>
        <v>0</v>
      </c>
      <c r="C122" s="249">
        <f>SUM(C117:C121)</f>
        <v>0</v>
      </c>
      <c r="D122" s="249">
        <f>SUM(D117:D121)</f>
        <v>0</v>
      </c>
    </row>
    <row r="123" spans="1:4" x14ac:dyDescent="0.2">
      <c r="A123" s="266"/>
      <c r="B123" s="182"/>
      <c r="C123" s="182"/>
      <c r="D123" s="182"/>
    </row>
    <row r="124" spans="1:4" x14ac:dyDescent="0.2">
      <c r="A124" s="265" t="s">
        <v>124</v>
      </c>
      <c r="B124" s="244"/>
      <c r="C124" s="244"/>
      <c r="D124" s="244"/>
    </row>
    <row r="125" spans="1:4" x14ac:dyDescent="0.2">
      <c r="A125" s="265" t="s">
        <v>117</v>
      </c>
      <c r="B125" s="244"/>
      <c r="C125" s="244"/>
      <c r="D125" s="244"/>
    </row>
    <row r="126" spans="1:4" x14ac:dyDescent="0.2">
      <c r="A126" s="265" t="s">
        <v>118</v>
      </c>
      <c r="B126" s="244"/>
      <c r="C126" s="244"/>
      <c r="D126" s="244"/>
    </row>
    <row r="127" spans="1:4" x14ac:dyDescent="0.2">
      <c r="A127" s="265" t="s">
        <v>119</v>
      </c>
      <c r="B127" s="244"/>
      <c r="C127" s="244"/>
      <c r="D127" s="244"/>
    </row>
    <row r="128" spans="1:4" x14ac:dyDescent="0.2">
      <c r="A128" s="265"/>
      <c r="B128" s="244"/>
      <c r="C128" s="244"/>
      <c r="D128" s="244"/>
    </row>
    <row r="129" spans="1:4" x14ac:dyDescent="0.2">
      <c r="A129" s="211" t="s">
        <v>76</v>
      </c>
      <c r="B129" s="249">
        <f>SUM(B124:B128)</f>
        <v>0</v>
      </c>
      <c r="C129" s="249">
        <f>SUM(C124:C128)</f>
        <v>0</v>
      </c>
      <c r="D129" s="324">
        <f>SUM(D124:D128)</f>
        <v>0</v>
      </c>
    </row>
    <row r="130" spans="1:4" x14ac:dyDescent="0.2">
      <c r="A130" s="211"/>
      <c r="B130" s="182"/>
      <c r="C130" s="182"/>
      <c r="D130" s="182"/>
    </row>
    <row r="131" spans="1:4" x14ac:dyDescent="0.2">
      <c r="A131" s="55" t="s">
        <v>365</v>
      </c>
      <c r="B131" s="325">
        <f>B81+B88+B95+B101+B108+B115+B122+B129</f>
        <v>0</v>
      </c>
      <c r="C131" s="325">
        <f>C81+C88+C95+C101+C108+C115+C122+C129</f>
        <v>0</v>
      </c>
      <c r="D131" s="325">
        <f>D81+D88+D95+D101+D108+D115+D122+D129</f>
        <v>0</v>
      </c>
    </row>
    <row r="132" spans="1:4" x14ac:dyDescent="0.2">
      <c r="A132" s="211" t="s">
        <v>364</v>
      </c>
      <c r="B132" s="249">
        <f>B65</f>
        <v>401660</v>
      </c>
      <c r="C132" s="249">
        <f>C65</f>
        <v>450309</v>
      </c>
      <c r="D132" s="249">
        <f>D65</f>
        <v>508959</v>
      </c>
    </row>
    <row r="133" spans="1:4" ht="16.5" thickBot="1" x14ac:dyDescent="0.25">
      <c r="A133" s="211" t="s">
        <v>366</v>
      </c>
      <c r="B133" s="267">
        <f>SUM(B131:B132)</f>
        <v>401660</v>
      </c>
      <c r="C133" s="267">
        <f>SUM(C131:C132)</f>
        <v>450309</v>
      </c>
      <c r="D133" s="267">
        <f>SUM(D131:D132)</f>
        <v>508959</v>
      </c>
    </row>
    <row r="134" spans="1:4" ht="16.5" thickTop="1" x14ac:dyDescent="0.2">
      <c r="A134" s="268" t="s">
        <v>46</v>
      </c>
      <c r="B134" s="182"/>
      <c r="C134" s="182"/>
      <c r="D134" s="182"/>
    </row>
    <row r="135" spans="1:4" x14ac:dyDescent="0.2">
      <c r="A135" s="374" t="s">
        <v>123</v>
      </c>
      <c r="B135" s="182" t="str">
        <f>CONCATENATE("",general!C59,"c")</f>
        <v>8c</v>
      </c>
      <c r="C135" s="182"/>
      <c r="D135" s="182"/>
    </row>
  </sheetData>
  <phoneticPr fontId="0" type="noConversion"/>
  <pageMargins left="0.5" right="0.5" top="1" bottom="0.5" header="0.5" footer="0.5"/>
  <pageSetup scale="69" fitToHeight="2" orientation="portrait" blackAndWhite="1" horizontalDpi="300" verticalDpi="300" r:id="rId1"/>
  <headerFooter alignWithMargins="0">
    <oddHeader>&amp;RState of Kansas
City</oddHeader>
  </headerFooter>
  <rowBreaks count="3" manualBreakCount="3">
    <brk id="67" max="16383" man="1"/>
    <brk id="69" max="16383" man="1"/>
    <brk id="135" max="16383" man="1"/>
  </rowBreaks>
  <colBreaks count="3" manualBreakCount="3">
    <brk id="1" max="1048575" man="1"/>
    <brk id="2" max="1048575" man="1"/>
    <brk id="3" max="1048575"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97"/>
  <sheetViews>
    <sheetView topLeftCell="A47" zoomScaleNormal="100" workbookViewId="0">
      <selection activeCell="E65" sqref="E65"/>
    </sheetView>
  </sheetViews>
  <sheetFormatPr defaultRowHeight="15.75" x14ac:dyDescent="0.2"/>
  <cols>
    <col min="1" max="1" width="2.44140625" style="41" customWidth="1"/>
    <col min="2" max="2" width="31.109375" style="41" customWidth="1"/>
    <col min="3" max="4" width="15.77734375" style="41" customWidth="1"/>
    <col min="5" max="5" width="16.21875" style="41" customWidth="1"/>
    <col min="6" max="6" width="7.109375" style="41" customWidth="1"/>
    <col min="7" max="7" width="10.21875" style="41" customWidth="1"/>
    <col min="8" max="8" width="8.88671875" style="41"/>
    <col min="9" max="9" width="5" style="41" customWidth="1"/>
    <col min="10" max="10" width="10" style="41" customWidth="1"/>
    <col min="11" max="16384" width="8.88671875" style="41"/>
  </cols>
  <sheetData>
    <row r="1" spans="2:5" x14ac:dyDescent="0.2">
      <c r="B1" s="372" t="str">
        <f>inputPrYr!D2</f>
        <v>City of Frankfort</v>
      </c>
      <c r="C1" s="372"/>
      <c r="D1" s="358"/>
      <c r="E1" s="366">
        <f>inputPrYr!C5</f>
        <v>2015</v>
      </c>
    </row>
    <row r="2" spans="2:5" x14ac:dyDescent="0.2">
      <c r="B2" s="358"/>
      <c r="C2" s="358"/>
      <c r="D2" s="358"/>
      <c r="E2" s="374"/>
    </row>
    <row r="3" spans="2:5" x14ac:dyDescent="0.2">
      <c r="B3" s="361" t="s">
        <v>171</v>
      </c>
      <c r="C3" s="361"/>
      <c r="D3" s="375"/>
      <c r="E3" s="367"/>
    </row>
    <row r="4" spans="2:5" x14ac:dyDescent="0.2">
      <c r="B4" s="360" t="s">
        <v>104</v>
      </c>
      <c r="C4" s="673" t="s">
        <v>896</v>
      </c>
      <c r="D4" s="674" t="s">
        <v>897</v>
      </c>
      <c r="E4" s="132" t="s">
        <v>898</v>
      </c>
    </row>
    <row r="5" spans="2:5" x14ac:dyDescent="0.2">
      <c r="B5" s="401" t="s">
        <v>45</v>
      </c>
      <c r="C5" s="210" t="str">
        <f>CONCATENATE("Actual for ",E1-2,"")</f>
        <v>Actual for 2013</v>
      </c>
      <c r="D5" s="210" t="str">
        <f>CONCATENATE("Estimate for ",E1-1,"")</f>
        <v>Estimate for 2014</v>
      </c>
      <c r="E5" s="193" t="str">
        <f>CONCATENATE("Year for ",E1,"")</f>
        <v>Year for 2015</v>
      </c>
    </row>
    <row r="6" spans="2:5" x14ac:dyDescent="0.2">
      <c r="B6" s="368" t="s">
        <v>214</v>
      </c>
      <c r="C6" s="397"/>
      <c r="D6" s="396">
        <f>C34</f>
        <v>0</v>
      </c>
      <c r="E6" s="369">
        <f>D34</f>
        <v>0</v>
      </c>
    </row>
    <row r="7" spans="2:5" x14ac:dyDescent="0.2">
      <c r="B7" s="368" t="s">
        <v>216</v>
      </c>
      <c r="C7" s="370"/>
      <c r="D7" s="396"/>
      <c r="E7" s="369"/>
    </row>
    <row r="8" spans="2:5" x14ac:dyDescent="0.2">
      <c r="B8" s="368" t="s">
        <v>105</v>
      </c>
      <c r="C8" s="394"/>
      <c r="D8" s="396">
        <f>IF(inputPrYr!H16,inputPrYr!G18,inputPrYr!E18)</f>
        <v>0</v>
      </c>
      <c r="E8" s="383" t="s">
        <v>93</v>
      </c>
    </row>
    <row r="9" spans="2:5" x14ac:dyDescent="0.2">
      <c r="B9" s="368" t="s">
        <v>106</v>
      </c>
      <c r="C9" s="394"/>
      <c r="D9" s="398"/>
      <c r="E9" s="362"/>
    </row>
    <row r="10" spans="2:5" x14ac:dyDescent="0.2">
      <c r="B10" s="368" t="s">
        <v>107</v>
      </c>
      <c r="C10" s="394"/>
      <c r="D10" s="398"/>
      <c r="E10" s="369" t="str">
        <f>mvalloc!D8</f>
        <v xml:space="preserve">  </v>
      </c>
    </row>
    <row r="11" spans="2:5" x14ac:dyDescent="0.2">
      <c r="B11" s="368" t="s">
        <v>108</v>
      </c>
      <c r="C11" s="394"/>
      <c r="D11" s="398"/>
      <c r="E11" s="369" t="str">
        <f>mvalloc!E8</f>
        <v xml:space="preserve"> </v>
      </c>
    </row>
    <row r="12" spans="2:5" x14ac:dyDescent="0.2">
      <c r="B12" s="371" t="s">
        <v>203</v>
      </c>
      <c r="C12" s="394"/>
      <c r="D12" s="398"/>
      <c r="E12" s="369" t="str">
        <f>mvalloc!F8</f>
        <v xml:space="preserve"> </v>
      </c>
    </row>
    <row r="13" spans="2:5" x14ac:dyDescent="0.2">
      <c r="B13" s="385"/>
      <c r="C13" s="394"/>
      <c r="D13" s="398"/>
      <c r="E13" s="362"/>
    </row>
    <row r="14" spans="2:5" x14ac:dyDescent="0.2">
      <c r="B14" s="385"/>
      <c r="C14" s="394"/>
      <c r="D14" s="398"/>
      <c r="E14" s="362"/>
    </row>
    <row r="15" spans="2:5" x14ac:dyDescent="0.2">
      <c r="B15" s="385"/>
      <c r="C15" s="394"/>
      <c r="D15" s="398"/>
      <c r="E15" s="362"/>
    </row>
    <row r="16" spans="2:5" x14ac:dyDescent="0.2">
      <c r="B16" s="385"/>
      <c r="C16" s="394"/>
      <c r="D16" s="398"/>
      <c r="E16" s="362"/>
    </row>
    <row r="17" spans="2:10" x14ac:dyDescent="0.2">
      <c r="B17" s="380" t="s">
        <v>112</v>
      </c>
      <c r="C17" s="394"/>
      <c r="D17" s="398"/>
      <c r="E17" s="362"/>
      <c r="F17" s="357"/>
      <c r="G17" s="357"/>
      <c r="H17" s="357"/>
      <c r="I17" s="357"/>
    </row>
    <row r="18" spans="2:10" x14ac:dyDescent="0.2">
      <c r="B18" s="368" t="s">
        <v>14</v>
      </c>
      <c r="C18" s="241"/>
      <c r="D18" s="241"/>
      <c r="E18" s="57"/>
      <c r="F18" s="357"/>
      <c r="G18" s="357"/>
      <c r="H18" s="357"/>
      <c r="I18" s="357"/>
    </row>
    <row r="19" spans="2:10" x14ac:dyDescent="0.2">
      <c r="B19" s="368" t="s">
        <v>736</v>
      </c>
      <c r="C19" s="246" t="str">
        <f>IF(C20*0.1&lt;C18,"Exceed 10% Rule","")</f>
        <v/>
      </c>
      <c r="D19" s="246" t="str">
        <f>IF(D20*0.1&lt;D18,"Exceed 10% Rule","")</f>
        <v/>
      </c>
      <c r="E19" s="276" t="str">
        <f>IF(E20*0.1+E40&lt;E18,"Exceed 10% Rule","")</f>
        <v/>
      </c>
      <c r="F19" s="357"/>
      <c r="G19" s="357"/>
      <c r="H19" s="357"/>
      <c r="I19" s="357"/>
    </row>
    <row r="20" spans="2:10" x14ac:dyDescent="0.2">
      <c r="B20" s="377" t="s">
        <v>113</v>
      </c>
      <c r="C20" s="399">
        <f>SUM(C8:C18)</f>
        <v>0</v>
      </c>
      <c r="D20" s="399">
        <f>SUM(D8:D18)</f>
        <v>0</v>
      </c>
      <c r="E20" s="386">
        <f>SUM(E9:E18)</f>
        <v>0</v>
      </c>
      <c r="F20" s="357"/>
      <c r="G20" s="357"/>
      <c r="H20" s="357"/>
      <c r="I20" s="357"/>
    </row>
    <row r="21" spans="2:10" x14ac:dyDescent="0.2">
      <c r="B21" s="377" t="s">
        <v>114</v>
      </c>
      <c r="C21" s="399">
        <f>SUM(C6+C20)</f>
        <v>0</v>
      </c>
      <c r="D21" s="399">
        <f>SUM(D6+D20)</f>
        <v>0</v>
      </c>
      <c r="E21" s="386">
        <f>SUM(E6+E20)</f>
        <v>0</v>
      </c>
      <c r="F21" s="357"/>
      <c r="G21" s="357"/>
      <c r="H21" s="357"/>
      <c r="I21" s="357"/>
    </row>
    <row r="22" spans="2:10" x14ac:dyDescent="0.2">
      <c r="B22" s="368" t="s">
        <v>116</v>
      </c>
      <c r="C22" s="368"/>
      <c r="D22" s="396"/>
      <c r="E22" s="369"/>
      <c r="F22" s="357"/>
      <c r="G22" s="357"/>
      <c r="H22" s="357"/>
      <c r="I22" s="357"/>
    </row>
    <row r="23" spans="2:10" x14ac:dyDescent="0.2">
      <c r="B23" s="385"/>
      <c r="C23" s="461"/>
      <c r="D23" s="398"/>
      <c r="E23" s="362"/>
      <c r="F23" s="357"/>
      <c r="G23" s="357"/>
      <c r="H23" s="357"/>
      <c r="I23" s="357"/>
    </row>
    <row r="24" spans="2:10" x14ac:dyDescent="0.2">
      <c r="B24" s="385"/>
      <c r="C24" s="461"/>
      <c r="D24" s="398"/>
      <c r="E24" s="362"/>
      <c r="F24" s="357"/>
      <c r="G24" s="823" t="str">
        <f>CONCATENATE("Desired Carryover Into ",E1+1,"")</f>
        <v>Desired Carryover Into 2016</v>
      </c>
      <c r="H24" s="818"/>
      <c r="I24" s="818"/>
      <c r="J24" s="819"/>
    </row>
    <row r="25" spans="2:10" x14ac:dyDescent="0.2">
      <c r="B25" s="385"/>
      <c r="C25" s="461"/>
      <c r="D25" s="398"/>
      <c r="E25" s="362"/>
      <c r="F25" s="357"/>
      <c r="G25" s="614"/>
      <c r="H25" s="615"/>
      <c r="I25" s="616"/>
      <c r="J25" s="617"/>
    </row>
    <row r="26" spans="2:10" x14ac:dyDescent="0.2">
      <c r="B26" s="385"/>
      <c r="C26" s="461"/>
      <c r="D26" s="398"/>
      <c r="E26" s="362"/>
      <c r="F26" s="357"/>
      <c r="G26" s="618" t="s">
        <v>724</v>
      </c>
      <c r="H26" s="616"/>
      <c r="I26" s="616"/>
      <c r="J26" s="619">
        <v>0</v>
      </c>
    </row>
    <row r="27" spans="2:10" x14ac:dyDescent="0.2">
      <c r="B27" s="385"/>
      <c r="C27" s="461"/>
      <c r="D27" s="398"/>
      <c r="E27" s="362"/>
      <c r="F27" s="357"/>
      <c r="G27" s="614" t="s">
        <v>725</v>
      </c>
      <c r="H27" s="615"/>
      <c r="I27" s="615"/>
      <c r="J27" s="620" t="str">
        <f>IF(J26=0,"",ROUND((J26+E40-G39)/inputOth!E7*1000,3)-G44)</f>
        <v/>
      </c>
    </row>
    <row r="28" spans="2:10" x14ac:dyDescent="0.2">
      <c r="B28" s="385"/>
      <c r="C28" s="461"/>
      <c r="D28" s="398"/>
      <c r="E28" s="362"/>
      <c r="F28" s="357"/>
      <c r="G28" s="621" t="str">
        <f>CONCATENATE("",E1," Tot Exp/Non-Appr Must Be:")</f>
        <v>2015 Tot Exp/Non-Appr Must Be:</v>
      </c>
      <c r="H28" s="622"/>
      <c r="I28" s="623"/>
      <c r="J28" s="624">
        <f>IF(J26&gt;0,IF(E37&lt;E21,IF(J26=G39,E37,((J26-G39)*(1-D39))+E21),E37+(J26-G39)),0)</f>
        <v>0</v>
      </c>
    </row>
    <row r="29" spans="2:10" x14ac:dyDescent="0.2">
      <c r="B29" s="385"/>
      <c r="C29" s="461"/>
      <c r="D29" s="398"/>
      <c r="E29" s="362"/>
      <c r="F29" s="357"/>
      <c r="G29" s="625" t="s">
        <v>838</v>
      </c>
      <c r="H29" s="626"/>
      <c r="I29" s="626"/>
      <c r="J29" s="627">
        <f>IF(J26&gt;0,J28-E37,0)</f>
        <v>0</v>
      </c>
    </row>
    <row r="30" spans="2:10" x14ac:dyDescent="0.2">
      <c r="B30" s="382" t="s">
        <v>13</v>
      </c>
      <c r="C30" s="461"/>
      <c r="D30" s="398"/>
      <c r="E30" s="369" t="str">
        <f>nhood!E7</f>
        <v/>
      </c>
      <c r="F30" s="357"/>
      <c r="G30" s="357"/>
      <c r="H30" s="357"/>
      <c r="I30" s="357"/>
    </row>
    <row r="31" spans="2:10" x14ac:dyDescent="0.2">
      <c r="B31" s="382" t="s">
        <v>14</v>
      </c>
      <c r="C31" s="461"/>
      <c r="D31" s="398"/>
      <c r="E31" s="362"/>
      <c r="F31" s="357"/>
      <c r="G31" s="822" t="str">
        <f>CONCATENATE("Projected Carryover Into ",E1+1,"")</f>
        <v>Projected Carryover Into 2016</v>
      </c>
      <c r="H31" s="818"/>
      <c r="I31" s="818"/>
      <c r="J31" s="819"/>
    </row>
    <row r="32" spans="2:10" x14ac:dyDescent="0.2">
      <c r="B32" s="382" t="s">
        <v>738</v>
      </c>
      <c r="C32" s="246" t="str">
        <f>IF(C33*0.1&lt;C31,"Exceed 10% Rule","")</f>
        <v/>
      </c>
      <c r="D32" s="246" t="str">
        <f>IF(D33*0.1&lt;D31,"Exceed 10% Rule","")</f>
        <v/>
      </c>
      <c r="E32" s="276" t="str">
        <f>IF(E33*0.1&lt;E31,"Exceed 10% Rule","")</f>
        <v/>
      </c>
      <c r="F32" s="357"/>
      <c r="G32" s="387"/>
      <c r="H32" s="505"/>
      <c r="I32" s="505"/>
      <c r="J32" s="611"/>
    </row>
    <row r="33" spans="2:10" x14ac:dyDescent="0.2">
      <c r="B33" s="377" t="s">
        <v>120</v>
      </c>
      <c r="C33" s="395">
        <f>SUM(C23:C31)</f>
        <v>0</v>
      </c>
      <c r="D33" s="395">
        <f>SUM(D23:D31)</f>
        <v>0</v>
      </c>
      <c r="E33" s="381">
        <f>SUM(E23:E31)</f>
        <v>0</v>
      </c>
      <c r="F33" s="357"/>
      <c r="G33" s="391">
        <f>D34</f>
        <v>0</v>
      </c>
      <c r="H33" s="393" t="str">
        <f>CONCATENATE("",E1-1," Ending Cash Balance (est.)")</f>
        <v>2014 Ending Cash Balance (est.)</v>
      </c>
      <c r="I33" s="388"/>
      <c r="J33" s="611"/>
    </row>
    <row r="34" spans="2:10" x14ac:dyDescent="0.2">
      <c r="B34" s="368" t="s">
        <v>215</v>
      </c>
      <c r="C34" s="400">
        <f>SUM(C21-C33)</f>
        <v>0</v>
      </c>
      <c r="D34" s="400">
        <f>SUM(D21-D33)</f>
        <v>0</v>
      </c>
      <c r="E34" s="383" t="s">
        <v>93</v>
      </c>
      <c r="F34" s="357"/>
      <c r="G34" s="391">
        <f>E20</f>
        <v>0</v>
      </c>
      <c r="H34" s="392" t="str">
        <f>CONCATENATE("",E1," Non-AV Receipts (est.)")</f>
        <v>2015 Non-AV Receipts (est.)</v>
      </c>
      <c r="I34" s="505"/>
      <c r="J34" s="611"/>
    </row>
    <row r="35" spans="2:10" x14ac:dyDescent="0.2">
      <c r="B35" s="706" t="str">
        <f>CONCATENATE("",E1-2,"/",E1-1,"/",E1," Budget Authority Amount:")</f>
        <v>2013/2014/2015 Budget Authority Amount:</v>
      </c>
      <c r="C35" s="705">
        <f>inputOth!B61</f>
        <v>0</v>
      </c>
      <c r="D35" s="704">
        <f>inputPrYr!D18</f>
        <v>0</v>
      </c>
      <c r="E35" s="369">
        <f>E33</f>
        <v>0</v>
      </c>
      <c r="F35" s="378"/>
      <c r="G35" s="390">
        <f>IF(E39&gt;0,E38,E40)</f>
        <v>0</v>
      </c>
      <c r="H35" s="392" t="str">
        <f>CONCATENATE("",E1," Ad Valorem Tax (est.)")</f>
        <v>2015 Ad Valorem Tax (est.)</v>
      </c>
      <c r="I35" s="505"/>
      <c r="J35" s="611"/>
    </row>
    <row r="36" spans="2:10" x14ac:dyDescent="0.2">
      <c r="B36" s="373"/>
      <c r="C36" s="812" t="s">
        <v>624</v>
      </c>
      <c r="D36" s="813"/>
      <c r="E36" s="57"/>
      <c r="F36" s="406" t="str">
        <f>IF(E33/0.95-E33&lt;E36,"Exceeds 5%","")</f>
        <v/>
      </c>
      <c r="G36" s="391">
        <f>SUM(G33:G35)</f>
        <v>0</v>
      </c>
      <c r="H36" s="392" t="str">
        <f>CONCATENATE("Total ",E1," Resources Available")</f>
        <v>Total 2015 Resources Available</v>
      </c>
      <c r="I36" s="388"/>
      <c r="J36" s="611"/>
    </row>
    <row r="37" spans="2:10" x14ac:dyDescent="0.2">
      <c r="B37" s="498" t="str">
        <f>CONCATENATE(C93,"     ",D93)</f>
        <v xml:space="preserve">     </v>
      </c>
      <c r="C37" s="814" t="s">
        <v>625</v>
      </c>
      <c r="D37" s="815"/>
      <c r="E37" s="369">
        <f>SUM(E33+E36)</f>
        <v>0</v>
      </c>
      <c r="F37" s="357"/>
      <c r="G37" s="389"/>
      <c r="H37" s="392"/>
      <c r="I37" s="505"/>
      <c r="J37" s="611"/>
    </row>
    <row r="38" spans="2:10" x14ac:dyDescent="0.2">
      <c r="B38" s="498" t="str">
        <f>CONCATENATE(C94,"     ",D94)</f>
        <v xml:space="preserve">     </v>
      </c>
      <c r="C38" s="379"/>
      <c r="D38" s="374" t="s">
        <v>121</v>
      </c>
      <c r="E38" s="363">
        <f>IF(E37-E21&gt;0,E37-E21,0)</f>
        <v>0</v>
      </c>
      <c r="F38" s="357"/>
      <c r="G38" s="390">
        <f>C33</f>
        <v>0</v>
      </c>
      <c r="H38" s="392" t="str">
        <f>CONCATENATE("Less ",E1-2," Expenditures")</f>
        <v>Less 2013 Expenditures</v>
      </c>
      <c r="I38" s="505"/>
      <c r="J38" s="611"/>
    </row>
    <row r="39" spans="2:10" x14ac:dyDescent="0.2">
      <c r="B39" s="374"/>
      <c r="C39" s="356" t="s">
        <v>623</v>
      </c>
      <c r="D39" s="687">
        <f>inputOth!$E$47</f>
        <v>0</v>
      </c>
      <c r="E39" s="369">
        <f>ROUND(IF(D39&gt;0,(E38*D39),0),0)</f>
        <v>0</v>
      </c>
      <c r="F39" s="357"/>
      <c r="G39" s="608">
        <f>SUM(G36-G38)</f>
        <v>0</v>
      </c>
      <c r="H39" s="609" t="str">
        <f>CONCATENATE("Projected ",E1+1," carryover (est.)")</f>
        <v>Projected 2016 carryover (est.)</v>
      </c>
      <c r="I39" s="610"/>
      <c r="J39" s="596"/>
    </row>
    <row r="40" spans="2:10" ht="16.5" thickBot="1" x14ac:dyDescent="0.25">
      <c r="B40" s="358"/>
      <c r="C40" s="820" t="str">
        <f>CONCATENATE("Amount of  ",E1-1," Ad Valorem Tax")</f>
        <v>Amount of  2014 Ad Valorem Tax</v>
      </c>
      <c r="D40" s="821"/>
      <c r="E40" s="612">
        <f>SUM(E38:E39)</f>
        <v>0</v>
      </c>
      <c r="F40" s="357"/>
    </row>
    <row r="41" spans="2:10" ht="16.5" thickTop="1" x14ac:dyDescent="0.2">
      <c r="B41" s="358"/>
      <c r="C41" s="574"/>
      <c r="D41" s="364"/>
      <c r="E41" s="364"/>
      <c r="F41" s="357"/>
      <c r="G41" s="806" t="s">
        <v>837</v>
      </c>
      <c r="H41" s="807"/>
      <c r="I41" s="807"/>
      <c r="J41" s="808"/>
    </row>
    <row r="42" spans="2:10" x14ac:dyDescent="0.2">
      <c r="B42" s="360"/>
      <c r="C42" s="360"/>
      <c r="D42" s="375"/>
      <c r="E42" s="375"/>
      <c r="F42" s="357"/>
      <c r="G42" s="597"/>
      <c r="H42" s="598"/>
      <c r="I42" s="599"/>
      <c r="J42" s="600"/>
    </row>
    <row r="43" spans="2:10" x14ac:dyDescent="0.2">
      <c r="B43" s="360" t="s">
        <v>104</v>
      </c>
      <c r="C43" s="673" t="s">
        <v>896</v>
      </c>
      <c r="D43" s="674" t="s">
        <v>897</v>
      </c>
      <c r="E43" s="132" t="s">
        <v>898</v>
      </c>
      <c r="F43" s="357"/>
      <c r="G43" s="601" t="str">
        <f>summ!H16</f>
        <v xml:space="preserve">  </v>
      </c>
      <c r="H43" s="598" t="str">
        <f>CONCATENATE("",E1," Fund Mill Rate")</f>
        <v>2015 Fund Mill Rate</v>
      </c>
      <c r="I43" s="599"/>
      <c r="J43" s="600"/>
    </row>
    <row r="44" spans="2:10" x14ac:dyDescent="0.2">
      <c r="B44" s="402" t="str">
        <f>inputPrYr!B19</f>
        <v>Library</v>
      </c>
      <c r="C44" s="210" t="str">
        <f>CONCATENATE("Actual for ",E1-2,"")</f>
        <v>Actual for 2013</v>
      </c>
      <c r="D44" s="210" t="str">
        <f>CONCATENATE("Estimate for ",E1-1,"")</f>
        <v>Estimate for 2014</v>
      </c>
      <c r="E44" s="193" t="str">
        <f>CONCATENATE("Year for ",E1,"")</f>
        <v>Year for 2015</v>
      </c>
      <c r="F44" s="357"/>
      <c r="G44" s="602" t="str">
        <f>summ!E16</f>
        <v xml:space="preserve">  </v>
      </c>
      <c r="H44" s="598" t="str">
        <f>CONCATENATE("",E1-1," Fund Mill Rate")</f>
        <v>2014 Fund Mill Rate</v>
      </c>
      <c r="I44" s="599"/>
      <c r="J44" s="600"/>
    </row>
    <row r="45" spans="2:10" x14ac:dyDescent="0.2">
      <c r="B45" s="368" t="s">
        <v>214</v>
      </c>
      <c r="C45" s="394">
        <v>0</v>
      </c>
      <c r="D45" s="396">
        <f>C74</f>
        <v>0</v>
      </c>
      <c r="E45" s="369">
        <f>D74</f>
        <v>0</v>
      </c>
      <c r="F45" s="357"/>
      <c r="G45" s="603">
        <f>summ!H27</f>
        <v>71.552999999999997</v>
      </c>
      <c r="H45" s="598" t="str">
        <f>CONCATENATE("Total ",E1," Mill Rate")</f>
        <v>Total 2015 Mill Rate</v>
      </c>
      <c r="I45" s="599"/>
      <c r="J45" s="600"/>
    </row>
    <row r="46" spans="2:10" x14ac:dyDescent="0.2">
      <c r="B46" s="376" t="s">
        <v>216</v>
      </c>
      <c r="C46" s="368"/>
      <c r="D46" s="396"/>
      <c r="E46" s="369"/>
      <c r="F46" s="357"/>
      <c r="G46" s="602">
        <f>summ!E27</f>
        <v>71.078000000000003</v>
      </c>
      <c r="H46" s="604" t="str">
        <f>CONCATENATE("Total ",E1-1," Mill Rate")</f>
        <v>Total 2014 Mill Rate</v>
      </c>
      <c r="I46" s="605"/>
      <c r="J46" s="606"/>
    </row>
    <row r="47" spans="2:10" x14ac:dyDescent="0.2">
      <c r="B47" s="368" t="s">
        <v>105</v>
      </c>
      <c r="C47" s="394">
        <v>38119</v>
      </c>
      <c r="D47" s="396">
        <f>IF(inputPrYr!H16&gt;0,inputPrYr!G19,inputPrYr!E19)</f>
        <v>38049</v>
      </c>
      <c r="E47" s="383" t="s">
        <v>93</v>
      </c>
      <c r="F47" s="357"/>
      <c r="G47" s="357"/>
      <c r="H47" s="357"/>
      <c r="I47" s="357"/>
    </row>
    <row r="48" spans="2:10" x14ac:dyDescent="0.2">
      <c r="B48" s="368" t="s">
        <v>106</v>
      </c>
      <c r="C48" s="394">
        <v>952</v>
      </c>
      <c r="D48" s="398">
        <v>0</v>
      </c>
      <c r="E48" s="362"/>
      <c r="F48" s="357"/>
      <c r="G48" s="731" t="s">
        <v>975</v>
      </c>
      <c r="H48" s="702"/>
      <c r="I48" s="701" t="str">
        <f>cert!F34</f>
        <v>No</v>
      </c>
    </row>
    <row r="49" spans="2:10" x14ac:dyDescent="0.2">
      <c r="B49" s="368" t="s">
        <v>107</v>
      </c>
      <c r="C49" s="394">
        <v>8120</v>
      </c>
      <c r="D49" s="398">
        <v>8660</v>
      </c>
      <c r="E49" s="369">
        <f>mvalloc!D9</f>
        <v>8260</v>
      </c>
      <c r="F49" s="357"/>
      <c r="G49" s="357"/>
      <c r="H49" s="357"/>
      <c r="I49" s="357"/>
    </row>
    <row r="50" spans="2:10" x14ac:dyDescent="0.2">
      <c r="B50" s="368" t="s">
        <v>108</v>
      </c>
      <c r="C50" s="394">
        <v>103</v>
      </c>
      <c r="D50" s="398">
        <v>126</v>
      </c>
      <c r="E50" s="369">
        <f>mvalloc!E9</f>
        <v>128</v>
      </c>
      <c r="F50" s="357"/>
      <c r="G50" s="357"/>
      <c r="H50" s="357"/>
      <c r="I50" s="357"/>
    </row>
    <row r="51" spans="2:10" x14ac:dyDescent="0.2">
      <c r="B51" s="371" t="s">
        <v>203</v>
      </c>
      <c r="C51" s="394">
        <v>529</v>
      </c>
      <c r="D51" s="398">
        <v>689</v>
      </c>
      <c r="E51" s="369">
        <f>mvalloc!F9</f>
        <v>488</v>
      </c>
    </row>
    <row r="52" spans="2:10" x14ac:dyDescent="0.2">
      <c r="B52" s="362" t="s">
        <v>1022</v>
      </c>
      <c r="C52" s="394">
        <v>-1096</v>
      </c>
      <c r="D52" s="398">
        <v>-927</v>
      </c>
      <c r="E52" s="362"/>
    </row>
    <row r="53" spans="2:10" x14ac:dyDescent="0.2">
      <c r="B53" s="362"/>
      <c r="C53" s="394"/>
      <c r="D53" s="398"/>
      <c r="E53" s="362"/>
    </row>
    <row r="54" spans="2:10" x14ac:dyDescent="0.2">
      <c r="B54" s="362"/>
      <c r="C54" s="394"/>
      <c r="D54" s="398"/>
      <c r="E54" s="362"/>
    </row>
    <row r="55" spans="2:10" x14ac:dyDescent="0.2">
      <c r="B55" s="385"/>
      <c r="C55" s="394"/>
      <c r="D55" s="398"/>
      <c r="E55" s="362"/>
    </row>
    <row r="56" spans="2:10" x14ac:dyDescent="0.2">
      <c r="B56" s="385"/>
      <c r="C56" s="394"/>
      <c r="D56" s="398"/>
      <c r="E56" s="362"/>
    </row>
    <row r="57" spans="2:10" x14ac:dyDescent="0.2">
      <c r="B57" s="380" t="s">
        <v>112</v>
      </c>
      <c r="C57" s="394"/>
      <c r="D57" s="398"/>
      <c r="E57" s="362"/>
    </row>
    <row r="58" spans="2:10" x14ac:dyDescent="0.2">
      <c r="B58" s="368" t="s">
        <v>14</v>
      </c>
      <c r="C58" s="394"/>
      <c r="D58" s="241"/>
      <c r="E58" s="57"/>
    </row>
    <row r="59" spans="2:10" x14ac:dyDescent="0.2">
      <c r="B59" s="368" t="s">
        <v>736</v>
      </c>
      <c r="C59" s="246" t="str">
        <f>IF(C60*0.1&lt;C58,"Exceed 10% Rule","")</f>
        <v/>
      </c>
      <c r="D59" s="246" t="str">
        <f>IF(D60*0.1&lt;D58,"Exceed 10% Rule","")</f>
        <v/>
      </c>
      <c r="E59" s="276" t="str">
        <f>IF(E60*0.1+E80&lt;E58,"Exceed 10% Rule","")</f>
        <v/>
      </c>
    </row>
    <row r="60" spans="2:10" x14ac:dyDescent="0.2">
      <c r="B60" s="377" t="s">
        <v>113</v>
      </c>
      <c r="C60" s="395">
        <f>SUM(C47:C58)</f>
        <v>46727</v>
      </c>
      <c r="D60" s="395">
        <f>SUM(D47:D58)</f>
        <v>46597</v>
      </c>
      <c r="E60" s="381">
        <f>SUM(E48:E58)</f>
        <v>8876</v>
      </c>
    </row>
    <row r="61" spans="2:10" x14ac:dyDescent="0.2">
      <c r="B61" s="377" t="s">
        <v>114</v>
      </c>
      <c r="C61" s="395">
        <f>SUM(C45+C60)</f>
        <v>46727</v>
      </c>
      <c r="D61" s="395">
        <f>SUM(D45+D60)</f>
        <v>46597</v>
      </c>
      <c r="E61" s="381">
        <f>SUM(E45+E60)</f>
        <v>8876</v>
      </c>
    </row>
    <row r="62" spans="2:10" x14ac:dyDescent="0.2">
      <c r="B62" s="368" t="s">
        <v>116</v>
      </c>
      <c r="C62" s="368"/>
      <c r="D62" s="396"/>
      <c r="E62" s="369"/>
    </row>
    <row r="63" spans="2:10" x14ac:dyDescent="0.2">
      <c r="B63" s="385"/>
      <c r="C63" s="394"/>
      <c r="D63" s="398"/>
      <c r="E63" s="362"/>
    </row>
    <row r="64" spans="2:10" x14ac:dyDescent="0.25">
      <c r="B64" s="385" t="s">
        <v>1021</v>
      </c>
      <c r="C64" s="394">
        <v>46727</v>
      </c>
      <c r="D64" s="398">
        <v>46597</v>
      </c>
      <c r="E64" s="362">
        <v>46460</v>
      </c>
      <c r="F64" s="2"/>
      <c r="G64" s="823" t="str">
        <f>CONCATENATE("Desired Carryover Into ",E1+1,"")</f>
        <v>Desired Carryover Into 2016</v>
      </c>
      <c r="H64" s="818"/>
      <c r="I64" s="818"/>
      <c r="J64" s="819"/>
    </row>
    <row r="65" spans="2:11" x14ac:dyDescent="0.25">
      <c r="B65" s="385"/>
      <c r="C65" s="394"/>
      <c r="D65" s="398"/>
      <c r="E65" s="362"/>
      <c r="F65" s="2"/>
      <c r="G65" s="614"/>
      <c r="H65" s="615"/>
      <c r="I65" s="616"/>
      <c r="J65" s="617"/>
    </row>
    <row r="66" spans="2:11" x14ac:dyDescent="0.25">
      <c r="B66" s="385"/>
      <c r="C66" s="394"/>
      <c r="D66" s="398"/>
      <c r="E66" s="362"/>
      <c r="F66" s="2"/>
      <c r="G66" s="618" t="s">
        <v>724</v>
      </c>
      <c r="H66" s="616"/>
      <c r="I66" s="616"/>
      <c r="J66" s="619">
        <v>0</v>
      </c>
    </row>
    <row r="67" spans="2:11" x14ac:dyDescent="0.25">
      <c r="B67" s="385"/>
      <c r="C67" s="394"/>
      <c r="D67" s="398"/>
      <c r="E67" s="362"/>
      <c r="F67" s="2"/>
      <c r="G67" s="614" t="s">
        <v>725</v>
      </c>
      <c r="H67" s="615"/>
      <c r="I67" s="615"/>
      <c r="J67" s="620" t="str">
        <f>IF(J66=0,"",ROUND((J66+E80-G79)/inputOth!E7*1000,3)-G84)</f>
        <v/>
      </c>
    </row>
    <row r="68" spans="2:11" x14ac:dyDescent="0.25">
      <c r="B68" s="385"/>
      <c r="C68" s="394"/>
      <c r="D68" s="398"/>
      <c r="E68" s="362"/>
      <c r="F68" s="2"/>
      <c r="G68" s="621" t="str">
        <f>CONCATENATE("",E1," Tot Exp/Non-Appr Must Be:")</f>
        <v>2015 Tot Exp/Non-Appr Must Be:</v>
      </c>
      <c r="H68" s="622"/>
      <c r="I68" s="623"/>
      <c r="J68" s="624">
        <f>IF(J66&gt;0,IF(E77&lt;E61,IF(J66=G79,E77,((J66-G79)*(1-D79))+E61),E77+(J66-G79)),0)</f>
        <v>0</v>
      </c>
    </row>
    <row r="69" spans="2:11" x14ac:dyDescent="0.25">
      <c r="B69" s="385"/>
      <c r="C69" s="394"/>
      <c r="D69" s="398"/>
      <c r="E69" s="362"/>
      <c r="F69" s="2"/>
      <c r="G69" s="625" t="s">
        <v>838</v>
      </c>
      <c r="H69" s="626"/>
      <c r="I69" s="626"/>
      <c r="J69" s="627">
        <f>IF(J66&gt;0,J68-E77,0)</f>
        <v>0</v>
      </c>
    </row>
    <row r="70" spans="2:11" x14ac:dyDescent="0.25">
      <c r="B70" s="371" t="s">
        <v>13</v>
      </c>
      <c r="C70" s="394"/>
      <c r="D70" s="398"/>
      <c r="E70" s="369">
        <f>nhood!E8</f>
        <v>1006</v>
      </c>
      <c r="F70"/>
      <c r="G70" s="2"/>
      <c r="H70" s="2"/>
      <c r="I70" s="2"/>
      <c r="J70" s="2"/>
    </row>
    <row r="71" spans="2:11" x14ac:dyDescent="0.2">
      <c r="B71" s="371" t="s">
        <v>14</v>
      </c>
      <c r="C71" s="461"/>
      <c r="D71" s="398"/>
      <c r="E71" s="362"/>
      <c r="F71"/>
      <c r="G71" s="823" t="str">
        <f>CONCATENATE("Projected Carryover Into ",E1+1,"")</f>
        <v>Projected Carryover Into 2016</v>
      </c>
      <c r="H71" s="824"/>
      <c r="I71" s="824"/>
      <c r="J71" s="825"/>
    </row>
    <row r="72" spans="2:11" x14ac:dyDescent="0.25">
      <c r="B72" s="371" t="s">
        <v>737</v>
      </c>
      <c r="C72" s="246" t="str">
        <f>IF(C73*0.1&lt;C71,"Exceed 10% Rule","")</f>
        <v/>
      </c>
      <c r="D72" s="246" t="str">
        <f>IF(D73*0.1&lt;D71,"Exceed 10% Rule","")</f>
        <v/>
      </c>
      <c r="E72" s="276" t="str">
        <f>IF(E73*0.1&lt;E71,"Exceed 10% Rule","")</f>
        <v/>
      </c>
      <c r="F72"/>
      <c r="G72" s="628"/>
      <c r="H72" s="615"/>
      <c r="I72" s="615"/>
      <c r="J72" s="629"/>
    </row>
    <row r="73" spans="2:11" x14ac:dyDescent="0.25">
      <c r="B73" s="377" t="s">
        <v>120</v>
      </c>
      <c r="C73" s="395">
        <f>SUM(C63:C71)</f>
        <v>46727</v>
      </c>
      <c r="D73" s="395">
        <f>SUM(D63:D71)</f>
        <v>46597</v>
      </c>
      <c r="E73" s="381">
        <f>SUM(E63:E71)</f>
        <v>47466</v>
      </c>
      <c r="F73"/>
      <c r="G73" s="630">
        <f>D74</f>
        <v>0</v>
      </c>
      <c r="H73" s="598" t="str">
        <f>CONCATENATE("",E1-1," Ending Cash Balance (est.)")</f>
        <v>2014 Ending Cash Balance (est.)</v>
      </c>
      <c r="I73" s="631"/>
      <c r="J73" s="629"/>
    </row>
    <row r="74" spans="2:11" x14ac:dyDescent="0.25">
      <c r="B74" s="368" t="s">
        <v>215</v>
      </c>
      <c r="C74" s="400">
        <f>SUM(C61-C73)</f>
        <v>0</v>
      </c>
      <c r="D74" s="400">
        <f>SUM(D61-D73)</f>
        <v>0</v>
      </c>
      <c r="E74" s="383" t="s">
        <v>93</v>
      </c>
      <c r="F74"/>
      <c r="G74" s="630">
        <f>E60</f>
        <v>8876</v>
      </c>
      <c r="H74" s="616" t="str">
        <f>CONCATENATE("",E1," Non-AV Receipts (est.)")</f>
        <v>2015 Non-AV Receipts (est.)</v>
      </c>
      <c r="I74" s="631"/>
      <c r="J74" s="629"/>
    </row>
    <row r="75" spans="2:11" x14ac:dyDescent="0.25">
      <c r="B75" s="706" t="str">
        <f>CONCATENATE("",E1-2,"/",E1-1,"/",E1," Budget Authority Amount:")</f>
        <v>2013/2014/2015 Budget Authority Amount:</v>
      </c>
      <c r="C75" s="705">
        <f>inputOth!B62</f>
        <v>47523</v>
      </c>
      <c r="D75" s="705">
        <f>inputPrYr!D19</f>
        <v>47524</v>
      </c>
      <c r="E75" s="369">
        <f>E73</f>
        <v>47466</v>
      </c>
      <c r="F75" s="260"/>
      <c r="G75" s="632">
        <f>IF(E79&gt;0,E78,E80)</f>
        <v>38590</v>
      </c>
      <c r="H75" s="616" t="str">
        <f>CONCATENATE("",E1," Ad Valorem Tax (est.)")</f>
        <v>2015 Ad Valorem Tax (est.)</v>
      </c>
      <c r="I75" s="631"/>
      <c r="J75" s="629"/>
      <c r="K75" s="607" t="str">
        <f>IF(G75=E80,"","Note: Does not include Delinquent Taxes")</f>
        <v/>
      </c>
    </row>
    <row r="76" spans="2:11" x14ac:dyDescent="0.25">
      <c r="B76" s="373"/>
      <c r="C76" s="812" t="s">
        <v>624</v>
      </c>
      <c r="D76" s="813"/>
      <c r="E76" s="57"/>
      <c r="F76" s="633" t="str">
        <f>IF(E73/0.95-E73&lt;E76,"Exceeds 5%","")</f>
        <v/>
      </c>
      <c r="G76" s="634">
        <f>SUM(G73:G75)</f>
        <v>47466</v>
      </c>
      <c r="H76" s="616" t="str">
        <f>CONCATENATE("Total ",E1," Resources Available")</f>
        <v>Total 2015 Resources Available</v>
      </c>
      <c r="I76" s="635"/>
      <c r="J76" s="629"/>
    </row>
    <row r="77" spans="2:11" x14ac:dyDescent="0.25">
      <c r="B77" s="498" t="str">
        <f>CONCATENATE(C95,"     ",D95)</f>
        <v xml:space="preserve">     </v>
      </c>
      <c r="C77" s="814" t="s">
        <v>625</v>
      </c>
      <c r="D77" s="815"/>
      <c r="E77" s="369">
        <f>SUM(E73+E76)</f>
        <v>47466</v>
      </c>
      <c r="F77"/>
      <c r="G77" s="636"/>
      <c r="H77" s="637"/>
      <c r="I77" s="615"/>
      <c r="J77" s="629"/>
    </row>
    <row r="78" spans="2:11" x14ac:dyDescent="0.25">
      <c r="B78" s="498" t="str">
        <f>CONCATENATE(C96,"     ",D96)</f>
        <v xml:space="preserve">     </v>
      </c>
      <c r="C78" s="379"/>
      <c r="D78" s="374" t="s">
        <v>121</v>
      </c>
      <c r="E78" s="363">
        <f>IF(E77-E61&gt;0,E77-E61,0)</f>
        <v>38590</v>
      </c>
      <c r="F78"/>
      <c r="G78" s="638">
        <f>ROUND(C73*0.05+C73,0)</f>
        <v>49063</v>
      </c>
      <c r="H78" s="637" t="str">
        <f>CONCATENATE("Less ",E1-2," Expenditures + 5%")</f>
        <v>Less 2013 Expenditures + 5%</v>
      </c>
      <c r="I78" s="635"/>
      <c r="J78" s="629"/>
    </row>
    <row r="79" spans="2:11" x14ac:dyDescent="0.25">
      <c r="B79" s="374"/>
      <c r="C79" s="356" t="s">
        <v>623</v>
      </c>
      <c r="D79" s="687">
        <f>inputOth!$E$47</f>
        <v>0</v>
      </c>
      <c r="E79" s="369">
        <f>ROUND(IF(D79&gt;0,(E78*D79),0),0)</f>
        <v>0</v>
      </c>
      <c r="F79"/>
      <c r="G79" s="639">
        <f>G76-G78</f>
        <v>-1597</v>
      </c>
      <c r="H79" s="640" t="str">
        <f>CONCATENATE("Projected ",E1+1," carryover (est.)")</f>
        <v>Projected 2016 carryover (est.)</v>
      </c>
      <c r="I79" s="641"/>
      <c r="J79" s="642"/>
    </row>
    <row r="80" spans="2:11" ht="16.5" thickBot="1" x14ac:dyDescent="0.3">
      <c r="B80" s="358"/>
      <c r="C80" s="820" t="str">
        <f>CONCATENATE("Amount of  ",E1-1," Ad Valorem Tax")</f>
        <v>Amount of  2014 Ad Valorem Tax</v>
      </c>
      <c r="D80" s="821"/>
      <c r="E80" s="612">
        <f>SUM(E78:E79)</f>
        <v>38590</v>
      </c>
      <c r="F80" s="643" t="str">
        <f>IF('Library Grant'!F33="","",IF('Library Grant'!F33="Qualify","Qualifies for State Library Grant","See 'Library Grant' tab"))</f>
        <v>Qualifies for State Library Grant</v>
      </c>
      <c r="G80" s="2"/>
      <c r="H80" s="2"/>
      <c r="I80" s="2"/>
      <c r="J80" s="2"/>
    </row>
    <row r="81" spans="2:10" ht="16.5" thickTop="1" x14ac:dyDescent="0.2">
      <c r="B81" s="374" t="s">
        <v>123</v>
      </c>
      <c r="C81" s="384">
        <v>9</v>
      </c>
      <c r="D81" s="364"/>
      <c r="E81" s="358"/>
      <c r="F81"/>
      <c r="G81" s="806" t="s">
        <v>837</v>
      </c>
      <c r="H81" s="807"/>
      <c r="I81" s="807"/>
      <c r="J81" s="808"/>
    </row>
    <row r="82" spans="2:10" x14ac:dyDescent="0.25">
      <c r="F82" s="2"/>
      <c r="G82" s="597"/>
      <c r="H82" s="598"/>
      <c r="I82" s="599"/>
      <c r="J82" s="600"/>
    </row>
    <row r="83" spans="2:10" x14ac:dyDescent="0.2">
      <c r="B83" s="365"/>
      <c r="C83" s="365"/>
      <c r="D83" s="357"/>
      <c r="E83" s="357"/>
      <c r="F83"/>
      <c r="G83" s="601">
        <f>summ!H17</f>
        <v>11.205</v>
      </c>
      <c r="H83" s="598" t="str">
        <f>CONCATENATE("",E1," Fund Mill Rate")</f>
        <v>2015 Fund Mill Rate</v>
      </c>
      <c r="I83" s="599"/>
      <c r="J83" s="600"/>
    </row>
    <row r="84" spans="2:10" x14ac:dyDescent="0.25">
      <c r="F84" s="2"/>
      <c r="G84" s="602">
        <f>summ!E17</f>
        <v>11.192</v>
      </c>
      <c r="H84" s="598" t="str">
        <f>CONCATENATE("",E1-1," Fund Mill Rate")</f>
        <v>2014 Fund Mill Rate</v>
      </c>
      <c r="I84" s="599"/>
      <c r="J84" s="600"/>
    </row>
    <row r="85" spans="2:10" x14ac:dyDescent="0.25">
      <c r="F85" s="2"/>
      <c r="G85" s="603">
        <f>summ!H27</f>
        <v>71.552999999999997</v>
      </c>
      <c r="H85" s="598" t="str">
        <f>CONCATENATE("Total ",E1," Mill Rate")</f>
        <v>Total 2015 Mill Rate</v>
      </c>
      <c r="I85" s="599"/>
      <c r="J85" s="600"/>
    </row>
    <row r="86" spans="2:10" x14ac:dyDescent="0.25">
      <c r="F86" s="2"/>
      <c r="G86" s="602">
        <f>summ!E27</f>
        <v>71.078000000000003</v>
      </c>
      <c r="H86" s="604" t="str">
        <f>CONCATENATE("Total ",E1-1," Mill Rate")</f>
        <v>Total 2014 Mill Rate</v>
      </c>
      <c r="I86" s="605"/>
      <c r="J86" s="606"/>
    </row>
    <row r="88" spans="2:10" x14ac:dyDescent="0.2">
      <c r="C88" s="359" t="s">
        <v>627</v>
      </c>
      <c r="D88" s="359" t="s">
        <v>627</v>
      </c>
      <c r="G88" s="732" t="s">
        <v>975</v>
      </c>
      <c r="H88" s="702"/>
      <c r="I88" s="701" t="str">
        <f>cert!F34</f>
        <v>No</v>
      </c>
    </row>
    <row r="89" spans="2:10" x14ac:dyDescent="0.2">
      <c r="C89" s="359"/>
      <c r="D89" s="359" t="s">
        <v>627</v>
      </c>
    </row>
    <row r="91" spans="2:10" x14ac:dyDescent="0.2">
      <c r="C91" s="359" t="s">
        <v>627</v>
      </c>
      <c r="D91" s="359" t="s">
        <v>627</v>
      </c>
    </row>
    <row r="92" spans="2:10" ht="1.5" customHeight="1" x14ac:dyDescent="0.2">
      <c r="C92" s="359" t="s">
        <v>627</v>
      </c>
      <c r="D92" s="359" t="s">
        <v>627</v>
      </c>
    </row>
    <row r="93" spans="2:10" ht="15" hidden="1" customHeight="1" x14ac:dyDescent="0.2">
      <c r="C93" s="497" t="str">
        <f>IF(C33&gt;C35,"See Tab A","")</f>
        <v/>
      </c>
      <c r="D93" s="497" t="str">
        <f>IF(D33&gt;D35,"See Tab C","")</f>
        <v/>
      </c>
    </row>
    <row r="94" spans="2:10" ht="15.75" hidden="1" customHeight="1" x14ac:dyDescent="0.2">
      <c r="C94" s="497" t="str">
        <f>IF(C34&lt;0,"See Tab B","")</f>
        <v/>
      </c>
      <c r="D94" s="497" t="str">
        <f>IF(D34&lt;0,"See Tab D","")</f>
        <v/>
      </c>
    </row>
    <row r="95" spans="2:10" ht="1.5" hidden="1" customHeight="1" x14ac:dyDescent="0.2">
      <c r="C95" s="497" t="str">
        <f>IF(C73&gt;C75,"See Tab A","")</f>
        <v/>
      </c>
      <c r="D95" s="497" t="str">
        <f>IF(D73&gt;D75,"See Tab C","")</f>
        <v/>
      </c>
    </row>
    <row r="96" spans="2:10" ht="43.5" hidden="1" customHeight="1" x14ac:dyDescent="0.2">
      <c r="C96" s="497" t="str">
        <f>IF(C74&lt;0,"See Tab B","")</f>
        <v/>
      </c>
      <c r="D96" s="497" t="str">
        <f>IF(D74&lt;0,"See Tab D","")</f>
        <v/>
      </c>
    </row>
    <row r="97" ht="24.75" customHeight="1" x14ac:dyDescent="0.2"/>
  </sheetData>
  <mergeCells count="12">
    <mergeCell ref="G31:J31"/>
    <mergeCell ref="G24:J24"/>
    <mergeCell ref="G41:J41"/>
    <mergeCell ref="G64:J64"/>
    <mergeCell ref="G71:J71"/>
    <mergeCell ref="G81:J81"/>
    <mergeCell ref="C80:D80"/>
    <mergeCell ref="C76:D76"/>
    <mergeCell ref="C77:D77"/>
    <mergeCell ref="C36:D36"/>
    <mergeCell ref="C37:D37"/>
    <mergeCell ref="C40:D40"/>
  </mergeCells>
  <phoneticPr fontId="9" type="noConversion"/>
  <conditionalFormatting sqref="C58">
    <cfRule type="cellIs" dxfId="101" priority="22" stopIfTrue="1" operator="greaterThan">
      <formula>$C$60*0.1</formula>
    </cfRule>
  </conditionalFormatting>
  <conditionalFormatting sqref="D58 D18">
    <cfRule type="cellIs" dxfId="100" priority="21" stopIfTrue="1" operator="greaterThan">
      <formula>$D$20*0.1</formula>
    </cfRule>
  </conditionalFormatting>
  <conditionalFormatting sqref="E58">
    <cfRule type="cellIs" dxfId="99" priority="20" stopIfTrue="1" operator="greaterThan">
      <formula>$E$20*0.1+E80</formula>
    </cfRule>
  </conditionalFormatting>
  <conditionalFormatting sqref="C71">
    <cfRule type="cellIs" dxfId="98" priority="19" stopIfTrue="1" operator="greaterThan">
      <formula>$C$73*0.1</formula>
    </cfRule>
  </conditionalFormatting>
  <conditionalFormatting sqref="D71">
    <cfRule type="cellIs" dxfId="97" priority="18" stopIfTrue="1" operator="greaterThan">
      <formula>$D$73*0.1</formula>
    </cfRule>
  </conditionalFormatting>
  <conditionalFormatting sqref="E71">
    <cfRule type="cellIs" dxfId="96" priority="17" stopIfTrue="1" operator="greaterThan">
      <formula>$E$73*0.1</formula>
    </cfRule>
  </conditionalFormatting>
  <conditionalFormatting sqref="C31">
    <cfRule type="cellIs" dxfId="95" priority="16" stopIfTrue="1" operator="greaterThan">
      <formula>$C$33*0.1</formula>
    </cfRule>
  </conditionalFormatting>
  <conditionalFormatting sqref="D31">
    <cfRule type="cellIs" dxfId="94" priority="15" stopIfTrue="1" operator="greaterThan">
      <formula>$D$33*0.1</formula>
    </cfRule>
  </conditionalFormatting>
  <conditionalFormatting sqref="E31">
    <cfRule type="cellIs" dxfId="93" priority="14" stopIfTrue="1" operator="greaterThan">
      <formula>$E$33*0.1</formula>
    </cfRule>
  </conditionalFormatting>
  <conditionalFormatting sqref="C18">
    <cfRule type="cellIs" dxfId="92" priority="12" stopIfTrue="1" operator="greaterThan">
      <formula>$C$20*0.1</formula>
    </cfRule>
  </conditionalFormatting>
  <conditionalFormatting sqref="E18">
    <cfRule type="cellIs" dxfId="91" priority="11" stopIfTrue="1" operator="greaterThan">
      <formula>$E$20*0.1+E40</formula>
    </cfRule>
  </conditionalFormatting>
  <conditionalFormatting sqref="E36">
    <cfRule type="cellIs" dxfId="90" priority="10" stopIfTrue="1" operator="greaterThan">
      <formula>$E$33/0.95-$E$33</formula>
    </cfRule>
  </conditionalFormatting>
  <conditionalFormatting sqref="E76">
    <cfRule type="cellIs" dxfId="89" priority="9" stopIfTrue="1" operator="greaterThan">
      <formula>$E$73/0.95-$E$73</formula>
    </cfRule>
  </conditionalFormatting>
  <conditionalFormatting sqref="C33">
    <cfRule type="cellIs" dxfId="88" priority="8" stopIfTrue="1" operator="greaterThan">
      <formula>$C$35</formula>
    </cfRule>
  </conditionalFormatting>
  <conditionalFormatting sqref="D74">
    <cfRule type="cellIs" dxfId="87" priority="7" stopIfTrue="1" operator="lessThan">
      <formula>0</formula>
    </cfRule>
  </conditionalFormatting>
  <conditionalFormatting sqref="D33">
    <cfRule type="cellIs" dxfId="86" priority="6" stopIfTrue="1" operator="greaterThan">
      <formula>$D$35</formula>
    </cfRule>
  </conditionalFormatting>
  <conditionalFormatting sqref="C73">
    <cfRule type="cellIs" dxfId="85" priority="4" stopIfTrue="1" operator="greaterThan">
      <formula>$C$75</formula>
    </cfRule>
  </conditionalFormatting>
  <conditionalFormatting sqref="D73">
    <cfRule type="cellIs" dxfId="84" priority="2" stopIfTrue="1" operator="greaterThan">
      <formula>$D$75</formula>
    </cfRule>
  </conditionalFormatting>
  <pageMargins left="0.75" right="0.75" top="1" bottom="1" header="0.5" footer="0.5"/>
  <pageSetup scale="55" orientation="portrait" blackAndWhite="1" r:id="rId1"/>
  <headerFooter alignWithMargins="0">
    <oddHeader>&amp;RState of Kansas
City</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7"/>
  <sheetViews>
    <sheetView topLeftCell="A38" workbookViewId="0">
      <selection activeCell="B61" sqref="B61"/>
    </sheetView>
  </sheetViews>
  <sheetFormatPr defaultRowHeight="15.75" x14ac:dyDescent="0.2"/>
  <cols>
    <col min="1" max="1" width="2.44140625" style="41" customWidth="1"/>
    <col min="2" max="2" width="31.109375" style="41" customWidth="1"/>
    <col min="3" max="4" width="15.77734375" style="41" customWidth="1"/>
    <col min="5" max="5" width="16.21875" style="41" customWidth="1"/>
    <col min="6" max="16384" width="8.88671875" style="41"/>
  </cols>
  <sheetData>
    <row r="1" spans="2:5" x14ac:dyDescent="0.2">
      <c r="B1" s="182" t="str">
        <f>(inputPrYr!D2)</f>
        <v>City of Frankfort</v>
      </c>
      <c r="C1" s="43"/>
      <c r="D1" s="43"/>
      <c r="E1" s="233">
        <f>inputPrYr!C5</f>
        <v>2015</v>
      </c>
    </row>
    <row r="2" spans="2:5" x14ac:dyDescent="0.2">
      <c r="B2" s="43"/>
      <c r="C2" s="43"/>
      <c r="D2" s="43"/>
      <c r="E2" s="156"/>
    </row>
    <row r="3" spans="2:5" x14ac:dyDescent="0.2">
      <c r="B3" s="234" t="s">
        <v>172</v>
      </c>
      <c r="C3" s="271"/>
      <c r="D3" s="271"/>
      <c r="E3" s="271"/>
    </row>
    <row r="4" spans="2:5" x14ac:dyDescent="0.2">
      <c r="B4" s="44" t="s">
        <v>104</v>
      </c>
      <c r="C4" s="673" t="s">
        <v>896</v>
      </c>
      <c r="D4" s="674" t="s">
        <v>897</v>
      </c>
      <c r="E4" s="132" t="s">
        <v>898</v>
      </c>
    </row>
    <row r="5" spans="2:5" x14ac:dyDescent="0.2">
      <c r="B5" s="502" t="str">
        <f>(inputPrYr!B34)</f>
        <v>Special Highway</v>
      </c>
      <c r="C5" s="210" t="str">
        <f>CONCATENATE("Actual for ",E1-2,"")</f>
        <v>Actual for 2013</v>
      </c>
      <c r="D5" s="210" t="str">
        <f>CONCATENATE("Estimate for ",E1-1,"")</f>
        <v>Estimate for 2014</v>
      </c>
      <c r="E5" s="193" t="str">
        <f>CONCATENATE("Year for ",E1,"")</f>
        <v>Year for 2015</v>
      </c>
    </row>
    <row r="6" spans="2:5" x14ac:dyDescent="0.2">
      <c r="B6" s="237" t="s">
        <v>214</v>
      </c>
      <c r="C6" s="57">
        <v>670</v>
      </c>
      <c r="D6" s="213">
        <f>C31</f>
        <v>1096</v>
      </c>
      <c r="E6" s="213">
        <f>D31</f>
        <v>656</v>
      </c>
    </row>
    <row r="7" spans="2:5" x14ac:dyDescent="0.2">
      <c r="B7" s="240" t="s">
        <v>216</v>
      </c>
      <c r="C7" s="77"/>
      <c r="D7" s="77"/>
      <c r="E7" s="77"/>
    </row>
    <row r="8" spans="2:5" x14ac:dyDescent="0.2">
      <c r="B8" s="258" t="s">
        <v>206</v>
      </c>
      <c r="C8" s="57">
        <v>18066</v>
      </c>
      <c r="D8" s="272">
        <f>inputOth!E52</f>
        <v>18260</v>
      </c>
      <c r="E8" s="213">
        <f>inputOth!E50</f>
        <v>18410</v>
      </c>
    </row>
    <row r="9" spans="2:5" x14ac:dyDescent="0.2">
      <c r="B9" s="273" t="s">
        <v>251</v>
      </c>
      <c r="C9" s="57"/>
      <c r="D9" s="272">
        <f>inputOth!E53</f>
        <v>0</v>
      </c>
      <c r="E9" s="272">
        <f>inputOth!E51</f>
        <v>0</v>
      </c>
    </row>
    <row r="10" spans="2:5" x14ac:dyDescent="0.2">
      <c r="B10" s="257"/>
      <c r="C10" s="57"/>
      <c r="D10" s="57"/>
      <c r="E10" s="57"/>
    </row>
    <row r="11" spans="2:5" x14ac:dyDescent="0.2">
      <c r="B11" s="257"/>
      <c r="C11" s="57"/>
      <c r="D11" s="57"/>
      <c r="E11" s="57"/>
    </row>
    <row r="12" spans="2:5" x14ac:dyDescent="0.2">
      <c r="B12" s="257"/>
      <c r="C12" s="57"/>
      <c r="D12" s="57"/>
      <c r="E12" s="57"/>
    </row>
    <row r="13" spans="2:5" x14ac:dyDescent="0.2">
      <c r="B13" s="257"/>
      <c r="C13" s="57"/>
      <c r="D13" s="57"/>
      <c r="E13" s="57"/>
    </row>
    <row r="14" spans="2:5" x14ac:dyDescent="0.2">
      <c r="B14" s="245" t="s">
        <v>112</v>
      </c>
      <c r="C14" s="57"/>
      <c r="D14" s="57"/>
      <c r="E14" s="57"/>
    </row>
    <row r="15" spans="2:5" x14ac:dyDescent="0.2">
      <c r="B15" s="147" t="s">
        <v>14</v>
      </c>
      <c r="C15" s="57"/>
      <c r="D15" s="242"/>
      <c r="E15" s="242"/>
    </row>
    <row r="16" spans="2:5" x14ac:dyDescent="0.2">
      <c r="B16" s="237" t="s">
        <v>736</v>
      </c>
      <c r="C16" s="276" t="str">
        <f>IF(C17*0.1&lt;C15,"Exceed 10% Rule","")</f>
        <v/>
      </c>
      <c r="D16" s="247" t="str">
        <f>IF(D17*0.1&lt;D15,"Exceed 10% Rule","")</f>
        <v/>
      </c>
      <c r="E16" s="247" t="str">
        <f>IF(E17*0.1&lt;E15,"Exceed 10% Rule","")</f>
        <v/>
      </c>
    </row>
    <row r="17" spans="2:5" x14ac:dyDescent="0.2">
      <c r="B17" s="248" t="s">
        <v>113</v>
      </c>
      <c r="C17" s="251">
        <f>SUM(C8:C15)</f>
        <v>18066</v>
      </c>
      <c r="D17" s="251">
        <f>SUM(D8:D15)</f>
        <v>18260</v>
      </c>
      <c r="E17" s="251">
        <f>SUM(E8:E15)</f>
        <v>18410</v>
      </c>
    </row>
    <row r="18" spans="2:5" x14ac:dyDescent="0.2">
      <c r="B18" s="248" t="s">
        <v>114</v>
      </c>
      <c r="C18" s="251">
        <f>C6+C17</f>
        <v>18736</v>
      </c>
      <c r="D18" s="251">
        <f>D6+D17</f>
        <v>19356</v>
      </c>
      <c r="E18" s="251">
        <f>E6+E17</f>
        <v>19066</v>
      </c>
    </row>
    <row r="19" spans="2:5" x14ac:dyDescent="0.2">
      <c r="B19" s="138" t="s">
        <v>116</v>
      </c>
      <c r="C19" s="213"/>
      <c r="D19" s="213"/>
      <c r="E19" s="213"/>
    </row>
    <row r="20" spans="2:5" x14ac:dyDescent="0.2">
      <c r="B20" s="257" t="s">
        <v>1023</v>
      </c>
      <c r="C20" s="57">
        <v>9516</v>
      </c>
      <c r="D20" s="57">
        <v>9794</v>
      </c>
      <c r="E20" s="57">
        <v>9800</v>
      </c>
    </row>
    <row r="21" spans="2:5" x14ac:dyDescent="0.2">
      <c r="B21" s="257" t="s">
        <v>1024</v>
      </c>
      <c r="C21" s="57">
        <v>185</v>
      </c>
      <c r="D21" s="57">
        <v>724</v>
      </c>
      <c r="E21" s="57">
        <v>866</v>
      </c>
    </row>
    <row r="22" spans="2:5" x14ac:dyDescent="0.2">
      <c r="B22" s="257" t="s">
        <v>1025</v>
      </c>
      <c r="C22" s="57">
        <v>7939</v>
      </c>
      <c r="D22" s="57">
        <v>8182</v>
      </c>
      <c r="E22" s="57">
        <v>8400</v>
      </c>
    </row>
    <row r="23" spans="2:5" x14ac:dyDescent="0.2">
      <c r="B23" s="257"/>
      <c r="C23" s="57"/>
      <c r="D23" s="57"/>
      <c r="E23" s="57"/>
    </row>
    <row r="24" spans="2:5" x14ac:dyDescent="0.2">
      <c r="B24" s="257"/>
      <c r="C24" s="57"/>
      <c r="D24" s="57"/>
      <c r="E24" s="57"/>
    </row>
    <row r="25" spans="2:5" x14ac:dyDescent="0.2">
      <c r="B25" s="257"/>
      <c r="C25" s="57"/>
      <c r="D25" s="57"/>
      <c r="E25" s="57"/>
    </row>
    <row r="26" spans="2:5" x14ac:dyDescent="0.2">
      <c r="B26" s="257"/>
      <c r="C26" s="57"/>
      <c r="D26" s="57"/>
      <c r="E26" s="57"/>
    </row>
    <row r="27" spans="2:5" x14ac:dyDescent="0.2">
      <c r="B27" s="257"/>
      <c r="C27" s="57"/>
      <c r="D27" s="57"/>
      <c r="E27" s="57"/>
    </row>
    <row r="28" spans="2:5" x14ac:dyDescent="0.2">
      <c r="B28" s="258" t="s">
        <v>14</v>
      </c>
      <c r="C28" s="57"/>
      <c r="D28" s="242"/>
      <c r="E28" s="242"/>
    </row>
    <row r="29" spans="2:5" x14ac:dyDescent="0.2">
      <c r="B29" s="258" t="s">
        <v>737</v>
      </c>
      <c r="C29" s="276" t="str">
        <f>IF(C30*0.1&lt;C28,"Exceed 10% Rule","")</f>
        <v/>
      </c>
      <c r="D29" s="247" t="str">
        <f>IF(D30*0.1&lt;D28,"Exceed 10% Rule","")</f>
        <v/>
      </c>
      <c r="E29" s="247" t="str">
        <f>IF(E30*0.1&lt;E28,"Exceed 10% Rule","")</f>
        <v/>
      </c>
    </row>
    <row r="30" spans="2:5" x14ac:dyDescent="0.2">
      <c r="B30" s="248" t="s">
        <v>120</v>
      </c>
      <c r="C30" s="251">
        <f>SUM(C20:C28)</f>
        <v>17640</v>
      </c>
      <c r="D30" s="251">
        <f>SUM(D20:D28)</f>
        <v>18700</v>
      </c>
      <c r="E30" s="251">
        <f>SUM(E20:E28)</f>
        <v>19066</v>
      </c>
    </row>
    <row r="31" spans="2:5" x14ac:dyDescent="0.2">
      <c r="B31" s="138" t="s">
        <v>215</v>
      </c>
      <c r="C31" s="72">
        <f>C18-C30</f>
        <v>1096</v>
      </c>
      <c r="D31" s="72">
        <f>D18-D30</f>
        <v>656</v>
      </c>
      <c r="E31" s="72">
        <f>E18-E30</f>
        <v>0</v>
      </c>
    </row>
    <row r="32" spans="2:5" x14ac:dyDescent="0.2">
      <c r="B32" s="158" t="str">
        <f>CONCATENATE("",E1-2,"/",E1-1,"/",E1," Budget Authority Amount:")</f>
        <v>2013/2014/2015 Budget Authority Amount:</v>
      </c>
      <c r="C32" s="679">
        <f>inputOth!B73</f>
        <v>19999</v>
      </c>
      <c r="D32" s="679">
        <f>inputPrYr!D34</f>
        <v>18700</v>
      </c>
      <c r="E32" s="707">
        <f>E30</f>
        <v>19066</v>
      </c>
    </row>
    <row r="33" spans="2:5" x14ac:dyDescent="0.2">
      <c r="B33" s="124"/>
      <c r="C33" s="261" t="str">
        <f>IF(C30&gt;C32,"See Tab A","")</f>
        <v/>
      </c>
      <c r="D33" s="261" t="str">
        <f>IF(D30&gt;D32,"See Tab C","")</f>
        <v/>
      </c>
      <c r="E33" s="708" t="str">
        <f>IF(E31&lt;0,"See Tab E","")</f>
        <v/>
      </c>
    </row>
    <row r="34" spans="2:5" x14ac:dyDescent="0.2">
      <c r="B34" s="124"/>
      <c r="C34" s="261" t="str">
        <f>IF(C31&lt;0,"See Tab B","")</f>
        <v/>
      </c>
      <c r="D34" s="261" t="str">
        <f>IF(D31&lt;0,"See Tab D","")</f>
        <v/>
      </c>
      <c r="E34" s="87"/>
    </row>
    <row r="35" spans="2:5" x14ac:dyDescent="0.2">
      <c r="B35" s="43"/>
      <c r="C35" s="87"/>
      <c r="D35" s="87"/>
      <c r="E35" s="87"/>
    </row>
    <row r="36" spans="2:5" x14ac:dyDescent="0.2">
      <c r="B36" s="44" t="s">
        <v>104</v>
      </c>
      <c r="C36" s="274"/>
      <c r="D36" s="274"/>
      <c r="E36" s="274"/>
    </row>
    <row r="37" spans="2:5" x14ac:dyDescent="0.2">
      <c r="B37" s="43"/>
      <c r="C37" s="673" t="s">
        <v>896</v>
      </c>
      <c r="D37" s="674" t="s">
        <v>897</v>
      </c>
      <c r="E37" s="132" t="s">
        <v>898</v>
      </c>
    </row>
    <row r="38" spans="2:5" x14ac:dyDescent="0.2">
      <c r="B38" s="502" t="str">
        <f>(inputPrYr!B35)</f>
        <v>Special Parks &amp; Recreation</v>
      </c>
      <c r="C38" s="210" t="str">
        <f>CONCATENATE("Actual for ",$E$1-2,"")</f>
        <v>Actual for 2013</v>
      </c>
      <c r="D38" s="210" t="str">
        <f>CONCATENATE("Estimate for ",$E$1-1,"")</f>
        <v>Estimate for 2014</v>
      </c>
      <c r="E38" s="193" t="str">
        <f>CONCATENATE("Year for ",$E$1,"")</f>
        <v>Year for 2015</v>
      </c>
    </row>
    <row r="39" spans="2:5" x14ac:dyDescent="0.2">
      <c r="B39" s="237" t="s">
        <v>214</v>
      </c>
      <c r="C39" s="57">
        <v>4388</v>
      </c>
      <c r="D39" s="213">
        <f>+C62</f>
        <v>6164</v>
      </c>
      <c r="E39" s="213">
        <f>D62</f>
        <v>7964</v>
      </c>
    </row>
    <row r="40" spans="2:5" x14ac:dyDescent="0.2">
      <c r="B40" s="240" t="s">
        <v>216</v>
      </c>
      <c r="C40" s="77"/>
      <c r="D40" s="77"/>
      <c r="E40" s="77"/>
    </row>
    <row r="41" spans="2:5" x14ac:dyDescent="0.2">
      <c r="B41" s="257" t="s">
        <v>1026</v>
      </c>
      <c r="C41" s="57">
        <v>1776</v>
      </c>
      <c r="D41" s="57">
        <v>1800</v>
      </c>
      <c r="E41" s="57">
        <v>1725</v>
      </c>
    </row>
    <row r="42" spans="2:5" x14ac:dyDescent="0.2">
      <c r="B42" s="257"/>
      <c r="C42" s="57"/>
      <c r="D42" s="57"/>
      <c r="E42" s="57"/>
    </row>
    <row r="43" spans="2:5" x14ac:dyDescent="0.2">
      <c r="B43" s="257"/>
      <c r="C43" s="57"/>
      <c r="D43" s="57"/>
      <c r="E43" s="57"/>
    </row>
    <row r="44" spans="2:5" x14ac:dyDescent="0.2">
      <c r="B44" s="257"/>
      <c r="C44" s="57"/>
      <c r="D44" s="57"/>
      <c r="E44" s="57"/>
    </row>
    <row r="45" spans="2:5" x14ac:dyDescent="0.2">
      <c r="B45" s="245" t="s">
        <v>112</v>
      </c>
      <c r="C45" s="57"/>
      <c r="D45" s="57"/>
      <c r="E45" s="57"/>
    </row>
    <row r="46" spans="2:5" x14ac:dyDescent="0.2">
      <c r="B46" s="147" t="s">
        <v>14</v>
      </c>
      <c r="C46" s="57"/>
      <c r="D46" s="242"/>
      <c r="E46" s="242"/>
    </row>
    <row r="47" spans="2:5" x14ac:dyDescent="0.2">
      <c r="B47" s="237" t="s">
        <v>736</v>
      </c>
      <c r="C47" s="276" t="str">
        <f>IF(C48*0.1&lt;C46,"Exceed 10% Rule","")</f>
        <v/>
      </c>
      <c r="D47" s="247" t="str">
        <f>IF(D48*0.1&lt;D46,"Exceed 10% Rule","")</f>
        <v/>
      </c>
      <c r="E47" s="247" t="str">
        <f>IF(E48*0.1&lt;E46,"Exceed 10% Rule","")</f>
        <v/>
      </c>
    </row>
    <row r="48" spans="2:5" x14ac:dyDescent="0.2">
      <c r="B48" s="248" t="s">
        <v>113</v>
      </c>
      <c r="C48" s="251">
        <f>SUM(C41:C46)</f>
        <v>1776</v>
      </c>
      <c r="D48" s="251">
        <f>SUM(D41:D46)</f>
        <v>1800</v>
      </c>
      <c r="E48" s="251">
        <f>SUM(E41:E46)</f>
        <v>1725</v>
      </c>
    </row>
    <row r="49" spans="2:5" x14ac:dyDescent="0.2">
      <c r="B49" s="248" t="s">
        <v>114</v>
      </c>
      <c r="C49" s="251">
        <f>+C39+C48</f>
        <v>6164</v>
      </c>
      <c r="D49" s="251">
        <f>+D48+D39</f>
        <v>7964</v>
      </c>
      <c r="E49" s="251">
        <f>E39+E48</f>
        <v>9689</v>
      </c>
    </row>
    <row r="50" spans="2:5" x14ac:dyDescent="0.2">
      <c r="B50" s="138" t="s">
        <v>116</v>
      </c>
      <c r="C50" s="213"/>
      <c r="D50" s="213"/>
      <c r="E50" s="213"/>
    </row>
    <row r="51" spans="2:5" x14ac:dyDescent="0.2">
      <c r="B51" s="257" t="s">
        <v>1023</v>
      </c>
      <c r="C51" s="57">
        <v>0</v>
      </c>
      <c r="D51" s="57">
        <v>0</v>
      </c>
      <c r="E51" s="57">
        <v>0</v>
      </c>
    </row>
    <row r="52" spans="2:5" x14ac:dyDescent="0.2">
      <c r="B52" s="257" t="s">
        <v>1024</v>
      </c>
      <c r="C52" s="57">
        <v>0</v>
      </c>
      <c r="D52" s="57">
        <v>0</v>
      </c>
      <c r="E52" s="57">
        <v>0</v>
      </c>
    </row>
    <row r="53" spans="2:5" x14ac:dyDescent="0.2">
      <c r="B53" s="257" t="s">
        <v>1025</v>
      </c>
      <c r="C53" s="57">
        <v>0</v>
      </c>
      <c r="D53" s="57">
        <v>0</v>
      </c>
      <c r="E53" s="57">
        <v>3689</v>
      </c>
    </row>
    <row r="54" spans="2:5" x14ac:dyDescent="0.2">
      <c r="B54" s="257" t="s">
        <v>1027</v>
      </c>
      <c r="C54" s="57">
        <v>0</v>
      </c>
      <c r="D54" s="57">
        <v>0</v>
      </c>
      <c r="E54" s="57">
        <v>6000</v>
      </c>
    </row>
    <row r="55" spans="2:5" x14ac:dyDescent="0.2">
      <c r="B55" s="257"/>
      <c r="C55" s="57"/>
      <c r="D55" s="57"/>
      <c r="E55" s="57"/>
    </row>
    <row r="56" spans="2:5" x14ac:dyDescent="0.2">
      <c r="B56" s="257"/>
      <c r="C56" s="57"/>
      <c r="D56" s="57"/>
      <c r="E56" s="57"/>
    </row>
    <row r="57" spans="2:5" x14ac:dyDescent="0.2">
      <c r="B57" s="257"/>
      <c r="C57" s="57"/>
      <c r="D57" s="57"/>
      <c r="E57" s="57"/>
    </row>
    <row r="58" spans="2:5" x14ac:dyDescent="0.2">
      <c r="B58" s="257"/>
      <c r="C58" s="57"/>
      <c r="D58" s="57"/>
      <c r="E58" s="57"/>
    </row>
    <row r="59" spans="2:5" x14ac:dyDescent="0.2">
      <c r="B59" s="258" t="s">
        <v>14</v>
      </c>
      <c r="C59" s="57"/>
      <c r="D59" s="242"/>
      <c r="E59" s="242"/>
    </row>
    <row r="60" spans="2:5" x14ac:dyDescent="0.2">
      <c r="B60" s="258" t="s">
        <v>737</v>
      </c>
      <c r="C60" s="276" t="str">
        <f>IF(C61*0.1&lt;C59,"Exceed 10% Rule","")</f>
        <v/>
      </c>
      <c r="D60" s="247" t="str">
        <f>IF(D61*0.1&lt;D59,"Exceed 10% Rule","")</f>
        <v/>
      </c>
      <c r="E60" s="247" t="str">
        <f>IF(E61*0.1&lt;E59,"Exceed 10% Rule","")</f>
        <v/>
      </c>
    </row>
    <row r="61" spans="2:5" x14ac:dyDescent="0.2">
      <c r="B61" s="248" t="s">
        <v>120</v>
      </c>
      <c r="C61" s="251">
        <f>SUM(C51:C59)</f>
        <v>0</v>
      </c>
      <c r="D61" s="251">
        <f>SUM(D51:D59)</f>
        <v>0</v>
      </c>
      <c r="E61" s="251">
        <f>SUM(E51:E59)</f>
        <v>9689</v>
      </c>
    </row>
    <row r="62" spans="2:5" x14ac:dyDescent="0.2">
      <c r="B62" s="138" t="s">
        <v>215</v>
      </c>
      <c r="C62" s="72">
        <f>+C49-C61</f>
        <v>6164</v>
      </c>
      <c r="D62" s="72">
        <f>+D49-D61</f>
        <v>7964</v>
      </c>
      <c r="E62" s="72">
        <f>E49-E61</f>
        <v>0</v>
      </c>
    </row>
    <row r="63" spans="2:5" x14ac:dyDescent="0.2">
      <c r="B63" s="158" t="str">
        <f>CONCATENATE("",E1-2,"/",E1-1,"/",E1," Budget Authority Amount:")</f>
        <v>2013/2014/2015 Budget Authority Amount:</v>
      </c>
      <c r="C63" s="679">
        <f>inputOth!B74</f>
        <v>5145</v>
      </c>
      <c r="D63" s="679">
        <f>inputPrYr!D35</f>
        <v>9200</v>
      </c>
      <c r="E63" s="707">
        <f>E61</f>
        <v>9689</v>
      </c>
    </row>
    <row r="64" spans="2:5" x14ac:dyDescent="0.2">
      <c r="B64" s="124"/>
      <c r="C64" s="261" t="str">
        <f>IF(C61&gt;C63,"See Tab A","")</f>
        <v/>
      </c>
      <c r="D64" s="261" t="str">
        <f>IF(D61&gt;D63,"See Tab C","")</f>
        <v/>
      </c>
      <c r="E64" s="708" t="str">
        <f>IF(E62&lt;0,"See Tab E","")</f>
        <v/>
      </c>
    </row>
    <row r="65" spans="2:5" x14ac:dyDescent="0.2">
      <c r="B65" s="124"/>
      <c r="C65" s="261" t="str">
        <f>IF(C62&lt;0,"See Tab B","")</f>
        <v/>
      </c>
      <c r="D65" s="261" t="str">
        <f>IF(D62&lt;0,"See Tab D","")</f>
        <v/>
      </c>
      <c r="E65" s="43"/>
    </row>
    <row r="66" spans="2:5" x14ac:dyDescent="0.2">
      <c r="B66" s="43"/>
      <c r="C66" s="43"/>
      <c r="D66" s="43"/>
      <c r="E66" s="43"/>
    </row>
    <row r="67" spans="2:5" x14ac:dyDescent="0.2">
      <c r="B67" s="374" t="s">
        <v>123</v>
      </c>
      <c r="C67" s="266">
        <v>10</v>
      </c>
      <c r="D67" s="43"/>
      <c r="E67" s="43"/>
    </row>
  </sheetData>
  <phoneticPr fontId="0" type="noConversion"/>
  <conditionalFormatting sqref="C15">
    <cfRule type="cellIs" dxfId="83" priority="5" stopIfTrue="1" operator="greaterThan">
      <formula>$C$17*0.1</formula>
    </cfRule>
  </conditionalFormatting>
  <conditionalFormatting sqref="D15">
    <cfRule type="cellIs" dxfId="82" priority="6" stopIfTrue="1" operator="greaterThan">
      <formula>$D$17*0.1</formula>
    </cfRule>
  </conditionalFormatting>
  <conditionalFormatting sqref="E15">
    <cfRule type="cellIs" dxfId="81" priority="7" stopIfTrue="1" operator="greaterThan">
      <formula>$E$17*0.1</formula>
    </cfRule>
  </conditionalFormatting>
  <conditionalFormatting sqref="C28">
    <cfRule type="cellIs" dxfId="80" priority="8" stopIfTrue="1" operator="greaterThan">
      <formula>$C$30*0.1</formula>
    </cfRule>
  </conditionalFormatting>
  <conditionalFormatting sqref="D28">
    <cfRule type="cellIs" dxfId="79" priority="9" stopIfTrue="1" operator="greaterThan">
      <formula>$D$30*0.1</formula>
    </cfRule>
  </conditionalFormatting>
  <conditionalFormatting sqref="E28">
    <cfRule type="cellIs" dxfId="78" priority="10" stopIfTrue="1" operator="greaterThan">
      <formula>$E$30*0.1</formula>
    </cfRule>
  </conditionalFormatting>
  <conditionalFormatting sqref="C46">
    <cfRule type="cellIs" dxfId="77" priority="11" stopIfTrue="1" operator="greaterThan">
      <formula>$C$48*0.1</formula>
    </cfRule>
  </conditionalFormatting>
  <conditionalFormatting sqref="D46">
    <cfRule type="cellIs" dxfId="76" priority="12" stopIfTrue="1" operator="greaterThan">
      <formula>$D$48*0.1</formula>
    </cfRule>
  </conditionalFormatting>
  <conditionalFormatting sqref="E46">
    <cfRule type="cellIs" dxfId="75" priority="13" stopIfTrue="1" operator="greaterThan">
      <formula>$E$48*0.1</formula>
    </cfRule>
  </conditionalFormatting>
  <conditionalFormatting sqref="C59">
    <cfRule type="cellIs" dxfId="74" priority="14" stopIfTrue="1" operator="greaterThan">
      <formula>$C$61*0.1</formula>
    </cfRule>
  </conditionalFormatting>
  <conditionalFormatting sqref="D59">
    <cfRule type="cellIs" dxfId="73" priority="15" stopIfTrue="1" operator="greaterThan">
      <formula>$D$61*0.1</formula>
    </cfRule>
  </conditionalFormatting>
  <conditionalFormatting sqref="E59">
    <cfRule type="cellIs" dxfId="72" priority="16" stopIfTrue="1" operator="greaterThan">
      <formula>$E$61*0.1</formula>
    </cfRule>
  </conditionalFormatting>
  <conditionalFormatting sqref="D61">
    <cfRule type="cellIs" dxfId="71" priority="17" stopIfTrue="1" operator="greaterThan">
      <formula>$D$63</formula>
    </cfRule>
  </conditionalFormatting>
  <conditionalFormatting sqref="C61">
    <cfRule type="cellIs" dxfId="70" priority="18" stopIfTrue="1" operator="greaterThan">
      <formula>$C$63</formula>
    </cfRule>
  </conditionalFormatting>
  <conditionalFormatting sqref="C62 E62 C31 E31">
    <cfRule type="cellIs" dxfId="69" priority="19" stopIfTrue="1" operator="lessThan">
      <formula>0</formula>
    </cfRule>
  </conditionalFormatting>
  <conditionalFormatting sqref="D30">
    <cfRule type="cellIs" dxfId="68" priority="20" stopIfTrue="1" operator="greaterThan">
      <formula>$D$32</formula>
    </cfRule>
  </conditionalFormatting>
  <conditionalFormatting sqref="C30">
    <cfRule type="cellIs" dxfId="67" priority="21" stopIfTrue="1" operator="greaterThan">
      <formula>$C$32</formula>
    </cfRule>
  </conditionalFormatting>
  <conditionalFormatting sqref="D31">
    <cfRule type="cellIs" dxfId="66" priority="4" stopIfTrue="1" operator="lessThan">
      <formula>0</formula>
    </cfRule>
  </conditionalFormatting>
  <conditionalFormatting sqref="D62">
    <cfRule type="cellIs" dxfId="65" priority="3" stopIfTrue="1" operator="lessThan">
      <formula>0</formula>
    </cfRule>
  </conditionalFormatting>
  <conditionalFormatting sqref="E63">
    <cfRule type="cellIs" dxfId="64" priority="1" stopIfTrue="1" operator="lessThan">
      <formula>0</formula>
    </cfRule>
  </conditionalFormatting>
  <conditionalFormatting sqref="E32">
    <cfRule type="cellIs" dxfId="63" priority="2" stopIfTrue="1" operator="lessThan">
      <formula>0</formula>
    </cfRule>
  </conditionalFormatting>
  <pageMargins left="0.5" right="0.5" top="1" bottom="0.5" header="0.5" footer="0.5"/>
  <pageSetup scale="70" orientation="portrait" blackAndWhite="1" horizontalDpi="120" verticalDpi="144" r:id="rId1"/>
  <headerFooter alignWithMargins="0">
    <oddHeader>&amp;RState of Kansas
City</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topLeftCell="A30" workbookViewId="0">
      <selection activeCell="E18" sqref="E18"/>
    </sheetView>
  </sheetViews>
  <sheetFormatPr defaultRowHeight="15.75" x14ac:dyDescent="0.2"/>
  <cols>
    <col min="1" max="1" width="2.44140625" style="41" customWidth="1"/>
    <col min="2" max="2" width="31.109375" style="41" customWidth="1"/>
    <col min="3" max="4" width="15.77734375" style="41" customWidth="1"/>
    <col min="5" max="5" width="16.33203125" style="41" customWidth="1"/>
    <col min="6" max="16384" width="8.88671875" style="41"/>
  </cols>
  <sheetData>
    <row r="1" spans="2:5" x14ac:dyDescent="0.2">
      <c r="B1" s="182" t="str">
        <f>(inputPrYr!D2)</f>
        <v>City of Frankfort</v>
      </c>
      <c r="C1" s="43"/>
      <c r="D1" s="43"/>
      <c r="E1" s="233">
        <f>inputPrYr!C5</f>
        <v>2015</v>
      </c>
    </row>
    <row r="2" spans="2:5" x14ac:dyDescent="0.2">
      <c r="B2" s="43"/>
      <c r="C2" s="43"/>
      <c r="D2" s="43"/>
      <c r="E2" s="156"/>
    </row>
    <row r="3" spans="2:5" x14ac:dyDescent="0.2">
      <c r="B3" s="234" t="s">
        <v>172</v>
      </c>
      <c r="C3" s="271"/>
      <c r="D3" s="271"/>
      <c r="E3" s="271"/>
    </row>
    <row r="4" spans="2:5" x14ac:dyDescent="0.2">
      <c r="B4" s="44" t="s">
        <v>104</v>
      </c>
      <c r="C4" s="673" t="s">
        <v>896</v>
      </c>
      <c r="D4" s="674" t="s">
        <v>897</v>
      </c>
      <c r="E4" s="132" t="s">
        <v>898</v>
      </c>
    </row>
    <row r="5" spans="2:5" x14ac:dyDescent="0.2">
      <c r="B5" s="502" t="str">
        <f>(inputPrYr!B36)</f>
        <v>Ambulance</v>
      </c>
      <c r="C5" s="210" t="str">
        <f>CONCATENATE("Actual for ",E1-2,"")</f>
        <v>Actual for 2013</v>
      </c>
      <c r="D5" s="210" t="str">
        <f>CONCATENATE("Estimate for ",E1-1,"")</f>
        <v>Estimate for 2014</v>
      </c>
      <c r="E5" s="193" t="str">
        <f>CONCATENATE("Year for ",E1,"")</f>
        <v>Year for 2015</v>
      </c>
    </row>
    <row r="6" spans="2:5" x14ac:dyDescent="0.2">
      <c r="B6" s="237" t="s">
        <v>214</v>
      </c>
      <c r="C6" s="57">
        <v>306145</v>
      </c>
      <c r="D6" s="213">
        <f>C29</f>
        <v>381789</v>
      </c>
      <c r="E6" s="213">
        <f>D29</f>
        <v>366970</v>
      </c>
    </row>
    <row r="7" spans="2:5" x14ac:dyDescent="0.2">
      <c r="B7" s="240" t="s">
        <v>216</v>
      </c>
      <c r="C7" s="77"/>
      <c r="D7" s="77"/>
      <c r="E7" s="77"/>
    </row>
    <row r="8" spans="2:5" x14ac:dyDescent="0.2">
      <c r="B8" s="257" t="s">
        <v>1028</v>
      </c>
      <c r="C8" s="57">
        <v>43500</v>
      </c>
      <c r="D8" s="57">
        <v>44000</v>
      </c>
      <c r="E8" s="57">
        <v>44000</v>
      </c>
    </row>
    <row r="9" spans="2:5" x14ac:dyDescent="0.2">
      <c r="B9" s="257" t="s">
        <v>1029</v>
      </c>
      <c r="C9" s="57">
        <v>43430</v>
      </c>
      <c r="D9" s="57">
        <v>44000</v>
      </c>
      <c r="E9" s="57">
        <v>44000</v>
      </c>
    </row>
    <row r="10" spans="2:5" x14ac:dyDescent="0.2">
      <c r="B10" s="257" t="s">
        <v>1030</v>
      </c>
      <c r="C10" s="57">
        <v>80598</v>
      </c>
      <c r="D10" s="57">
        <v>0</v>
      </c>
      <c r="E10" s="57">
        <v>0</v>
      </c>
    </row>
    <row r="11" spans="2:5" x14ac:dyDescent="0.2">
      <c r="B11" s="257"/>
      <c r="C11" s="57"/>
      <c r="D11" s="57"/>
      <c r="E11" s="57"/>
    </row>
    <row r="12" spans="2:5" x14ac:dyDescent="0.2">
      <c r="B12" s="245" t="s">
        <v>112</v>
      </c>
      <c r="C12" s="57">
        <v>927</v>
      </c>
      <c r="D12" s="57">
        <v>900</v>
      </c>
      <c r="E12" s="57">
        <v>900</v>
      </c>
    </row>
    <row r="13" spans="2:5" x14ac:dyDescent="0.2">
      <c r="B13" s="147" t="s">
        <v>14</v>
      </c>
      <c r="C13" s="57"/>
      <c r="D13" s="242"/>
      <c r="E13" s="242"/>
    </row>
    <row r="14" spans="2:5" x14ac:dyDescent="0.2">
      <c r="B14" s="237" t="s">
        <v>736</v>
      </c>
      <c r="C14" s="276" t="str">
        <f>IF(C15*0.1&lt;C13,"Exceed 10% Rule","")</f>
        <v/>
      </c>
      <c r="D14" s="247" t="str">
        <f>IF(D15*0.1&lt;D13,"Exceed 10% Rule","")</f>
        <v/>
      </c>
      <c r="E14" s="247" t="str">
        <f>IF(E15*0.1&lt;E13,"Exceed 10% Rule","")</f>
        <v/>
      </c>
    </row>
    <row r="15" spans="2:5" x14ac:dyDescent="0.2">
      <c r="B15" s="248" t="s">
        <v>113</v>
      </c>
      <c r="C15" s="251">
        <f>SUM(C8:C13)</f>
        <v>168455</v>
      </c>
      <c r="D15" s="251">
        <f>SUM(D8:D13)</f>
        <v>88900</v>
      </c>
      <c r="E15" s="251">
        <f>SUM(E8:E13)</f>
        <v>88900</v>
      </c>
    </row>
    <row r="16" spans="2:5" x14ac:dyDescent="0.2">
      <c r="B16" s="248" t="s">
        <v>114</v>
      </c>
      <c r="C16" s="251">
        <f>C6+C15</f>
        <v>474600</v>
      </c>
      <c r="D16" s="251">
        <f>D6+D15</f>
        <v>470689</v>
      </c>
      <c r="E16" s="251">
        <f>E6+E15</f>
        <v>455870</v>
      </c>
    </row>
    <row r="17" spans="2:5" x14ac:dyDescent="0.2">
      <c r="B17" s="138" t="s">
        <v>116</v>
      </c>
      <c r="C17" s="213"/>
      <c r="D17" s="213"/>
      <c r="E17" s="213"/>
    </row>
    <row r="18" spans="2:5" x14ac:dyDescent="0.2">
      <c r="B18" s="257" t="s">
        <v>1023</v>
      </c>
      <c r="C18" s="57">
        <v>56206</v>
      </c>
      <c r="D18" s="57">
        <v>58018</v>
      </c>
      <c r="E18" s="57">
        <v>66840</v>
      </c>
    </row>
    <row r="19" spans="2:5" x14ac:dyDescent="0.2">
      <c r="B19" s="257" t="s">
        <v>1024</v>
      </c>
      <c r="C19" s="57">
        <v>19576</v>
      </c>
      <c r="D19" s="57">
        <v>18096</v>
      </c>
      <c r="E19" s="57">
        <v>22000</v>
      </c>
    </row>
    <row r="20" spans="2:5" x14ac:dyDescent="0.2">
      <c r="B20" s="257" t="s">
        <v>1025</v>
      </c>
      <c r="C20" s="57">
        <v>17029</v>
      </c>
      <c r="D20" s="57">
        <v>27605</v>
      </c>
      <c r="E20" s="57">
        <v>20480</v>
      </c>
    </row>
    <row r="21" spans="2:5" x14ac:dyDescent="0.2">
      <c r="B21" s="257" t="s">
        <v>1027</v>
      </c>
      <c r="C21" s="57">
        <v>0</v>
      </c>
      <c r="D21" s="57">
        <v>0</v>
      </c>
      <c r="E21" s="57">
        <v>280000</v>
      </c>
    </row>
    <row r="22" spans="2:5" x14ac:dyDescent="0.2">
      <c r="B22" s="257"/>
      <c r="C22" s="57"/>
      <c r="D22" s="57"/>
      <c r="E22" s="57"/>
    </row>
    <row r="23" spans="2:5" x14ac:dyDescent="0.2">
      <c r="B23" s="257"/>
      <c r="C23" s="57"/>
      <c r="D23" s="57"/>
      <c r="E23" s="57"/>
    </row>
    <row r="24" spans="2:5" x14ac:dyDescent="0.2">
      <c r="B24" s="257"/>
      <c r="C24" s="57"/>
      <c r="D24" s="57"/>
      <c r="E24" s="57"/>
    </row>
    <row r="25" spans="2:5" x14ac:dyDescent="0.2">
      <c r="B25" s="257"/>
      <c r="C25" s="57"/>
      <c r="D25" s="57"/>
      <c r="E25" s="57"/>
    </row>
    <row r="26" spans="2:5" x14ac:dyDescent="0.2">
      <c r="B26" s="258" t="s">
        <v>14</v>
      </c>
      <c r="C26" s="57"/>
      <c r="D26" s="242"/>
      <c r="E26" s="242"/>
    </row>
    <row r="27" spans="2:5" x14ac:dyDescent="0.2">
      <c r="B27" s="258" t="s">
        <v>737</v>
      </c>
      <c r="C27" s="276" t="str">
        <f>IF(C28*0.1&lt;C26,"Exceed 10% Rule","")</f>
        <v/>
      </c>
      <c r="D27" s="247" t="str">
        <f>IF(D28*0.1&lt;D26,"Exceed 10% Rule","")</f>
        <v/>
      </c>
      <c r="E27" s="247" t="str">
        <f>IF(E28*0.1&lt;E26,"Exceed 10% Rule","")</f>
        <v/>
      </c>
    </row>
    <row r="28" spans="2:5" x14ac:dyDescent="0.2">
      <c r="B28" s="248" t="s">
        <v>120</v>
      </c>
      <c r="C28" s="251">
        <f>SUM(C18:C26)</f>
        <v>92811</v>
      </c>
      <c r="D28" s="251">
        <f>SUM(D18:D26)</f>
        <v>103719</v>
      </c>
      <c r="E28" s="251">
        <f>SUM(E18:E26)</f>
        <v>389320</v>
      </c>
    </row>
    <row r="29" spans="2:5" x14ac:dyDescent="0.2">
      <c r="B29" s="138" t="s">
        <v>215</v>
      </c>
      <c r="C29" s="72">
        <f>C16-C28</f>
        <v>381789</v>
      </c>
      <c r="D29" s="72">
        <f>D16-D28</f>
        <v>366970</v>
      </c>
      <c r="E29" s="72">
        <f>E16-E28</f>
        <v>66550</v>
      </c>
    </row>
    <row r="30" spans="2:5" x14ac:dyDescent="0.2">
      <c r="B30" s="158" t="str">
        <f>CONCATENATE("",E1-2,"/",E1-1,"/",E1," Budget Authority Amount:")</f>
        <v>2013/2014/2015 Budget Authority Amount:</v>
      </c>
      <c r="C30" s="679">
        <f>inputOth!B75</f>
        <v>278980</v>
      </c>
      <c r="D30" s="679">
        <f>inputPrYr!D36</f>
        <v>385320</v>
      </c>
      <c r="E30" s="707">
        <f>E28</f>
        <v>389320</v>
      </c>
    </row>
    <row r="31" spans="2:5" x14ac:dyDescent="0.2">
      <c r="B31" s="124"/>
      <c r="C31" s="261" t="str">
        <f>IF(C28&gt;C30,"See Tab A","")</f>
        <v/>
      </c>
      <c r="D31" s="261" t="str">
        <f>IF(D28&gt;D30,"See Tab C","")</f>
        <v/>
      </c>
      <c r="E31" s="708" t="str">
        <f>IF(E29&lt;0,"See Tab E","")</f>
        <v/>
      </c>
    </row>
    <row r="32" spans="2:5" x14ac:dyDescent="0.2">
      <c r="B32" s="124"/>
      <c r="C32" s="261" t="str">
        <f>IF(C29&lt;0,"See Tab B","")</f>
        <v/>
      </c>
      <c r="D32" s="261" t="str">
        <f>IF(D29&lt;0,"See Tab D","")</f>
        <v/>
      </c>
      <c r="E32" s="87"/>
    </row>
    <row r="33" spans="2:5" x14ac:dyDescent="0.2">
      <c r="B33" s="43"/>
      <c r="C33" s="87"/>
      <c r="D33" s="87"/>
      <c r="E33" s="87"/>
    </row>
    <row r="34" spans="2:5" x14ac:dyDescent="0.2">
      <c r="B34" s="44" t="s">
        <v>104</v>
      </c>
      <c r="C34" s="274"/>
      <c r="D34" s="274"/>
      <c r="E34" s="274"/>
    </row>
    <row r="35" spans="2:5" x14ac:dyDescent="0.2">
      <c r="B35" s="43"/>
      <c r="C35" s="673" t="s">
        <v>896</v>
      </c>
      <c r="D35" s="674" t="s">
        <v>897</v>
      </c>
      <c r="E35" s="132" t="s">
        <v>898</v>
      </c>
    </row>
    <row r="36" spans="2:5" x14ac:dyDescent="0.2">
      <c r="B36" s="502" t="str">
        <f>(inputPrYr!B37)</f>
        <v>Water Utility</v>
      </c>
      <c r="C36" s="210" t="str">
        <f>CONCATENATE("Actual for ",$E$1-2,"")</f>
        <v>Actual for 2013</v>
      </c>
      <c r="D36" s="210" t="str">
        <f>CONCATENATE("Estimate for ",$E$1-1,"")</f>
        <v>Estimate for 2014</v>
      </c>
      <c r="E36" s="193" t="str">
        <f>CONCATENATE("Year for ",$E$1,"")</f>
        <v>Year for 2015</v>
      </c>
    </row>
    <row r="37" spans="2:5" x14ac:dyDescent="0.2">
      <c r="B37" s="237" t="s">
        <v>214</v>
      </c>
      <c r="C37" s="57">
        <v>121204</v>
      </c>
      <c r="D37" s="213">
        <f>C60</f>
        <v>126546</v>
      </c>
      <c r="E37" s="213">
        <f>D60</f>
        <v>118546</v>
      </c>
    </row>
    <row r="38" spans="2:5" x14ac:dyDescent="0.2">
      <c r="B38" s="240" t="s">
        <v>216</v>
      </c>
      <c r="C38" s="77"/>
      <c r="D38" s="77"/>
      <c r="E38" s="77"/>
    </row>
    <row r="39" spans="2:5" x14ac:dyDescent="0.2">
      <c r="B39" s="257" t="s">
        <v>1031</v>
      </c>
      <c r="C39" s="57">
        <v>103394</v>
      </c>
      <c r="D39" s="57">
        <v>103400</v>
      </c>
      <c r="E39" s="57">
        <v>103400</v>
      </c>
    </row>
    <row r="40" spans="2:5" x14ac:dyDescent="0.2">
      <c r="B40" s="257" t="s">
        <v>1032</v>
      </c>
      <c r="C40" s="57">
        <v>8</v>
      </c>
      <c r="D40" s="57">
        <v>0</v>
      </c>
      <c r="E40" s="57">
        <v>0</v>
      </c>
    </row>
    <row r="41" spans="2:5" x14ac:dyDescent="0.2">
      <c r="B41" s="257" t="s">
        <v>156</v>
      </c>
      <c r="C41" s="57">
        <v>0</v>
      </c>
      <c r="D41" s="57">
        <v>0</v>
      </c>
      <c r="E41" s="57">
        <v>0</v>
      </c>
    </row>
    <row r="42" spans="2:5" x14ac:dyDescent="0.2">
      <c r="B42" s="257"/>
      <c r="C42" s="57"/>
      <c r="D42" s="57"/>
      <c r="E42" s="57"/>
    </row>
    <row r="43" spans="2:5" x14ac:dyDescent="0.2">
      <c r="B43" s="245" t="s">
        <v>112</v>
      </c>
      <c r="C43" s="57">
        <v>21</v>
      </c>
      <c r="D43" s="57">
        <v>0</v>
      </c>
      <c r="E43" s="57">
        <v>0</v>
      </c>
    </row>
    <row r="44" spans="2:5" x14ac:dyDescent="0.2">
      <c r="B44" s="147" t="s">
        <v>14</v>
      </c>
      <c r="C44" s="57"/>
      <c r="D44" s="242"/>
      <c r="E44" s="242"/>
    </row>
    <row r="45" spans="2:5" x14ac:dyDescent="0.2">
      <c r="B45" s="237" t="s">
        <v>736</v>
      </c>
      <c r="C45" s="276" t="str">
        <f>IF(C46*0.1&lt;C44,"Exceed 10% Rule","")</f>
        <v/>
      </c>
      <c r="D45" s="247" t="str">
        <f>IF(D46*0.1&lt;D44,"Exceed 10% Rule","")</f>
        <v/>
      </c>
      <c r="E45" s="247" t="str">
        <f>IF(E46*0.1&lt;E44,"Exceed 10% Rule","")</f>
        <v/>
      </c>
    </row>
    <row r="46" spans="2:5" x14ac:dyDescent="0.2">
      <c r="B46" s="248" t="s">
        <v>113</v>
      </c>
      <c r="C46" s="251">
        <f>SUM(C39:C44)</f>
        <v>103423</v>
      </c>
      <c r="D46" s="251">
        <f>SUM(D39:D44)</f>
        <v>103400</v>
      </c>
      <c r="E46" s="251">
        <f>SUM(E39:E44)</f>
        <v>103400</v>
      </c>
    </row>
    <row r="47" spans="2:5" x14ac:dyDescent="0.2">
      <c r="B47" s="248" t="s">
        <v>114</v>
      </c>
      <c r="C47" s="251">
        <f>C37+C46</f>
        <v>224627</v>
      </c>
      <c r="D47" s="251">
        <f>D37+D46</f>
        <v>229946</v>
      </c>
      <c r="E47" s="251">
        <f>E37+E46</f>
        <v>221946</v>
      </c>
    </row>
    <row r="48" spans="2:5" x14ac:dyDescent="0.2">
      <c r="B48" s="138" t="s">
        <v>116</v>
      </c>
      <c r="C48" s="213"/>
      <c r="D48" s="213"/>
      <c r="E48" s="213"/>
    </row>
    <row r="49" spans="2:5" x14ac:dyDescent="0.2">
      <c r="B49" s="257" t="s">
        <v>1033</v>
      </c>
      <c r="C49" s="57"/>
      <c r="D49" s="57"/>
      <c r="E49" s="57"/>
    </row>
    <row r="50" spans="2:5" x14ac:dyDescent="0.2">
      <c r="B50" s="257" t="s">
        <v>1023</v>
      </c>
      <c r="C50" s="57">
        <v>39303</v>
      </c>
      <c r="D50" s="57">
        <v>44200</v>
      </c>
      <c r="E50" s="57">
        <v>45200</v>
      </c>
    </row>
    <row r="51" spans="2:5" x14ac:dyDescent="0.2">
      <c r="B51" s="257" t="s">
        <v>1024</v>
      </c>
      <c r="C51" s="57">
        <v>21043</v>
      </c>
      <c r="D51" s="57">
        <v>26000</v>
      </c>
      <c r="E51" s="57">
        <v>24200</v>
      </c>
    </row>
    <row r="52" spans="2:5" x14ac:dyDescent="0.2">
      <c r="B52" s="257" t="s">
        <v>1025</v>
      </c>
      <c r="C52" s="57">
        <v>36576</v>
      </c>
      <c r="D52" s="57">
        <v>40000</v>
      </c>
      <c r="E52" s="57">
        <v>42100</v>
      </c>
    </row>
    <row r="53" spans="2:5" x14ac:dyDescent="0.2">
      <c r="B53" s="257" t="s">
        <v>1034</v>
      </c>
      <c r="C53" s="57">
        <v>1159</v>
      </c>
      <c r="D53" s="57">
        <v>1200</v>
      </c>
      <c r="E53" s="57">
        <v>1330</v>
      </c>
    </row>
    <row r="54" spans="2:5" x14ac:dyDescent="0.2">
      <c r="B54" s="257" t="s">
        <v>1027</v>
      </c>
      <c r="C54" s="57">
        <v>0</v>
      </c>
      <c r="D54" s="57">
        <v>0</v>
      </c>
      <c r="E54" s="57">
        <v>90000</v>
      </c>
    </row>
    <row r="55" spans="2:5" x14ac:dyDescent="0.2">
      <c r="B55" s="257"/>
      <c r="C55" s="57"/>
      <c r="D55" s="57"/>
      <c r="E55" s="57"/>
    </row>
    <row r="56" spans="2:5" x14ac:dyDescent="0.2">
      <c r="B56" s="257"/>
      <c r="C56" s="57"/>
      <c r="D56" s="57"/>
      <c r="E56" s="57"/>
    </row>
    <row r="57" spans="2:5" x14ac:dyDescent="0.2">
      <c r="B57" s="258" t="s">
        <v>14</v>
      </c>
      <c r="C57" s="57"/>
      <c r="D57" s="242"/>
      <c r="E57" s="242"/>
    </row>
    <row r="58" spans="2:5" x14ac:dyDescent="0.2">
      <c r="B58" s="258" t="s">
        <v>737</v>
      </c>
      <c r="C58" s="276" t="str">
        <f>IF(C59*0.1&lt;C57,"Exceed 10% Rule","")</f>
        <v/>
      </c>
      <c r="D58" s="247" t="str">
        <f>IF(D59*0.1&lt;D57,"Exceed 10% Rule","")</f>
        <v/>
      </c>
      <c r="E58" s="247" t="str">
        <f>IF(E59*0.1&lt;E57,"Exceed 10% Rule","")</f>
        <v/>
      </c>
    </row>
    <row r="59" spans="2:5" x14ac:dyDescent="0.2">
      <c r="B59" s="248" t="s">
        <v>120</v>
      </c>
      <c r="C59" s="251">
        <f>SUM(C49:C57)</f>
        <v>98081</v>
      </c>
      <c r="D59" s="251">
        <f>SUM(D49:D57)</f>
        <v>111400</v>
      </c>
      <c r="E59" s="251">
        <f>SUM(E49:E57)</f>
        <v>202830</v>
      </c>
    </row>
    <row r="60" spans="2:5" x14ac:dyDescent="0.2">
      <c r="B60" s="138" t="s">
        <v>215</v>
      </c>
      <c r="C60" s="72">
        <f>C47-C59</f>
        <v>126546</v>
      </c>
      <c r="D60" s="72">
        <f>D47-D59</f>
        <v>118546</v>
      </c>
      <c r="E60" s="72">
        <f>E47-E59</f>
        <v>19116</v>
      </c>
    </row>
    <row r="61" spans="2:5" x14ac:dyDescent="0.2">
      <c r="B61" s="158" t="str">
        <f>CONCATENATE("",E1-2,"/",E1-1,"/",E1," Budget Authority Amount:")</f>
        <v>2013/2014/2015 Budget Authority Amount:</v>
      </c>
      <c r="C61" s="679">
        <f>inputOth!B76</f>
        <v>185800</v>
      </c>
      <c r="D61" s="679">
        <f>inputPrYr!D37</f>
        <v>201400</v>
      </c>
      <c r="E61" s="707">
        <f>E59</f>
        <v>202830</v>
      </c>
    </row>
    <row r="62" spans="2:5" x14ac:dyDescent="0.2">
      <c r="B62" s="124"/>
      <c r="C62" s="261" t="str">
        <f>IF(C59&gt;C61,"See Tab A","")</f>
        <v/>
      </c>
      <c r="D62" s="261" t="str">
        <f>IF(D59&gt;D61,"See Tab C","")</f>
        <v/>
      </c>
      <c r="E62" s="708" t="str">
        <f>IF(E60&lt;0,"See Tab E","")</f>
        <v/>
      </c>
    </row>
    <row r="63" spans="2:5" x14ac:dyDescent="0.2">
      <c r="B63" s="124"/>
      <c r="C63" s="261" t="str">
        <f>IF(C60&lt;0,"See Tab B","")</f>
        <v/>
      </c>
      <c r="D63" s="261" t="str">
        <f>IF(D60&lt;0,"See Tab D","")</f>
        <v/>
      </c>
      <c r="E63" s="43"/>
    </row>
    <row r="64" spans="2:5" x14ac:dyDescent="0.2">
      <c r="B64" s="43"/>
      <c r="C64" s="43"/>
      <c r="D64" s="43"/>
      <c r="E64" s="43"/>
    </row>
    <row r="65" spans="2:5" x14ac:dyDescent="0.2">
      <c r="B65" s="374" t="s">
        <v>123</v>
      </c>
      <c r="C65" s="266">
        <v>11</v>
      </c>
      <c r="D65" s="43"/>
      <c r="E65" s="43"/>
    </row>
  </sheetData>
  <phoneticPr fontId="0" type="noConversion"/>
  <conditionalFormatting sqref="C13">
    <cfRule type="cellIs" dxfId="62" priority="5" stopIfTrue="1" operator="greaterThan">
      <formula>$C$15*0.1</formula>
    </cfRule>
  </conditionalFormatting>
  <conditionalFormatting sqref="D13">
    <cfRule type="cellIs" dxfId="61" priority="6" stopIfTrue="1" operator="greaterThan">
      <formula>$D$15*0.1</formula>
    </cfRule>
  </conditionalFormatting>
  <conditionalFormatting sqref="E13">
    <cfRule type="cellIs" dxfId="60" priority="7" stopIfTrue="1" operator="greaterThan">
      <formula>$E$15*0.1</formula>
    </cfRule>
  </conditionalFormatting>
  <conditionalFormatting sqref="C26">
    <cfRule type="cellIs" dxfId="59" priority="8" stopIfTrue="1" operator="greaterThan">
      <formula>$C$28*0.1</formula>
    </cfRule>
  </conditionalFormatting>
  <conditionalFormatting sqref="D26">
    <cfRule type="cellIs" dxfId="58" priority="9" stopIfTrue="1" operator="greaterThan">
      <formula>$D$28*0.1</formula>
    </cfRule>
  </conditionalFormatting>
  <conditionalFormatting sqref="E26">
    <cfRule type="cellIs" dxfId="57" priority="10" stopIfTrue="1" operator="greaterThan">
      <formula>$E$28*0.1</formula>
    </cfRule>
  </conditionalFormatting>
  <conditionalFormatting sqref="C44">
    <cfRule type="cellIs" dxfId="56" priority="11" stopIfTrue="1" operator="greaterThan">
      <formula>$C$46*0.1</formula>
    </cfRule>
  </conditionalFormatting>
  <conditionalFormatting sqref="D44">
    <cfRule type="cellIs" dxfId="55" priority="12" stopIfTrue="1" operator="greaterThan">
      <formula>$D$46*0.1</formula>
    </cfRule>
  </conditionalFormatting>
  <conditionalFormatting sqref="E44">
    <cfRule type="cellIs" dxfId="54" priority="13" stopIfTrue="1" operator="greaterThan">
      <formula>$E$46*0.1</formula>
    </cfRule>
  </conditionalFormatting>
  <conditionalFormatting sqref="C57">
    <cfRule type="cellIs" dxfId="53" priority="14" stopIfTrue="1" operator="greaterThan">
      <formula>$C$59*0.1</formula>
    </cfRule>
  </conditionalFormatting>
  <conditionalFormatting sqref="D57">
    <cfRule type="cellIs" dxfId="52" priority="15" stopIfTrue="1" operator="greaterThan">
      <formula>$D$59*0.1</formula>
    </cfRule>
  </conditionalFormatting>
  <conditionalFormatting sqref="E57">
    <cfRule type="cellIs" dxfId="51" priority="16" stopIfTrue="1" operator="greaterThan">
      <formula>$E$59*0.1</formula>
    </cfRule>
  </conditionalFormatting>
  <conditionalFormatting sqref="D59">
    <cfRule type="cellIs" dxfId="50" priority="17" stopIfTrue="1" operator="greaterThan">
      <formula>$D$61</formula>
    </cfRule>
  </conditionalFormatting>
  <conditionalFormatting sqref="C59">
    <cfRule type="cellIs" dxfId="49" priority="18" stopIfTrue="1" operator="greaterThan">
      <formula>$C$61</formula>
    </cfRule>
  </conditionalFormatting>
  <conditionalFormatting sqref="C60 E60 C29 E29">
    <cfRule type="cellIs" dxfId="48" priority="19" stopIfTrue="1" operator="lessThan">
      <formula>0</formula>
    </cfRule>
  </conditionalFormatting>
  <conditionalFormatting sqref="D28">
    <cfRule type="cellIs" dxfId="47" priority="20" stopIfTrue="1" operator="greaterThan">
      <formula>$D$30</formula>
    </cfRule>
  </conditionalFormatting>
  <conditionalFormatting sqref="C28">
    <cfRule type="cellIs" dxfId="46" priority="21" stopIfTrue="1" operator="greaterThan">
      <formula>$C$30</formula>
    </cfRule>
  </conditionalFormatting>
  <conditionalFormatting sqref="D60">
    <cfRule type="cellIs" dxfId="45" priority="4" stopIfTrue="1" operator="lessThan">
      <formula>0</formula>
    </cfRule>
  </conditionalFormatting>
  <conditionalFormatting sqref="D29">
    <cfRule type="cellIs" dxfId="44" priority="3" stopIfTrue="1" operator="lessThan">
      <formula>0</formula>
    </cfRule>
  </conditionalFormatting>
  <conditionalFormatting sqref="E61">
    <cfRule type="cellIs" dxfId="43" priority="1" stopIfTrue="1" operator="lessThan">
      <formula>0</formula>
    </cfRule>
  </conditionalFormatting>
  <conditionalFormatting sqref="E30">
    <cfRule type="cellIs" dxfId="42" priority="2"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C28" sqref="C28"/>
    </sheetView>
  </sheetViews>
  <sheetFormatPr defaultRowHeight="15.75" x14ac:dyDescent="0.2"/>
  <cols>
    <col min="1" max="1" width="2.44140625" style="41" customWidth="1"/>
    <col min="2" max="2" width="31.109375" style="41" customWidth="1"/>
    <col min="3" max="4" width="15.77734375" style="41" customWidth="1"/>
    <col min="5" max="5" width="16.109375" style="41" customWidth="1"/>
    <col min="6" max="16384" width="8.88671875" style="41"/>
  </cols>
  <sheetData>
    <row r="1" spans="2:5" x14ac:dyDescent="0.2">
      <c r="B1" s="182" t="str">
        <f>(inputPrYr!D2)</f>
        <v>City of Frankfort</v>
      </c>
      <c r="C1" s="43"/>
      <c r="D1" s="43"/>
      <c r="E1" s="233">
        <f>inputPrYr!C5</f>
        <v>2015</v>
      </c>
    </row>
    <row r="2" spans="2:5" x14ac:dyDescent="0.2">
      <c r="B2" s="43"/>
      <c r="C2" s="43"/>
      <c r="D2" s="43"/>
      <c r="E2" s="156"/>
    </row>
    <row r="3" spans="2:5" x14ac:dyDescent="0.2">
      <c r="B3" s="234" t="s">
        <v>172</v>
      </c>
      <c r="C3" s="271"/>
      <c r="D3" s="271"/>
      <c r="E3" s="271"/>
    </row>
    <row r="4" spans="2:5" x14ac:dyDescent="0.2">
      <c r="B4" s="44" t="s">
        <v>104</v>
      </c>
      <c r="C4" s="673" t="s">
        <v>896</v>
      </c>
      <c r="D4" s="674" t="s">
        <v>897</v>
      </c>
      <c r="E4" s="132" t="s">
        <v>898</v>
      </c>
    </row>
    <row r="5" spans="2:5" x14ac:dyDescent="0.2">
      <c r="B5" s="502" t="str">
        <f>(inputPrYr!B38)</f>
        <v>Sewer Utility</v>
      </c>
      <c r="C5" s="210" t="str">
        <f>CONCATENATE("Actual for ",E1-2,"")</f>
        <v>Actual for 2013</v>
      </c>
      <c r="D5" s="210" t="str">
        <f>CONCATENATE("Estimate for ",E1-1,"")</f>
        <v>Estimate for 2014</v>
      </c>
      <c r="E5" s="193" t="str">
        <f>CONCATENATE("Year for ",E1,"")</f>
        <v>Year for 2015</v>
      </c>
    </row>
    <row r="6" spans="2:5" x14ac:dyDescent="0.2">
      <c r="B6" s="237" t="s">
        <v>214</v>
      </c>
      <c r="C6" s="57">
        <v>73545</v>
      </c>
      <c r="D6" s="213">
        <f>C29</f>
        <v>83242</v>
      </c>
      <c r="E6" s="213">
        <f>D29</f>
        <v>92280</v>
      </c>
    </row>
    <row r="7" spans="2:5" x14ac:dyDescent="0.2">
      <c r="B7" s="240" t="s">
        <v>216</v>
      </c>
      <c r="C7" s="77"/>
      <c r="D7" s="77"/>
      <c r="E7" s="77"/>
    </row>
    <row r="8" spans="2:5" x14ac:dyDescent="0.2">
      <c r="B8" s="257" t="s">
        <v>1035</v>
      </c>
      <c r="C8" s="57">
        <v>66568</v>
      </c>
      <c r="D8" s="57">
        <v>65200</v>
      </c>
      <c r="E8" s="57">
        <v>68600</v>
      </c>
    </row>
    <row r="9" spans="2:5" x14ac:dyDescent="0.2">
      <c r="B9" s="257" t="s">
        <v>1036</v>
      </c>
      <c r="C9" s="57">
        <v>0</v>
      </c>
      <c r="D9" s="57">
        <v>0</v>
      </c>
      <c r="E9" s="57">
        <v>0</v>
      </c>
    </row>
    <row r="10" spans="2:5" x14ac:dyDescent="0.2">
      <c r="B10" s="257" t="s">
        <v>1037</v>
      </c>
      <c r="C10" s="57">
        <v>0</v>
      </c>
      <c r="D10" s="57">
        <v>0</v>
      </c>
      <c r="E10" s="57">
        <v>0</v>
      </c>
    </row>
    <row r="11" spans="2:5" x14ac:dyDescent="0.2">
      <c r="B11" s="257"/>
      <c r="C11" s="57"/>
      <c r="D11" s="57"/>
      <c r="E11" s="57"/>
    </row>
    <row r="12" spans="2:5" x14ac:dyDescent="0.2">
      <c r="B12" s="245" t="s">
        <v>112</v>
      </c>
      <c r="C12" s="57">
        <v>15</v>
      </c>
      <c r="D12" s="57">
        <v>0</v>
      </c>
      <c r="E12" s="57">
        <v>0</v>
      </c>
    </row>
    <row r="13" spans="2:5" x14ac:dyDescent="0.2">
      <c r="B13" s="147" t="s">
        <v>14</v>
      </c>
      <c r="C13" s="57"/>
      <c r="D13" s="242"/>
      <c r="E13" s="242"/>
    </row>
    <row r="14" spans="2:5" x14ac:dyDescent="0.2">
      <c r="B14" s="237" t="s">
        <v>736</v>
      </c>
      <c r="C14" s="276" t="str">
        <f>IF(C15*0.1&lt;C13,"Exceed 10% Rule","")</f>
        <v/>
      </c>
      <c r="D14" s="247" t="str">
        <f>IF(D15*0.1&lt;D13,"Exceed 10% Rule","")</f>
        <v/>
      </c>
      <c r="E14" s="247" t="str">
        <f>IF(E15*0.1&lt;E13,"Exceed 10% Rule","")</f>
        <v/>
      </c>
    </row>
    <row r="15" spans="2:5" x14ac:dyDescent="0.2">
      <c r="B15" s="248" t="s">
        <v>113</v>
      </c>
      <c r="C15" s="251">
        <f>SUM(C8:C13)</f>
        <v>66583</v>
      </c>
      <c r="D15" s="251">
        <f>SUM(D8:D13)</f>
        <v>65200</v>
      </c>
      <c r="E15" s="251">
        <f>SUM(E8:E13)</f>
        <v>68600</v>
      </c>
    </row>
    <row r="16" spans="2:5" x14ac:dyDescent="0.2">
      <c r="B16" s="248" t="s">
        <v>114</v>
      </c>
      <c r="C16" s="251">
        <f>C6+C15</f>
        <v>140128</v>
      </c>
      <c r="D16" s="251">
        <f>D6+D15</f>
        <v>148442</v>
      </c>
      <c r="E16" s="251">
        <f>E6+E15</f>
        <v>160880</v>
      </c>
    </row>
    <row r="17" spans="2:5" x14ac:dyDescent="0.2">
      <c r="B17" s="138" t="s">
        <v>116</v>
      </c>
      <c r="C17" s="213"/>
      <c r="D17" s="213"/>
      <c r="E17" s="213"/>
    </row>
    <row r="18" spans="2:5" x14ac:dyDescent="0.2">
      <c r="B18" s="257" t="s">
        <v>1023</v>
      </c>
      <c r="C18" s="57">
        <v>38617</v>
      </c>
      <c r="D18" s="57">
        <v>42643</v>
      </c>
      <c r="E18" s="57">
        <v>43920</v>
      </c>
    </row>
    <row r="19" spans="2:5" x14ac:dyDescent="0.2">
      <c r="B19" s="257" t="s">
        <v>1024</v>
      </c>
      <c r="C19" s="57">
        <v>12960</v>
      </c>
      <c r="D19" s="57">
        <v>8000</v>
      </c>
      <c r="E19" s="57">
        <v>9200</v>
      </c>
    </row>
    <row r="20" spans="2:5" x14ac:dyDescent="0.2">
      <c r="B20" s="257" t="s">
        <v>1025</v>
      </c>
      <c r="C20" s="57">
        <v>5309</v>
      </c>
      <c r="D20" s="57">
        <v>5519</v>
      </c>
      <c r="E20" s="57">
        <v>8000</v>
      </c>
    </row>
    <row r="21" spans="2:5" x14ac:dyDescent="0.2">
      <c r="B21" s="257" t="s">
        <v>1027</v>
      </c>
      <c r="C21" s="57">
        <v>0</v>
      </c>
      <c r="D21" s="57">
        <v>0</v>
      </c>
      <c r="E21" s="57">
        <v>84000</v>
      </c>
    </row>
    <row r="22" spans="2:5" x14ac:dyDescent="0.2">
      <c r="B22" s="257"/>
      <c r="C22" s="57"/>
      <c r="D22" s="57"/>
      <c r="E22" s="57"/>
    </row>
    <row r="23" spans="2:5" x14ac:dyDescent="0.2">
      <c r="B23" s="257"/>
      <c r="C23" s="57"/>
      <c r="D23" s="57"/>
      <c r="E23" s="57"/>
    </row>
    <row r="24" spans="2:5" x14ac:dyDescent="0.2">
      <c r="B24" s="257"/>
      <c r="C24" s="57"/>
      <c r="D24" s="57"/>
      <c r="E24" s="57"/>
    </row>
    <row r="25" spans="2:5" x14ac:dyDescent="0.2">
      <c r="B25" s="257"/>
      <c r="C25" s="57"/>
      <c r="D25" s="57"/>
      <c r="E25" s="57"/>
    </row>
    <row r="26" spans="2:5" x14ac:dyDescent="0.2">
      <c r="B26" s="258" t="s">
        <v>14</v>
      </c>
      <c r="C26" s="57"/>
      <c r="D26" s="242"/>
      <c r="E26" s="242"/>
    </row>
    <row r="27" spans="2:5" x14ac:dyDescent="0.2">
      <c r="B27" s="258" t="s">
        <v>737</v>
      </c>
      <c r="C27" s="276" t="str">
        <f>IF(C28*0.1&lt;C26,"Exceed 10% Rule","")</f>
        <v/>
      </c>
      <c r="D27" s="247" t="str">
        <f>IF(D28*0.1&lt;D26,"Exceed 10% Rule","")</f>
        <v/>
      </c>
      <c r="E27" s="247" t="str">
        <f>IF(E28*0.1&lt;E26,"Exceed 10% Rule","")</f>
        <v/>
      </c>
    </row>
    <row r="28" spans="2:5" x14ac:dyDescent="0.2">
      <c r="B28" s="248" t="s">
        <v>120</v>
      </c>
      <c r="C28" s="251">
        <f>SUM(C18:C26)</f>
        <v>56886</v>
      </c>
      <c r="D28" s="251">
        <f>SUM(D18:D26)</f>
        <v>56162</v>
      </c>
      <c r="E28" s="251">
        <f>SUM(E18:E26)</f>
        <v>145120</v>
      </c>
    </row>
    <row r="29" spans="2:5" x14ac:dyDescent="0.2">
      <c r="B29" s="138" t="s">
        <v>215</v>
      </c>
      <c r="C29" s="72">
        <f>C16-C28</f>
        <v>83242</v>
      </c>
      <c r="D29" s="72">
        <f>D16-D28</f>
        <v>92280</v>
      </c>
      <c r="E29" s="72">
        <f>E16-E28</f>
        <v>15760</v>
      </c>
    </row>
    <row r="30" spans="2:5" x14ac:dyDescent="0.2">
      <c r="B30" s="158" t="str">
        <f>CONCATENATE("",E1-2,"/",E1-1,"/",E1," Budget Authority Amount:")</f>
        <v>2013/2014/2015 Budget Authority Amount:</v>
      </c>
      <c r="C30" s="679">
        <f>inputOth!B77</f>
        <v>104800</v>
      </c>
      <c r="D30" s="679">
        <f>inputPrYr!D38</f>
        <v>136800</v>
      </c>
      <c r="E30" s="707">
        <f>E28</f>
        <v>145120</v>
      </c>
    </row>
    <row r="31" spans="2:5" x14ac:dyDescent="0.2">
      <c r="B31" s="124"/>
      <c r="C31" s="261" t="str">
        <f>IF(C28&gt;C30,"See Tab A","")</f>
        <v/>
      </c>
      <c r="D31" s="261" t="str">
        <f>IF(D28&gt;D30,"See Tab C","")</f>
        <v/>
      </c>
      <c r="E31" s="708" t="str">
        <f>IF(E29&lt;0,"See Tab E","")</f>
        <v/>
      </c>
    </row>
    <row r="32" spans="2:5" x14ac:dyDescent="0.2">
      <c r="B32" s="124"/>
      <c r="C32" s="261" t="str">
        <f>IF(C29&lt;0,"See Tab B","")</f>
        <v/>
      </c>
      <c r="D32" s="261" t="str">
        <f>IF(D29&lt;0,"See Tab D","")</f>
        <v/>
      </c>
      <c r="E32" s="87"/>
    </row>
    <row r="33" spans="2:5" x14ac:dyDescent="0.2">
      <c r="B33" s="43"/>
      <c r="C33" s="87"/>
      <c r="D33" s="87"/>
      <c r="E33" s="87"/>
    </row>
    <row r="34" spans="2:5" x14ac:dyDescent="0.2">
      <c r="B34" s="44" t="s">
        <v>104</v>
      </c>
      <c r="C34" s="274"/>
      <c r="D34" s="274"/>
      <c r="E34" s="274"/>
    </row>
    <row r="35" spans="2:5" x14ac:dyDescent="0.2">
      <c r="B35" s="43"/>
      <c r="C35" s="673" t="s">
        <v>896</v>
      </c>
      <c r="D35" s="674" t="s">
        <v>897</v>
      </c>
      <c r="E35" s="132" t="s">
        <v>898</v>
      </c>
    </row>
    <row r="36" spans="2:5" x14ac:dyDescent="0.2">
      <c r="B36" s="502">
        <f>(inputPrYr!B39)</f>
        <v>0</v>
      </c>
      <c r="C36" s="210" t="str">
        <f>CONCATENATE("Actual for ",$E$1-2,"")</f>
        <v>Actual for 2013</v>
      </c>
      <c r="D36" s="210" t="str">
        <f>CONCATENATE("Estimate for ",$E$1-1,"")</f>
        <v>Estimate for 2014</v>
      </c>
      <c r="E36" s="193" t="str">
        <f>CONCATENATE("Year for ",$E$1,"")</f>
        <v>Year for 2015</v>
      </c>
    </row>
    <row r="37" spans="2:5" x14ac:dyDescent="0.2">
      <c r="B37" s="237" t="s">
        <v>214</v>
      </c>
      <c r="C37" s="57"/>
      <c r="D37" s="213">
        <f>C60</f>
        <v>0</v>
      </c>
      <c r="E37" s="213">
        <f>D60</f>
        <v>0</v>
      </c>
    </row>
    <row r="38" spans="2:5" x14ac:dyDescent="0.2">
      <c r="B38" s="240" t="s">
        <v>216</v>
      </c>
      <c r="C38" s="77"/>
      <c r="D38" s="77"/>
      <c r="E38" s="77"/>
    </row>
    <row r="39" spans="2:5" x14ac:dyDescent="0.2">
      <c r="B39" s="257"/>
      <c r="C39" s="57"/>
      <c r="D39" s="57"/>
      <c r="E39" s="57"/>
    </row>
    <row r="40" spans="2:5" x14ac:dyDescent="0.2">
      <c r="B40" s="257"/>
      <c r="C40" s="57"/>
      <c r="D40" s="57"/>
      <c r="E40" s="57"/>
    </row>
    <row r="41" spans="2:5" x14ac:dyDescent="0.2">
      <c r="B41" s="257"/>
      <c r="C41" s="57"/>
      <c r="D41" s="57"/>
      <c r="E41" s="57"/>
    </row>
    <row r="42" spans="2:5" x14ac:dyDescent="0.2">
      <c r="B42" s="257"/>
      <c r="C42" s="57"/>
      <c r="D42" s="57"/>
      <c r="E42" s="57"/>
    </row>
    <row r="43" spans="2:5" x14ac:dyDescent="0.2">
      <c r="B43" s="245" t="s">
        <v>112</v>
      </c>
      <c r="C43" s="57"/>
      <c r="D43" s="57"/>
      <c r="E43" s="57"/>
    </row>
    <row r="44" spans="2:5" x14ac:dyDescent="0.2">
      <c r="B44" s="147" t="s">
        <v>14</v>
      </c>
      <c r="C44" s="57"/>
      <c r="D44" s="242"/>
      <c r="E44" s="242"/>
    </row>
    <row r="45" spans="2:5" x14ac:dyDescent="0.2">
      <c r="B45" s="237" t="s">
        <v>736</v>
      </c>
      <c r="C45" s="276" t="str">
        <f>IF(C46*0.1&lt;C44,"Exceed 10% Rule","")</f>
        <v/>
      </c>
      <c r="D45" s="247" t="str">
        <f>IF(D46*0.1&lt;D44,"Exceed 10% Rule","")</f>
        <v/>
      </c>
      <c r="E45" s="247" t="str">
        <f>IF(E46*0.1&lt;E44,"Exceed 10% Rule","")</f>
        <v/>
      </c>
    </row>
    <row r="46" spans="2:5" x14ac:dyDescent="0.2">
      <c r="B46" s="248" t="s">
        <v>113</v>
      </c>
      <c r="C46" s="251">
        <f>SUM(C39:C44)</f>
        <v>0</v>
      </c>
      <c r="D46" s="251">
        <f>SUM(D39:D44)</f>
        <v>0</v>
      </c>
      <c r="E46" s="251">
        <f>SUM(E39:E44)</f>
        <v>0</v>
      </c>
    </row>
    <row r="47" spans="2:5" x14ac:dyDescent="0.2">
      <c r="B47" s="248" t="s">
        <v>114</v>
      </c>
      <c r="C47" s="251">
        <f>C37+C46</f>
        <v>0</v>
      </c>
      <c r="D47" s="251">
        <f>D37+D46</f>
        <v>0</v>
      </c>
      <c r="E47" s="251">
        <f>E37+E46</f>
        <v>0</v>
      </c>
    </row>
    <row r="48" spans="2:5" x14ac:dyDescent="0.2">
      <c r="B48" s="138" t="s">
        <v>116</v>
      </c>
      <c r="C48" s="213"/>
      <c r="D48" s="213"/>
      <c r="E48" s="213"/>
    </row>
    <row r="49" spans="2:5" x14ac:dyDescent="0.2">
      <c r="B49" s="257"/>
      <c r="C49" s="57"/>
      <c r="D49" s="57"/>
      <c r="E49" s="57"/>
    </row>
    <row r="50" spans="2:5" x14ac:dyDescent="0.2">
      <c r="B50" s="257"/>
      <c r="C50" s="57"/>
      <c r="D50" s="57"/>
      <c r="E50" s="57"/>
    </row>
    <row r="51" spans="2:5" x14ac:dyDescent="0.2">
      <c r="B51" s="257"/>
      <c r="C51" s="57"/>
      <c r="D51" s="57"/>
      <c r="E51" s="57"/>
    </row>
    <row r="52" spans="2:5" x14ac:dyDescent="0.2">
      <c r="B52" s="257"/>
      <c r="C52" s="57"/>
      <c r="D52" s="57"/>
      <c r="E52" s="57"/>
    </row>
    <row r="53" spans="2:5" x14ac:dyDescent="0.2">
      <c r="B53" s="257"/>
      <c r="C53" s="57"/>
      <c r="D53" s="57"/>
      <c r="E53" s="57"/>
    </row>
    <row r="54" spans="2:5" x14ac:dyDescent="0.2">
      <c r="B54" s="257"/>
      <c r="C54" s="57"/>
      <c r="D54" s="57"/>
      <c r="E54" s="57"/>
    </row>
    <row r="55" spans="2:5" x14ac:dyDescent="0.2">
      <c r="B55" s="257"/>
      <c r="C55" s="57"/>
      <c r="D55" s="57"/>
      <c r="E55" s="57"/>
    </row>
    <row r="56" spans="2:5" x14ac:dyDescent="0.2">
      <c r="B56" s="257"/>
      <c r="C56" s="57"/>
      <c r="D56" s="57"/>
      <c r="E56" s="57"/>
    </row>
    <row r="57" spans="2:5" x14ac:dyDescent="0.2">
      <c r="B57" s="258" t="s">
        <v>14</v>
      </c>
      <c r="C57" s="57"/>
      <c r="D57" s="242"/>
      <c r="E57" s="242"/>
    </row>
    <row r="58" spans="2:5" x14ac:dyDescent="0.2">
      <c r="B58" s="275" t="s">
        <v>737</v>
      </c>
      <c r="C58" s="276" t="str">
        <f>IF(C59*0.1&lt;C57,"Exceed 10% Rule","")</f>
        <v/>
      </c>
      <c r="D58" s="247" t="str">
        <f>IF(D59*0.1&lt;D57,"Exceed 10% Rule","")</f>
        <v/>
      </c>
      <c r="E58" s="247" t="str">
        <f>IF(E59*0.1&lt;E57,"Exceed 10% Rule","")</f>
        <v/>
      </c>
    </row>
    <row r="59" spans="2:5" x14ac:dyDescent="0.2">
      <c r="B59" s="248" t="s">
        <v>120</v>
      </c>
      <c r="C59" s="251">
        <f>SUM(C49:C57)</f>
        <v>0</v>
      </c>
      <c r="D59" s="251">
        <f>SUM(D49:D57)</f>
        <v>0</v>
      </c>
      <c r="E59" s="251">
        <f>SUM(E49:E57)</f>
        <v>0</v>
      </c>
    </row>
    <row r="60" spans="2:5" x14ac:dyDescent="0.2">
      <c r="B60" s="138" t="s">
        <v>215</v>
      </c>
      <c r="C60" s="72">
        <f>C47-C59</f>
        <v>0</v>
      </c>
      <c r="D60" s="72">
        <f>D47-D59</f>
        <v>0</v>
      </c>
      <c r="E60" s="72">
        <f>E47-E59</f>
        <v>0</v>
      </c>
    </row>
    <row r="61" spans="2:5" x14ac:dyDescent="0.2">
      <c r="B61" s="158" t="str">
        <f>CONCATENATE("",E1-2,"/",E1-1,"/",E1," Budget Authority Amount:")</f>
        <v>2013/2014/2015 Budget Authority Amount:</v>
      </c>
      <c r="C61" s="679">
        <f>inputOth!B78</f>
        <v>0</v>
      </c>
      <c r="D61" s="679">
        <f>inputPrYr!D39</f>
        <v>0</v>
      </c>
      <c r="E61" s="707">
        <f>E59</f>
        <v>0</v>
      </c>
    </row>
    <row r="62" spans="2:5" x14ac:dyDescent="0.2">
      <c r="B62" s="124"/>
      <c r="C62" s="261" t="str">
        <f>IF(C59&gt;C61,"See Tab A","")</f>
        <v/>
      </c>
      <c r="D62" s="261" t="str">
        <f>IF(D59&gt;D61,"See Tab C","")</f>
        <v/>
      </c>
      <c r="E62" s="708" t="str">
        <f>IF(E60&lt;0,"See Tab E","")</f>
        <v/>
      </c>
    </row>
    <row r="63" spans="2:5" x14ac:dyDescent="0.2">
      <c r="B63" s="124"/>
      <c r="C63" s="261" t="str">
        <f>IF(C60&lt;0,"See Tab B","")</f>
        <v/>
      </c>
      <c r="D63" s="261" t="str">
        <f>IF(D60&lt;0,"See Tab D","")</f>
        <v/>
      </c>
      <c r="E63" s="43"/>
    </row>
    <row r="64" spans="2:5" x14ac:dyDescent="0.2">
      <c r="B64" s="43"/>
      <c r="C64" s="43"/>
      <c r="D64" s="43"/>
      <c r="E64" s="43"/>
    </row>
    <row r="65" spans="2:5" x14ac:dyDescent="0.2">
      <c r="B65" s="374" t="s">
        <v>123</v>
      </c>
      <c r="C65" s="266">
        <v>12</v>
      </c>
      <c r="D65" s="43"/>
      <c r="E65" s="43"/>
    </row>
  </sheetData>
  <phoneticPr fontId="0" type="noConversion"/>
  <conditionalFormatting sqref="C13">
    <cfRule type="cellIs" dxfId="41" priority="5" stopIfTrue="1" operator="greaterThan">
      <formula>$C$15*0.1</formula>
    </cfRule>
  </conditionalFormatting>
  <conditionalFormatting sqref="D13">
    <cfRule type="cellIs" dxfId="40" priority="6" stopIfTrue="1" operator="greaterThan">
      <formula>$D$15*0.1</formula>
    </cfRule>
  </conditionalFormatting>
  <conditionalFormatting sqref="E13">
    <cfRule type="cellIs" dxfId="39" priority="7" stopIfTrue="1" operator="greaterThan">
      <formula>$E$15*0.1</formula>
    </cfRule>
  </conditionalFormatting>
  <conditionalFormatting sqref="C26">
    <cfRule type="cellIs" dxfId="38" priority="8" stopIfTrue="1" operator="greaterThan">
      <formula>$C$28*0.1</formula>
    </cfRule>
  </conditionalFormatting>
  <conditionalFormatting sqref="D26">
    <cfRule type="cellIs" dxfId="37" priority="9" stopIfTrue="1" operator="greaterThan">
      <formula>$D$28*0.1</formula>
    </cfRule>
  </conditionalFormatting>
  <conditionalFormatting sqref="E26">
    <cfRule type="cellIs" dxfId="36" priority="10" stopIfTrue="1" operator="greaterThan">
      <formula>$E$28*0.1</formula>
    </cfRule>
  </conditionalFormatting>
  <conditionalFormatting sqref="C44">
    <cfRule type="cellIs" dxfId="35" priority="11" stopIfTrue="1" operator="greaterThan">
      <formula>$C$46*0.1</formula>
    </cfRule>
  </conditionalFormatting>
  <conditionalFormatting sqref="D44">
    <cfRule type="cellIs" dxfId="34" priority="12" stopIfTrue="1" operator="greaterThan">
      <formula>$D$46*0.1</formula>
    </cfRule>
  </conditionalFormatting>
  <conditionalFormatting sqref="E44">
    <cfRule type="cellIs" dxfId="33" priority="13" stopIfTrue="1" operator="greaterThan">
      <formula>$E$46*0.1</formula>
    </cfRule>
  </conditionalFormatting>
  <conditionalFormatting sqref="C57">
    <cfRule type="cellIs" dxfId="32" priority="14" stopIfTrue="1" operator="greaterThan">
      <formula>$C$59*0.1</formula>
    </cfRule>
  </conditionalFormatting>
  <conditionalFormatting sqref="D57">
    <cfRule type="cellIs" dxfId="31" priority="15" stopIfTrue="1" operator="greaterThan">
      <formula>$D$59*0.1</formula>
    </cfRule>
  </conditionalFormatting>
  <conditionalFormatting sqref="E57">
    <cfRule type="cellIs" dxfId="30" priority="16" stopIfTrue="1" operator="greaterThan">
      <formula>$E$59*0.1</formula>
    </cfRule>
  </conditionalFormatting>
  <conditionalFormatting sqref="D59">
    <cfRule type="cellIs" dxfId="29" priority="17" stopIfTrue="1" operator="greaterThan">
      <formula>$D$61</formula>
    </cfRule>
  </conditionalFormatting>
  <conditionalFormatting sqref="C59">
    <cfRule type="cellIs" dxfId="28" priority="18" stopIfTrue="1" operator="greaterThan">
      <formula>$C$61</formula>
    </cfRule>
  </conditionalFormatting>
  <conditionalFormatting sqref="C60 E60 C29 E29">
    <cfRule type="cellIs" dxfId="27" priority="19" stopIfTrue="1" operator="lessThan">
      <formula>0</formula>
    </cfRule>
  </conditionalFormatting>
  <conditionalFormatting sqref="D28">
    <cfRule type="cellIs" dxfId="26" priority="20" stopIfTrue="1" operator="greaterThan">
      <formula>$D$30</formula>
    </cfRule>
  </conditionalFormatting>
  <conditionalFormatting sqref="C28">
    <cfRule type="cellIs" dxfId="25" priority="21" stopIfTrue="1" operator="greaterThan">
      <formula>$C$30</formula>
    </cfRule>
  </conditionalFormatting>
  <conditionalFormatting sqref="D60">
    <cfRule type="cellIs" dxfId="24" priority="4" stopIfTrue="1" operator="lessThan">
      <formula>0</formula>
    </cfRule>
  </conditionalFormatting>
  <conditionalFormatting sqref="D29">
    <cfRule type="cellIs" dxfId="23" priority="3" stopIfTrue="1" operator="lessThan">
      <formula>0</formula>
    </cfRule>
  </conditionalFormatting>
  <conditionalFormatting sqref="E61">
    <cfRule type="cellIs" dxfId="22" priority="1" stopIfTrue="1" operator="lessThan">
      <formula>0</formula>
    </cfRule>
  </conditionalFormatting>
  <conditionalFormatting sqref="E30">
    <cfRule type="cellIs" dxfId="21" priority="2"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65"/>
  <sheetViews>
    <sheetView workbookViewId="0">
      <selection activeCell="B5" sqref="B5"/>
    </sheetView>
  </sheetViews>
  <sheetFormatPr defaultRowHeight="15.75" x14ac:dyDescent="0.2"/>
  <cols>
    <col min="1" max="1" width="2.44140625" style="41" customWidth="1"/>
    <col min="2" max="2" width="31.109375" style="41" customWidth="1"/>
    <col min="3" max="4" width="15.77734375" style="41" customWidth="1"/>
    <col min="5" max="5" width="16.21875" style="41" customWidth="1"/>
    <col min="6" max="16384" width="8.88671875" style="41"/>
  </cols>
  <sheetData>
    <row r="1" spans="2:5" x14ac:dyDescent="0.2">
      <c r="B1" s="182" t="str">
        <f>(inputPrYr!D2)</f>
        <v>City of Frankfort</v>
      </c>
      <c r="C1" s="43"/>
      <c r="D1" s="43"/>
      <c r="E1" s="233">
        <f>inputPrYr!C5</f>
        <v>2015</v>
      </c>
    </row>
    <row r="2" spans="2:5" x14ac:dyDescent="0.2">
      <c r="B2" s="43"/>
      <c r="C2" s="43"/>
      <c r="D2" s="43"/>
      <c r="E2" s="156"/>
    </row>
    <row r="3" spans="2:5" x14ac:dyDescent="0.2">
      <c r="B3" s="234" t="s">
        <v>172</v>
      </c>
      <c r="C3" s="271"/>
      <c r="D3" s="271"/>
      <c r="E3" s="271"/>
    </row>
    <row r="4" spans="2:5" x14ac:dyDescent="0.2">
      <c r="B4" s="44" t="s">
        <v>104</v>
      </c>
      <c r="C4" s="673" t="s">
        <v>896</v>
      </c>
      <c r="D4" s="674" t="s">
        <v>897</v>
      </c>
      <c r="E4" s="132" t="s">
        <v>898</v>
      </c>
    </row>
    <row r="5" spans="2:5" x14ac:dyDescent="0.2">
      <c r="B5" s="502">
        <f>inputPrYr!B40</f>
        <v>0</v>
      </c>
      <c r="C5" s="210" t="str">
        <f>CONCATENATE("Actual for ",E1-2,"")</f>
        <v>Actual for 2013</v>
      </c>
      <c r="D5" s="210" t="str">
        <f>CONCATENATE("Estimate for ",E1-1,"")</f>
        <v>Estimate for 2014</v>
      </c>
      <c r="E5" s="193" t="str">
        <f>CONCATENATE("Year for ",E1,"")</f>
        <v>Year for 2015</v>
      </c>
    </row>
    <row r="6" spans="2:5" x14ac:dyDescent="0.2">
      <c r="B6" s="237" t="s">
        <v>214</v>
      </c>
      <c r="C6" s="57"/>
      <c r="D6" s="213">
        <f>C29</f>
        <v>0</v>
      </c>
      <c r="E6" s="213">
        <f>D29</f>
        <v>0</v>
      </c>
    </row>
    <row r="7" spans="2:5" x14ac:dyDescent="0.2">
      <c r="B7" s="240" t="s">
        <v>216</v>
      </c>
      <c r="C7" s="77"/>
      <c r="D7" s="77"/>
      <c r="E7" s="77"/>
    </row>
    <row r="8" spans="2:5" x14ac:dyDescent="0.2">
      <c r="B8" s="257"/>
      <c r="C8" s="57"/>
      <c r="D8" s="57"/>
      <c r="E8" s="57"/>
    </row>
    <row r="9" spans="2:5" x14ac:dyDescent="0.2">
      <c r="B9" s="257"/>
      <c r="C9" s="57"/>
      <c r="D9" s="57"/>
      <c r="E9" s="57"/>
    </row>
    <row r="10" spans="2:5" x14ac:dyDescent="0.2">
      <c r="B10" s="257"/>
      <c r="C10" s="57"/>
      <c r="D10" s="57"/>
      <c r="E10" s="57"/>
    </row>
    <row r="11" spans="2:5" x14ac:dyDescent="0.2">
      <c r="B11" s="257"/>
      <c r="C11" s="57"/>
      <c r="D11" s="57"/>
      <c r="E11" s="57"/>
    </row>
    <row r="12" spans="2:5" x14ac:dyDescent="0.2">
      <c r="B12" s="245" t="s">
        <v>112</v>
      </c>
      <c r="C12" s="57"/>
      <c r="D12" s="57"/>
      <c r="E12" s="57"/>
    </row>
    <row r="13" spans="2:5" x14ac:dyDescent="0.2">
      <c r="B13" s="147" t="s">
        <v>14</v>
      </c>
      <c r="C13" s="57"/>
      <c r="D13" s="242"/>
      <c r="E13" s="242"/>
    </row>
    <row r="14" spans="2:5" x14ac:dyDescent="0.2">
      <c r="B14" s="237" t="s">
        <v>736</v>
      </c>
      <c r="C14" s="276" t="str">
        <f>IF(C15*0.1&lt;C13,"Exceed 10% Rule","")</f>
        <v/>
      </c>
      <c r="D14" s="247" t="str">
        <f>IF(D15*0.1&lt;D13,"Exceed 10% Rule","")</f>
        <v/>
      </c>
      <c r="E14" s="247" t="str">
        <f>IF(E15*0.1&lt;E13,"Exceed 10% Rule","")</f>
        <v/>
      </c>
    </row>
    <row r="15" spans="2:5" x14ac:dyDescent="0.2">
      <c r="B15" s="248" t="s">
        <v>113</v>
      </c>
      <c r="C15" s="251">
        <f>SUM(C8:C13)</f>
        <v>0</v>
      </c>
      <c r="D15" s="251">
        <f>SUM(D8:D13)</f>
        <v>0</v>
      </c>
      <c r="E15" s="251">
        <f>SUM(E8:E13)</f>
        <v>0</v>
      </c>
    </row>
    <row r="16" spans="2:5" x14ac:dyDescent="0.2">
      <c r="B16" s="248" t="s">
        <v>114</v>
      </c>
      <c r="C16" s="251">
        <f>C6+C15</f>
        <v>0</v>
      </c>
      <c r="D16" s="251">
        <f>D6+D15</f>
        <v>0</v>
      </c>
      <c r="E16" s="251">
        <f>E6+E15</f>
        <v>0</v>
      </c>
    </row>
    <row r="17" spans="2:5" x14ac:dyDescent="0.2">
      <c r="B17" s="138" t="s">
        <v>116</v>
      </c>
      <c r="C17" s="213"/>
      <c r="D17" s="213"/>
      <c r="E17" s="213"/>
    </row>
    <row r="18" spans="2:5" x14ac:dyDescent="0.2">
      <c r="B18" s="257"/>
      <c r="C18" s="57"/>
      <c r="D18" s="57"/>
      <c r="E18" s="57"/>
    </row>
    <row r="19" spans="2:5" x14ac:dyDescent="0.2">
      <c r="B19" s="257"/>
      <c r="C19" s="57"/>
      <c r="D19" s="57"/>
      <c r="E19" s="57"/>
    </row>
    <row r="20" spans="2:5" x14ac:dyDescent="0.2">
      <c r="B20" s="257"/>
      <c r="C20" s="57"/>
      <c r="D20" s="57"/>
      <c r="E20" s="57"/>
    </row>
    <row r="21" spans="2:5" x14ac:dyDescent="0.2">
      <c r="B21" s="257"/>
      <c r="C21" s="57"/>
      <c r="D21" s="57"/>
      <c r="E21" s="57"/>
    </row>
    <row r="22" spans="2:5" x14ac:dyDescent="0.2">
      <c r="B22" s="257"/>
      <c r="C22" s="57"/>
      <c r="D22" s="57"/>
      <c r="E22" s="57"/>
    </row>
    <row r="23" spans="2:5" x14ac:dyDescent="0.2">
      <c r="B23" s="257"/>
      <c r="C23" s="57"/>
      <c r="D23" s="57"/>
      <c r="E23" s="57"/>
    </row>
    <row r="24" spans="2:5" x14ac:dyDescent="0.2">
      <c r="B24" s="257"/>
      <c r="C24" s="57"/>
      <c r="D24" s="57"/>
      <c r="E24" s="57"/>
    </row>
    <row r="25" spans="2:5" x14ac:dyDescent="0.2">
      <c r="B25" s="257"/>
      <c r="C25" s="57"/>
      <c r="D25" s="57"/>
      <c r="E25" s="57"/>
    </row>
    <row r="26" spans="2:5" x14ac:dyDescent="0.2">
      <c r="B26" s="258" t="s">
        <v>14</v>
      </c>
      <c r="C26" s="57"/>
      <c r="D26" s="242"/>
      <c r="E26" s="242"/>
    </row>
    <row r="27" spans="2:5" x14ac:dyDescent="0.2">
      <c r="B27" s="258" t="s">
        <v>737</v>
      </c>
      <c r="C27" s="276" t="str">
        <f>IF(C28*0.1&lt;C26,"Exceed 10% Rule","")</f>
        <v/>
      </c>
      <c r="D27" s="247" t="str">
        <f>IF(D28*0.1&lt;D26,"Exceed 10% Rule","")</f>
        <v/>
      </c>
      <c r="E27" s="247" t="str">
        <f>IF(E28*0.1&lt;E26,"Exceed 10% Rule","")</f>
        <v/>
      </c>
    </row>
    <row r="28" spans="2:5" x14ac:dyDescent="0.2">
      <c r="B28" s="248" t="s">
        <v>120</v>
      </c>
      <c r="C28" s="251">
        <f>SUM(C18:C26)</f>
        <v>0</v>
      </c>
      <c r="D28" s="251">
        <f>SUM(D18:D26)</f>
        <v>0</v>
      </c>
      <c r="E28" s="251">
        <f>SUM(E18:E26)</f>
        <v>0</v>
      </c>
    </row>
    <row r="29" spans="2:5" x14ac:dyDescent="0.2">
      <c r="B29" s="138" t="s">
        <v>215</v>
      </c>
      <c r="C29" s="72">
        <f>C16-C28</f>
        <v>0</v>
      </c>
      <c r="D29" s="72">
        <f>D16-D28</f>
        <v>0</v>
      </c>
      <c r="E29" s="72">
        <f>E16-E28</f>
        <v>0</v>
      </c>
    </row>
    <row r="30" spans="2:5" x14ac:dyDescent="0.2">
      <c r="B30" s="158" t="str">
        <f>CONCATENATE("",E1-2,"/",E1-1,"/",E1," Budget Authority Amount:")</f>
        <v>2013/2014/2015 Budget Authority Amount:</v>
      </c>
      <c r="C30" s="679">
        <f>inputOth!B79</f>
        <v>0</v>
      </c>
      <c r="D30" s="679">
        <f>inputPrYr!D40</f>
        <v>0</v>
      </c>
      <c r="E30" s="707">
        <f>E28</f>
        <v>0</v>
      </c>
    </row>
    <row r="31" spans="2:5" x14ac:dyDescent="0.2">
      <c r="B31" s="124"/>
      <c r="C31" s="261" t="str">
        <f>IF(C28&gt;C30,"See Tab A","")</f>
        <v/>
      </c>
      <c r="D31" s="261" t="str">
        <f>IF(D28&gt;D30,"See Tab C","")</f>
        <v/>
      </c>
      <c r="E31" s="708" t="str">
        <f>IF(E29&lt;0,"See Tab E","")</f>
        <v/>
      </c>
    </row>
    <row r="32" spans="2:5" x14ac:dyDescent="0.2">
      <c r="B32" s="124"/>
      <c r="C32" s="261" t="str">
        <f>IF(C29&lt;0,"See Tab B","")</f>
        <v/>
      </c>
      <c r="D32" s="261" t="str">
        <f>IF(D29&lt;0,"See Tab D","")</f>
        <v/>
      </c>
      <c r="E32" s="87"/>
    </row>
    <row r="33" spans="2:5" x14ac:dyDescent="0.2">
      <c r="B33" s="43"/>
      <c r="C33" s="87"/>
      <c r="D33" s="87"/>
      <c r="E33" s="87"/>
    </row>
    <row r="34" spans="2:5" x14ac:dyDescent="0.2">
      <c r="B34" s="44" t="s">
        <v>104</v>
      </c>
      <c r="C34" s="274"/>
      <c r="D34" s="274"/>
      <c r="E34" s="274"/>
    </row>
    <row r="35" spans="2:5" x14ac:dyDescent="0.2">
      <c r="B35" s="43"/>
      <c r="C35" s="673" t="s">
        <v>896</v>
      </c>
      <c r="D35" s="674" t="s">
        <v>897</v>
      </c>
      <c r="E35" s="132" t="s">
        <v>898</v>
      </c>
    </row>
    <row r="36" spans="2:5" x14ac:dyDescent="0.2">
      <c r="B36" s="502">
        <f>inputPrYr!B41</f>
        <v>0</v>
      </c>
      <c r="C36" s="210" t="str">
        <f>CONCATENATE("Actual for ",$E$1-2,"")</f>
        <v>Actual for 2013</v>
      </c>
      <c r="D36" s="210" t="str">
        <f>CONCATENATE("Estimate for ",$E$1-1,"")</f>
        <v>Estimate for 2014</v>
      </c>
      <c r="E36" s="193" t="str">
        <f>CONCATENATE("Year for ",$E$1,"")</f>
        <v>Year for 2015</v>
      </c>
    </row>
    <row r="37" spans="2:5" x14ac:dyDescent="0.2">
      <c r="B37" s="237" t="s">
        <v>214</v>
      </c>
      <c r="C37" s="57"/>
      <c r="D37" s="213">
        <f>C60</f>
        <v>0</v>
      </c>
      <c r="E37" s="213">
        <f>D60</f>
        <v>0</v>
      </c>
    </row>
    <row r="38" spans="2:5" x14ac:dyDescent="0.2">
      <c r="B38" s="240" t="s">
        <v>216</v>
      </c>
      <c r="C38" s="77"/>
      <c r="D38" s="77"/>
      <c r="E38" s="77"/>
    </row>
    <row r="39" spans="2:5" x14ac:dyDescent="0.2">
      <c r="B39" s="257"/>
      <c r="C39" s="57"/>
      <c r="D39" s="57"/>
      <c r="E39" s="57"/>
    </row>
    <row r="40" spans="2:5" x14ac:dyDescent="0.2">
      <c r="B40" s="257"/>
      <c r="C40" s="57"/>
      <c r="D40" s="57"/>
      <c r="E40" s="57"/>
    </row>
    <row r="41" spans="2:5" x14ac:dyDescent="0.2">
      <c r="B41" s="257"/>
      <c r="C41" s="57"/>
      <c r="D41" s="57"/>
      <c r="E41" s="57"/>
    </row>
    <row r="42" spans="2:5" x14ac:dyDescent="0.2">
      <c r="B42" s="257"/>
      <c r="C42" s="57"/>
      <c r="D42" s="57"/>
      <c r="E42" s="57"/>
    </row>
    <row r="43" spans="2:5" x14ac:dyDescent="0.2">
      <c r="B43" s="245" t="s">
        <v>112</v>
      </c>
      <c r="C43" s="57"/>
      <c r="D43" s="57"/>
      <c r="E43" s="57"/>
    </row>
    <row r="44" spans="2:5" x14ac:dyDescent="0.2">
      <c r="B44" s="147" t="s">
        <v>14</v>
      </c>
      <c r="C44" s="57"/>
      <c r="D44" s="242"/>
      <c r="E44" s="242"/>
    </row>
    <row r="45" spans="2:5" x14ac:dyDescent="0.2">
      <c r="B45" s="237" t="s">
        <v>736</v>
      </c>
      <c r="C45" s="276" t="str">
        <f>IF(C46*0.1&lt;C44,"Exceed 10% Rule","")</f>
        <v/>
      </c>
      <c r="D45" s="247" t="str">
        <f>IF(D46*0.1&lt;D44,"Exceed 10% Rule","")</f>
        <v/>
      </c>
      <c r="E45" s="247" t="str">
        <f>IF(E46*0.1&lt;E44,"Exceed 10% Rule","")</f>
        <v/>
      </c>
    </row>
    <row r="46" spans="2:5" x14ac:dyDescent="0.2">
      <c r="B46" s="248" t="s">
        <v>113</v>
      </c>
      <c r="C46" s="251">
        <f>SUM(C39:C44)</f>
        <v>0</v>
      </c>
      <c r="D46" s="251">
        <f>SUM(D39:D44)</f>
        <v>0</v>
      </c>
      <c r="E46" s="251">
        <f>SUM(E39:E44)</f>
        <v>0</v>
      </c>
    </row>
    <row r="47" spans="2:5" x14ac:dyDescent="0.2">
      <c r="B47" s="248" t="s">
        <v>114</v>
      </c>
      <c r="C47" s="251">
        <f>C37+C46</f>
        <v>0</v>
      </c>
      <c r="D47" s="251">
        <f>D37+D46</f>
        <v>0</v>
      </c>
      <c r="E47" s="251">
        <f>E37+E46</f>
        <v>0</v>
      </c>
    </row>
    <row r="48" spans="2:5" x14ac:dyDescent="0.2">
      <c r="B48" s="138" t="s">
        <v>116</v>
      </c>
      <c r="C48" s="213"/>
      <c r="D48" s="213"/>
      <c r="E48" s="213"/>
    </row>
    <row r="49" spans="2:5" x14ac:dyDescent="0.2">
      <c r="B49" s="257"/>
      <c r="C49" s="57"/>
      <c r="D49" s="57"/>
      <c r="E49" s="57"/>
    </row>
    <row r="50" spans="2:5" x14ac:dyDescent="0.2">
      <c r="B50" s="257"/>
      <c r="C50" s="57"/>
      <c r="D50" s="57"/>
      <c r="E50" s="57"/>
    </row>
    <row r="51" spans="2:5" x14ac:dyDescent="0.2">
      <c r="B51" s="257"/>
      <c r="C51" s="57"/>
      <c r="D51" s="57"/>
      <c r="E51" s="57"/>
    </row>
    <row r="52" spans="2:5" x14ac:dyDescent="0.2">
      <c r="B52" s="257"/>
      <c r="C52" s="57"/>
      <c r="D52" s="57"/>
      <c r="E52" s="57"/>
    </row>
    <row r="53" spans="2:5" x14ac:dyDescent="0.2">
      <c r="B53" s="257"/>
      <c r="C53" s="57"/>
      <c r="D53" s="57"/>
      <c r="E53" s="57"/>
    </row>
    <row r="54" spans="2:5" x14ac:dyDescent="0.2">
      <c r="B54" s="257"/>
      <c r="C54" s="57"/>
      <c r="D54" s="57"/>
      <c r="E54" s="57"/>
    </row>
    <row r="55" spans="2:5" x14ac:dyDescent="0.2">
      <c r="B55" s="257"/>
      <c r="C55" s="57"/>
      <c r="D55" s="57"/>
      <c r="E55" s="57"/>
    </row>
    <row r="56" spans="2:5" x14ac:dyDescent="0.2">
      <c r="B56" s="257"/>
      <c r="C56" s="57"/>
      <c r="D56" s="57"/>
      <c r="E56" s="57"/>
    </row>
    <row r="57" spans="2:5" x14ac:dyDescent="0.2">
      <c r="B57" s="258" t="s">
        <v>14</v>
      </c>
      <c r="C57" s="57"/>
      <c r="D57" s="242"/>
      <c r="E57" s="242"/>
    </row>
    <row r="58" spans="2:5" x14ac:dyDescent="0.2">
      <c r="B58" s="258" t="s">
        <v>737</v>
      </c>
      <c r="C58" s="276" t="str">
        <f>IF(C59*0.1&lt;C57,"Exceed 10% Rule","")</f>
        <v/>
      </c>
      <c r="D58" s="247" t="str">
        <f>IF(D59*0.1&lt;D57,"Exceed 10% Rule","")</f>
        <v/>
      </c>
      <c r="E58" s="247" t="str">
        <f>IF(E59*0.1&lt;E57,"Exceed 10% Rule","")</f>
        <v/>
      </c>
    </row>
    <row r="59" spans="2:5" x14ac:dyDescent="0.2">
      <c r="B59" s="248" t="s">
        <v>120</v>
      </c>
      <c r="C59" s="251">
        <f>SUM(C49:C57)</f>
        <v>0</v>
      </c>
      <c r="D59" s="251">
        <f>SUM(D49:D57)</f>
        <v>0</v>
      </c>
      <c r="E59" s="251">
        <f>SUM(E49:E57)</f>
        <v>0</v>
      </c>
    </row>
    <row r="60" spans="2:5" x14ac:dyDescent="0.2">
      <c r="B60" s="138" t="s">
        <v>215</v>
      </c>
      <c r="C60" s="72">
        <f>C47-C59</f>
        <v>0</v>
      </c>
      <c r="D60" s="72">
        <f>D47-D59</f>
        <v>0</v>
      </c>
      <c r="E60" s="72">
        <f>E47-E59</f>
        <v>0</v>
      </c>
    </row>
    <row r="61" spans="2:5" x14ac:dyDescent="0.2">
      <c r="B61" s="158" t="str">
        <f>CONCATENATE("",E1-2,"/",E1-1,"/",E1," Budget Authority Amount:")</f>
        <v>2013/2014/2015 Budget Authority Amount:</v>
      </c>
      <c r="C61" s="679">
        <f>inputOth!B80</f>
        <v>0</v>
      </c>
      <c r="D61" s="679">
        <f>inputPrYr!D41</f>
        <v>0</v>
      </c>
      <c r="E61" s="707">
        <f>E59</f>
        <v>0</v>
      </c>
    </row>
    <row r="62" spans="2:5" x14ac:dyDescent="0.2">
      <c r="B62" s="124"/>
      <c r="C62" s="261" t="str">
        <f>IF(C59&gt;C61,"See Tab A","")</f>
        <v/>
      </c>
      <c r="D62" s="261" t="str">
        <f>IF(D59&gt;D61,"See Tab C","")</f>
        <v/>
      </c>
      <c r="E62" s="708" t="str">
        <f>IF(E60&lt;0,"See Tab E","")</f>
        <v/>
      </c>
    </row>
    <row r="63" spans="2:5" x14ac:dyDescent="0.2">
      <c r="B63" s="124"/>
      <c r="C63" s="261" t="str">
        <f>IF(C60&lt;0,"See Tab B","")</f>
        <v/>
      </c>
      <c r="D63" s="261" t="str">
        <f>IF(D60&lt;0,"See Tab D","")</f>
        <v/>
      </c>
      <c r="E63" s="43"/>
    </row>
    <row r="64" spans="2:5" x14ac:dyDescent="0.2">
      <c r="B64" s="43"/>
      <c r="C64" s="43"/>
      <c r="D64" s="43"/>
      <c r="E64" s="43"/>
    </row>
    <row r="65" spans="2:5" x14ac:dyDescent="0.2">
      <c r="B65" s="374" t="s">
        <v>123</v>
      </c>
      <c r="C65" s="266"/>
      <c r="D65" s="43"/>
      <c r="E65" s="43"/>
    </row>
  </sheetData>
  <phoneticPr fontId="0" type="noConversion"/>
  <conditionalFormatting sqref="C13">
    <cfRule type="cellIs" dxfId="20" priority="5" stopIfTrue="1" operator="greaterThan">
      <formula>$C$15*0.1</formula>
    </cfRule>
  </conditionalFormatting>
  <conditionalFormatting sqref="D13">
    <cfRule type="cellIs" dxfId="19" priority="6" stopIfTrue="1" operator="greaterThan">
      <formula>$D$15*0.1</formula>
    </cfRule>
  </conditionalFormatting>
  <conditionalFormatting sqref="E13">
    <cfRule type="cellIs" dxfId="18" priority="7" stopIfTrue="1" operator="greaterThan">
      <formula>$E$15*0.1</formula>
    </cfRule>
  </conditionalFormatting>
  <conditionalFormatting sqref="C26">
    <cfRule type="cellIs" dxfId="17" priority="8" stopIfTrue="1" operator="greaterThan">
      <formula>$C$28*0.1</formula>
    </cfRule>
  </conditionalFormatting>
  <conditionalFormatting sqref="D26">
    <cfRule type="cellIs" dxfId="16" priority="9" stopIfTrue="1" operator="greaterThan">
      <formula>$D$28*0.1</formula>
    </cfRule>
  </conditionalFormatting>
  <conditionalFormatting sqref="E26">
    <cfRule type="cellIs" dxfId="15" priority="10" stopIfTrue="1" operator="greaterThan">
      <formula>$E$28*0.1</formula>
    </cfRule>
  </conditionalFormatting>
  <conditionalFormatting sqref="C44">
    <cfRule type="cellIs" dxfId="14" priority="11" stopIfTrue="1" operator="greaterThan">
      <formula>$C$46*0.1</formula>
    </cfRule>
  </conditionalFormatting>
  <conditionalFormatting sqref="D44">
    <cfRule type="cellIs" dxfId="13" priority="12" stopIfTrue="1" operator="greaterThan">
      <formula>$D$46*0.1</formula>
    </cfRule>
  </conditionalFormatting>
  <conditionalFormatting sqref="E44">
    <cfRule type="cellIs" dxfId="12" priority="13" stopIfTrue="1" operator="greaterThan">
      <formula>$E$46*0.1</formula>
    </cfRule>
  </conditionalFormatting>
  <conditionalFormatting sqref="C57">
    <cfRule type="cellIs" dxfId="11" priority="14" stopIfTrue="1" operator="greaterThan">
      <formula>$C$59*0.1</formula>
    </cfRule>
  </conditionalFormatting>
  <conditionalFormatting sqref="D57">
    <cfRule type="cellIs" dxfId="10" priority="15" stopIfTrue="1" operator="greaterThan">
      <formula>$D$59*0.1</formula>
    </cfRule>
  </conditionalFormatting>
  <conditionalFormatting sqref="E57">
    <cfRule type="cellIs" dxfId="9" priority="16" stopIfTrue="1" operator="greaterThan">
      <formula>$E$59*0.1</formula>
    </cfRule>
  </conditionalFormatting>
  <conditionalFormatting sqref="D59">
    <cfRule type="cellIs" dxfId="8" priority="17" stopIfTrue="1" operator="greaterThan">
      <formula>$D$61</formula>
    </cfRule>
  </conditionalFormatting>
  <conditionalFormatting sqref="C59">
    <cfRule type="cellIs" dxfId="7" priority="18" stopIfTrue="1" operator="greaterThan">
      <formula>$C$61</formula>
    </cfRule>
  </conditionalFormatting>
  <conditionalFormatting sqref="C60 E60 C29 E29">
    <cfRule type="cellIs" dxfId="6" priority="19" stopIfTrue="1" operator="lessThan">
      <formula>0</formula>
    </cfRule>
  </conditionalFormatting>
  <conditionalFormatting sqref="D28">
    <cfRule type="cellIs" dxfId="5" priority="20" stopIfTrue="1" operator="greaterThan">
      <formula>$D$30</formula>
    </cfRule>
  </conditionalFormatting>
  <conditionalFormatting sqref="C28">
    <cfRule type="cellIs" dxfId="4" priority="21" stopIfTrue="1" operator="greaterThan">
      <formula>$C$30</formula>
    </cfRule>
  </conditionalFormatting>
  <conditionalFormatting sqref="D60">
    <cfRule type="cellIs" dxfId="3" priority="4" stopIfTrue="1" operator="lessThan">
      <formula>0</formula>
    </cfRule>
  </conditionalFormatting>
  <conditionalFormatting sqref="D29">
    <cfRule type="cellIs" dxfId="2" priority="3" stopIfTrue="1" operator="lessThan">
      <formula>0</formula>
    </cfRule>
  </conditionalFormatting>
  <conditionalFormatting sqref="E61">
    <cfRule type="cellIs" dxfId="1" priority="1" stopIfTrue="1" operator="lessThan">
      <formula>0</formula>
    </cfRule>
  </conditionalFormatting>
  <conditionalFormatting sqref="E30">
    <cfRule type="cellIs" dxfId="0" priority="2" stopIfTrue="1" operator="lessThan">
      <formula>0</formula>
    </cfRule>
  </conditionalFormatting>
  <pageMargins left="0.5" right="0.5" top="1" bottom="0.5" header="0.5" footer="0.5"/>
  <pageSetup scale="72" orientation="portrait" blackAndWhite="1" horizontalDpi="120" verticalDpi="144" r:id="rId1"/>
  <headerFooter alignWithMargins="0">
    <oddHeader>&amp;RState of Kansas
City</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5"/>
  <sheetViews>
    <sheetView topLeftCell="A17" workbookViewId="0">
      <selection activeCell="B57" sqref="B57"/>
    </sheetView>
  </sheetViews>
  <sheetFormatPr defaultRowHeight="15.75" x14ac:dyDescent="0.2"/>
  <cols>
    <col min="1" max="1" width="15.77734375" style="41" customWidth="1"/>
    <col min="2" max="2" width="20.77734375" style="41" customWidth="1"/>
    <col min="3" max="3" width="9.77734375" style="41" customWidth="1"/>
    <col min="4" max="4" width="15.109375" style="41" customWidth="1"/>
    <col min="5" max="5" width="15.77734375" style="41" customWidth="1"/>
    <col min="6" max="6" width="1.88671875" style="41" customWidth="1"/>
    <col min="7" max="7" width="18.6640625" style="41" customWidth="1"/>
    <col min="8" max="16384" width="8.88671875" style="41"/>
  </cols>
  <sheetData>
    <row r="1" spans="1:8" x14ac:dyDescent="0.2">
      <c r="A1" s="765" t="s">
        <v>71</v>
      </c>
      <c r="B1" s="766"/>
      <c r="C1" s="766"/>
      <c r="D1" s="766"/>
      <c r="E1" s="766"/>
    </row>
    <row r="2" spans="1:8" x14ac:dyDescent="0.2">
      <c r="A2" s="42" t="s">
        <v>19</v>
      </c>
      <c r="B2" s="43"/>
      <c r="C2" s="43"/>
      <c r="D2" s="709" t="s">
        <v>1006</v>
      </c>
      <c r="E2" s="710"/>
    </row>
    <row r="3" spans="1:8" x14ac:dyDescent="0.2">
      <c r="A3" s="42" t="s">
        <v>20</v>
      </c>
      <c r="B3" s="43"/>
      <c r="C3" s="43"/>
      <c r="D3" s="709" t="s">
        <v>1007</v>
      </c>
      <c r="E3" s="710"/>
    </row>
    <row r="4" spans="1:8" x14ac:dyDescent="0.2">
      <c r="A4" s="44"/>
      <c r="B4" s="43"/>
      <c r="C4" s="43"/>
      <c r="D4" s="45"/>
      <c r="E4" s="43"/>
    </row>
    <row r="5" spans="1:8" x14ac:dyDescent="0.2">
      <c r="A5" s="42" t="s">
        <v>243</v>
      </c>
      <c r="B5" s="43"/>
      <c r="C5" s="751">
        <v>2015</v>
      </c>
      <c r="D5" s="45"/>
      <c r="E5" s="43"/>
    </row>
    <row r="6" spans="1:8" x14ac:dyDescent="0.2">
      <c r="A6" s="43"/>
      <c r="B6" s="43"/>
      <c r="C6" s="43"/>
      <c r="D6" s="43"/>
      <c r="E6" s="43"/>
    </row>
    <row r="7" spans="1:8" x14ac:dyDescent="0.2">
      <c r="A7" s="46" t="s">
        <v>360</v>
      </c>
      <c r="B7" s="47"/>
      <c r="C7" s="47"/>
      <c r="D7" s="47"/>
      <c r="E7" s="47"/>
    </row>
    <row r="8" spans="1:8" x14ac:dyDescent="0.2">
      <c r="A8" s="46" t="s">
        <v>359</v>
      </c>
      <c r="B8" s="47"/>
      <c r="C8" s="47"/>
      <c r="D8" s="47"/>
      <c r="E8" s="47"/>
      <c r="F8" s="43"/>
      <c r="G8" s="767" t="s">
        <v>817</v>
      </c>
      <c r="H8" s="768"/>
    </row>
    <row r="9" spans="1:8" x14ac:dyDescent="0.2">
      <c r="A9" s="46"/>
      <c r="B9" s="47"/>
      <c r="C9" s="47"/>
      <c r="D9" s="47"/>
      <c r="E9" s="47"/>
      <c r="F9" s="43"/>
      <c r="G9" s="769"/>
      <c r="H9" s="768"/>
    </row>
    <row r="10" spans="1:8" x14ac:dyDescent="0.2">
      <c r="A10" s="763" t="s">
        <v>297</v>
      </c>
      <c r="B10" s="764"/>
      <c r="C10" s="764"/>
      <c r="D10" s="764"/>
      <c r="E10" s="764"/>
      <c r="F10" s="43"/>
      <c r="G10" s="769"/>
      <c r="H10" s="768"/>
    </row>
    <row r="11" spans="1:8" x14ac:dyDescent="0.2">
      <c r="A11" s="43"/>
      <c r="B11" s="43"/>
      <c r="C11" s="43"/>
      <c r="D11" s="43"/>
      <c r="E11" s="43"/>
      <c r="F11" s="43"/>
      <c r="G11" s="769"/>
      <c r="H11" s="768"/>
    </row>
    <row r="12" spans="1:8" x14ac:dyDescent="0.2">
      <c r="A12" s="48" t="s">
        <v>298</v>
      </c>
      <c r="B12" s="49"/>
      <c r="C12" s="43"/>
      <c r="D12" s="43"/>
      <c r="E12" s="43"/>
      <c r="F12" s="43"/>
      <c r="G12" s="769"/>
      <c r="H12" s="768"/>
    </row>
    <row r="13" spans="1:8" x14ac:dyDescent="0.2">
      <c r="A13" s="50" t="str">
        <f>CONCATENATE("the ",+C5-1," Budget, Certificate Page:")</f>
        <v>the 2014 Budget, Certificate Page:</v>
      </c>
      <c r="B13" s="51"/>
      <c r="C13" s="43"/>
      <c r="D13" s="43"/>
      <c r="E13" s="43"/>
      <c r="F13" s="43"/>
      <c r="G13" s="769"/>
      <c r="H13" s="768"/>
    </row>
    <row r="14" spans="1:8" x14ac:dyDescent="0.2">
      <c r="A14" s="50" t="s">
        <v>362</v>
      </c>
      <c r="B14" s="51"/>
      <c r="C14" s="43"/>
      <c r="D14" s="43"/>
      <c r="E14" s="43"/>
      <c r="F14" s="43"/>
      <c r="G14" s="66"/>
      <c r="H14" s="577"/>
    </row>
    <row r="15" spans="1:8" x14ac:dyDescent="0.2">
      <c r="A15" s="43"/>
      <c r="B15" s="43"/>
      <c r="C15" s="43"/>
      <c r="D15" s="752">
        <f>+C5-1</f>
        <v>2014</v>
      </c>
      <c r="E15" s="752">
        <f>+C5-2</f>
        <v>2013</v>
      </c>
      <c r="G15" s="184" t="s">
        <v>818</v>
      </c>
      <c r="H15" s="144" t="s">
        <v>122</v>
      </c>
    </row>
    <row r="16" spans="1:8" x14ac:dyDescent="0.2">
      <c r="A16" s="44" t="s">
        <v>72</v>
      </c>
      <c r="B16" s="43"/>
      <c r="C16" s="52" t="s">
        <v>73</v>
      </c>
      <c r="D16" s="53" t="s">
        <v>361</v>
      </c>
      <c r="E16" s="53" t="s">
        <v>63</v>
      </c>
      <c r="G16" s="185" t="str">
        <f>CONCATENATE("",+E15," Ad Valorem Tax")</f>
        <v>2013 Ad Valorem Tax</v>
      </c>
      <c r="H16" s="578">
        <v>0</v>
      </c>
    </row>
    <row r="17" spans="1:7" x14ac:dyDescent="0.2">
      <c r="A17" s="43"/>
      <c r="B17" s="54" t="s">
        <v>74</v>
      </c>
      <c r="C17" s="144" t="s">
        <v>218</v>
      </c>
      <c r="D17" s="56">
        <v>1441852</v>
      </c>
      <c r="E17" s="56">
        <v>203586</v>
      </c>
      <c r="G17" s="213">
        <f>IF(H16&gt;0,ROUND(E17-(E17*H16),0),0)</f>
        <v>0</v>
      </c>
    </row>
    <row r="18" spans="1:7" x14ac:dyDescent="0.2">
      <c r="A18" s="43"/>
      <c r="B18" s="54" t="s">
        <v>45</v>
      </c>
      <c r="C18" s="144" t="s">
        <v>244</v>
      </c>
      <c r="D18" s="57">
        <v>0</v>
      </c>
      <c r="E18" s="57">
        <v>0</v>
      </c>
      <c r="G18" s="213">
        <f>IF(H16&gt;0,ROUND(E18-(E18*H16),0),0)</f>
        <v>0</v>
      </c>
    </row>
    <row r="19" spans="1:7" x14ac:dyDescent="0.2">
      <c r="A19" s="43"/>
      <c r="B19" s="54" t="s">
        <v>819</v>
      </c>
      <c r="C19" s="144" t="s">
        <v>820</v>
      </c>
      <c r="D19" s="57">
        <v>47524</v>
      </c>
      <c r="E19" s="57">
        <v>38049</v>
      </c>
      <c r="G19" s="213">
        <f>IF(H16&gt;0,ROUND(E19-(E19*H16),0),0)</f>
        <v>0</v>
      </c>
    </row>
    <row r="20" spans="1:7" x14ac:dyDescent="0.2">
      <c r="A20" s="44" t="s">
        <v>75</v>
      </c>
      <c r="B20" s="43"/>
      <c r="C20" s="43"/>
      <c r="D20" s="43"/>
      <c r="E20" s="58"/>
    </row>
    <row r="21" spans="1:7" x14ac:dyDescent="0.2">
      <c r="A21" s="43"/>
      <c r="B21" s="59"/>
      <c r="C21" s="355"/>
      <c r="D21" s="57"/>
      <c r="E21" s="57"/>
      <c r="G21" s="213">
        <f>IF(H16&gt;0,ROUND(E21-(E21*H16),0),0)</f>
        <v>0</v>
      </c>
    </row>
    <row r="22" spans="1:7" x14ac:dyDescent="0.2">
      <c r="A22" s="43"/>
      <c r="B22" s="59"/>
      <c r="C22" s="355"/>
      <c r="D22" s="57"/>
      <c r="E22" s="57"/>
      <c r="G22" s="213">
        <f>IF(H16&gt;0,ROUND(E22-(E22*H16),0),0)</f>
        <v>0</v>
      </c>
    </row>
    <row r="23" spans="1:7" x14ac:dyDescent="0.2">
      <c r="A23" s="43"/>
      <c r="B23" s="59"/>
      <c r="C23" s="355"/>
      <c r="D23" s="57"/>
      <c r="E23" s="57"/>
      <c r="G23" s="213">
        <f>IF(H16&gt;0,ROUND(E23-(E23*H16),0),0)</f>
        <v>0</v>
      </c>
    </row>
    <row r="24" spans="1:7" x14ac:dyDescent="0.2">
      <c r="A24" s="43"/>
      <c r="B24" s="59"/>
      <c r="C24" s="355"/>
      <c r="D24" s="57"/>
      <c r="E24" s="57"/>
      <c r="G24" s="213">
        <f>IF(H16&gt;0,ROUND(E24-(E24*H16),0),0)</f>
        <v>0</v>
      </c>
    </row>
    <row r="25" spans="1:7" x14ac:dyDescent="0.2">
      <c r="A25" s="43"/>
      <c r="B25" s="59"/>
      <c r="C25" s="355"/>
      <c r="D25" s="57"/>
      <c r="E25" s="57"/>
      <c r="G25" s="213">
        <f>IF(H16&gt;0,ROUND(E25-(E25*H16),0),0)</f>
        <v>0</v>
      </c>
    </row>
    <row r="26" spans="1:7" x14ac:dyDescent="0.2">
      <c r="A26" s="43"/>
      <c r="B26" s="59"/>
      <c r="C26" s="355"/>
      <c r="D26" s="57"/>
      <c r="E26" s="57"/>
      <c r="G26" s="213">
        <f>IF(H16&gt;0,ROUND(E26-(E26*H16),0),0)</f>
        <v>0</v>
      </c>
    </row>
    <row r="27" spans="1:7" x14ac:dyDescent="0.2">
      <c r="A27" s="43"/>
      <c r="B27" s="59"/>
      <c r="C27" s="355"/>
      <c r="D27" s="57"/>
      <c r="E27" s="57"/>
      <c r="G27" s="213">
        <f>IF(H16&gt;0,ROUND(E27-(E27*H16),0),0)</f>
        <v>0</v>
      </c>
    </row>
    <row r="28" spans="1:7" x14ac:dyDescent="0.2">
      <c r="A28" s="43"/>
      <c r="B28" s="59"/>
      <c r="C28" s="355"/>
      <c r="D28" s="57"/>
      <c r="E28" s="57"/>
      <c r="G28" s="213">
        <f>IF(H16&gt;0,ROUND(E28-(E28*H16),0),0)</f>
        <v>0</v>
      </c>
    </row>
    <row r="29" spans="1:7" x14ac:dyDescent="0.2">
      <c r="A29" s="43"/>
      <c r="B29" s="59"/>
      <c r="C29" s="355"/>
      <c r="D29" s="57"/>
      <c r="E29" s="57"/>
      <c r="G29" s="213">
        <f>IF(H16&gt;0,ROUND(E29-(E29*H16),0),0)</f>
        <v>0</v>
      </c>
    </row>
    <row r="30" spans="1:7" x14ac:dyDescent="0.2">
      <c r="A30" s="43"/>
      <c r="B30" s="59"/>
      <c r="C30" s="355"/>
      <c r="D30" s="57"/>
      <c r="E30" s="57"/>
      <c r="G30" s="213">
        <f>IF(H16&gt;0,ROUND(E30-(E30*H16),0),0)</f>
        <v>0</v>
      </c>
    </row>
    <row r="31" spans="1:7" x14ac:dyDescent="0.2">
      <c r="A31" s="60" t="str">
        <f>CONCATENATE("Total Tax Levy Funds for ",C5-1," Budgeted Year")</f>
        <v>Total Tax Levy Funds for 2014 Budgeted Year</v>
      </c>
      <c r="B31" s="61"/>
      <c r="C31" s="62"/>
      <c r="D31" s="63"/>
      <c r="E31" s="64">
        <f>SUM(E17:E30)</f>
        <v>241635</v>
      </c>
    </row>
    <row r="32" spans="1:7" x14ac:dyDescent="0.2">
      <c r="A32" s="65"/>
      <c r="B32" s="66"/>
      <c r="C32" s="66"/>
      <c r="D32" s="67"/>
      <c r="E32" s="58"/>
    </row>
    <row r="33" spans="1:5" x14ac:dyDescent="0.2">
      <c r="A33" s="44" t="s">
        <v>249</v>
      </c>
      <c r="B33" s="43"/>
      <c r="C33" s="43"/>
      <c r="D33" s="43"/>
      <c r="E33" s="43"/>
    </row>
    <row r="34" spans="1:5" x14ac:dyDescent="0.2">
      <c r="A34" s="43"/>
      <c r="B34" s="55" t="s">
        <v>205</v>
      </c>
      <c r="C34" s="43"/>
      <c r="D34" s="57">
        <v>18700</v>
      </c>
      <c r="E34" s="43"/>
    </row>
    <row r="35" spans="1:5" x14ac:dyDescent="0.2">
      <c r="A35" s="43"/>
      <c r="B35" s="59" t="s">
        <v>1008</v>
      </c>
      <c r="C35" s="43"/>
      <c r="D35" s="57">
        <v>9200</v>
      </c>
      <c r="E35" s="43"/>
    </row>
    <row r="36" spans="1:5" x14ac:dyDescent="0.2">
      <c r="A36" s="43"/>
      <c r="B36" s="59" t="s">
        <v>1009</v>
      </c>
      <c r="C36" s="43"/>
      <c r="D36" s="57">
        <v>385320</v>
      </c>
      <c r="E36" s="43"/>
    </row>
    <row r="37" spans="1:5" x14ac:dyDescent="0.2">
      <c r="A37" s="43"/>
      <c r="B37" s="59" t="s">
        <v>1010</v>
      </c>
      <c r="C37" s="43"/>
      <c r="D37" s="57">
        <v>201400</v>
      </c>
      <c r="E37" s="43"/>
    </row>
    <row r="38" spans="1:5" x14ac:dyDescent="0.2">
      <c r="A38" s="43"/>
      <c r="B38" s="59" t="s">
        <v>1011</v>
      </c>
      <c r="C38" s="43"/>
      <c r="D38" s="57">
        <v>136800</v>
      </c>
      <c r="E38" s="43"/>
    </row>
    <row r="39" spans="1:5" x14ac:dyDescent="0.2">
      <c r="A39" s="43"/>
      <c r="B39" s="59"/>
      <c r="C39" s="43"/>
      <c r="D39" s="57"/>
      <c r="E39" s="43"/>
    </row>
    <row r="40" spans="1:5" x14ac:dyDescent="0.2">
      <c r="A40" s="43"/>
      <c r="B40" s="59"/>
      <c r="C40" s="43"/>
      <c r="D40" s="57"/>
      <c r="E40" s="43"/>
    </row>
    <row r="41" spans="1:5" x14ac:dyDescent="0.2">
      <c r="A41" s="43"/>
      <c r="B41" s="59"/>
      <c r="C41" s="43"/>
      <c r="D41" s="57"/>
      <c r="E41" s="43"/>
    </row>
    <row r="42" spans="1:5" x14ac:dyDescent="0.2">
      <c r="A42" s="43"/>
      <c r="B42" s="59"/>
      <c r="C42" s="43"/>
      <c r="D42" s="57"/>
      <c r="E42" s="43"/>
    </row>
    <row r="43" spans="1:5" x14ac:dyDescent="0.2">
      <c r="A43" s="43"/>
      <c r="B43" s="59"/>
      <c r="C43" s="43"/>
      <c r="D43" s="57"/>
      <c r="E43" s="43"/>
    </row>
    <row r="44" spans="1:5" x14ac:dyDescent="0.2">
      <c r="A44" s="43"/>
      <c r="B44" s="68"/>
      <c r="C44" s="43"/>
      <c r="D44" s="57"/>
      <c r="E44" s="43"/>
    </row>
    <row r="45" spans="1:5" x14ac:dyDescent="0.2">
      <c r="A45" s="43"/>
      <c r="B45" s="68"/>
      <c r="C45" s="43"/>
      <c r="D45" s="57"/>
      <c r="E45" s="43"/>
    </row>
    <row r="46" spans="1:5" x14ac:dyDescent="0.2">
      <c r="A46" s="43"/>
      <c r="B46" s="68"/>
      <c r="C46" s="43"/>
      <c r="D46" s="57"/>
      <c r="E46" s="43"/>
    </row>
    <row r="47" spans="1:5" x14ac:dyDescent="0.2">
      <c r="A47" s="43"/>
      <c r="B47" s="68"/>
      <c r="C47" s="43"/>
      <c r="D47" s="57"/>
      <c r="E47" s="43"/>
    </row>
    <row r="48" spans="1:5" x14ac:dyDescent="0.2">
      <c r="A48" s="43"/>
      <c r="B48" s="68"/>
      <c r="C48" s="43"/>
      <c r="D48" s="57"/>
      <c r="E48" s="43"/>
    </row>
    <row r="49" spans="1:5" x14ac:dyDescent="0.2">
      <c r="A49" s="43"/>
      <c r="B49" s="68"/>
      <c r="C49" s="43"/>
      <c r="D49" s="57"/>
      <c r="E49" s="43"/>
    </row>
    <row r="50" spans="1:5" x14ac:dyDescent="0.2">
      <c r="A50" s="43" t="s">
        <v>270</v>
      </c>
      <c r="B50" s="69"/>
      <c r="C50" s="43"/>
      <c r="D50" s="43"/>
      <c r="E50" s="43"/>
    </row>
    <row r="51" spans="1:5" x14ac:dyDescent="0.2">
      <c r="A51" s="43">
        <v>1</v>
      </c>
      <c r="B51" s="68"/>
      <c r="C51" s="43"/>
      <c r="D51" s="57"/>
      <c r="E51" s="43"/>
    </row>
    <row r="52" spans="1:5" x14ac:dyDescent="0.2">
      <c r="A52" s="43">
        <v>2</v>
      </c>
      <c r="B52" s="68"/>
      <c r="C52" s="43"/>
      <c r="D52" s="57"/>
      <c r="E52" s="43"/>
    </row>
    <row r="53" spans="1:5" x14ac:dyDescent="0.2">
      <c r="A53" s="43">
        <v>3</v>
      </c>
      <c r="B53" s="68"/>
      <c r="C53" s="43"/>
      <c r="D53" s="57"/>
      <c r="E53" s="43"/>
    </row>
    <row r="54" spans="1:5" x14ac:dyDescent="0.2">
      <c r="A54" s="43">
        <v>4</v>
      </c>
      <c r="B54" s="68"/>
      <c r="C54" s="43"/>
      <c r="D54" s="57"/>
      <c r="E54" s="43"/>
    </row>
    <row r="55" spans="1:5" x14ac:dyDescent="0.2">
      <c r="A55" s="60" t="str">
        <f>CONCATENATE("Total Expenditures for ",+C5-1," Budgeted Year")</f>
        <v>Total Expenditures for 2014 Budgeted Year</v>
      </c>
      <c r="B55" s="70"/>
      <c r="C55" s="71"/>
      <c r="D55" s="72">
        <f>SUM(D17:D54)</f>
        <v>2240796</v>
      </c>
      <c r="E55" s="43"/>
    </row>
    <row r="56" spans="1:5" x14ac:dyDescent="0.2">
      <c r="A56" s="43" t="s">
        <v>271</v>
      </c>
      <c r="B56" s="73"/>
      <c r="C56" s="43"/>
      <c r="D56" s="43"/>
      <c r="E56" s="43"/>
    </row>
    <row r="57" spans="1:5" x14ac:dyDescent="0.2">
      <c r="A57" s="43">
        <v>1</v>
      </c>
      <c r="B57" s="68" t="s">
        <v>1015</v>
      </c>
      <c r="C57" s="43"/>
      <c r="D57" s="43"/>
      <c r="E57" s="43"/>
    </row>
    <row r="58" spans="1:5" x14ac:dyDescent="0.2">
      <c r="A58" s="43">
        <v>2</v>
      </c>
      <c r="B58" s="68"/>
      <c r="C58" s="43"/>
      <c r="D58" s="43"/>
      <c r="E58" s="43"/>
    </row>
    <row r="59" spans="1:5" x14ac:dyDescent="0.2">
      <c r="A59" s="43">
        <v>3</v>
      </c>
      <c r="B59" s="68"/>
      <c r="C59" s="43"/>
      <c r="D59" s="43"/>
      <c r="E59" s="43"/>
    </row>
    <row r="60" spans="1:5" x14ac:dyDescent="0.2">
      <c r="A60" s="43">
        <v>4</v>
      </c>
      <c r="B60" s="68"/>
      <c r="C60" s="43"/>
      <c r="D60" s="43"/>
      <c r="E60" s="43"/>
    </row>
    <row r="61" spans="1:5" x14ac:dyDescent="0.2">
      <c r="A61" s="43">
        <v>5</v>
      </c>
      <c r="B61" s="68"/>
      <c r="C61" s="43"/>
      <c r="D61" s="43"/>
      <c r="E61" s="43"/>
    </row>
    <row r="62" spans="1:5" x14ac:dyDescent="0.2">
      <c r="A62" s="43" t="s">
        <v>272</v>
      </c>
      <c r="B62" s="69"/>
      <c r="C62" s="43"/>
      <c r="D62" s="43"/>
      <c r="E62" s="43"/>
    </row>
    <row r="63" spans="1:5" x14ac:dyDescent="0.2">
      <c r="A63" s="43">
        <v>1</v>
      </c>
      <c r="B63" s="68"/>
      <c r="C63" s="43"/>
      <c r="D63" s="43"/>
      <c r="E63" s="43"/>
    </row>
    <row r="64" spans="1:5" x14ac:dyDescent="0.2">
      <c r="A64" s="43">
        <v>2</v>
      </c>
      <c r="B64" s="68"/>
      <c r="C64" s="43"/>
      <c r="D64" s="43"/>
      <c r="E64" s="43"/>
    </row>
    <row r="65" spans="1:5" x14ac:dyDescent="0.2">
      <c r="A65" s="43">
        <v>3</v>
      </c>
      <c r="B65" s="68"/>
      <c r="C65" s="43"/>
      <c r="D65" s="43"/>
      <c r="E65" s="43"/>
    </row>
    <row r="66" spans="1:5" x14ac:dyDescent="0.2">
      <c r="A66" s="43">
        <v>4</v>
      </c>
      <c r="B66" s="68"/>
      <c r="C66" s="43"/>
      <c r="D66" s="43"/>
      <c r="E66" s="43"/>
    </row>
    <row r="67" spans="1:5" x14ac:dyDescent="0.2">
      <c r="A67" s="43">
        <v>5</v>
      </c>
      <c r="B67" s="68"/>
      <c r="C67" s="43"/>
      <c r="D67" s="43"/>
      <c r="E67" s="43"/>
    </row>
    <row r="68" spans="1:5" x14ac:dyDescent="0.2">
      <c r="A68" s="43" t="s">
        <v>273</v>
      </c>
      <c r="B68" s="69"/>
      <c r="C68" s="43"/>
      <c r="D68" s="43"/>
      <c r="E68" s="43"/>
    </row>
    <row r="69" spans="1:5" x14ac:dyDescent="0.2">
      <c r="A69" s="43">
        <v>1</v>
      </c>
      <c r="B69" s="68"/>
      <c r="C69" s="43"/>
      <c r="D69" s="43"/>
      <c r="E69" s="43"/>
    </row>
    <row r="70" spans="1:5" x14ac:dyDescent="0.2">
      <c r="A70" s="43">
        <v>2</v>
      </c>
      <c r="B70" s="68"/>
      <c r="C70" s="43"/>
      <c r="D70" s="43"/>
      <c r="E70" s="43"/>
    </row>
    <row r="71" spans="1:5" x14ac:dyDescent="0.2">
      <c r="A71" s="43">
        <v>3</v>
      </c>
      <c r="B71" s="68"/>
      <c r="C71" s="43"/>
      <c r="D71" s="43"/>
      <c r="E71" s="43"/>
    </row>
    <row r="72" spans="1:5" x14ac:dyDescent="0.2">
      <c r="A72" s="43">
        <v>4</v>
      </c>
      <c r="B72" s="68"/>
      <c r="C72" s="43"/>
      <c r="D72" s="43"/>
      <c r="E72" s="43"/>
    </row>
    <row r="73" spans="1:5" x14ac:dyDescent="0.2">
      <c r="A73" s="43">
        <v>5</v>
      </c>
      <c r="B73" s="68"/>
      <c r="C73" s="43"/>
      <c r="D73" s="43"/>
      <c r="E73" s="43"/>
    </row>
    <row r="74" spans="1:5" x14ac:dyDescent="0.2">
      <c r="A74" s="43" t="s">
        <v>274</v>
      </c>
      <c r="B74" s="69"/>
      <c r="C74" s="43"/>
      <c r="D74" s="43"/>
      <c r="E74" s="43"/>
    </row>
    <row r="75" spans="1:5" x14ac:dyDescent="0.2">
      <c r="A75" s="43">
        <v>1</v>
      </c>
      <c r="B75" s="68"/>
      <c r="C75" s="43"/>
      <c r="D75" s="43"/>
      <c r="E75" s="43"/>
    </row>
    <row r="76" spans="1:5" x14ac:dyDescent="0.2">
      <c r="A76" s="43">
        <v>2</v>
      </c>
      <c r="B76" s="68"/>
      <c r="C76" s="43"/>
      <c r="D76" s="43"/>
      <c r="E76" s="43"/>
    </row>
    <row r="77" spans="1:5" x14ac:dyDescent="0.2">
      <c r="A77" s="43">
        <v>3</v>
      </c>
      <c r="B77" s="68"/>
      <c r="C77" s="43"/>
      <c r="D77" s="43"/>
      <c r="E77" s="43"/>
    </row>
    <row r="78" spans="1:5" x14ac:dyDescent="0.2">
      <c r="A78" s="43">
        <v>4</v>
      </c>
      <c r="B78" s="68"/>
      <c r="C78" s="43"/>
      <c r="D78" s="43"/>
      <c r="E78" s="43"/>
    </row>
    <row r="79" spans="1:5" x14ac:dyDescent="0.2">
      <c r="A79" s="43">
        <v>5</v>
      </c>
      <c r="B79" s="68"/>
      <c r="C79" s="43"/>
      <c r="D79" s="43"/>
      <c r="E79" s="43"/>
    </row>
    <row r="80" spans="1:5" x14ac:dyDescent="0.2">
      <c r="A80" s="65"/>
      <c r="B80" s="66"/>
      <c r="C80" s="66"/>
      <c r="D80" s="66"/>
      <c r="E80" s="74"/>
    </row>
    <row r="81" spans="1:5" x14ac:dyDescent="0.2">
      <c r="A81" s="43"/>
      <c r="B81" s="43"/>
      <c r="C81" s="43"/>
      <c r="D81" s="43"/>
      <c r="E81" s="43"/>
    </row>
    <row r="82" spans="1:5" x14ac:dyDescent="0.2">
      <c r="A82" s="43"/>
      <c r="B82" s="43"/>
      <c r="C82" s="43"/>
      <c r="D82" s="75" t="str">
        <f>CONCATENATE("",+C5-3," Tax Rate")</f>
        <v>2012 Tax Rate</v>
      </c>
      <c r="E82" s="43"/>
    </row>
    <row r="83" spans="1:5" x14ac:dyDescent="0.2">
      <c r="A83" s="50" t="str">
        <f>CONCATENATE("From the ",+C5-1," Budget, Budget Summary Page")</f>
        <v>From the 2014 Budget, Budget Summary Page</v>
      </c>
      <c r="B83" s="51"/>
      <c r="C83" s="43"/>
      <c r="D83" s="76" t="str">
        <f>CONCATENATE("(",+C5-2," Column)")</f>
        <v>(2013 Column)</v>
      </c>
      <c r="E83" s="43"/>
    </row>
    <row r="84" spans="1:5" x14ac:dyDescent="0.2">
      <c r="A84" s="43"/>
      <c r="B84" s="77" t="str">
        <f>B17</f>
        <v>General</v>
      </c>
      <c r="C84" s="43"/>
      <c r="D84" s="68">
        <v>59.521000000000001</v>
      </c>
      <c r="E84" s="43"/>
    </row>
    <row r="85" spans="1:5" x14ac:dyDescent="0.2">
      <c r="A85" s="43"/>
      <c r="B85" s="77" t="str">
        <f>B18</f>
        <v>Debt Service</v>
      </c>
      <c r="C85" s="43"/>
      <c r="D85" s="68">
        <v>0</v>
      </c>
      <c r="E85" s="43"/>
    </row>
    <row r="86" spans="1:5" x14ac:dyDescent="0.2">
      <c r="A86" s="43"/>
      <c r="B86" s="77" t="str">
        <f>B19</f>
        <v>Library</v>
      </c>
      <c r="C86" s="43"/>
      <c r="D86" s="68">
        <v>11.919</v>
      </c>
      <c r="E86" s="43"/>
    </row>
    <row r="87" spans="1:5" x14ac:dyDescent="0.2">
      <c r="A87" s="43"/>
      <c r="B87" s="77">
        <f t="shared" ref="B87:B96" si="0">B21</f>
        <v>0</v>
      </c>
      <c r="C87" s="43"/>
      <c r="D87" s="68"/>
      <c r="E87" s="43"/>
    </row>
    <row r="88" spans="1:5" x14ac:dyDescent="0.2">
      <c r="A88" s="43"/>
      <c r="B88" s="77">
        <f t="shared" si="0"/>
        <v>0</v>
      </c>
      <c r="C88" s="43"/>
      <c r="D88" s="68"/>
      <c r="E88" s="43"/>
    </row>
    <row r="89" spans="1:5" x14ac:dyDescent="0.2">
      <c r="A89" s="43"/>
      <c r="B89" s="77">
        <f t="shared" si="0"/>
        <v>0</v>
      </c>
      <c r="C89" s="43"/>
      <c r="D89" s="68"/>
      <c r="E89" s="43"/>
    </row>
    <row r="90" spans="1:5" x14ac:dyDescent="0.2">
      <c r="A90" s="43"/>
      <c r="B90" s="77">
        <f t="shared" si="0"/>
        <v>0</v>
      </c>
      <c r="C90" s="43"/>
      <c r="D90" s="68"/>
      <c r="E90" s="43"/>
    </row>
    <row r="91" spans="1:5" x14ac:dyDescent="0.2">
      <c r="A91" s="43"/>
      <c r="B91" s="77">
        <f t="shared" si="0"/>
        <v>0</v>
      </c>
      <c r="C91" s="43"/>
      <c r="D91" s="68"/>
      <c r="E91" s="43"/>
    </row>
    <row r="92" spans="1:5" x14ac:dyDescent="0.2">
      <c r="A92" s="43"/>
      <c r="B92" s="77">
        <f t="shared" si="0"/>
        <v>0</v>
      </c>
      <c r="C92" s="43"/>
      <c r="D92" s="68"/>
      <c r="E92" s="43"/>
    </row>
    <row r="93" spans="1:5" x14ac:dyDescent="0.2">
      <c r="A93" s="43"/>
      <c r="B93" s="77">
        <f t="shared" si="0"/>
        <v>0</v>
      </c>
      <c r="C93" s="43"/>
      <c r="D93" s="68"/>
      <c r="E93" s="43"/>
    </row>
    <row r="94" spans="1:5" x14ac:dyDescent="0.2">
      <c r="A94" s="43"/>
      <c r="B94" s="77">
        <f t="shared" si="0"/>
        <v>0</v>
      </c>
      <c r="C94" s="43"/>
      <c r="D94" s="68"/>
      <c r="E94" s="43"/>
    </row>
    <row r="95" spans="1:5" x14ac:dyDescent="0.2">
      <c r="A95" s="43"/>
      <c r="B95" s="77">
        <f t="shared" si="0"/>
        <v>0</v>
      </c>
      <c r="C95" s="43"/>
      <c r="D95" s="68"/>
      <c r="E95" s="43"/>
    </row>
    <row r="96" spans="1:5" x14ac:dyDescent="0.2">
      <c r="A96" s="43"/>
      <c r="B96" s="77">
        <f t="shared" si="0"/>
        <v>0</v>
      </c>
      <c r="C96" s="141"/>
      <c r="D96" s="68"/>
      <c r="E96" s="43"/>
    </row>
    <row r="97" spans="1:5" x14ac:dyDescent="0.2">
      <c r="A97" s="60" t="s">
        <v>76</v>
      </c>
      <c r="B97" s="61"/>
      <c r="C97" s="71"/>
      <c r="D97" s="78">
        <f>SUM(D84:D96)</f>
        <v>71.44</v>
      </c>
      <c r="E97" s="43"/>
    </row>
    <row r="98" spans="1:5" x14ac:dyDescent="0.2">
      <c r="A98" s="43"/>
      <c r="B98" s="43"/>
      <c r="C98" s="43"/>
      <c r="D98" s="43"/>
      <c r="E98" s="43"/>
    </row>
    <row r="99" spans="1:5" x14ac:dyDescent="0.2">
      <c r="A99" s="79" t="str">
        <f>CONCATENATE("Total Tax Levied (",+C5-2," budget column)")</f>
        <v>Total Tax Levied (2013 budget column)</v>
      </c>
      <c r="B99" s="80"/>
      <c r="C99" s="61"/>
      <c r="D99" s="71"/>
      <c r="E99" s="57">
        <v>231439</v>
      </c>
    </row>
    <row r="100" spans="1:5" x14ac:dyDescent="0.2">
      <c r="A100" s="81" t="str">
        <f>CONCATENATE("Assessed Valuation  (",+C5-2," budget column)")</f>
        <v>Assessed Valuation  (2013 budget column)</v>
      </c>
      <c r="B100" s="82"/>
      <c r="C100" s="62"/>
      <c r="D100" s="83"/>
      <c r="E100" s="57">
        <v>3239676</v>
      </c>
    </row>
    <row r="101" spans="1:5" x14ac:dyDescent="0.2">
      <c r="A101" s="65"/>
      <c r="B101" s="66"/>
      <c r="C101" s="66"/>
      <c r="D101" s="66"/>
      <c r="E101" s="74"/>
    </row>
    <row r="102" spans="1:5" x14ac:dyDescent="0.2">
      <c r="A102" s="84" t="str">
        <f>CONCATENATE("From the ",C5-1," Budget, Budget Summary Page")</f>
        <v>From the 2014 Budget, Budget Summary Page</v>
      </c>
      <c r="B102" s="85"/>
      <c r="C102" s="43"/>
      <c r="D102" s="86"/>
      <c r="E102" s="87"/>
    </row>
    <row r="103" spans="1:5" x14ac:dyDescent="0.2">
      <c r="A103" s="49" t="s">
        <v>3</v>
      </c>
      <c r="B103" s="49"/>
      <c r="C103" s="88"/>
      <c r="D103" s="753">
        <f>+C5-3</f>
        <v>2012</v>
      </c>
      <c r="E103" s="754">
        <f>+C5-2</f>
        <v>2013</v>
      </c>
    </row>
    <row r="104" spans="1:5" x14ac:dyDescent="0.2">
      <c r="A104" s="89" t="s">
        <v>245</v>
      </c>
      <c r="B104" s="89"/>
      <c r="C104" s="90"/>
      <c r="D104" s="91">
        <v>0</v>
      </c>
      <c r="E104" s="91">
        <v>0</v>
      </c>
    </row>
    <row r="105" spans="1:5" x14ac:dyDescent="0.2">
      <c r="A105" s="92" t="s">
        <v>246</v>
      </c>
      <c r="B105" s="92"/>
      <c r="C105" s="93"/>
      <c r="D105" s="91">
        <v>0</v>
      </c>
      <c r="E105" s="91">
        <v>0</v>
      </c>
    </row>
    <row r="106" spans="1:5" x14ac:dyDescent="0.2">
      <c r="A106" s="92" t="s">
        <v>247</v>
      </c>
      <c r="B106" s="92"/>
      <c r="C106" s="93"/>
      <c r="D106" s="91">
        <v>0</v>
      </c>
      <c r="E106" s="91">
        <v>0</v>
      </c>
    </row>
    <row r="107" spans="1:5" x14ac:dyDescent="0.2">
      <c r="A107" s="92" t="s">
        <v>248</v>
      </c>
      <c r="B107" s="92"/>
      <c r="C107" s="93"/>
      <c r="D107" s="91">
        <v>877986</v>
      </c>
      <c r="E107" s="91">
        <v>810000</v>
      </c>
    </row>
    <row r="108" spans="1:5" x14ac:dyDescent="0.2">
      <c r="A108" s="94"/>
      <c r="B108" s="94"/>
      <c r="C108" s="94"/>
      <c r="D108" s="94"/>
      <c r="E108" s="94"/>
    </row>
    <row r="109" spans="1:5" x14ac:dyDescent="0.2">
      <c r="A109" s="94"/>
      <c r="B109" s="94"/>
      <c r="C109" s="94"/>
      <c r="D109" s="94"/>
      <c r="E109" s="94"/>
    </row>
    <row r="110" spans="1:5" x14ac:dyDescent="0.2">
      <c r="A110" s="94"/>
      <c r="B110" s="94"/>
      <c r="C110" s="94"/>
      <c r="D110" s="94"/>
      <c r="E110" s="94"/>
    </row>
    <row r="111" spans="1:5" x14ac:dyDescent="0.2">
      <c r="A111" s="94"/>
      <c r="B111" s="94"/>
      <c r="C111" s="94"/>
      <c r="D111" s="94"/>
      <c r="E111" s="94"/>
    </row>
    <row r="112" spans="1:5" x14ac:dyDescent="0.2">
      <c r="A112" s="94"/>
      <c r="B112" s="94"/>
      <c r="C112" s="94"/>
      <c r="D112" s="94"/>
      <c r="E112" s="94"/>
    </row>
    <row r="113" spans="1:5" x14ac:dyDescent="0.2">
      <c r="A113" s="94"/>
      <c r="B113" s="94"/>
      <c r="C113" s="94"/>
      <c r="D113" s="94"/>
      <c r="E113" s="94"/>
    </row>
    <row r="114" spans="1:5" s="94" customFormat="1" ht="15" x14ac:dyDescent="0.2"/>
    <row r="115" spans="1:5" x14ac:dyDescent="0.2">
      <c r="A115" s="94"/>
      <c r="B115" s="94"/>
      <c r="C115" s="94"/>
      <c r="D115" s="94"/>
      <c r="E115" s="94"/>
    </row>
    <row r="116" spans="1:5" x14ac:dyDescent="0.2">
      <c r="A116" s="94"/>
      <c r="B116" s="94"/>
      <c r="C116" s="94"/>
      <c r="D116" s="94"/>
      <c r="E116" s="94"/>
    </row>
    <row r="117" spans="1:5" x14ac:dyDescent="0.2">
      <c r="A117" s="94"/>
      <c r="B117" s="94"/>
      <c r="C117" s="94"/>
      <c r="D117" s="94"/>
      <c r="E117" s="94"/>
    </row>
    <row r="118" spans="1:5" x14ac:dyDescent="0.2">
      <c r="A118" s="94"/>
      <c r="B118" s="94"/>
      <c r="C118" s="94"/>
      <c r="D118" s="94"/>
      <c r="E118" s="94"/>
    </row>
    <row r="119" spans="1:5" x14ac:dyDescent="0.2">
      <c r="A119" s="94"/>
      <c r="B119" s="94"/>
      <c r="C119" s="94"/>
      <c r="D119" s="94"/>
      <c r="E119" s="94"/>
    </row>
    <row r="120" spans="1:5" x14ac:dyDescent="0.2">
      <c r="A120" s="94"/>
      <c r="B120" s="94"/>
      <c r="C120" s="94"/>
      <c r="D120" s="94"/>
      <c r="E120" s="94"/>
    </row>
    <row r="121" spans="1:5" x14ac:dyDescent="0.2">
      <c r="A121" s="94"/>
      <c r="B121" s="94"/>
      <c r="C121" s="94"/>
      <c r="D121" s="94"/>
      <c r="E121" s="94"/>
    </row>
    <row r="122" spans="1:5" x14ac:dyDescent="0.2">
      <c r="A122" s="94"/>
      <c r="B122" s="94"/>
      <c r="C122" s="94"/>
      <c r="D122" s="94"/>
      <c r="E122" s="94"/>
    </row>
    <row r="123" spans="1:5" x14ac:dyDescent="0.2">
      <c r="A123" s="94"/>
      <c r="B123" s="94"/>
      <c r="C123" s="94"/>
      <c r="D123" s="94"/>
      <c r="E123" s="94"/>
    </row>
    <row r="124" spans="1:5" x14ac:dyDescent="0.2">
      <c r="A124" s="94"/>
      <c r="B124" s="94"/>
      <c r="C124" s="94"/>
      <c r="D124" s="94"/>
      <c r="E124" s="94"/>
    </row>
    <row r="125" spans="1:5" x14ac:dyDescent="0.2">
      <c r="A125" s="94"/>
      <c r="B125" s="94"/>
      <c r="C125" s="94"/>
      <c r="D125" s="94"/>
      <c r="E125" s="94"/>
    </row>
  </sheetData>
  <mergeCells count="3">
    <mergeCell ref="A10:E10"/>
    <mergeCell ref="A1:E1"/>
    <mergeCell ref="G8:H13"/>
  </mergeCells>
  <phoneticPr fontId="0" type="noConversion"/>
  <pageMargins left="0.5" right="0.5" top="1" bottom="0.5" header="0.5" footer="0.25"/>
  <pageSetup scale="75" fitToHeight="2"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1"/>
  <sheetViews>
    <sheetView workbookViewId="0">
      <selection activeCell="F34" sqref="F34"/>
    </sheetView>
  </sheetViews>
  <sheetFormatPr defaultRowHeight="15.75" x14ac:dyDescent="0.2"/>
  <cols>
    <col min="1" max="1" width="11.5546875" style="29" customWidth="1"/>
    <col min="2" max="2" width="7.44140625" style="29" customWidth="1"/>
    <col min="3" max="3" width="11.5546875" style="29" customWidth="1"/>
    <col min="4" max="4" width="7.44140625" style="29" customWidth="1"/>
    <col min="5" max="5" width="11.5546875" style="29" customWidth="1"/>
    <col min="6" max="6" width="7.44140625" style="29" customWidth="1"/>
    <col min="7" max="7" width="11.5546875" style="29" customWidth="1"/>
    <col min="8" max="8" width="7.44140625" style="29" customWidth="1"/>
    <col min="9" max="9" width="11.5546875" style="29" customWidth="1"/>
    <col min="10" max="16384" width="8.88671875" style="29"/>
  </cols>
  <sheetData>
    <row r="1" spans="1:11" x14ac:dyDescent="0.2">
      <c r="A1" s="161" t="str">
        <f>inputPrYr!$D$2</f>
        <v>City of Frankfort</v>
      </c>
      <c r="B1" s="277"/>
      <c r="C1" s="160"/>
      <c r="D1" s="160"/>
      <c r="E1" s="160"/>
      <c r="F1" s="162" t="s">
        <v>229</v>
      </c>
      <c r="G1" s="160"/>
      <c r="H1" s="160"/>
      <c r="I1" s="160"/>
      <c r="J1" s="160"/>
      <c r="K1" s="160">
        <f>inputPrYr!$C$5</f>
        <v>2015</v>
      </c>
    </row>
    <row r="2" spans="1:11" x14ac:dyDescent="0.2">
      <c r="A2" s="160"/>
      <c r="B2" s="160"/>
      <c r="C2" s="160"/>
      <c r="D2" s="160"/>
      <c r="E2" s="160"/>
      <c r="F2" s="278" t="str">
        <f>CONCATENATE("(Only the actual budget year for ",K1-2," is to be shown)")</f>
        <v>(Only the actual budget year for 2013 is to be shown)</v>
      </c>
      <c r="G2" s="160"/>
      <c r="H2" s="160"/>
      <c r="I2" s="160"/>
      <c r="J2" s="160"/>
      <c r="K2" s="160"/>
    </row>
    <row r="3" spans="1:11" x14ac:dyDescent="0.2">
      <c r="A3" s="160" t="s">
        <v>268</v>
      </c>
      <c r="B3" s="160"/>
      <c r="C3" s="160"/>
      <c r="D3" s="160"/>
      <c r="E3" s="160"/>
      <c r="F3" s="279"/>
      <c r="G3" s="160"/>
      <c r="H3" s="160"/>
      <c r="I3" s="160"/>
      <c r="J3" s="160"/>
      <c r="K3" s="160"/>
    </row>
    <row r="4" spans="1:11" x14ac:dyDescent="0.2">
      <c r="A4" s="160" t="s">
        <v>230</v>
      </c>
      <c r="B4" s="160"/>
      <c r="C4" s="160" t="s">
        <v>231</v>
      </c>
      <c r="D4" s="160"/>
      <c r="E4" s="160" t="s">
        <v>232</v>
      </c>
      <c r="F4" s="277"/>
      <c r="G4" s="160" t="s">
        <v>233</v>
      </c>
      <c r="H4" s="160"/>
      <c r="I4" s="160" t="s">
        <v>234</v>
      </c>
      <c r="J4" s="160"/>
      <c r="K4" s="160"/>
    </row>
    <row r="5" spans="1:11" x14ac:dyDescent="0.2">
      <c r="A5" s="826" t="str">
        <f>IF(inputPrYr!B57&gt;" ",(inputPrYr!B57)," ")</f>
        <v>Capital Improvement</v>
      </c>
      <c r="B5" s="827"/>
      <c r="C5" s="826" t="str">
        <f>IF(inputPrYr!B58&gt;" ",(inputPrYr!B58)," ")</f>
        <v xml:space="preserve"> </v>
      </c>
      <c r="D5" s="827"/>
      <c r="E5" s="826" t="str">
        <f>IF(inputPrYr!B59&gt;" ",(inputPrYr!B59)," ")</f>
        <v xml:space="preserve"> </v>
      </c>
      <c r="F5" s="827"/>
      <c r="G5" s="826" t="str">
        <f>IF(inputPrYr!B60&gt;" ",(inputPrYr!B60)," ")</f>
        <v xml:space="preserve"> </v>
      </c>
      <c r="H5" s="827"/>
      <c r="I5" s="826" t="str">
        <f>IF(inputPrYr!B61&gt;" ",(inputPrYr!B61)," ")</f>
        <v xml:space="preserve"> </v>
      </c>
      <c r="J5" s="827"/>
      <c r="K5" s="112"/>
    </row>
    <row r="6" spans="1:11" x14ac:dyDescent="0.2">
      <c r="A6" s="281" t="s">
        <v>235</v>
      </c>
      <c r="B6" s="282"/>
      <c r="C6" s="283" t="s">
        <v>235</v>
      </c>
      <c r="D6" s="284"/>
      <c r="E6" s="283" t="s">
        <v>235</v>
      </c>
      <c r="F6" s="280"/>
      <c r="G6" s="283" t="s">
        <v>235</v>
      </c>
      <c r="H6" s="285"/>
      <c r="I6" s="283" t="s">
        <v>235</v>
      </c>
      <c r="J6" s="160"/>
      <c r="K6" s="286" t="s">
        <v>76</v>
      </c>
    </row>
    <row r="7" spans="1:11" x14ac:dyDescent="0.2">
      <c r="A7" s="287" t="s">
        <v>21</v>
      </c>
      <c r="B7" s="288">
        <v>117026</v>
      </c>
      <c r="C7" s="289" t="s">
        <v>21</v>
      </c>
      <c r="D7" s="288"/>
      <c r="E7" s="289" t="s">
        <v>21</v>
      </c>
      <c r="F7" s="288"/>
      <c r="G7" s="289" t="s">
        <v>21</v>
      </c>
      <c r="H7" s="288"/>
      <c r="I7" s="289" t="s">
        <v>21</v>
      </c>
      <c r="J7" s="288"/>
      <c r="K7" s="290">
        <f>SUM(B7+D7+F7+H7+J7)</f>
        <v>117026</v>
      </c>
    </row>
    <row r="8" spans="1:11" x14ac:dyDescent="0.2">
      <c r="A8" s="291" t="s">
        <v>216</v>
      </c>
      <c r="B8" s="292"/>
      <c r="C8" s="291" t="s">
        <v>216</v>
      </c>
      <c r="D8" s="293"/>
      <c r="E8" s="291" t="s">
        <v>216</v>
      </c>
      <c r="F8" s="277"/>
      <c r="G8" s="291" t="s">
        <v>216</v>
      </c>
      <c r="H8" s="160"/>
      <c r="I8" s="291" t="s">
        <v>216</v>
      </c>
      <c r="J8" s="160"/>
      <c r="K8" s="277"/>
    </row>
    <row r="9" spans="1:11" x14ac:dyDescent="0.2">
      <c r="A9" s="294" t="s">
        <v>1038</v>
      </c>
      <c r="B9" s="288">
        <v>17500</v>
      </c>
      <c r="C9" s="294"/>
      <c r="D9" s="288"/>
      <c r="E9" s="294"/>
      <c r="F9" s="288"/>
      <c r="G9" s="294"/>
      <c r="H9" s="288"/>
      <c r="I9" s="294"/>
      <c r="J9" s="288"/>
      <c r="K9" s="277"/>
    </row>
    <row r="10" spans="1:11" x14ac:dyDescent="0.2">
      <c r="A10" s="294" t="s">
        <v>1030</v>
      </c>
      <c r="B10" s="288">
        <v>408360</v>
      </c>
      <c r="C10" s="294"/>
      <c r="D10" s="288"/>
      <c r="E10" s="294"/>
      <c r="F10" s="288"/>
      <c r="G10" s="294"/>
      <c r="H10" s="288"/>
      <c r="I10" s="294"/>
      <c r="J10" s="288"/>
      <c r="K10" s="277"/>
    </row>
    <row r="11" spans="1:11" x14ac:dyDescent="0.2">
      <c r="A11" s="294" t="s">
        <v>112</v>
      </c>
      <c r="B11" s="288">
        <v>829</v>
      </c>
      <c r="C11" s="295"/>
      <c r="D11" s="288"/>
      <c r="E11" s="295"/>
      <c r="F11" s="288"/>
      <c r="G11" s="295"/>
      <c r="H11" s="288"/>
      <c r="I11" s="296"/>
      <c r="J11" s="288"/>
      <c r="K11" s="277"/>
    </row>
    <row r="12" spans="1:11" x14ac:dyDescent="0.2">
      <c r="A12" s="294"/>
      <c r="B12" s="288"/>
      <c r="C12" s="294"/>
      <c r="D12" s="288"/>
      <c r="E12" s="297"/>
      <c r="F12" s="288"/>
      <c r="G12" s="297"/>
      <c r="H12" s="288"/>
      <c r="I12" s="297"/>
      <c r="J12" s="288"/>
      <c r="K12" s="277"/>
    </row>
    <row r="13" spans="1:11" x14ac:dyDescent="0.2">
      <c r="A13" s="298"/>
      <c r="B13" s="288"/>
      <c r="C13" s="299"/>
      <c r="D13" s="288"/>
      <c r="E13" s="299"/>
      <c r="F13" s="288"/>
      <c r="G13" s="299"/>
      <c r="H13" s="288"/>
      <c r="I13" s="296"/>
      <c r="J13" s="288"/>
      <c r="K13" s="277"/>
    </row>
    <row r="14" spans="1:11" x14ac:dyDescent="0.2">
      <c r="A14" s="294"/>
      <c r="B14" s="288"/>
      <c r="C14" s="297"/>
      <c r="D14" s="288"/>
      <c r="E14" s="297"/>
      <c r="F14" s="288"/>
      <c r="G14" s="297"/>
      <c r="H14" s="288"/>
      <c r="I14" s="297"/>
      <c r="J14" s="288"/>
      <c r="K14" s="277"/>
    </row>
    <row r="15" spans="1:11" x14ac:dyDescent="0.2">
      <c r="A15" s="294"/>
      <c r="B15" s="288"/>
      <c r="C15" s="297"/>
      <c r="D15" s="288"/>
      <c r="E15" s="297"/>
      <c r="F15" s="288"/>
      <c r="G15" s="297"/>
      <c r="H15" s="288"/>
      <c r="I15" s="297"/>
      <c r="J15" s="288"/>
      <c r="K15" s="277"/>
    </row>
    <row r="16" spans="1:11" x14ac:dyDescent="0.2">
      <c r="A16" s="294"/>
      <c r="B16" s="288"/>
      <c r="C16" s="294"/>
      <c r="D16" s="288"/>
      <c r="E16" s="294"/>
      <c r="F16" s="288"/>
      <c r="G16" s="297"/>
      <c r="H16" s="288"/>
      <c r="I16" s="294"/>
      <c r="J16" s="288"/>
      <c r="K16" s="277"/>
    </row>
    <row r="17" spans="1:12" x14ac:dyDescent="0.2">
      <c r="A17" s="291" t="s">
        <v>113</v>
      </c>
      <c r="B17" s="290">
        <f>SUM(B9:B16)</f>
        <v>426689</v>
      </c>
      <c r="C17" s="291" t="s">
        <v>113</v>
      </c>
      <c r="D17" s="290">
        <f>SUM(D9:D16)</f>
        <v>0</v>
      </c>
      <c r="E17" s="291" t="s">
        <v>113</v>
      </c>
      <c r="F17" s="352">
        <f>SUM(F9:F16)</f>
        <v>0</v>
      </c>
      <c r="G17" s="291" t="s">
        <v>113</v>
      </c>
      <c r="H17" s="290">
        <f>SUM(H9:H16)</f>
        <v>0</v>
      </c>
      <c r="I17" s="291" t="s">
        <v>113</v>
      </c>
      <c r="J17" s="290">
        <f>SUM(J9:J16)</f>
        <v>0</v>
      </c>
      <c r="K17" s="290">
        <f>SUM(B17+D17+F17+H17+J17)</f>
        <v>426689</v>
      </c>
    </row>
    <row r="18" spans="1:12" x14ac:dyDescent="0.2">
      <c r="A18" s="291" t="s">
        <v>114</v>
      </c>
      <c r="B18" s="290">
        <f>SUM(B7+B17)</f>
        <v>543715</v>
      </c>
      <c r="C18" s="291" t="s">
        <v>114</v>
      </c>
      <c r="D18" s="290">
        <f>SUM(D7+D17)</f>
        <v>0</v>
      </c>
      <c r="E18" s="291" t="s">
        <v>114</v>
      </c>
      <c r="F18" s="290">
        <f>SUM(F7+F17)</f>
        <v>0</v>
      </c>
      <c r="G18" s="291" t="s">
        <v>114</v>
      </c>
      <c r="H18" s="290">
        <f>SUM(H7+H17)</f>
        <v>0</v>
      </c>
      <c r="I18" s="291" t="s">
        <v>114</v>
      </c>
      <c r="J18" s="290">
        <f>SUM(J7+J17)</f>
        <v>0</v>
      </c>
      <c r="K18" s="290">
        <f>SUM(B18+D18+F18+H18+J18)</f>
        <v>543715</v>
      </c>
    </row>
    <row r="19" spans="1:12" x14ac:dyDescent="0.2">
      <c r="A19" s="291" t="s">
        <v>116</v>
      </c>
      <c r="B19" s="292"/>
      <c r="C19" s="291" t="s">
        <v>116</v>
      </c>
      <c r="D19" s="293"/>
      <c r="E19" s="291" t="s">
        <v>116</v>
      </c>
      <c r="F19" s="277"/>
      <c r="G19" s="291" t="s">
        <v>116</v>
      </c>
      <c r="H19" s="160"/>
      <c r="I19" s="291" t="s">
        <v>116</v>
      </c>
      <c r="J19" s="160"/>
      <c r="K19" s="277"/>
    </row>
    <row r="20" spans="1:12" x14ac:dyDescent="0.2">
      <c r="A20" s="294" t="s">
        <v>1027</v>
      </c>
      <c r="B20" s="288">
        <v>19516</v>
      </c>
      <c r="C20" s="297"/>
      <c r="D20" s="288"/>
      <c r="E20" s="297"/>
      <c r="F20" s="288"/>
      <c r="G20" s="297"/>
      <c r="H20" s="288"/>
      <c r="I20" s="297"/>
      <c r="J20" s="288"/>
      <c r="K20" s="277"/>
    </row>
    <row r="21" spans="1:12" x14ac:dyDescent="0.2">
      <c r="A21" s="294"/>
      <c r="B21" s="288"/>
      <c r="C21" s="297"/>
      <c r="D21" s="288"/>
      <c r="E21" s="297"/>
      <c r="F21" s="288"/>
      <c r="G21" s="297"/>
      <c r="H21" s="288"/>
      <c r="I21" s="297"/>
      <c r="J21" s="288"/>
      <c r="K21" s="277"/>
    </row>
    <row r="22" spans="1:12" x14ac:dyDescent="0.2">
      <c r="A22" s="294"/>
      <c r="B22" s="288"/>
      <c r="C22" s="299"/>
      <c r="D22" s="288"/>
      <c r="E22" s="299"/>
      <c r="F22" s="288"/>
      <c r="G22" s="299"/>
      <c r="H22" s="288"/>
      <c r="I22" s="296"/>
      <c r="J22" s="288"/>
      <c r="K22" s="277"/>
    </row>
    <row r="23" spans="1:12" x14ac:dyDescent="0.2">
      <c r="A23" s="294"/>
      <c r="B23" s="288"/>
      <c r="C23" s="297"/>
      <c r="D23" s="288"/>
      <c r="E23" s="297"/>
      <c r="F23" s="288"/>
      <c r="G23" s="297"/>
      <c r="H23" s="288"/>
      <c r="I23" s="297"/>
      <c r="J23" s="288"/>
      <c r="K23" s="277"/>
    </row>
    <row r="24" spans="1:12" x14ac:dyDescent="0.2">
      <c r="A24" s="294"/>
      <c r="B24" s="288"/>
      <c r="C24" s="299"/>
      <c r="D24" s="288"/>
      <c r="E24" s="299"/>
      <c r="F24" s="288"/>
      <c r="G24" s="299"/>
      <c r="H24" s="288"/>
      <c r="I24" s="296"/>
      <c r="J24" s="288"/>
      <c r="K24" s="277"/>
    </row>
    <row r="25" spans="1:12" x14ac:dyDescent="0.2">
      <c r="A25" s="294"/>
      <c r="B25" s="288"/>
      <c r="C25" s="297"/>
      <c r="D25" s="288"/>
      <c r="E25" s="297"/>
      <c r="F25" s="288"/>
      <c r="G25" s="297"/>
      <c r="H25" s="288"/>
      <c r="I25" s="297"/>
      <c r="J25" s="288"/>
      <c r="K25" s="277"/>
    </row>
    <row r="26" spans="1:12" x14ac:dyDescent="0.2">
      <c r="A26" s="294"/>
      <c r="B26" s="288"/>
      <c r="C26" s="297"/>
      <c r="D26" s="288"/>
      <c r="E26" s="297"/>
      <c r="F26" s="288"/>
      <c r="G26" s="297"/>
      <c r="H26" s="288"/>
      <c r="I26" s="297"/>
      <c r="J26" s="288"/>
      <c r="K26" s="277"/>
    </row>
    <row r="27" spans="1:12" x14ac:dyDescent="0.2">
      <c r="A27" s="294"/>
      <c r="B27" s="288"/>
      <c r="C27" s="294"/>
      <c r="D27" s="288"/>
      <c r="E27" s="294"/>
      <c r="F27" s="288"/>
      <c r="G27" s="297"/>
      <c r="H27" s="288"/>
      <c r="I27" s="297"/>
      <c r="J27" s="288"/>
      <c r="K27" s="277"/>
    </row>
    <row r="28" spans="1:12" x14ac:dyDescent="0.2">
      <c r="A28" s="291" t="s">
        <v>120</v>
      </c>
      <c r="B28" s="290">
        <f>SUM(B20:B27)</f>
        <v>19516</v>
      </c>
      <c r="C28" s="291" t="s">
        <v>120</v>
      </c>
      <c r="D28" s="290">
        <f>SUM(D20:D27)</f>
        <v>0</v>
      </c>
      <c r="E28" s="291" t="s">
        <v>120</v>
      </c>
      <c r="F28" s="352">
        <f>SUM(F20:F27)</f>
        <v>0</v>
      </c>
      <c r="G28" s="291" t="s">
        <v>120</v>
      </c>
      <c r="H28" s="352">
        <f>SUM(H20:H27)</f>
        <v>0</v>
      </c>
      <c r="I28" s="291" t="s">
        <v>120</v>
      </c>
      <c r="J28" s="290">
        <f>SUM(J20:J27)</f>
        <v>0</v>
      </c>
      <c r="K28" s="290">
        <f>SUM(B28+D28+F28+H28+J28)</f>
        <v>19516</v>
      </c>
    </row>
    <row r="29" spans="1:12" x14ac:dyDescent="0.2">
      <c r="A29" s="291" t="s">
        <v>236</v>
      </c>
      <c r="B29" s="290">
        <f>SUM(B18-B28)</f>
        <v>524199</v>
      </c>
      <c r="C29" s="291" t="s">
        <v>236</v>
      </c>
      <c r="D29" s="290">
        <f>SUM(D18-D28)</f>
        <v>0</v>
      </c>
      <c r="E29" s="291" t="s">
        <v>236</v>
      </c>
      <c r="F29" s="290">
        <f>SUM(F18-F28)</f>
        <v>0</v>
      </c>
      <c r="G29" s="291" t="s">
        <v>236</v>
      </c>
      <c r="H29" s="290">
        <f>SUM(H18-H28)</f>
        <v>0</v>
      </c>
      <c r="I29" s="291" t="s">
        <v>236</v>
      </c>
      <c r="J29" s="290">
        <f>SUM(J18-J28)</f>
        <v>0</v>
      </c>
      <c r="K29" s="300">
        <f>SUM(B29+D29+F29+H29+J29)</f>
        <v>524199</v>
      </c>
      <c r="L29" s="29" t="s">
        <v>300</v>
      </c>
    </row>
    <row r="30" spans="1:12" x14ac:dyDescent="0.2">
      <c r="A30" s="291"/>
      <c r="B30" s="323" t="str">
        <f>IF(B29&lt;0,"See Tab B","")</f>
        <v/>
      </c>
      <c r="C30" s="291"/>
      <c r="D30" s="323" t="str">
        <f>IF(D29&lt;0,"See Tab B","")</f>
        <v/>
      </c>
      <c r="E30" s="291"/>
      <c r="F30" s="323" t="str">
        <f>IF(F29&lt;0,"See Tab B","")</f>
        <v/>
      </c>
      <c r="G30" s="160"/>
      <c r="H30" s="323" t="str">
        <f>IF(H29&lt;0,"See Tab B","")</f>
        <v/>
      </c>
      <c r="I30" s="160"/>
      <c r="J30" s="323" t="str">
        <f>IF(J29&lt;0,"See Tab B","")</f>
        <v/>
      </c>
      <c r="K30" s="300">
        <f>SUM(K7+K17-K28)</f>
        <v>524199</v>
      </c>
      <c r="L30" s="29" t="s">
        <v>300</v>
      </c>
    </row>
    <row r="31" spans="1:12" x14ac:dyDescent="0.2">
      <c r="A31" s="160"/>
      <c r="B31" s="165"/>
      <c r="C31" s="160"/>
      <c r="D31" s="277"/>
      <c r="E31" s="160"/>
      <c r="F31" s="160"/>
      <c r="G31" s="39" t="s">
        <v>301</v>
      </c>
      <c r="H31" s="39"/>
      <c r="I31" s="39"/>
      <c r="J31" s="39"/>
      <c r="K31" s="160"/>
    </row>
    <row r="32" spans="1:12" x14ac:dyDescent="0.2">
      <c r="A32" s="160"/>
      <c r="B32" s="165"/>
      <c r="C32" s="160"/>
      <c r="D32" s="160"/>
      <c r="E32" s="160"/>
      <c r="F32" s="160"/>
      <c r="G32" s="160"/>
      <c r="H32" s="160"/>
      <c r="I32" s="160"/>
      <c r="J32" s="160"/>
      <c r="K32" s="160"/>
    </row>
    <row r="33" spans="1:11" x14ac:dyDescent="0.2">
      <c r="A33" s="160"/>
      <c r="B33" s="165"/>
      <c r="C33" s="160"/>
      <c r="D33" s="160"/>
      <c r="E33" s="173" t="s">
        <v>123</v>
      </c>
      <c r="F33" s="266">
        <v>13</v>
      </c>
      <c r="G33" s="160"/>
      <c r="H33" s="160"/>
      <c r="I33" s="160"/>
      <c r="J33" s="160"/>
      <c r="K33" s="160"/>
    </row>
    <row r="34" spans="1:11" x14ac:dyDescent="0.2">
      <c r="B34" s="301"/>
    </row>
    <row r="35" spans="1:11" x14ac:dyDescent="0.2">
      <c r="B35" s="301"/>
    </row>
    <row r="36" spans="1:11" x14ac:dyDescent="0.2">
      <c r="B36" s="301"/>
    </row>
    <row r="37" spans="1:11" x14ac:dyDescent="0.2">
      <c r="B37" s="301"/>
    </row>
    <row r="38" spans="1:11" x14ac:dyDescent="0.2">
      <c r="B38" s="301"/>
    </row>
    <row r="39" spans="1:11" x14ac:dyDescent="0.2">
      <c r="B39" s="301"/>
    </row>
    <row r="40" spans="1:11" x14ac:dyDescent="0.2">
      <c r="B40" s="301"/>
    </row>
    <row r="41" spans="1:11" x14ac:dyDescent="0.2">
      <c r="B41" s="301"/>
    </row>
  </sheetData>
  <mergeCells count="5">
    <mergeCell ref="I5:J5"/>
    <mergeCell ref="A5:B5"/>
    <mergeCell ref="C5:D5"/>
    <mergeCell ref="E5:F5"/>
    <mergeCell ref="G5:H5"/>
  </mergeCells>
  <phoneticPr fontId="9" type="noConversion"/>
  <pageMargins left="0.75" right="0.75" top="1" bottom="1" header="0.5" footer="0.5"/>
  <pageSetup scale="88" orientation="landscape" blackAndWhite="1" r:id="rId1"/>
  <headerFooter alignWithMargins="0">
    <oddHeader>&amp;RState of Kansas
City</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6"/>
  <sheetViews>
    <sheetView workbookViewId="0">
      <selection activeCell="A2" sqref="A2"/>
    </sheetView>
  </sheetViews>
  <sheetFormatPr defaultRowHeight="15" x14ac:dyDescent="0.2"/>
  <cols>
    <col min="1" max="1" width="70.5546875" style="94" customWidth="1"/>
    <col min="2" max="16384" width="8.88671875" style="94"/>
  </cols>
  <sheetData>
    <row r="1" spans="1:1" ht="18.75" x14ac:dyDescent="0.3">
      <c r="A1" s="464" t="s">
        <v>320</v>
      </c>
    </row>
    <row r="2" spans="1:1" ht="15.75" x14ac:dyDescent="0.25">
      <c r="A2" s="1"/>
    </row>
    <row r="3" spans="1:1" ht="57" customHeight="1" x14ac:dyDescent="0.25">
      <c r="A3" s="465" t="s">
        <v>321</v>
      </c>
    </row>
    <row r="4" spans="1:1" ht="15.75" x14ac:dyDescent="0.25">
      <c r="A4" s="463"/>
    </row>
    <row r="5" spans="1:1" ht="15.75" x14ac:dyDescent="0.25">
      <c r="A5" s="1"/>
    </row>
    <row r="6" spans="1:1" ht="44.25" customHeight="1" x14ac:dyDescent="0.25">
      <c r="A6" s="465" t="s">
        <v>322</v>
      </c>
    </row>
    <row r="7" spans="1:1" ht="15.75" x14ac:dyDescent="0.25">
      <c r="A7" s="1"/>
    </row>
    <row r="8" spans="1:1" ht="15.75" x14ac:dyDescent="0.25">
      <c r="A8" s="463"/>
    </row>
    <row r="9" spans="1:1" ht="46.5" customHeight="1" x14ac:dyDescent="0.25">
      <c r="A9" s="465" t="s">
        <v>323</v>
      </c>
    </row>
    <row r="10" spans="1:1" ht="15.75" x14ac:dyDescent="0.25">
      <c r="A10" s="1"/>
    </row>
    <row r="11" spans="1:1" ht="15.75" x14ac:dyDescent="0.25">
      <c r="A11" s="463"/>
    </row>
    <row r="12" spans="1:1" ht="60" customHeight="1" x14ac:dyDescent="0.25">
      <c r="A12" s="465" t="s">
        <v>324</v>
      </c>
    </row>
    <row r="13" spans="1:1" ht="15.75" x14ac:dyDescent="0.25">
      <c r="A13" s="1"/>
    </row>
    <row r="14" spans="1:1" ht="15.75" x14ac:dyDescent="0.25">
      <c r="A14" s="1"/>
    </row>
    <row r="15" spans="1:1" ht="61.5" customHeight="1" x14ac:dyDescent="0.25">
      <c r="A15" s="465" t="s">
        <v>325</v>
      </c>
    </row>
    <row r="16" spans="1:1" ht="15.75" x14ac:dyDescent="0.25">
      <c r="A16" s="1"/>
    </row>
    <row r="17" spans="1:1" ht="15.75" x14ac:dyDescent="0.25">
      <c r="A17" s="1"/>
    </row>
    <row r="18" spans="1:1" ht="59.25" customHeight="1" x14ac:dyDescent="0.25">
      <c r="A18" s="465" t="s">
        <v>326</v>
      </c>
    </row>
    <row r="19" spans="1:1" ht="15.75" x14ac:dyDescent="0.25">
      <c r="A19" s="1"/>
    </row>
    <row r="20" spans="1:1" ht="15.75" x14ac:dyDescent="0.25">
      <c r="A20" s="1"/>
    </row>
    <row r="21" spans="1:1" ht="61.5" customHeight="1" x14ac:dyDescent="0.25">
      <c r="A21" s="465" t="s">
        <v>327</v>
      </c>
    </row>
    <row r="22" spans="1:1" ht="15.75" x14ac:dyDescent="0.25">
      <c r="A22" s="463"/>
    </row>
    <row r="23" spans="1:1" ht="15.75" x14ac:dyDescent="0.25">
      <c r="A23" s="463"/>
    </row>
    <row r="24" spans="1:1" ht="63" customHeight="1" x14ac:dyDescent="0.25">
      <c r="A24" s="465" t="s">
        <v>328</v>
      </c>
    </row>
    <row r="25" spans="1:1" ht="15.75" x14ac:dyDescent="0.25">
      <c r="A25" s="1"/>
    </row>
    <row r="26" spans="1:1" ht="15.75" x14ac:dyDescent="0.25">
      <c r="A26" s="1"/>
    </row>
    <row r="27" spans="1:1" ht="52.5" customHeight="1" x14ac:dyDescent="0.25">
      <c r="A27" s="476" t="s">
        <v>714</v>
      </c>
    </row>
    <row r="28" spans="1:1" ht="15.75" x14ac:dyDescent="0.25">
      <c r="A28" s="1"/>
    </row>
    <row r="29" spans="1:1" ht="15.75" x14ac:dyDescent="0.25">
      <c r="A29" s="1"/>
    </row>
    <row r="30" spans="1:1" ht="44.25" customHeight="1" x14ac:dyDescent="0.25">
      <c r="A30" s="465" t="s">
        <v>329</v>
      </c>
    </row>
    <row r="31" spans="1:1" ht="15.75" x14ac:dyDescent="0.25">
      <c r="A31" s="1"/>
    </row>
    <row r="32" spans="1:1" ht="15.75" x14ac:dyDescent="0.25">
      <c r="A32" s="1"/>
    </row>
    <row r="33" spans="1:1" ht="42.75" customHeight="1" x14ac:dyDescent="0.25">
      <c r="A33" s="465" t="s">
        <v>330</v>
      </c>
    </row>
    <row r="34" spans="1:1" ht="15.75" x14ac:dyDescent="0.25">
      <c r="A34" s="463"/>
    </row>
    <row r="35" spans="1:1" ht="15.75" x14ac:dyDescent="0.25">
      <c r="A35" s="463"/>
    </row>
    <row r="36" spans="1:1" ht="38.25" customHeight="1" x14ac:dyDescent="0.25">
      <c r="A36" s="465" t="s">
        <v>331</v>
      </c>
    </row>
    <row r="37" spans="1:1" ht="15.75" x14ac:dyDescent="0.25">
      <c r="A37" s="463"/>
    </row>
    <row r="38" spans="1:1" ht="15.75" x14ac:dyDescent="0.25">
      <c r="A38" s="1"/>
    </row>
    <row r="39" spans="1:1" ht="75.75" customHeight="1" x14ac:dyDescent="0.25">
      <c r="A39" s="465" t="s">
        <v>332</v>
      </c>
    </row>
    <row r="40" spans="1:1" ht="15.75" x14ac:dyDescent="0.25">
      <c r="A40" s="1"/>
    </row>
    <row r="41" spans="1:1" ht="15.75" x14ac:dyDescent="0.25">
      <c r="A41" s="1"/>
    </row>
    <row r="42" spans="1:1" ht="57.75" customHeight="1" x14ac:dyDescent="0.25">
      <c r="A42" s="465" t="s">
        <v>333</v>
      </c>
    </row>
    <row r="43" spans="1:1" ht="15.75" x14ac:dyDescent="0.25">
      <c r="A43" s="463"/>
    </row>
    <row r="44" spans="1:1" ht="15.75" x14ac:dyDescent="0.25">
      <c r="A44" s="1"/>
    </row>
    <row r="45" spans="1:1" ht="57.75" customHeight="1" x14ac:dyDescent="0.25">
      <c r="A45" s="465" t="s">
        <v>334</v>
      </c>
    </row>
    <row r="46" spans="1:1" ht="15.75" x14ac:dyDescent="0.25">
      <c r="A46" s="1"/>
    </row>
    <row r="47" spans="1:1" ht="15.75" x14ac:dyDescent="0.25">
      <c r="A47" s="1"/>
    </row>
    <row r="48" spans="1:1" ht="41.25" customHeight="1" x14ac:dyDescent="0.25">
      <c r="A48" s="465" t="s">
        <v>335</v>
      </c>
    </row>
    <row r="49" spans="1:1" ht="15.75" x14ac:dyDescent="0.25">
      <c r="A49" s="1"/>
    </row>
    <row r="50" spans="1:1" ht="15.75" x14ac:dyDescent="0.25">
      <c r="A50" s="1"/>
    </row>
    <row r="51" spans="1:1" ht="75" customHeight="1" x14ac:dyDescent="0.25">
      <c r="A51" s="465" t="s">
        <v>336</v>
      </c>
    </row>
    <row r="52" spans="1:1" ht="15.75" x14ac:dyDescent="0.25">
      <c r="A52" s="463"/>
    </row>
    <row r="53" spans="1:1" ht="15.75" x14ac:dyDescent="0.25">
      <c r="A53" s="463"/>
    </row>
    <row r="54" spans="1:1" ht="57.75" customHeight="1" x14ac:dyDescent="0.25">
      <c r="A54" s="465" t="s">
        <v>337</v>
      </c>
    </row>
    <row r="55" spans="1:1" ht="15.75" x14ac:dyDescent="0.25">
      <c r="A55" s="1"/>
    </row>
    <row r="56" spans="1:1" ht="15.75" x14ac:dyDescent="0.25">
      <c r="A56" s="1"/>
    </row>
    <row r="57" spans="1:1" ht="44.25" customHeight="1" x14ac:dyDescent="0.25">
      <c r="A57" s="465" t="s">
        <v>338</v>
      </c>
    </row>
    <row r="58" spans="1:1" ht="15.75" x14ac:dyDescent="0.25">
      <c r="A58" s="1"/>
    </row>
    <row r="59" spans="1:1" ht="15.75" x14ac:dyDescent="0.25">
      <c r="A59" s="1"/>
    </row>
    <row r="60" spans="1:1" ht="60" customHeight="1" x14ac:dyDescent="0.25">
      <c r="A60" s="465" t="s">
        <v>339</v>
      </c>
    </row>
    <row r="61" spans="1:1" ht="15.75" x14ac:dyDescent="0.25">
      <c r="A61" s="463"/>
    </row>
    <row r="62" spans="1:1" ht="15.75" x14ac:dyDescent="0.25">
      <c r="A62" s="463"/>
    </row>
    <row r="63" spans="1:1" ht="57.75" customHeight="1" x14ac:dyDescent="0.25">
      <c r="A63" s="465" t="s">
        <v>340</v>
      </c>
    </row>
    <row r="64" spans="1:1" ht="15.75" x14ac:dyDescent="0.25">
      <c r="A64" s="1"/>
    </row>
    <row r="65" spans="1:1" ht="15.75" x14ac:dyDescent="0.25">
      <c r="A65" s="1"/>
    </row>
    <row r="66" spans="1:1" ht="60" customHeight="1" x14ac:dyDescent="0.25">
      <c r="A66" s="465" t="s">
        <v>341</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5"/>
  <sheetViews>
    <sheetView topLeftCell="A5" zoomScale="75" workbookViewId="0">
      <selection activeCell="F32" sqref="F32"/>
    </sheetView>
  </sheetViews>
  <sheetFormatPr defaultRowHeight="15.75" x14ac:dyDescent="0.2"/>
  <cols>
    <col min="1" max="1" width="20.77734375" style="29" customWidth="1"/>
    <col min="2" max="2" width="15.77734375" style="29" customWidth="1"/>
    <col min="3" max="3" width="10.77734375" style="29" customWidth="1"/>
    <col min="4" max="4" width="15.77734375" style="29" customWidth="1"/>
    <col min="5" max="5" width="10.77734375" style="29" customWidth="1"/>
    <col min="6" max="6" width="15.77734375" style="29" customWidth="1"/>
    <col min="7" max="7" width="12.77734375" style="29" customWidth="1"/>
    <col min="8" max="8" width="10.77734375" style="29" customWidth="1"/>
    <col min="9" max="9" width="8.88671875" style="29"/>
    <col min="10" max="10" width="12.44140625" style="29" customWidth="1"/>
    <col min="11" max="11" width="12.33203125" style="29" customWidth="1"/>
    <col min="12" max="12" width="10.5546875" style="29" customWidth="1"/>
    <col min="13" max="13" width="12.109375" style="29" customWidth="1"/>
    <col min="14" max="16384" width="8.88671875" style="29"/>
  </cols>
  <sheetData>
    <row r="1" spans="1:9" x14ac:dyDescent="0.2">
      <c r="A1" s="792" t="s">
        <v>168</v>
      </c>
      <c r="B1" s="792"/>
      <c r="C1" s="792"/>
      <c r="D1" s="792"/>
      <c r="E1" s="792"/>
      <c r="F1" s="792"/>
      <c r="G1" s="792"/>
      <c r="H1" s="792"/>
      <c r="I1" s="302"/>
    </row>
    <row r="2" spans="1:9" ht="18" customHeight="1" x14ac:dyDescent="0.2">
      <c r="A2" s="43"/>
      <c r="B2" s="43"/>
      <c r="C2" s="43"/>
      <c r="D2" s="43"/>
      <c r="E2" s="43"/>
      <c r="F2" s="43"/>
      <c r="G2" s="43"/>
      <c r="H2" s="43">
        <f>inputPrYr!$C$5</f>
        <v>2015</v>
      </c>
    </row>
    <row r="3" spans="1:9" ht="18" customHeight="1" x14ac:dyDescent="0.2">
      <c r="A3" s="783" t="s">
        <v>125</v>
      </c>
      <c r="B3" s="783"/>
      <c r="C3" s="783"/>
      <c r="D3" s="783"/>
      <c r="E3" s="783"/>
      <c r="F3" s="783"/>
      <c r="G3" s="783"/>
      <c r="H3" s="783"/>
    </row>
    <row r="4" spans="1:9" x14ac:dyDescent="0.2">
      <c r="A4" s="781" t="str">
        <f>inputPrYr!D2</f>
        <v>City of Frankfort</v>
      </c>
      <c r="B4" s="781"/>
      <c r="C4" s="781"/>
      <c r="D4" s="781"/>
      <c r="E4" s="781"/>
      <c r="F4" s="781"/>
      <c r="G4" s="781"/>
      <c r="H4" s="781"/>
    </row>
    <row r="5" spans="1:9" ht="18" customHeight="1" x14ac:dyDescent="0.25">
      <c r="A5" s="836" t="str">
        <f>CONCATENATE("will meet on ",inputBudSum!B7," at ",inputBudSum!B9," at ",inputBudSum!B11," for the purpose of hearing and")</f>
        <v>will meet on August 11, 2014 at 9:00 p.m. at City Hall for the purpose of hearing and</v>
      </c>
      <c r="B5" s="836"/>
      <c r="C5" s="836"/>
      <c r="D5" s="836"/>
      <c r="E5" s="836"/>
      <c r="F5" s="836"/>
      <c r="G5" s="836"/>
      <c r="H5" s="836"/>
    </row>
    <row r="6" spans="1:9" ht="16.5" customHeight="1" x14ac:dyDescent="0.2">
      <c r="A6" s="783" t="s">
        <v>607</v>
      </c>
      <c r="B6" s="783"/>
      <c r="C6" s="783"/>
      <c r="D6" s="783"/>
      <c r="E6" s="783"/>
      <c r="F6" s="783"/>
      <c r="G6" s="783"/>
      <c r="H6" s="783"/>
    </row>
    <row r="7" spans="1:9" ht="16.5" customHeight="1" x14ac:dyDescent="0.2">
      <c r="A7" s="835" t="str">
        <f>CONCATENATE("Detailed budget information is available at ",inputBudSum!B14," and will be available at this hearing.")</f>
        <v>Detailed budget information is available at City Hall and will be available at this hearing.</v>
      </c>
      <c r="B7" s="835"/>
      <c r="C7" s="835"/>
      <c r="D7" s="835"/>
      <c r="E7" s="835"/>
      <c r="F7" s="835"/>
      <c r="G7" s="835"/>
      <c r="H7" s="835"/>
    </row>
    <row r="8" spans="1:9" x14ac:dyDescent="0.2">
      <c r="A8" s="46" t="s">
        <v>169</v>
      </c>
      <c r="B8" s="47"/>
      <c r="C8" s="47"/>
      <c r="D8" s="47"/>
      <c r="E8" s="47"/>
      <c r="F8" s="47"/>
      <c r="G8" s="47"/>
      <c r="H8" s="47"/>
    </row>
    <row r="9" spans="1:9" x14ac:dyDescent="0.2">
      <c r="A9" s="126" t="str">
        <f>CONCATENATE("Proposed Budget ",H2," Expenditures and Amount of ",H2-1," Ad Valorem Tax establish the maximum limits of the ",H2," budget.")</f>
        <v>Proposed Budget 2015 Expenditures and Amount of 2014 Ad Valorem Tax establish the maximum limits of the 2015 budget.</v>
      </c>
      <c r="B9" s="47"/>
      <c r="C9" s="47"/>
      <c r="D9" s="47"/>
      <c r="E9" s="47"/>
      <c r="F9" s="47"/>
      <c r="G9" s="47"/>
      <c r="H9" s="47"/>
    </row>
    <row r="10" spans="1:9" x14ac:dyDescent="0.2">
      <c r="A10" s="126" t="s">
        <v>221</v>
      </c>
      <c r="B10" s="47"/>
      <c r="C10" s="47"/>
      <c r="D10" s="47"/>
      <c r="E10" s="47"/>
      <c r="F10" s="47"/>
      <c r="G10" s="47"/>
      <c r="H10" s="47"/>
    </row>
    <row r="11" spans="1:9" x14ac:dyDescent="0.2">
      <c r="A11" s="43"/>
      <c r="B11" s="271"/>
      <c r="C11" s="271"/>
      <c r="D11" s="271"/>
      <c r="E11" s="271"/>
      <c r="F11" s="271"/>
      <c r="G11" s="271"/>
      <c r="H11" s="271"/>
    </row>
    <row r="12" spans="1:9" x14ac:dyDescent="0.2">
      <c r="A12" s="43"/>
      <c r="B12" s="303" t="str">
        <f>CONCATENATE("Prior Year Actual for ",H2-2,"")</f>
        <v>Prior Year Actual for 2013</v>
      </c>
      <c r="C12" s="129"/>
      <c r="D12" s="303" t="str">
        <f>CONCATENATE("Current Year Estimate for ",H2-1,"")</f>
        <v>Current Year Estimate for 2014</v>
      </c>
      <c r="E12" s="129"/>
      <c r="F12" s="127" t="str">
        <f>CONCATENATE("Proposed Budget Year for ",H2,"")</f>
        <v>Proposed Budget Year for 2015</v>
      </c>
      <c r="G12" s="128"/>
      <c r="H12" s="129"/>
    </row>
    <row r="13" spans="1:9" ht="21" customHeight="1" x14ac:dyDescent="0.25">
      <c r="A13" s="43"/>
      <c r="B13" s="263"/>
      <c r="C13" s="132" t="s">
        <v>126</v>
      </c>
      <c r="D13" s="132"/>
      <c r="E13" s="132" t="s">
        <v>126</v>
      </c>
      <c r="F13" s="532" t="s">
        <v>10</v>
      </c>
      <c r="G13" s="132" t="str">
        <f>CONCATENATE("Amount of ",H2-1,"")</f>
        <v>Amount of 2014</v>
      </c>
      <c r="H13" s="132" t="s">
        <v>269</v>
      </c>
    </row>
    <row r="14" spans="1:9" x14ac:dyDescent="0.25">
      <c r="A14" s="54" t="s">
        <v>127</v>
      </c>
      <c r="B14" s="136" t="s">
        <v>128</v>
      </c>
      <c r="C14" s="136" t="s">
        <v>129</v>
      </c>
      <c r="D14" s="136" t="s">
        <v>128</v>
      </c>
      <c r="E14" s="136" t="s">
        <v>129</v>
      </c>
      <c r="F14" s="533" t="s">
        <v>628</v>
      </c>
      <c r="G14" s="137" t="s">
        <v>105</v>
      </c>
      <c r="H14" s="136" t="s">
        <v>129</v>
      </c>
    </row>
    <row r="15" spans="1:9" x14ac:dyDescent="0.2">
      <c r="A15" s="77" t="str">
        <f>inputPrYr!B17</f>
        <v>General</v>
      </c>
      <c r="B15" s="77">
        <f>IF(general!$C$111&lt;&gt;0,general!$C$111,"  ")</f>
        <v>621331</v>
      </c>
      <c r="C15" s="304">
        <f>IF(inputPrYr!D84&gt;0,inputPrYr!D84,"  ")</f>
        <v>59.521000000000001</v>
      </c>
      <c r="D15" s="77">
        <f>IF(general!$D$111&lt;&gt;0,general!$D$111,"  ")</f>
        <v>590159</v>
      </c>
      <c r="E15" s="304">
        <f>IF(inputOth!D21&gt;0,inputOth!D21,"  ")</f>
        <v>59.886000000000003</v>
      </c>
      <c r="F15" s="77">
        <f>IF(general!$E$111&lt;&gt;0,general!$E$111,"  ")</f>
        <v>1475353</v>
      </c>
      <c r="G15" s="77">
        <f>IF(general!$E$118&lt;&gt;0,general!$E$118,"  ")</f>
        <v>207835</v>
      </c>
      <c r="H15" s="304">
        <f>IF(general!E118&gt;0,ROUND(G15/$F$32*1000,3),"")</f>
        <v>60.347999999999999</v>
      </c>
    </row>
    <row r="16" spans="1:9" x14ac:dyDescent="0.2">
      <c r="A16" s="77" t="str">
        <f>inputPrYr!B18</f>
        <v>Debt Service</v>
      </c>
      <c r="B16" s="77" t="str">
        <f>IF('DebtSvs-library'!C33&lt;&gt;0,'DebtSvs-library'!C33,"  ")</f>
        <v xml:space="preserve">  </v>
      </c>
      <c r="C16" s="304" t="str">
        <f>IF(inputPrYr!D85&gt;0,inputPrYr!D85,"  ")</f>
        <v xml:space="preserve">  </v>
      </c>
      <c r="D16" s="77" t="str">
        <f>IF('DebtSvs-library'!D33&lt;&gt;0,'DebtSvs-library'!D33,"  ")</f>
        <v xml:space="preserve">  </v>
      </c>
      <c r="E16" s="304" t="str">
        <f>IF(inputOth!D22&gt;0,inputOth!D22,"  ")</f>
        <v xml:space="preserve">  </v>
      </c>
      <c r="F16" s="77" t="str">
        <f>IF('DebtSvs-library'!E33&lt;&gt;0,'DebtSvs-library'!E33,"  ")</f>
        <v xml:space="preserve">  </v>
      </c>
      <c r="G16" s="77" t="str">
        <f>IF('DebtSvs-library'!E40&lt;&gt;0,'DebtSvs-library'!E40,"  ")</f>
        <v xml:space="preserve">  </v>
      </c>
      <c r="H16" s="304" t="str">
        <f>IF('DebtSvs-library'!E40&gt;0,ROUND(G16/$F$32*1000,3),"  ")</f>
        <v xml:space="preserve">  </v>
      </c>
    </row>
    <row r="17" spans="1:9" x14ac:dyDescent="0.2">
      <c r="A17" s="77" t="str">
        <f>IF(inputPrYr!$B19&gt;"  ",(inputPrYr!$B19),"  ")</f>
        <v>Library</v>
      </c>
      <c r="B17" s="77">
        <f>IF('DebtSvs-library'!C73&lt;&gt;0,'DebtSvs-library'!C73,"  ")</f>
        <v>46727</v>
      </c>
      <c r="C17" s="304">
        <f>IF(inputPrYr!D86&gt;0,inputPrYr!D86,"  ")</f>
        <v>11.919</v>
      </c>
      <c r="D17" s="77">
        <f>IF('DebtSvs-library'!D73&lt;&gt;0,'DebtSvs-library'!D73,"  ")</f>
        <v>46597</v>
      </c>
      <c r="E17" s="304">
        <f>IF(inputOth!D23&gt;0,inputOth!D23,"  ")</f>
        <v>11.192</v>
      </c>
      <c r="F17" s="77">
        <f>IF('DebtSvs-library'!E73&lt;&gt;0,'DebtSvs-library'!E73,"  ")</f>
        <v>47466</v>
      </c>
      <c r="G17" s="77">
        <f>IF('DebtSvs-library'!E80&lt;&gt;0,'DebtSvs-library'!E80,"  ")</f>
        <v>38590</v>
      </c>
      <c r="H17" s="304">
        <f>IF('DebtSvs-library'!E80&lt;&gt;0,ROUND(G17/$F$32*1000,3),"  ")</f>
        <v>11.205</v>
      </c>
    </row>
    <row r="18" spans="1:9" x14ac:dyDescent="0.2">
      <c r="A18" s="77" t="str">
        <f>IF(inputPrYr!$B21&gt;"  ",(inputPrYr!$B21),"  ")</f>
        <v xml:space="preserve">  </v>
      </c>
      <c r="B18" s="77"/>
      <c r="C18" s="304" t="str">
        <f>IF(inputPrYr!D87&gt;0,inputPrYr!D87,"  ")</f>
        <v xml:space="preserve">  </v>
      </c>
      <c r="D18" s="77"/>
      <c r="E18" s="304" t="str">
        <f>IF(inputOth!D24&gt;0,inputOth!D24,"  ")</f>
        <v xml:space="preserve">  </v>
      </c>
      <c r="F18" s="77"/>
      <c r="G18" s="77"/>
      <c r="H18" s="304"/>
    </row>
    <row r="19" spans="1:9" x14ac:dyDescent="0.2">
      <c r="A19" s="77" t="str">
        <f>+inputPrYr!B34</f>
        <v>Special Highway</v>
      </c>
      <c r="B19" s="77">
        <f>IF('Sp Hiway'!$C$30&gt;0,'Sp Hiway'!$C$30,"  ")</f>
        <v>17640</v>
      </c>
      <c r="C19" s="55"/>
      <c r="D19" s="77">
        <f>IF('Sp Hiway'!$D$30&gt;0,'Sp Hiway'!$D$30,"  ")</f>
        <v>18700</v>
      </c>
      <c r="E19" s="55"/>
      <c r="F19" s="77">
        <f>IF('Sp Hiway'!$E$30&gt;0,'Sp Hiway'!$E$30,"  ")</f>
        <v>19066</v>
      </c>
      <c r="G19" s="55"/>
      <c r="H19" s="55"/>
    </row>
    <row r="20" spans="1:9" x14ac:dyDescent="0.2">
      <c r="A20" s="77" t="str">
        <f>+inputPrYr!B35</f>
        <v>Special Parks &amp; Recreation</v>
      </c>
      <c r="B20" s="77" t="str">
        <f>IF('Sp Hiway'!$C$61&gt;0,'Sp Hiway'!$C$61,"  ")</f>
        <v xml:space="preserve">  </v>
      </c>
      <c r="C20" s="55"/>
      <c r="D20" s="77" t="str">
        <f>IF('Sp Hiway'!$D$61&gt;0,'Sp Hiway'!$D$61,"  ")</f>
        <v xml:space="preserve">  </v>
      </c>
      <c r="E20" s="55"/>
      <c r="F20" s="77">
        <f>IF('Sp Hiway'!$E$61&gt;0,'Sp Hiway'!$E$61,"  ")</f>
        <v>9689</v>
      </c>
      <c r="G20" s="55"/>
      <c r="H20" s="55"/>
    </row>
    <row r="21" spans="1:9" x14ac:dyDescent="0.2">
      <c r="A21" s="77" t="str">
        <f>+inputPrYr!B36</f>
        <v>Ambulance</v>
      </c>
      <c r="B21" s="77">
        <f>IF('Ambul-Water'!$C$28&gt;0,'Ambul-Water'!$C$28,"  ")</f>
        <v>92811</v>
      </c>
      <c r="C21" s="55"/>
      <c r="D21" s="77">
        <f>IF('Ambul-Water'!$D$28&gt;0,'Ambul-Water'!$D$28,"  ")</f>
        <v>103719</v>
      </c>
      <c r="E21" s="55"/>
      <c r="F21" s="77">
        <f>IF('Ambul-Water'!$E$28&gt;0,'Ambul-Water'!$E$28,"  ")</f>
        <v>389320</v>
      </c>
      <c r="G21" s="55"/>
      <c r="H21" s="55"/>
    </row>
    <row r="22" spans="1:9" x14ac:dyDescent="0.2">
      <c r="A22" s="77" t="str">
        <f>+inputPrYr!B37</f>
        <v>Water Utility</v>
      </c>
      <c r="B22" s="77">
        <f>IF('Ambul-Water'!$C$59&gt;0,'Ambul-Water'!$C$59,"  ")</f>
        <v>98081</v>
      </c>
      <c r="C22" s="55"/>
      <c r="D22" s="77">
        <f>IF('Ambul-Water'!$D$59&gt;0,'Ambul-Water'!$D$59,"  ")</f>
        <v>111400</v>
      </c>
      <c r="E22" s="55"/>
      <c r="F22" s="77">
        <f>IF('Ambul-Water'!$E$59&gt;0,'Ambul-Water'!$E$59,"  ")</f>
        <v>202830</v>
      </c>
      <c r="G22" s="55"/>
      <c r="H22" s="55"/>
    </row>
    <row r="23" spans="1:9" x14ac:dyDescent="0.2">
      <c r="A23" s="77" t="str">
        <f>+inputPrYr!B38</f>
        <v>Sewer Utility</v>
      </c>
      <c r="B23" s="77">
        <f>IF(Sewer!$C$28&gt;0,Sewer!$C$28,"  ")</f>
        <v>56886</v>
      </c>
      <c r="C23" s="55"/>
      <c r="D23" s="77">
        <f>IF(Sewer!$D$28&gt;0,Sewer!$D$28,"  ")</f>
        <v>56162</v>
      </c>
      <c r="E23" s="55"/>
      <c r="F23" s="77">
        <f>IF(Sewer!$E$28&gt;0,Sewer!$E$28,"  ")</f>
        <v>145120</v>
      </c>
      <c r="G23" s="55"/>
      <c r="H23" s="55"/>
    </row>
    <row r="24" spans="1:9" x14ac:dyDescent="0.2">
      <c r="A24" s="77" t="str">
        <f>IF(inputPrYr!$B54&gt;"  ",(inputPrYr!$B54),"  ")</f>
        <v xml:space="preserve">  </v>
      </c>
      <c r="B24" s="77"/>
      <c r="C24" s="55"/>
      <c r="D24" s="77"/>
      <c r="E24" s="55"/>
      <c r="F24" s="77"/>
      <c r="G24" s="55"/>
      <c r="H24" s="55"/>
    </row>
    <row r="25" spans="1:9" x14ac:dyDescent="0.2">
      <c r="A25" s="77" t="str">
        <f>IF(inputPrYr!$B57&gt;"  ",('Capital Improv'!$A3),"  ")</f>
        <v>Non-Budgeted Funds-A</v>
      </c>
      <c r="B25" s="77">
        <f>IF('Capital Improv'!$K$28&gt;0,'Capital Improv'!$K$28,"  ")</f>
        <v>19516</v>
      </c>
      <c r="C25" s="55"/>
      <c r="D25" s="77"/>
      <c r="E25" s="55"/>
      <c r="F25" s="77"/>
      <c r="G25" s="55"/>
      <c r="H25" s="55"/>
    </row>
    <row r="26" spans="1:9" ht="16.5" thickBot="1" x14ac:dyDescent="0.25">
      <c r="A26" s="77" t="str">
        <f>IF(inputPrYr!$B75&gt;"  ",(#REF!),"  ")</f>
        <v xml:space="preserve">  </v>
      </c>
      <c r="B26" s="499"/>
      <c r="C26" s="500"/>
      <c r="D26" s="499"/>
      <c r="E26" s="500"/>
      <c r="F26" s="499"/>
      <c r="G26" s="500"/>
      <c r="H26" s="500"/>
    </row>
    <row r="27" spans="1:9" x14ac:dyDescent="0.2">
      <c r="A27" s="131" t="s">
        <v>726</v>
      </c>
      <c r="B27" s="528">
        <f>SUM(B15:B26)</f>
        <v>952992</v>
      </c>
      <c r="C27" s="529">
        <f>SUM(C15:C18)</f>
        <v>71.44</v>
      </c>
      <c r="D27" s="528">
        <f>SUM(D15:D26)</f>
        <v>926737</v>
      </c>
      <c r="E27" s="529">
        <f>SUM(E15:E18)</f>
        <v>71.078000000000003</v>
      </c>
      <c r="F27" s="528">
        <f>SUM(F15:F26)</f>
        <v>2288844</v>
      </c>
      <c r="G27" s="528">
        <f>SUM(G15:G26)</f>
        <v>246425</v>
      </c>
      <c r="H27" s="529">
        <f>SUM(H15:H18)</f>
        <v>71.552999999999997</v>
      </c>
    </row>
    <row r="28" spans="1:9" x14ac:dyDescent="0.2">
      <c r="A28" s="44" t="s">
        <v>130</v>
      </c>
      <c r="B28" s="459">
        <f>transfers!D26</f>
        <v>17500</v>
      </c>
      <c r="C28" s="527"/>
      <c r="D28" s="459">
        <f>transfers!E26</f>
        <v>18500</v>
      </c>
      <c r="E28" s="317"/>
      <c r="F28" s="459">
        <f>transfers!F26</f>
        <v>9000</v>
      </c>
      <c r="G28" s="525"/>
      <c r="H28" s="317"/>
      <c r="I28" s="496"/>
    </row>
    <row r="29" spans="1:9" ht="16.5" thickBot="1" x14ac:dyDescent="0.25">
      <c r="A29" s="44" t="s">
        <v>131</v>
      </c>
      <c r="B29" s="314">
        <f>B27-B28</f>
        <v>935492</v>
      </c>
      <c r="C29" s="43"/>
      <c r="D29" s="314">
        <f>D27-D28</f>
        <v>908237</v>
      </c>
      <c r="E29" s="43"/>
      <c r="F29" s="314">
        <f>F27-F28</f>
        <v>2279844</v>
      </c>
      <c r="G29" s="43"/>
      <c r="H29" s="43"/>
    </row>
    <row r="30" spans="1:9" ht="16.5" thickTop="1" x14ac:dyDescent="0.2">
      <c r="A30" s="44" t="s">
        <v>132</v>
      </c>
      <c r="B30" s="459">
        <f>inputPrYr!$E$99</f>
        <v>231439</v>
      </c>
      <c r="C30" s="182"/>
      <c r="D30" s="459">
        <f>inputPrYr!$E$31</f>
        <v>241635</v>
      </c>
      <c r="E30" s="182"/>
      <c r="F30" s="305" t="s">
        <v>93</v>
      </c>
      <c r="G30" s="43"/>
      <c r="H30" s="43"/>
    </row>
    <row r="31" spans="1:9" x14ac:dyDescent="0.2">
      <c r="A31" s="44" t="s">
        <v>133</v>
      </c>
      <c r="B31" s="184"/>
      <c r="C31" s="43"/>
      <c r="D31" s="460"/>
      <c r="E31" s="186"/>
      <c r="F31" s="140"/>
      <c r="G31" s="43"/>
      <c r="H31" s="43"/>
    </row>
    <row r="32" spans="1:9" x14ac:dyDescent="0.2">
      <c r="A32" s="44" t="s">
        <v>134</v>
      </c>
      <c r="B32" s="459">
        <f>inputPrYr!$E$100</f>
        <v>3239676</v>
      </c>
      <c r="C32" s="66"/>
      <c r="D32" s="459">
        <f>inputOth!$E$36</f>
        <v>3399546</v>
      </c>
      <c r="E32" s="66"/>
      <c r="F32" s="459">
        <f>inputOth!$E$7</f>
        <v>3443957</v>
      </c>
      <c r="G32" s="43"/>
      <c r="H32" s="43"/>
    </row>
    <row r="33" spans="1:13" x14ac:dyDescent="0.2">
      <c r="A33" s="44" t="s">
        <v>135</v>
      </c>
      <c r="B33" s="43"/>
      <c r="C33" s="43"/>
      <c r="D33" s="43"/>
      <c r="E33" s="43"/>
      <c r="F33" s="43"/>
      <c r="G33" s="43"/>
      <c r="H33" s="43"/>
    </row>
    <row r="34" spans="1:13" x14ac:dyDescent="0.2">
      <c r="A34" s="44" t="s">
        <v>136</v>
      </c>
      <c r="B34" s="306">
        <f>$H$2-3</f>
        <v>2012</v>
      </c>
      <c r="C34" s="43"/>
      <c r="D34" s="306">
        <f>$H$2-2</f>
        <v>2013</v>
      </c>
      <c r="E34" s="43"/>
      <c r="F34" s="306">
        <f>$H$2-1</f>
        <v>2014</v>
      </c>
      <c r="G34" s="43"/>
      <c r="H34" s="43"/>
    </row>
    <row r="35" spans="1:13" ht="13.5" customHeight="1" x14ac:dyDescent="0.2">
      <c r="A35" s="44" t="s">
        <v>137</v>
      </c>
      <c r="B35" s="226">
        <f>inputPrYr!$D$104</f>
        <v>0</v>
      </c>
      <c r="C35" s="159"/>
      <c r="D35" s="226">
        <f>inputPrYr!$E$104</f>
        <v>0</v>
      </c>
      <c r="E35" s="159"/>
      <c r="F35" s="226">
        <f>debt!$G$20</f>
        <v>0</v>
      </c>
      <c r="G35" s="43"/>
      <c r="H35" s="43"/>
    </row>
    <row r="36" spans="1:13" x14ac:dyDescent="0.2">
      <c r="A36" s="44" t="s">
        <v>138</v>
      </c>
      <c r="B36" s="459">
        <f>inputPrYr!$D$105</f>
        <v>0</v>
      </c>
      <c r="C36" s="159"/>
      <c r="D36" s="459">
        <f>inputPrYr!$E$105</f>
        <v>0</v>
      </c>
      <c r="E36" s="159"/>
      <c r="F36" s="226">
        <f>debt!$G$32</f>
        <v>0</v>
      </c>
      <c r="G36" s="43"/>
      <c r="H36" s="43"/>
    </row>
    <row r="37" spans="1:13" ht="18.75" customHeight="1" x14ac:dyDescent="0.2">
      <c r="A37" s="43" t="s">
        <v>156</v>
      </c>
      <c r="B37" s="459">
        <f>inputPrYr!$D$106</f>
        <v>0</v>
      </c>
      <c r="C37" s="159"/>
      <c r="D37" s="459">
        <f>inputPrYr!$E$106</f>
        <v>0</v>
      </c>
      <c r="E37" s="159"/>
      <c r="F37" s="226">
        <f>debt!$G$42</f>
        <v>0</v>
      </c>
      <c r="G37" s="43"/>
      <c r="H37" s="43"/>
    </row>
    <row r="38" spans="1:13" ht="18.75" customHeight="1" x14ac:dyDescent="0.2">
      <c r="A38" s="44" t="s">
        <v>222</v>
      </c>
      <c r="B38" s="459">
        <f>inputPrYr!$D$107</f>
        <v>877986</v>
      </c>
      <c r="C38" s="159"/>
      <c r="D38" s="459">
        <f>inputPrYr!$E$107</f>
        <v>810000</v>
      </c>
      <c r="E38" s="159"/>
      <c r="F38" s="226">
        <f>lpform!$G$28</f>
        <v>765000</v>
      </c>
      <c r="G38" s="43"/>
      <c r="H38" s="43"/>
    </row>
    <row r="39" spans="1:13" ht="18.75" customHeight="1" thickBot="1" x14ac:dyDescent="0.25">
      <c r="A39" s="44" t="s">
        <v>139</v>
      </c>
      <c r="B39" s="534">
        <f>SUM(B35:B38)</f>
        <v>877986</v>
      </c>
      <c r="C39" s="159"/>
      <c r="D39" s="534">
        <f>SUM(D35:D38)</f>
        <v>810000</v>
      </c>
      <c r="E39" s="159"/>
      <c r="F39" s="534">
        <f>SUM(F35:F38)</f>
        <v>765000</v>
      </c>
      <c r="G39" s="43"/>
      <c r="H39" s="43"/>
    </row>
    <row r="40" spans="1:13" ht="18.75" customHeight="1" thickTop="1" x14ac:dyDescent="0.2">
      <c r="A40" s="44" t="s">
        <v>140</v>
      </c>
      <c r="B40" s="43"/>
      <c r="C40" s="43"/>
      <c r="D40" s="43"/>
      <c r="E40" s="43"/>
      <c r="F40" s="43"/>
      <c r="G40" s="43"/>
      <c r="H40" s="43"/>
    </row>
    <row r="41" spans="1:13" x14ac:dyDescent="0.2">
      <c r="A41" s="43"/>
      <c r="B41" s="43"/>
      <c r="C41" s="43"/>
      <c r="D41" s="43"/>
      <c r="E41" s="43"/>
      <c r="F41" s="43"/>
      <c r="G41" s="43"/>
      <c r="H41" s="43"/>
    </row>
    <row r="42" spans="1:13" x14ac:dyDescent="0.2">
      <c r="A42" s="837" t="str">
        <f>inputBudSum!B3</f>
        <v>Melody Tommer</v>
      </c>
      <c r="B42" s="837"/>
      <c r="C42" s="66"/>
      <c r="D42" s="43"/>
      <c r="E42" s="43"/>
      <c r="F42" s="43"/>
      <c r="G42" s="43"/>
      <c r="H42" s="43"/>
    </row>
    <row r="43" spans="1:13" x14ac:dyDescent="0.25">
      <c r="A43" s="156" t="s">
        <v>250</v>
      </c>
      <c r="B43" s="588" t="str">
        <f>inputBudSum!B5</f>
        <v>City Clerk</v>
      </c>
      <c r="C43" s="43"/>
      <c r="D43" s="43"/>
      <c r="E43" s="43"/>
      <c r="F43" s="43"/>
      <c r="G43" s="43"/>
      <c r="H43" s="43"/>
      <c r="J43" s="828" t="e">
        <f>CONCATENATE("Estimated Value Of One Mill For ",#REF!,"")</f>
        <v>#REF!</v>
      </c>
      <c r="K43" s="829"/>
      <c r="L43" s="829"/>
      <c r="M43" s="830"/>
    </row>
    <row r="44" spans="1:13" x14ac:dyDescent="0.25">
      <c r="A44" s="43"/>
      <c r="B44" s="43"/>
      <c r="C44" s="43"/>
      <c r="D44" s="43"/>
      <c r="E44" s="43"/>
      <c r="F44" s="43"/>
      <c r="G44" s="43"/>
      <c r="H44" s="43"/>
      <c r="J44" s="479"/>
      <c r="K44" s="480"/>
      <c r="L44" s="480"/>
      <c r="M44" s="481"/>
    </row>
    <row r="45" spans="1:13" x14ac:dyDescent="0.25">
      <c r="A45" s="43"/>
      <c r="B45" s="43"/>
      <c r="C45" s="124" t="s">
        <v>115</v>
      </c>
      <c r="D45" s="266">
        <v>14</v>
      </c>
      <c r="E45" s="43"/>
      <c r="F45" s="43"/>
      <c r="G45" s="43"/>
      <c r="H45" s="43"/>
      <c r="J45" s="482" t="s">
        <v>715</v>
      </c>
      <c r="K45" s="483"/>
      <c r="L45" s="483"/>
      <c r="M45" s="484">
        <f>ROUND(F59/1000,0)</f>
        <v>0</v>
      </c>
    </row>
    <row r="47" spans="1:13" x14ac:dyDescent="0.25">
      <c r="J47" s="828" t="e">
        <f>CONCATENATE("Want The Mill Rate The Same As For ",#REF!-1,"?")</f>
        <v>#REF!</v>
      </c>
      <c r="K47" s="829"/>
      <c r="L47" s="829"/>
      <c r="M47" s="830"/>
    </row>
    <row r="48" spans="1:13" x14ac:dyDescent="0.25">
      <c r="J48" s="486"/>
      <c r="K48" s="480"/>
      <c r="L48" s="480"/>
      <c r="M48" s="487"/>
    </row>
    <row r="49" spans="10:13" x14ac:dyDescent="0.25">
      <c r="J49" s="486" t="e">
        <f>CONCATENATE("",#REF!-1," Mill Rate Was:")</f>
        <v>#REF!</v>
      </c>
      <c r="K49" s="480"/>
      <c r="L49" s="480"/>
      <c r="M49" s="488">
        <f>E54</f>
        <v>0</v>
      </c>
    </row>
    <row r="50" spans="10:13" x14ac:dyDescent="0.25">
      <c r="J50" s="489" t="e">
        <f>CONCATENATE("",#REF!," Tax Levy Fund Expenditures Must Be")</f>
        <v>#REF!</v>
      </c>
      <c r="K50" s="490"/>
      <c r="L50" s="490"/>
      <c r="M50" s="487"/>
    </row>
    <row r="51" spans="10:13" x14ac:dyDescent="0.25">
      <c r="J51" s="489" t="str">
        <f>IF(M51&gt;0,"Increased By:","")</f>
        <v/>
      </c>
      <c r="K51" s="490"/>
      <c r="L51" s="490"/>
      <c r="M51" s="560">
        <f>IF(M58&lt;0,M58*-1,0)</f>
        <v>0</v>
      </c>
    </row>
    <row r="52" spans="10:13" x14ac:dyDescent="0.2">
      <c r="J52" s="561" t="str">
        <f>IF(M52&lt;0,"Reduced By:","")</f>
        <v/>
      </c>
      <c r="K52" s="562"/>
      <c r="L52" s="562"/>
      <c r="M52" s="563">
        <f>IF(M58&gt;0,M58*-1,0)</f>
        <v>0</v>
      </c>
    </row>
    <row r="53" spans="10:13" x14ac:dyDescent="0.25">
      <c r="J53" s="493"/>
      <c r="K53" s="493"/>
      <c r="L53" s="493"/>
      <c r="M53" s="493"/>
    </row>
    <row r="54" spans="10:13" x14ac:dyDescent="0.25">
      <c r="J54" s="828" t="e">
        <f>CONCATENATE("Impact On Keeping The Same Mill Rate As For ",#REF!-1,"")</f>
        <v>#REF!</v>
      </c>
      <c r="K54" s="831"/>
      <c r="L54" s="831"/>
      <c r="M54" s="832"/>
    </row>
    <row r="55" spans="10:13" x14ac:dyDescent="0.25">
      <c r="J55" s="486"/>
      <c r="K55" s="480"/>
      <c r="L55" s="480"/>
      <c r="M55" s="487"/>
    </row>
    <row r="56" spans="10:13" x14ac:dyDescent="0.25">
      <c r="J56" s="486" t="e">
        <f>CONCATENATE("",#REF!," Ad Valorem Tax Revenue:")</f>
        <v>#REF!</v>
      </c>
      <c r="K56" s="480"/>
      <c r="L56" s="480"/>
      <c r="M56" s="481">
        <f>G54</f>
        <v>0</v>
      </c>
    </row>
    <row r="57" spans="10:13" x14ac:dyDescent="0.25">
      <c r="J57" s="486" t="e">
        <f>CONCATENATE("",#REF!-1," Ad Valorem Tax Revenue:")</f>
        <v>#REF!</v>
      </c>
      <c r="K57" s="480"/>
      <c r="L57" s="480"/>
      <c r="M57" s="494">
        <f>ROUND(F59*M49/1000,0)</f>
        <v>0</v>
      </c>
    </row>
    <row r="58" spans="10:13" x14ac:dyDescent="0.25">
      <c r="J58" s="491" t="s">
        <v>716</v>
      </c>
      <c r="K58" s="492"/>
      <c r="L58" s="492"/>
      <c r="M58" s="484">
        <f>SUM(M56-M57)</f>
        <v>0</v>
      </c>
    </row>
    <row r="59" spans="10:13" x14ac:dyDescent="0.25">
      <c r="J59" s="485"/>
      <c r="K59" s="485"/>
      <c r="L59" s="485"/>
      <c r="M59" s="493"/>
    </row>
    <row r="60" spans="10:13" x14ac:dyDescent="0.25">
      <c r="J60" s="828" t="s">
        <v>717</v>
      </c>
      <c r="K60" s="833"/>
      <c r="L60" s="833"/>
      <c r="M60" s="834"/>
    </row>
    <row r="61" spans="10:13" x14ac:dyDescent="0.25">
      <c r="J61" s="486"/>
      <c r="K61" s="480"/>
      <c r="L61" s="480"/>
      <c r="M61" s="487"/>
    </row>
    <row r="62" spans="10:13" x14ac:dyDescent="0.25">
      <c r="J62" s="486" t="e">
        <f>CONCATENATE("Current ",#REF!," Estimated Mill Rate:")</f>
        <v>#REF!</v>
      </c>
      <c r="K62" s="480"/>
      <c r="L62" s="480"/>
      <c r="M62" s="488">
        <f>H54</f>
        <v>0</v>
      </c>
    </row>
    <row r="63" spans="10:13" x14ac:dyDescent="0.25">
      <c r="J63" s="486" t="e">
        <f>CONCATENATE("Desired ",#REF!," Mill Rate:")</f>
        <v>#REF!</v>
      </c>
      <c r="K63" s="480"/>
      <c r="L63" s="480"/>
      <c r="M63" s="478">
        <v>0</v>
      </c>
    </row>
    <row r="64" spans="10:13" x14ac:dyDescent="0.25">
      <c r="J64" s="486" t="e">
        <f>CONCATENATE("",#REF!," Ad Valorem Tax:")</f>
        <v>#REF!</v>
      </c>
      <c r="K64" s="480"/>
      <c r="L64" s="480"/>
      <c r="M64" s="494">
        <f>ROUND(F59*M63/1000,0)</f>
        <v>0</v>
      </c>
    </row>
    <row r="65" spans="10:13" x14ac:dyDescent="0.25">
      <c r="J65" s="491" t="e">
        <f>CONCATENATE("",#REF!," Tax Levy Fund Exp. Changed By:")</f>
        <v>#REF!</v>
      </c>
      <c r="K65" s="492"/>
      <c r="L65" s="492"/>
      <c r="M65" s="484">
        <f>IF(M63=0,0,(M64-G54))</f>
        <v>0</v>
      </c>
    </row>
  </sheetData>
  <mergeCells count="11">
    <mergeCell ref="J43:M43"/>
    <mergeCell ref="J47:M47"/>
    <mergeCell ref="J54:M54"/>
    <mergeCell ref="J60:M60"/>
    <mergeCell ref="A1:H1"/>
    <mergeCell ref="A4:H4"/>
    <mergeCell ref="A6:H6"/>
    <mergeCell ref="A7:H7"/>
    <mergeCell ref="A3:H3"/>
    <mergeCell ref="A5:H5"/>
    <mergeCell ref="A42:B42"/>
  </mergeCells>
  <phoneticPr fontId="0" type="noConversion"/>
  <pageMargins left="1" right="0.5" top="1" bottom="0.5" header="0.5" footer="0.5"/>
  <pageSetup scale="61" orientation="portrait" blackAndWhite="1" horizontalDpi="120" verticalDpi="144" r:id="rId1"/>
  <headerFooter alignWithMargins="0">
    <oddHeader>&amp;RState of Kansas
City</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0"/>
  <sheetViews>
    <sheetView workbookViewId="0">
      <selection activeCell="C9" sqref="C9"/>
    </sheetView>
  </sheetViews>
  <sheetFormatPr defaultRowHeight="15" x14ac:dyDescent="0.2"/>
  <cols>
    <col min="1" max="1" width="10.109375" style="94" customWidth="1"/>
    <col min="2" max="2" width="16.33203125" style="94" customWidth="1"/>
    <col min="3" max="3" width="11.77734375" style="94" customWidth="1"/>
    <col min="4" max="4" width="12.77734375" style="94" customWidth="1"/>
    <col min="5" max="5" width="11.77734375" style="94" customWidth="1"/>
    <col min="6" max="16384" width="8.88671875" style="94"/>
  </cols>
  <sheetData>
    <row r="1" spans="1:6" ht="15.75" x14ac:dyDescent="0.2">
      <c r="A1" s="182" t="str">
        <f>inputPrYr!D2</f>
        <v>City of Frankfort</v>
      </c>
      <c r="B1" s="43"/>
      <c r="C1" s="43"/>
      <c r="D1" s="43"/>
      <c r="E1" s="43"/>
      <c r="F1" s="43">
        <f>inputPrYr!C5</f>
        <v>2015</v>
      </c>
    </row>
    <row r="2" spans="1:6" ht="15.75" x14ac:dyDescent="0.2">
      <c r="A2" s="43"/>
      <c r="B2" s="43"/>
      <c r="C2" s="43"/>
      <c r="D2" s="43"/>
      <c r="E2" s="43"/>
      <c r="F2" s="43"/>
    </row>
    <row r="3" spans="1:6" ht="15.75" x14ac:dyDescent="0.2">
      <c r="A3" s="43"/>
      <c r="B3" s="796" t="str">
        <f>CONCATENATE("",F1," Neighborhood Revitalization Rebate")</f>
        <v>2015 Neighborhood Revitalization Rebate</v>
      </c>
      <c r="C3" s="839"/>
      <c r="D3" s="839"/>
      <c r="E3" s="839"/>
      <c r="F3" s="43"/>
    </row>
    <row r="4" spans="1:6" ht="15.75" x14ac:dyDescent="0.2">
      <c r="A4" s="43"/>
      <c r="B4" s="43"/>
      <c r="C4" s="43"/>
      <c r="D4" s="43"/>
      <c r="E4" s="43"/>
      <c r="F4" s="43"/>
    </row>
    <row r="5" spans="1:6" ht="51.75" customHeight="1" x14ac:dyDescent="0.2">
      <c r="A5" s="43"/>
      <c r="B5" s="308" t="str">
        <f>CONCATENATE("Budgeted Funds         for ",F1,"")</f>
        <v>Budgeted Funds         for 2015</v>
      </c>
      <c r="C5" s="308" t="str">
        <f>CONCATENATE("",F1-1," Ad Valorem before Rebate**")</f>
        <v>2014 Ad Valorem before Rebate**</v>
      </c>
      <c r="D5" s="309" t="str">
        <f>CONCATENATE("",F1-1," Mil Rate before Rebate")</f>
        <v>2014 Mil Rate before Rebate</v>
      </c>
      <c r="E5" s="310" t="str">
        <f>CONCATENATE("Estimate ",F1," NR Rebate")</f>
        <v>Estimate 2015 NR Rebate</v>
      </c>
      <c r="F5" s="88"/>
    </row>
    <row r="6" spans="1:6" ht="15.75" x14ac:dyDescent="0.2">
      <c r="A6" s="43"/>
      <c r="B6" s="54" t="str">
        <f>inputPrYr!B17</f>
        <v>General</v>
      </c>
      <c r="C6" s="311"/>
      <c r="D6" s="312" t="str">
        <f>IF(C6&gt;0,C6/$D$24,"")</f>
        <v/>
      </c>
      <c r="E6" s="226" t="str">
        <f t="shared" ref="E6:E17" si="0">IF(C6&gt;0,ROUND(D6*$D$28,0),"")</f>
        <v/>
      </c>
      <c r="F6" s="88"/>
    </row>
    <row r="7" spans="1:6" ht="15.75" x14ac:dyDescent="0.2">
      <c r="A7" s="43"/>
      <c r="B7" s="54" t="str">
        <f>inputPrYr!B18</f>
        <v>Debt Service</v>
      </c>
      <c r="C7" s="311"/>
      <c r="D7" s="312" t="str">
        <f t="shared" ref="D7:D17" si="1">IF(C7&gt;0,C7/$D$24,"")</f>
        <v/>
      </c>
      <c r="E7" s="226" t="str">
        <f t="shared" si="0"/>
        <v/>
      </c>
      <c r="F7" s="88"/>
    </row>
    <row r="8" spans="1:6" ht="15.75" x14ac:dyDescent="0.2">
      <c r="A8" s="43"/>
      <c r="B8" s="77" t="str">
        <f>inputPrYr!B19</f>
        <v>Library</v>
      </c>
      <c r="C8" s="311">
        <v>38612</v>
      </c>
      <c r="D8" s="312">
        <f t="shared" si="1"/>
        <v>11.211522095078424</v>
      </c>
      <c r="E8" s="226">
        <f t="shared" si="0"/>
        <v>1006</v>
      </c>
      <c r="F8" s="88"/>
    </row>
    <row r="9" spans="1:6" ht="15.75" x14ac:dyDescent="0.2">
      <c r="A9" s="43"/>
      <c r="B9" s="77">
        <f>inputPrYr!B21</f>
        <v>0</v>
      </c>
      <c r="C9" s="311"/>
      <c r="D9" s="312" t="str">
        <f t="shared" si="1"/>
        <v/>
      </c>
      <c r="E9" s="226" t="str">
        <f t="shared" si="0"/>
        <v/>
      </c>
      <c r="F9" s="88"/>
    </row>
    <row r="10" spans="1:6" ht="15.75" x14ac:dyDescent="0.2">
      <c r="A10" s="43"/>
      <c r="B10" s="77">
        <f>inputPrYr!B22</f>
        <v>0</v>
      </c>
      <c r="C10" s="311"/>
      <c r="D10" s="312" t="str">
        <f t="shared" si="1"/>
        <v/>
      </c>
      <c r="E10" s="226" t="str">
        <f t="shared" si="0"/>
        <v/>
      </c>
      <c r="F10" s="88"/>
    </row>
    <row r="11" spans="1:6" ht="15.75" x14ac:dyDescent="0.2">
      <c r="A11" s="43"/>
      <c r="B11" s="77">
        <f>inputPrYr!B23</f>
        <v>0</v>
      </c>
      <c r="C11" s="311"/>
      <c r="D11" s="312" t="str">
        <f t="shared" si="1"/>
        <v/>
      </c>
      <c r="E11" s="226" t="str">
        <f t="shared" si="0"/>
        <v/>
      </c>
      <c r="F11" s="88"/>
    </row>
    <row r="12" spans="1:6" ht="15.75" x14ac:dyDescent="0.2">
      <c r="A12" s="43"/>
      <c r="B12" s="77">
        <f>inputPrYr!B24</f>
        <v>0</v>
      </c>
      <c r="C12" s="313"/>
      <c r="D12" s="312" t="str">
        <f t="shared" si="1"/>
        <v/>
      </c>
      <c r="E12" s="226" t="str">
        <f t="shared" si="0"/>
        <v/>
      </c>
      <c r="F12" s="88"/>
    </row>
    <row r="13" spans="1:6" ht="15.75" x14ac:dyDescent="0.2">
      <c r="A13" s="43"/>
      <c r="B13" s="77">
        <f>inputPrYr!B25</f>
        <v>0</v>
      </c>
      <c r="C13" s="313"/>
      <c r="D13" s="312" t="str">
        <f t="shared" si="1"/>
        <v/>
      </c>
      <c r="E13" s="226" t="str">
        <f t="shared" si="0"/>
        <v/>
      </c>
      <c r="F13" s="88"/>
    </row>
    <row r="14" spans="1:6" ht="15.75" x14ac:dyDescent="0.2">
      <c r="A14" s="43"/>
      <c r="B14" s="77">
        <f>inputPrYr!B26</f>
        <v>0</v>
      </c>
      <c r="C14" s="313"/>
      <c r="D14" s="312" t="str">
        <f t="shared" si="1"/>
        <v/>
      </c>
      <c r="E14" s="226" t="str">
        <f t="shared" si="0"/>
        <v/>
      </c>
      <c r="F14" s="88"/>
    </row>
    <row r="15" spans="1:6" ht="15.75" x14ac:dyDescent="0.2">
      <c r="A15" s="43"/>
      <c r="B15" s="77">
        <f>inputPrYr!B27</f>
        <v>0</v>
      </c>
      <c r="C15" s="313"/>
      <c r="D15" s="312" t="str">
        <f t="shared" si="1"/>
        <v/>
      </c>
      <c r="E15" s="226" t="str">
        <f t="shared" si="0"/>
        <v/>
      </c>
      <c r="F15" s="88"/>
    </row>
    <row r="16" spans="1:6" ht="15.75" x14ac:dyDescent="0.2">
      <c r="A16" s="43"/>
      <c r="B16" s="77">
        <f>inputPrYr!B28</f>
        <v>0</v>
      </c>
      <c r="C16" s="313"/>
      <c r="D16" s="312" t="str">
        <f t="shared" si="1"/>
        <v/>
      </c>
      <c r="E16" s="226" t="str">
        <f t="shared" si="0"/>
        <v/>
      </c>
      <c r="F16" s="88"/>
    </row>
    <row r="17" spans="1:6" ht="15.75" x14ac:dyDescent="0.2">
      <c r="A17" s="43"/>
      <c r="B17" s="77">
        <f>inputPrYr!B29</f>
        <v>0</v>
      </c>
      <c r="C17" s="313"/>
      <c r="D17" s="312" t="str">
        <f t="shared" si="1"/>
        <v/>
      </c>
      <c r="E17" s="226" t="str">
        <f t="shared" si="0"/>
        <v/>
      </c>
      <c r="F17" s="88"/>
    </row>
    <row r="18" spans="1:6" ht="15.75" x14ac:dyDescent="0.2">
      <c r="A18" s="43"/>
      <c r="B18" s="77">
        <f>inputPrYr!B30</f>
        <v>0</v>
      </c>
      <c r="C18" s="313"/>
      <c r="D18" s="312" t="str">
        <f>IF(C18&gt;0,C18/$D$24,"")</f>
        <v/>
      </c>
      <c r="E18" s="226" t="str">
        <f>IF(C18&gt;0,ROUND(D18*$D$28,0),"")</f>
        <v/>
      </c>
      <c r="F18" s="88"/>
    </row>
    <row r="19" spans="1:6" ht="16.5" thickBot="1" x14ac:dyDescent="0.25">
      <c r="A19" s="43"/>
      <c r="B19" s="55" t="s">
        <v>99</v>
      </c>
      <c r="C19" s="314">
        <f>SUM(C6:C18)</f>
        <v>38612</v>
      </c>
      <c r="D19" s="315">
        <f>SUM(D6:D17)</f>
        <v>11.211522095078424</v>
      </c>
      <c r="E19" s="314">
        <f>SUM(E6:E17)</f>
        <v>1006</v>
      </c>
      <c r="F19" s="88"/>
    </row>
    <row r="20" spans="1:6" ht="16.5" thickTop="1" x14ac:dyDescent="0.2">
      <c r="A20" s="43"/>
      <c r="B20" s="43"/>
      <c r="C20" s="43"/>
      <c r="D20" s="43"/>
      <c r="E20" s="43"/>
      <c r="F20" s="88"/>
    </row>
    <row r="21" spans="1:6" ht="15.75" x14ac:dyDescent="0.2">
      <c r="A21" s="43"/>
      <c r="B21" s="43"/>
      <c r="C21" s="43"/>
      <c r="D21" s="43"/>
      <c r="E21" s="43"/>
      <c r="F21" s="88"/>
    </row>
    <row r="22" spans="1:6" ht="15.75" x14ac:dyDescent="0.2">
      <c r="A22" s="840" t="str">
        <f>CONCATENATE("",F1-1," July 1 Valuation:")</f>
        <v>2014 July 1 Valuation:</v>
      </c>
      <c r="B22" s="817"/>
      <c r="C22" s="840"/>
      <c r="D22" s="307">
        <f>inputOth!E7</f>
        <v>3443957</v>
      </c>
      <c r="E22" s="43"/>
      <c r="F22" s="88"/>
    </row>
    <row r="23" spans="1:6" ht="15.75" x14ac:dyDescent="0.2">
      <c r="A23" s="43"/>
      <c r="B23" s="43"/>
      <c r="C23" s="43"/>
      <c r="D23" s="43"/>
      <c r="E23" s="43"/>
      <c r="F23" s="88"/>
    </row>
    <row r="24" spans="1:6" ht="15.75" x14ac:dyDescent="0.2">
      <c r="A24" s="43"/>
      <c r="B24" s="840" t="s">
        <v>317</v>
      </c>
      <c r="C24" s="840"/>
      <c r="D24" s="316">
        <f>IF(D22&gt;0,(D22*0.001),"")</f>
        <v>3443.9569999999999</v>
      </c>
      <c r="E24" s="43"/>
      <c r="F24" s="88"/>
    </row>
    <row r="25" spans="1:6" ht="15.75" x14ac:dyDescent="0.2">
      <c r="A25" s="43"/>
      <c r="B25" s="124"/>
      <c r="C25" s="124"/>
      <c r="D25" s="317"/>
      <c r="E25" s="43"/>
      <c r="F25" s="88"/>
    </row>
    <row r="26" spans="1:6" ht="15.75" x14ac:dyDescent="0.2">
      <c r="A26" s="838" t="s">
        <v>318</v>
      </c>
      <c r="B26" s="785"/>
      <c r="C26" s="785"/>
      <c r="D26" s="318">
        <f>inputOth!E17</f>
        <v>89747</v>
      </c>
      <c r="E26" s="58"/>
      <c r="F26" s="58"/>
    </row>
    <row r="27" spans="1:6" x14ac:dyDescent="0.2">
      <c r="A27" s="58"/>
      <c r="B27" s="58"/>
      <c r="C27" s="58"/>
      <c r="D27" s="319"/>
      <c r="E27" s="58"/>
      <c r="F27" s="58"/>
    </row>
    <row r="28" spans="1:6" ht="15.75" x14ac:dyDescent="0.2">
      <c r="A28" s="58"/>
      <c r="B28" s="838" t="s">
        <v>319</v>
      </c>
      <c r="C28" s="817"/>
      <c r="D28" s="320">
        <f>IF(D26&gt;0,(D26*0.001),"")</f>
        <v>89.747</v>
      </c>
      <c r="E28" s="58"/>
      <c r="F28" s="58"/>
    </row>
    <row r="29" spans="1:6" x14ac:dyDescent="0.2">
      <c r="A29" s="58"/>
      <c r="B29" s="58"/>
      <c r="C29" s="58"/>
      <c r="D29" s="58"/>
      <c r="E29" s="58"/>
      <c r="F29" s="58"/>
    </row>
    <row r="30" spans="1:6" x14ac:dyDescent="0.2">
      <c r="A30" s="58"/>
      <c r="B30" s="58"/>
      <c r="C30" s="58"/>
      <c r="D30" s="58"/>
      <c r="E30" s="58"/>
      <c r="F30" s="58"/>
    </row>
    <row r="31" spans="1:6" x14ac:dyDescent="0.2">
      <c r="A31" s="58"/>
      <c r="B31" s="58"/>
      <c r="C31" s="58"/>
      <c r="D31" s="58"/>
      <c r="E31" s="58"/>
      <c r="F31" s="58"/>
    </row>
    <row r="32" spans="1:6" ht="15.75" x14ac:dyDescent="0.25">
      <c r="A32" s="348" t="str">
        <f>CONCATENATE("**This information comes from the ",F1," Budget Summary page.  See instructions tab #13 for completing")</f>
        <v>**This information comes from the 2015 Budget Summary page.  See instructions tab #13 for completing</v>
      </c>
      <c r="B32" s="58"/>
      <c r="C32" s="58"/>
      <c r="D32" s="58"/>
      <c r="E32" s="58"/>
      <c r="F32" s="58"/>
    </row>
    <row r="33" spans="1:6" ht="15.75" x14ac:dyDescent="0.25">
      <c r="A33" s="348" t="s">
        <v>609</v>
      </c>
      <c r="B33" s="58"/>
      <c r="C33" s="58"/>
      <c r="D33" s="58"/>
      <c r="E33" s="58"/>
      <c r="F33" s="58"/>
    </row>
    <row r="34" spans="1:6" ht="15.75" x14ac:dyDescent="0.25">
      <c r="A34" s="348"/>
      <c r="B34" s="58"/>
      <c r="C34" s="58"/>
      <c r="D34" s="58"/>
      <c r="E34" s="58"/>
      <c r="F34" s="58"/>
    </row>
    <row r="35" spans="1:6" ht="15.75" x14ac:dyDescent="0.25">
      <c r="A35" s="348"/>
      <c r="B35" s="58"/>
      <c r="C35" s="58"/>
      <c r="D35" s="58"/>
      <c r="E35" s="58"/>
      <c r="F35" s="58"/>
    </row>
    <row r="36" spans="1:6" ht="15.75" x14ac:dyDescent="0.25">
      <c r="A36" s="348"/>
      <c r="B36" s="58"/>
      <c r="C36" s="58"/>
      <c r="D36" s="58"/>
      <c r="E36" s="58"/>
      <c r="F36" s="58"/>
    </row>
    <row r="37" spans="1:6" ht="15.75" x14ac:dyDescent="0.25">
      <c r="A37" s="348"/>
      <c r="B37" s="58"/>
      <c r="C37" s="58"/>
      <c r="D37" s="58"/>
      <c r="E37" s="58"/>
      <c r="F37" s="58"/>
    </row>
    <row r="38" spans="1:6" x14ac:dyDescent="0.2">
      <c r="A38" s="58"/>
      <c r="B38" s="58"/>
      <c r="C38" s="58"/>
      <c r="D38" s="58"/>
      <c r="E38" s="58"/>
      <c r="F38" s="58"/>
    </row>
    <row r="39" spans="1:6" ht="15.75" x14ac:dyDescent="0.2">
      <c r="A39" s="58"/>
      <c r="B39" s="173" t="s">
        <v>123</v>
      </c>
      <c r="C39" s="266">
        <v>15</v>
      </c>
      <c r="D39" s="58"/>
      <c r="E39" s="58"/>
      <c r="F39" s="58"/>
    </row>
    <row r="40" spans="1:6" ht="15.75" x14ac:dyDescent="0.2">
      <c r="A40" s="88"/>
      <c r="B40" s="43"/>
      <c r="C40" s="43"/>
      <c r="D40" s="321"/>
      <c r="E40" s="88"/>
      <c r="F40" s="88"/>
    </row>
  </sheetData>
  <mergeCells count="5">
    <mergeCell ref="B28:C28"/>
    <mergeCell ref="B3:E3"/>
    <mergeCell ref="A22:C22"/>
    <mergeCell ref="B24:C24"/>
    <mergeCell ref="A26:C26"/>
  </mergeCells>
  <phoneticPr fontId="9" type="noConversion"/>
  <pageMargins left="0.75" right="0.75" top="1" bottom="1" header="0.5" footer="0.5"/>
  <pageSetup scale="92" orientation="portrait" blackAndWhite="1" r:id="rId1"/>
  <headerFooter alignWithMargins="0">
    <oddHeader>&amp;RState of  Kansas
City</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I7"/>
  <sheetViews>
    <sheetView workbookViewId="0">
      <selection activeCell="U60" sqref="U60"/>
    </sheetView>
  </sheetViews>
  <sheetFormatPr defaultRowHeight="15" x14ac:dyDescent="0.2"/>
  <sheetData>
    <row r="2" spans="3:9" ht="15.75" x14ac:dyDescent="0.25">
      <c r="I2" s="736">
        <f>inputPrYr!C5</f>
        <v>2015</v>
      </c>
    </row>
    <row r="3" spans="3:9" ht="15.75" thickBot="1" x14ac:dyDescent="0.25"/>
    <row r="4" spans="3:9" ht="19.5" thickBot="1" x14ac:dyDescent="0.35">
      <c r="C4" s="844" t="s">
        <v>976</v>
      </c>
      <c r="D4" s="845"/>
      <c r="E4" s="845"/>
      <c r="F4" s="845"/>
      <c r="G4" s="845"/>
      <c r="H4" s="845"/>
      <c r="I4" s="846"/>
    </row>
    <row r="5" spans="3:9" ht="16.5" thickBot="1" x14ac:dyDescent="0.3">
      <c r="C5" s="733"/>
      <c r="D5" s="733"/>
      <c r="E5" s="734"/>
      <c r="F5" s="735"/>
      <c r="G5" s="733"/>
      <c r="H5" s="733"/>
      <c r="I5" s="733"/>
    </row>
    <row r="6" spans="3:9" ht="15.75" x14ac:dyDescent="0.25">
      <c r="C6" s="847" t="str">
        <f>CONCATENATE("Notice of Vote - ",inputPrYr!D2)</f>
        <v>Notice of Vote - City of Frankfort</v>
      </c>
      <c r="D6" s="848"/>
      <c r="E6" s="848"/>
      <c r="F6" s="848"/>
      <c r="G6" s="848"/>
      <c r="H6" s="848"/>
      <c r="I6" s="849"/>
    </row>
    <row r="7" spans="3:9" ht="60.75" customHeight="1" thickBot="1" x14ac:dyDescent="0.25">
      <c r="C7" s="841" t="str">
        <f>CONCATENATE("In adopting the ",I2," budget the governing body voted to increase property taxes in an amount greater than the amount levied for the ",I2-1," budget, adjusted by the ",I2-2," CPI for all urban consumers.  _____ members voted in favor of the budget and _____ members voted against the budget.")</f>
        <v>In adopting the 2015 budget the governing body voted to increase property taxes in an amount greater than the amount levied for the 2014 budget, adjusted by the 2013 CPI for all urban consumers.  _____ members voted in favor of the budget and _____ members voted against the budget.</v>
      </c>
      <c r="D7" s="842"/>
      <c r="E7" s="842"/>
      <c r="F7" s="842"/>
      <c r="G7" s="842"/>
      <c r="H7" s="842"/>
      <c r="I7" s="843"/>
    </row>
  </sheetData>
  <mergeCells count="3">
    <mergeCell ref="C7:I7"/>
    <mergeCell ref="C4:I4"/>
    <mergeCell ref="C6:I6"/>
  </mergeCell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12"/>
  <sheetViews>
    <sheetView workbookViewId="0">
      <selection activeCell="U52" sqref="U52"/>
    </sheetView>
  </sheetViews>
  <sheetFormatPr defaultRowHeight="15" x14ac:dyDescent="0.2"/>
  <cols>
    <col min="5" max="5" width="12.21875" customWidth="1"/>
    <col min="7" max="7" width="3.33203125" customWidth="1"/>
  </cols>
  <sheetData>
    <row r="2" spans="3:8" ht="15.75" x14ac:dyDescent="0.25">
      <c r="H2" s="736">
        <f>inputPrYr!C5</f>
        <v>2015</v>
      </c>
    </row>
    <row r="3" spans="3:8" ht="15.75" thickBot="1" x14ac:dyDescent="0.25"/>
    <row r="4" spans="3:8" ht="19.5" thickBot="1" x14ac:dyDescent="0.35">
      <c r="C4" s="850" t="s">
        <v>977</v>
      </c>
      <c r="D4" s="851"/>
      <c r="E4" s="851"/>
      <c r="F4" s="851"/>
      <c r="G4" s="851"/>
      <c r="H4" s="852"/>
    </row>
    <row r="5" spans="3:8" ht="16.5" thickBot="1" x14ac:dyDescent="0.3">
      <c r="C5" s="737"/>
      <c r="D5" s="737"/>
      <c r="E5" s="737"/>
      <c r="F5" s="737"/>
      <c r="G5" s="737"/>
      <c r="H5" s="737"/>
    </row>
    <row r="6" spans="3:8" ht="15.75" x14ac:dyDescent="0.25">
      <c r="C6" s="847" t="str">
        <f>CONCATENATE("Notice of Vote - ",inputPrYr!D2)</f>
        <v>Notice of Vote - City of Frankfort</v>
      </c>
      <c r="D6" s="848"/>
      <c r="E6" s="848"/>
      <c r="F6" s="848"/>
      <c r="G6" s="848"/>
      <c r="H6" s="849"/>
    </row>
    <row r="7" spans="3:8" ht="15.75" x14ac:dyDescent="0.25">
      <c r="C7" s="853" t="s">
        <v>978</v>
      </c>
      <c r="D7" s="854"/>
      <c r="E7" s="854"/>
      <c r="F7" s="854"/>
      <c r="G7" s="854"/>
      <c r="H7" s="855"/>
    </row>
    <row r="8" spans="3:8" ht="15.75" x14ac:dyDescent="0.25">
      <c r="C8" s="853" t="s">
        <v>979</v>
      </c>
      <c r="D8" s="854"/>
      <c r="E8" s="854"/>
      <c r="F8" s="854"/>
      <c r="G8" s="854"/>
      <c r="H8" s="855"/>
    </row>
    <row r="9" spans="3:8" ht="15.75" x14ac:dyDescent="0.25">
      <c r="C9" s="740" t="str">
        <f>CONCATENATE(H2-1," Budget")</f>
        <v>2014 Budget</v>
      </c>
      <c r="D9" s="744" t="s">
        <v>182</v>
      </c>
      <c r="E9" s="746">
        <f>inputPrYr!E31</f>
        <v>241635</v>
      </c>
      <c r="F9" s="738"/>
      <c r="G9" s="738"/>
      <c r="H9" s="739"/>
    </row>
    <row r="10" spans="3:8" ht="15.75" x14ac:dyDescent="0.25">
      <c r="C10" s="740" t="str">
        <f>CONCATENATE(H2," Budget")</f>
        <v>2015 Budget</v>
      </c>
      <c r="D10" s="744" t="s">
        <v>182</v>
      </c>
      <c r="E10" s="747">
        <f>cert!F33</f>
        <v>246425</v>
      </c>
      <c r="F10" s="738"/>
      <c r="G10" s="738"/>
      <c r="H10" s="739"/>
    </row>
    <row r="11" spans="3:8" ht="15.75" x14ac:dyDescent="0.25">
      <c r="C11" s="740"/>
      <c r="D11" s="738"/>
      <c r="E11" s="738" t="s">
        <v>980</v>
      </c>
      <c r="F11" s="749"/>
      <c r="G11" s="743" t="s">
        <v>981</v>
      </c>
      <c r="H11" s="750"/>
    </row>
    <row r="12" spans="3:8" ht="16.5" thickBot="1" x14ac:dyDescent="0.3">
      <c r="C12" s="741"/>
      <c r="D12" s="742"/>
      <c r="E12" s="742"/>
      <c r="F12" s="742"/>
      <c r="G12" s="742"/>
      <c r="H12" s="745"/>
    </row>
  </sheetData>
  <mergeCells count="4">
    <mergeCell ref="C4:H4"/>
    <mergeCell ref="C6:H6"/>
    <mergeCell ref="C7:H7"/>
    <mergeCell ref="C8:H8"/>
  </mergeCells>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85"/>
  <sheetViews>
    <sheetView workbookViewId="0">
      <selection activeCell="A3" sqref="A3"/>
    </sheetView>
  </sheetViews>
  <sheetFormatPr defaultRowHeight="15" x14ac:dyDescent="0.2"/>
  <cols>
    <col min="1" max="1" width="71.33203125" customWidth="1"/>
  </cols>
  <sheetData>
    <row r="3" spans="1:12" x14ac:dyDescent="0.2">
      <c r="A3" s="338" t="s">
        <v>392</v>
      </c>
      <c r="B3" s="338"/>
      <c r="C3" s="338"/>
      <c r="D3" s="338"/>
      <c r="E3" s="338"/>
      <c r="F3" s="338"/>
      <c r="G3" s="338"/>
      <c r="H3" s="338"/>
      <c r="I3" s="338"/>
      <c r="J3" s="338"/>
      <c r="K3" s="338"/>
      <c r="L3" s="338"/>
    </row>
    <row r="5" spans="1:12" x14ac:dyDescent="0.2">
      <c r="A5" s="339" t="s">
        <v>393</v>
      </c>
    </row>
    <row r="6" spans="1:12" x14ac:dyDescent="0.2">
      <c r="A6" s="339" t="str">
        <f>CONCATENATE(inputPrYr!C5-2," 'total expenditures' exceed your ",inputPrYr!C5-2," 'budget authority.'")</f>
        <v>2013 'total expenditures' exceed your 2013 'budget authority.'</v>
      </c>
    </row>
    <row r="7" spans="1:12" x14ac:dyDescent="0.2">
      <c r="A7" s="339"/>
    </row>
    <row r="8" spans="1:12" x14ac:dyDescent="0.2">
      <c r="A8" s="339" t="s">
        <v>394</v>
      </c>
    </row>
    <row r="9" spans="1:12" x14ac:dyDescent="0.2">
      <c r="A9" s="339" t="s">
        <v>395</v>
      </c>
    </row>
    <row r="10" spans="1:12" x14ac:dyDescent="0.2">
      <c r="A10" s="339" t="s">
        <v>396</v>
      </c>
    </row>
    <row r="11" spans="1:12" x14ac:dyDescent="0.2">
      <c r="A11" s="339"/>
    </row>
    <row r="12" spans="1:12" x14ac:dyDescent="0.2">
      <c r="A12" s="339"/>
    </row>
    <row r="13" spans="1:12" x14ac:dyDescent="0.2">
      <c r="A13" s="340" t="s">
        <v>397</v>
      </c>
    </row>
    <row r="15" spans="1:12" x14ac:dyDescent="0.2">
      <c r="A15" s="339" t="s">
        <v>398</v>
      </c>
    </row>
    <row r="16" spans="1:12" x14ac:dyDescent="0.2">
      <c r="A16" s="339" t="str">
        <f>CONCATENATE("(i.e. an audit has not been completed, or the ",inputPrYr!C5," adopted")</f>
        <v>(i.e. an audit has not been completed, or the 2015 adopted</v>
      </c>
    </row>
    <row r="17" spans="1:1" x14ac:dyDescent="0.2">
      <c r="A17" s="339" t="s">
        <v>399</v>
      </c>
    </row>
    <row r="18" spans="1:1" x14ac:dyDescent="0.2">
      <c r="A18" s="339" t="s">
        <v>400</v>
      </c>
    </row>
    <row r="19" spans="1:1" x14ac:dyDescent="0.2">
      <c r="A19" s="339" t="s">
        <v>401</v>
      </c>
    </row>
    <row r="21" spans="1:1" x14ac:dyDescent="0.2">
      <c r="A21" s="340" t="s">
        <v>402</v>
      </c>
    </row>
    <row r="22" spans="1:1" x14ac:dyDescent="0.2">
      <c r="A22" s="340"/>
    </row>
    <row r="23" spans="1:1" x14ac:dyDescent="0.2">
      <c r="A23" s="339" t="s">
        <v>403</v>
      </c>
    </row>
    <row r="24" spans="1:1" x14ac:dyDescent="0.2">
      <c r="A24" s="339" t="s">
        <v>404</v>
      </c>
    </row>
    <row r="25" spans="1:1" x14ac:dyDescent="0.2">
      <c r="A25" s="339" t="str">
        <f>CONCATENATE("particular fund.  If your ",inputPrYr!C5-2," budget was amended, did you")</f>
        <v>particular fund.  If your 2013 budget was amended, did you</v>
      </c>
    </row>
    <row r="26" spans="1:1" x14ac:dyDescent="0.2">
      <c r="A26" s="339" t="s">
        <v>405</v>
      </c>
    </row>
    <row r="27" spans="1:1" x14ac:dyDescent="0.2">
      <c r="A27" s="339"/>
    </row>
    <row r="28" spans="1:1" x14ac:dyDescent="0.2">
      <c r="A28" s="339" t="str">
        <f>CONCATENATE("Next, look to see if any of your ",inputPrYr!C5-2," expenditures can be")</f>
        <v>Next, look to see if any of your 2013 expenditures can be</v>
      </c>
    </row>
    <row r="29" spans="1:1" x14ac:dyDescent="0.2">
      <c r="A29" s="339" t="s">
        <v>406</v>
      </c>
    </row>
    <row r="30" spans="1:1" x14ac:dyDescent="0.2">
      <c r="A30" s="339" t="s">
        <v>407</v>
      </c>
    </row>
    <row r="31" spans="1:1" x14ac:dyDescent="0.2">
      <c r="A31" s="339" t="s">
        <v>408</v>
      </c>
    </row>
    <row r="32" spans="1:1" x14ac:dyDescent="0.2">
      <c r="A32" s="339"/>
    </row>
    <row r="33" spans="1:1" x14ac:dyDescent="0.2">
      <c r="A33" s="339" t="str">
        <f>CONCATENATE("Additionally, do your ",inputPrYr!C5-2," receipts contain a reimbursement")</f>
        <v>Additionally, do your 2013 receipts contain a reimbursement</v>
      </c>
    </row>
    <row r="34" spans="1:1" x14ac:dyDescent="0.2">
      <c r="A34" s="339" t="s">
        <v>409</v>
      </c>
    </row>
    <row r="35" spans="1:1" x14ac:dyDescent="0.2">
      <c r="A35" s="339" t="s">
        <v>410</v>
      </c>
    </row>
    <row r="36" spans="1:1" x14ac:dyDescent="0.2">
      <c r="A36" s="339"/>
    </row>
    <row r="37" spans="1:1" x14ac:dyDescent="0.2">
      <c r="A37" s="339" t="s">
        <v>411</v>
      </c>
    </row>
    <row r="38" spans="1:1" x14ac:dyDescent="0.2">
      <c r="A38" s="339" t="s">
        <v>412</v>
      </c>
    </row>
    <row r="39" spans="1:1" x14ac:dyDescent="0.2">
      <c r="A39" s="339" t="s">
        <v>413</v>
      </c>
    </row>
    <row r="40" spans="1:1" x14ac:dyDescent="0.2">
      <c r="A40" s="339" t="s">
        <v>414</v>
      </c>
    </row>
    <row r="41" spans="1:1" x14ac:dyDescent="0.2">
      <c r="A41" s="339" t="s">
        <v>415</v>
      </c>
    </row>
    <row r="42" spans="1:1" x14ac:dyDescent="0.2">
      <c r="A42" s="339" t="s">
        <v>416</v>
      </c>
    </row>
    <row r="43" spans="1:1" x14ac:dyDescent="0.2">
      <c r="A43" s="339" t="s">
        <v>417</v>
      </c>
    </row>
    <row r="44" spans="1:1" x14ac:dyDescent="0.2">
      <c r="A44" s="339" t="s">
        <v>418</v>
      </c>
    </row>
    <row r="45" spans="1:1" x14ac:dyDescent="0.2">
      <c r="A45" s="339"/>
    </row>
    <row r="46" spans="1:1" x14ac:dyDescent="0.2">
      <c r="A46" s="339" t="s">
        <v>419</v>
      </c>
    </row>
    <row r="47" spans="1:1" x14ac:dyDescent="0.2">
      <c r="A47" s="339" t="s">
        <v>420</v>
      </c>
    </row>
    <row r="48" spans="1:1" x14ac:dyDescent="0.2">
      <c r="A48" s="339" t="s">
        <v>421</v>
      </c>
    </row>
    <row r="49" spans="1:1" x14ac:dyDescent="0.2">
      <c r="A49" s="339"/>
    </row>
    <row r="50" spans="1:1" x14ac:dyDescent="0.2">
      <c r="A50" s="339" t="s">
        <v>422</v>
      </c>
    </row>
    <row r="51" spans="1:1" x14ac:dyDescent="0.2">
      <c r="A51" s="339" t="s">
        <v>423</v>
      </c>
    </row>
    <row r="52" spans="1:1" x14ac:dyDescent="0.2">
      <c r="A52" s="339" t="s">
        <v>424</v>
      </c>
    </row>
    <row r="53" spans="1:1" x14ac:dyDescent="0.2">
      <c r="A53" s="339"/>
    </row>
    <row r="54" spans="1:1" x14ac:dyDescent="0.2">
      <c r="A54" s="340" t="s">
        <v>425</v>
      </c>
    </row>
    <row r="55" spans="1:1" x14ac:dyDescent="0.2">
      <c r="A55" s="339"/>
    </row>
    <row r="56" spans="1:1" x14ac:dyDescent="0.2">
      <c r="A56" s="339" t="s">
        <v>426</v>
      </c>
    </row>
    <row r="57" spans="1:1" x14ac:dyDescent="0.2">
      <c r="A57" s="339" t="s">
        <v>427</v>
      </c>
    </row>
    <row r="58" spans="1:1" x14ac:dyDescent="0.2">
      <c r="A58" s="339" t="s">
        <v>428</v>
      </c>
    </row>
    <row r="59" spans="1:1" x14ac:dyDescent="0.2">
      <c r="A59" s="339" t="s">
        <v>429</v>
      </c>
    </row>
    <row r="60" spans="1:1" x14ac:dyDescent="0.2">
      <c r="A60" s="339" t="s">
        <v>430</v>
      </c>
    </row>
    <row r="61" spans="1:1" x14ac:dyDescent="0.2">
      <c r="A61" s="339" t="s">
        <v>431</v>
      </c>
    </row>
    <row r="62" spans="1:1" x14ac:dyDescent="0.2">
      <c r="A62" s="339" t="s">
        <v>432</v>
      </c>
    </row>
    <row r="63" spans="1:1" x14ac:dyDescent="0.2">
      <c r="A63" s="339" t="s">
        <v>433</v>
      </c>
    </row>
    <row r="64" spans="1:1" x14ac:dyDescent="0.2">
      <c r="A64" s="339" t="s">
        <v>434</v>
      </c>
    </row>
    <row r="65" spans="1:1" x14ac:dyDescent="0.2">
      <c r="A65" s="339" t="s">
        <v>435</v>
      </c>
    </row>
    <row r="66" spans="1:1" x14ac:dyDescent="0.2">
      <c r="A66" s="339" t="s">
        <v>436</v>
      </c>
    </row>
    <row r="67" spans="1:1" x14ac:dyDescent="0.2">
      <c r="A67" s="339" t="s">
        <v>437</v>
      </c>
    </row>
    <row r="68" spans="1:1" x14ac:dyDescent="0.2">
      <c r="A68" s="339" t="s">
        <v>438</v>
      </c>
    </row>
    <row r="69" spans="1:1" x14ac:dyDescent="0.2">
      <c r="A69" s="339"/>
    </row>
    <row r="70" spans="1:1" x14ac:dyDescent="0.2">
      <c r="A70" s="339" t="s">
        <v>439</v>
      </c>
    </row>
    <row r="71" spans="1:1" x14ac:dyDescent="0.2">
      <c r="A71" s="339" t="s">
        <v>440</v>
      </c>
    </row>
    <row r="72" spans="1:1" x14ac:dyDescent="0.2">
      <c r="A72" s="339" t="s">
        <v>441</v>
      </c>
    </row>
    <row r="73" spans="1:1" x14ac:dyDescent="0.2">
      <c r="A73" s="339"/>
    </row>
    <row r="74" spans="1:1" x14ac:dyDescent="0.2">
      <c r="A74" s="340" t="str">
        <f>CONCATENATE("What if the ",inputPrYr!C5-2," financial records have been closed?")</f>
        <v>What if the 2013 financial records have been closed?</v>
      </c>
    </row>
    <row r="76" spans="1:1" x14ac:dyDescent="0.2">
      <c r="A76" s="339" t="s">
        <v>442</v>
      </c>
    </row>
    <row r="77" spans="1:1" x14ac:dyDescent="0.2">
      <c r="A77" s="339" t="str">
        <f>CONCATENATE("(i.e. an audit for ",inputPrYr!C5-2," has been completed, or the ",inputPrYr!C5)</f>
        <v>(i.e. an audit for 2013 has been completed, or the 2015</v>
      </c>
    </row>
    <row r="78" spans="1:1" x14ac:dyDescent="0.2">
      <c r="A78" s="339" t="s">
        <v>443</v>
      </c>
    </row>
    <row r="79" spans="1:1" x14ac:dyDescent="0.2">
      <c r="A79" s="339" t="s">
        <v>444</v>
      </c>
    </row>
    <row r="80" spans="1:1" x14ac:dyDescent="0.2">
      <c r="A80" s="339"/>
    </row>
    <row r="81" spans="1:1" x14ac:dyDescent="0.2">
      <c r="A81" s="339" t="s">
        <v>445</v>
      </c>
    </row>
    <row r="82" spans="1:1" x14ac:dyDescent="0.2">
      <c r="A82" s="339" t="s">
        <v>446</v>
      </c>
    </row>
    <row r="83" spans="1:1" x14ac:dyDescent="0.2">
      <c r="A83" s="339" t="s">
        <v>447</v>
      </c>
    </row>
    <row r="84" spans="1:1" x14ac:dyDescent="0.2">
      <c r="A84" s="339"/>
    </row>
    <row r="85" spans="1:1" x14ac:dyDescent="0.2">
      <c r="A85" s="339" t="s">
        <v>448</v>
      </c>
    </row>
  </sheetData>
  <pageMargins left="0.7" right="0.7" top="0.75" bottom="0.75" header="0.3" footer="0.3"/>
  <pageSetup orientation="portrait" r:id="rId1"/>
  <headerFooter>
    <oddFooter>&amp;Lrevised 10/2/09</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J109"/>
  <sheetViews>
    <sheetView topLeftCell="A22" workbookViewId="0">
      <selection activeCell="A34" sqref="A34"/>
    </sheetView>
  </sheetViews>
  <sheetFormatPr defaultRowHeight="15" x14ac:dyDescent="0.2"/>
  <cols>
    <col min="1" max="1" width="71.33203125" customWidth="1"/>
  </cols>
  <sheetData>
    <row r="3" spans="1:10" x14ac:dyDescent="0.2">
      <c r="A3" s="338" t="s">
        <v>449</v>
      </c>
      <c r="B3" s="338"/>
      <c r="C3" s="338"/>
      <c r="D3" s="338"/>
      <c r="E3" s="338"/>
      <c r="F3" s="338"/>
      <c r="G3" s="338"/>
      <c r="H3" s="341"/>
      <c r="I3" s="341"/>
      <c r="J3" s="341"/>
    </row>
    <row r="5" spans="1:10" x14ac:dyDescent="0.2">
      <c r="A5" s="339" t="s">
        <v>450</v>
      </c>
    </row>
    <row r="6" spans="1:10" x14ac:dyDescent="0.2">
      <c r="A6" t="str">
        <f>CONCATENATE(inputPrYr!C5-2," expenditures show that you finished the year with a ")</f>
        <v xml:space="preserve">2013 expenditures show that you finished the year with a </v>
      </c>
    </row>
    <row r="7" spans="1:10" x14ac:dyDescent="0.2">
      <c r="A7" t="s">
        <v>451</v>
      </c>
    </row>
    <row r="9" spans="1:10" x14ac:dyDescent="0.2">
      <c r="A9" t="s">
        <v>452</v>
      </c>
    </row>
    <row r="10" spans="1:10" x14ac:dyDescent="0.2">
      <c r="A10" t="s">
        <v>453</v>
      </c>
    </row>
    <row r="11" spans="1:10" x14ac:dyDescent="0.2">
      <c r="A11" t="s">
        <v>454</v>
      </c>
    </row>
    <row r="13" spans="1:10" x14ac:dyDescent="0.2">
      <c r="A13" s="340" t="s">
        <v>455</v>
      </c>
    </row>
    <row r="14" spans="1:10" x14ac:dyDescent="0.2">
      <c r="A14" s="340"/>
    </row>
    <row r="15" spans="1:10" x14ac:dyDescent="0.2">
      <c r="A15" s="339" t="s">
        <v>456</v>
      </c>
    </row>
    <row r="16" spans="1:10" x14ac:dyDescent="0.2">
      <c r="A16" s="339" t="s">
        <v>457</v>
      </c>
    </row>
    <row r="17" spans="1:1" x14ac:dyDescent="0.2">
      <c r="A17" s="339" t="s">
        <v>458</v>
      </c>
    </row>
    <row r="18" spans="1:1" x14ac:dyDescent="0.2">
      <c r="A18" s="339"/>
    </row>
    <row r="19" spans="1:1" x14ac:dyDescent="0.2">
      <c r="A19" s="340" t="s">
        <v>459</v>
      </c>
    </row>
    <row r="20" spans="1:1" x14ac:dyDescent="0.2">
      <c r="A20" s="340"/>
    </row>
    <row r="21" spans="1:1" x14ac:dyDescent="0.2">
      <c r="A21" s="339" t="s">
        <v>460</v>
      </c>
    </row>
    <row r="22" spans="1:1" x14ac:dyDescent="0.2">
      <c r="A22" s="339" t="s">
        <v>461</v>
      </c>
    </row>
    <row r="23" spans="1:1" x14ac:dyDescent="0.2">
      <c r="A23" s="339" t="s">
        <v>462</v>
      </c>
    </row>
    <row r="24" spans="1:1" x14ac:dyDescent="0.2">
      <c r="A24" s="339"/>
    </row>
    <row r="25" spans="1:1" x14ac:dyDescent="0.2">
      <c r="A25" s="340" t="s">
        <v>463</v>
      </c>
    </row>
    <row r="26" spans="1:1" x14ac:dyDescent="0.2">
      <c r="A26" s="340"/>
    </row>
    <row r="27" spans="1:1" x14ac:dyDescent="0.2">
      <c r="A27" s="339" t="s">
        <v>464</v>
      </c>
    </row>
    <row r="28" spans="1:1" x14ac:dyDescent="0.2">
      <c r="A28" s="339" t="s">
        <v>465</v>
      </c>
    </row>
    <row r="29" spans="1:1" x14ac:dyDescent="0.2">
      <c r="A29" s="339" t="s">
        <v>466</v>
      </c>
    </row>
    <row r="30" spans="1:1" x14ac:dyDescent="0.2">
      <c r="A30" s="339"/>
    </row>
    <row r="31" spans="1:1" x14ac:dyDescent="0.2">
      <c r="A31" s="340" t="s">
        <v>467</v>
      </c>
    </row>
    <row r="32" spans="1:1" x14ac:dyDescent="0.2">
      <c r="A32" s="340"/>
    </row>
    <row r="33" spans="1:8" x14ac:dyDescent="0.2">
      <c r="A33" s="339" t="str">
        <f>CONCATENATE("If your financial records for ",inputPrYr!C5-2," are not closed")</f>
        <v>If your financial records for 2013 are not closed</v>
      </c>
      <c r="B33" s="339"/>
      <c r="C33" s="339"/>
      <c r="D33" s="339"/>
      <c r="E33" s="339"/>
      <c r="F33" s="339"/>
      <c r="G33" s="339"/>
      <c r="H33" s="339"/>
    </row>
    <row r="34" spans="1:8" x14ac:dyDescent="0.2">
      <c r="A34" s="339" t="str">
        <f>CONCATENATE("(i.e. an audit has not been completed, or the ",inputPrYr!C5," adopted ")</f>
        <v xml:space="preserve">(i.e. an audit has not been completed, or the 2015 adopted </v>
      </c>
      <c r="B34" s="339"/>
      <c r="C34" s="339"/>
      <c r="D34" s="339"/>
      <c r="E34" s="339"/>
      <c r="F34" s="339"/>
      <c r="G34" s="339"/>
      <c r="H34" s="339"/>
    </row>
    <row r="35" spans="1:8" x14ac:dyDescent="0.2">
      <c r="A35" s="339" t="s">
        <v>468</v>
      </c>
      <c r="B35" s="339"/>
      <c r="C35" s="339"/>
      <c r="D35" s="339"/>
      <c r="E35" s="339"/>
      <c r="F35" s="339"/>
      <c r="G35" s="339"/>
      <c r="H35" s="339"/>
    </row>
    <row r="36" spans="1:8" x14ac:dyDescent="0.2">
      <c r="A36" s="339" t="s">
        <v>469</v>
      </c>
      <c r="B36" s="339"/>
      <c r="C36" s="339"/>
      <c r="D36" s="339"/>
      <c r="E36" s="339"/>
      <c r="F36" s="339"/>
      <c r="G36" s="339"/>
      <c r="H36" s="339"/>
    </row>
    <row r="37" spans="1:8" x14ac:dyDescent="0.2">
      <c r="A37" s="339" t="s">
        <v>470</v>
      </c>
      <c r="B37" s="339"/>
      <c r="C37" s="339"/>
      <c r="D37" s="339"/>
      <c r="E37" s="339"/>
      <c r="F37" s="339"/>
      <c r="G37" s="339"/>
      <c r="H37" s="339"/>
    </row>
    <row r="38" spans="1:8" x14ac:dyDescent="0.2">
      <c r="A38" s="339" t="s">
        <v>471</v>
      </c>
      <c r="B38" s="339"/>
      <c r="C38" s="339"/>
      <c r="D38" s="339"/>
      <c r="E38" s="339"/>
      <c r="F38" s="339"/>
      <c r="G38" s="339"/>
      <c r="H38" s="339"/>
    </row>
    <row r="39" spans="1:8" x14ac:dyDescent="0.2">
      <c r="A39" s="339" t="s">
        <v>472</v>
      </c>
      <c r="B39" s="339"/>
      <c r="C39" s="339"/>
      <c r="D39" s="339"/>
      <c r="E39" s="339"/>
      <c r="F39" s="339"/>
      <c r="G39" s="339"/>
      <c r="H39" s="339"/>
    </row>
    <row r="40" spans="1:8" x14ac:dyDescent="0.2">
      <c r="A40" s="339"/>
      <c r="B40" s="339"/>
      <c r="C40" s="339"/>
      <c r="D40" s="339"/>
      <c r="E40" s="339"/>
      <c r="F40" s="339"/>
      <c r="G40" s="339"/>
      <c r="H40" s="339"/>
    </row>
    <row r="41" spans="1:8" x14ac:dyDescent="0.2">
      <c r="A41" s="339" t="s">
        <v>473</v>
      </c>
      <c r="B41" s="339"/>
      <c r="C41" s="339"/>
      <c r="D41" s="339"/>
      <c r="E41" s="339"/>
      <c r="F41" s="339"/>
      <c r="G41" s="339"/>
      <c r="H41" s="339"/>
    </row>
    <row r="42" spans="1:8" x14ac:dyDescent="0.2">
      <c r="A42" s="339" t="s">
        <v>474</v>
      </c>
      <c r="B42" s="339"/>
      <c r="C42" s="339"/>
      <c r="D42" s="339"/>
      <c r="E42" s="339"/>
      <c r="F42" s="339"/>
      <c r="G42" s="339"/>
      <c r="H42" s="339"/>
    </row>
    <row r="43" spans="1:8" x14ac:dyDescent="0.2">
      <c r="A43" s="339" t="s">
        <v>475</v>
      </c>
      <c r="B43" s="339"/>
      <c r="C43" s="339"/>
      <c r="D43" s="339"/>
      <c r="E43" s="339"/>
      <c r="F43" s="339"/>
      <c r="G43" s="339"/>
      <c r="H43" s="339"/>
    </row>
    <row r="44" spans="1:8" x14ac:dyDescent="0.2">
      <c r="A44" s="339" t="s">
        <v>476</v>
      </c>
      <c r="B44" s="339"/>
      <c r="C44" s="339"/>
      <c r="D44" s="339"/>
      <c r="E44" s="339"/>
      <c r="F44" s="339"/>
      <c r="G44" s="339"/>
      <c r="H44" s="339"/>
    </row>
    <row r="45" spans="1:8" x14ac:dyDescent="0.2">
      <c r="A45" s="339"/>
      <c r="B45" s="339"/>
      <c r="C45" s="339"/>
      <c r="D45" s="339"/>
      <c r="E45" s="339"/>
      <c r="F45" s="339"/>
      <c r="G45" s="339"/>
      <c r="H45" s="339"/>
    </row>
    <row r="46" spans="1:8" x14ac:dyDescent="0.2">
      <c r="A46" s="339" t="s">
        <v>477</v>
      </c>
      <c r="B46" s="339"/>
      <c r="C46" s="339"/>
      <c r="D46" s="339"/>
      <c r="E46" s="339"/>
      <c r="F46" s="339"/>
      <c r="G46" s="339"/>
      <c r="H46" s="339"/>
    </row>
    <row r="47" spans="1:8" x14ac:dyDescent="0.2">
      <c r="A47" s="339" t="s">
        <v>478</v>
      </c>
      <c r="B47" s="339"/>
      <c r="C47" s="339"/>
      <c r="D47" s="339"/>
      <c r="E47" s="339"/>
      <c r="F47" s="339"/>
      <c r="G47" s="339"/>
      <c r="H47" s="339"/>
    </row>
    <row r="48" spans="1:8" x14ac:dyDescent="0.2">
      <c r="A48" s="339" t="s">
        <v>479</v>
      </c>
      <c r="B48" s="339"/>
      <c r="C48" s="339"/>
      <c r="D48" s="339"/>
      <c r="E48" s="339"/>
      <c r="F48" s="339"/>
      <c r="G48" s="339"/>
      <c r="H48" s="339"/>
    </row>
    <row r="49" spans="1:8" x14ac:dyDescent="0.2">
      <c r="A49" s="339" t="s">
        <v>480</v>
      </c>
      <c r="B49" s="339"/>
      <c r="C49" s="339"/>
      <c r="D49" s="339"/>
      <c r="E49" s="339"/>
      <c r="F49" s="339"/>
      <c r="G49" s="339"/>
      <c r="H49" s="339"/>
    </row>
    <row r="50" spans="1:8" x14ac:dyDescent="0.2">
      <c r="A50" s="339" t="s">
        <v>481</v>
      </c>
      <c r="B50" s="339"/>
      <c r="C50" s="339"/>
      <c r="D50" s="339"/>
      <c r="E50" s="339"/>
      <c r="F50" s="339"/>
      <c r="G50" s="339"/>
      <c r="H50" s="339"/>
    </row>
    <row r="51" spans="1:8" x14ac:dyDescent="0.2">
      <c r="A51" s="339"/>
      <c r="B51" s="339"/>
      <c r="C51" s="339"/>
      <c r="D51" s="339"/>
      <c r="E51" s="339"/>
      <c r="F51" s="339"/>
      <c r="G51" s="339"/>
      <c r="H51" s="339"/>
    </row>
    <row r="52" spans="1:8" x14ac:dyDescent="0.2">
      <c r="A52" s="340" t="s">
        <v>482</v>
      </c>
      <c r="B52" s="340"/>
      <c r="C52" s="340"/>
      <c r="D52" s="340"/>
      <c r="E52" s="340"/>
      <c r="F52" s="340"/>
      <c r="G52" s="340"/>
      <c r="H52" s="339"/>
    </row>
    <row r="53" spans="1:8" x14ac:dyDescent="0.2">
      <c r="A53" s="340" t="s">
        <v>483</v>
      </c>
      <c r="B53" s="340"/>
      <c r="C53" s="340"/>
      <c r="D53" s="340"/>
      <c r="E53" s="340"/>
      <c r="F53" s="340"/>
      <c r="G53" s="340"/>
      <c r="H53" s="339"/>
    </row>
    <row r="54" spans="1:8" x14ac:dyDescent="0.2">
      <c r="A54" s="339"/>
      <c r="B54" s="339"/>
      <c r="C54" s="339"/>
      <c r="D54" s="339"/>
      <c r="E54" s="339"/>
      <c r="F54" s="339"/>
      <c r="G54" s="339"/>
      <c r="H54" s="339"/>
    </row>
    <row r="55" spans="1:8" x14ac:dyDescent="0.2">
      <c r="A55" s="339" t="s">
        <v>484</v>
      </c>
      <c r="B55" s="339"/>
      <c r="C55" s="339"/>
      <c r="D55" s="339"/>
      <c r="E55" s="339"/>
      <c r="F55" s="339"/>
      <c r="G55" s="339"/>
      <c r="H55" s="339"/>
    </row>
    <row r="56" spans="1:8" x14ac:dyDescent="0.2">
      <c r="A56" s="339" t="s">
        <v>485</v>
      </c>
      <c r="B56" s="339"/>
      <c r="C56" s="339"/>
      <c r="D56" s="339"/>
      <c r="E56" s="339"/>
      <c r="F56" s="339"/>
      <c r="G56" s="339"/>
      <c r="H56" s="339"/>
    </row>
    <row r="57" spans="1:8" x14ac:dyDescent="0.2">
      <c r="A57" s="339" t="s">
        <v>486</v>
      </c>
      <c r="B57" s="339"/>
      <c r="C57" s="339"/>
      <c r="D57" s="339"/>
      <c r="E57" s="339"/>
      <c r="F57" s="339"/>
      <c r="G57" s="339"/>
      <c r="H57" s="339"/>
    </row>
    <row r="58" spans="1:8" x14ac:dyDescent="0.2">
      <c r="A58" s="339" t="s">
        <v>487</v>
      </c>
      <c r="B58" s="339"/>
      <c r="C58" s="339"/>
      <c r="D58" s="339"/>
      <c r="E58" s="339"/>
      <c r="F58" s="339"/>
      <c r="G58" s="339"/>
      <c r="H58" s="339"/>
    </row>
    <row r="59" spans="1:8" x14ac:dyDescent="0.2">
      <c r="A59" s="339"/>
      <c r="B59" s="339"/>
      <c r="C59" s="339"/>
      <c r="D59" s="339"/>
      <c r="E59" s="339"/>
      <c r="F59" s="339"/>
      <c r="G59" s="339"/>
      <c r="H59" s="339"/>
    </row>
    <row r="60" spans="1:8" x14ac:dyDescent="0.2">
      <c r="A60" s="339" t="s">
        <v>488</v>
      </c>
      <c r="B60" s="339"/>
      <c r="C60" s="339"/>
      <c r="D60" s="339"/>
      <c r="E60" s="339"/>
      <c r="F60" s="339"/>
      <c r="G60" s="339"/>
      <c r="H60" s="339"/>
    </row>
    <row r="61" spans="1:8" x14ac:dyDescent="0.2">
      <c r="A61" s="339" t="s">
        <v>489</v>
      </c>
      <c r="B61" s="339"/>
      <c r="C61" s="339"/>
      <c r="D61" s="339"/>
      <c r="E61" s="339"/>
      <c r="F61" s="339"/>
      <c r="G61" s="339"/>
      <c r="H61" s="339"/>
    </row>
    <row r="62" spans="1:8" x14ac:dyDescent="0.2">
      <c r="A62" s="339" t="s">
        <v>490</v>
      </c>
      <c r="B62" s="339"/>
      <c r="C62" s="339"/>
      <c r="D62" s="339"/>
      <c r="E62" s="339"/>
      <c r="F62" s="339"/>
      <c r="G62" s="339"/>
      <c r="H62" s="339"/>
    </row>
    <row r="63" spans="1:8" x14ac:dyDescent="0.2">
      <c r="A63" s="339" t="s">
        <v>491</v>
      </c>
      <c r="B63" s="339"/>
      <c r="C63" s="339"/>
      <c r="D63" s="339"/>
      <c r="E63" s="339"/>
      <c r="F63" s="339"/>
      <c r="G63" s="339"/>
      <c r="H63" s="339"/>
    </row>
    <row r="64" spans="1:8" x14ac:dyDescent="0.2">
      <c r="A64" s="339" t="s">
        <v>492</v>
      </c>
      <c r="B64" s="339"/>
      <c r="C64" s="339"/>
      <c r="D64" s="339"/>
      <c r="E64" s="339"/>
      <c r="F64" s="339"/>
      <c r="G64" s="339"/>
      <c r="H64" s="339"/>
    </row>
    <row r="65" spans="1:8" x14ac:dyDescent="0.2">
      <c r="A65" s="339" t="s">
        <v>493</v>
      </c>
      <c r="B65" s="339"/>
      <c r="C65" s="339"/>
      <c r="D65" s="339"/>
      <c r="E65" s="339"/>
      <c r="F65" s="339"/>
      <c r="G65" s="339"/>
      <c r="H65" s="339"/>
    </row>
    <row r="66" spans="1:8" x14ac:dyDescent="0.2">
      <c r="A66" s="339"/>
      <c r="B66" s="339"/>
      <c r="C66" s="339"/>
      <c r="D66" s="339"/>
      <c r="E66" s="339"/>
      <c r="F66" s="339"/>
      <c r="G66" s="339"/>
      <c r="H66" s="339"/>
    </row>
    <row r="67" spans="1:8" x14ac:dyDescent="0.2">
      <c r="A67" s="339" t="s">
        <v>494</v>
      </c>
      <c r="B67" s="339"/>
      <c r="C67" s="339"/>
      <c r="D67" s="339"/>
      <c r="E67" s="339"/>
      <c r="F67" s="339"/>
      <c r="G67" s="339"/>
      <c r="H67" s="339"/>
    </row>
    <row r="68" spans="1:8" x14ac:dyDescent="0.2">
      <c r="A68" s="339" t="s">
        <v>495</v>
      </c>
      <c r="B68" s="339"/>
      <c r="C68" s="339"/>
      <c r="D68" s="339"/>
      <c r="E68" s="339"/>
      <c r="F68" s="339"/>
      <c r="G68" s="339"/>
      <c r="H68" s="339"/>
    </row>
    <row r="69" spans="1:8" x14ac:dyDescent="0.2">
      <c r="A69" s="339" t="s">
        <v>496</v>
      </c>
      <c r="B69" s="339"/>
      <c r="C69" s="339"/>
      <c r="D69" s="339"/>
      <c r="E69" s="339"/>
      <c r="F69" s="339"/>
      <c r="G69" s="339"/>
      <c r="H69" s="339"/>
    </row>
    <row r="70" spans="1:8" x14ac:dyDescent="0.2">
      <c r="A70" s="339" t="s">
        <v>497</v>
      </c>
      <c r="B70" s="339"/>
      <c r="C70" s="339"/>
      <c r="D70" s="339"/>
      <c r="E70" s="339"/>
      <c r="F70" s="339"/>
      <c r="G70" s="339"/>
      <c r="H70" s="339"/>
    </row>
    <row r="71" spans="1:8" x14ac:dyDescent="0.2">
      <c r="A71" s="339" t="s">
        <v>498</v>
      </c>
      <c r="B71" s="339"/>
      <c r="C71" s="339"/>
      <c r="D71" s="339"/>
      <c r="E71" s="339"/>
      <c r="F71" s="339"/>
      <c r="G71" s="339"/>
      <c r="H71" s="339"/>
    </row>
    <row r="72" spans="1:8" x14ac:dyDescent="0.2">
      <c r="A72" s="339" t="s">
        <v>499</v>
      </c>
      <c r="B72" s="339"/>
      <c r="C72" s="339"/>
      <c r="D72" s="339"/>
      <c r="E72" s="339"/>
      <c r="F72" s="339"/>
      <c r="G72" s="339"/>
      <c r="H72" s="339"/>
    </row>
    <row r="73" spans="1:8" x14ac:dyDescent="0.2">
      <c r="A73" s="339" t="s">
        <v>500</v>
      </c>
      <c r="B73" s="339"/>
      <c r="C73" s="339"/>
      <c r="D73" s="339"/>
      <c r="E73" s="339"/>
      <c r="F73" s="339"/>
      <c r="G73" s="339"/>
      <c r="H73" s="339"/>
    </row>
    <row r="74" spans="1:8" x14ac:dyDescent="0.2">
      <c r="A74" s="339"/>
      <c r="B74" s="339"/>
      <c r="C74" s="339"/>
      <c r="D74" s="339"/>
      <c r="E74" s="339"/>
      <c r="F74" s="339"/>
      <c r="G74" s="339"/>
      <c r="H74" s="339"/>
    </row>
    <row r="75" spans="1:8" x14ac:dyDescent="0.2">
      <c r="A75" s="339" t="s">
        <v>501</v>
      </c>
      <c r="B75" s="339"/>
      <c r="C75" s="339"/>
      <c r="D75" s="339"/>
      <c r="E75" s="339"/>
      <c r="F75" s="339"/>
      <c r="G75" s="339"/>
      <c r="H75" s="339"/>
    </row>
    <row r="76" spans="1:8" x14ac:dyDescent="0.2">
      <c r="A76" s="339" t="s">
        <v>502</v>
      </c>
      <c r="B76" s="339"/>
      <c r="C76" s="339"/>
      <c r="D76" s="339"/>
      <c r="E76" s="339"/>
      <c r="F76" s="339"/>
      <c r="G76" s="339"/>
      <c r="H76" s="339"/>
    </row>
    <row r="77" spans="1:8" x14ac:dyDescent="0.2">
      <c r="A77" s="339" t="s">
        <v>503</v>
      </c>
      <c r="B77" s="339"/>
      <c r="C77" s="339"/>
      <c r="D77" s="339"/>
      <c r="E77" s="339"/>
      <c r="F77" s="339"/>
      <c r="G77" s="339"/>
      <c r="H77" s="339"/>
    </row>
    <row r="78" spans="1:8" x14ac:dyDescent="0.2">
      <c r="A78" s="339"/>
      <c r="B78" s="339"/>
      <c r="C78" s="339"/>
      <c r="D78" s="339"/>
      <c r="E78" s="339"/>
      <c r="F78" s="339"/>
      <c r="G78" s="339"/>
      <c r="H78" s="339"/>
    </row>
    <row r="79" spans="1:8" x14ac:dyDescent="0.2">
      <c r="A79" s="339" t="s">
        <v>448</v>
      </c>
    </row>
    <row r="80" spans="1:8" x14ac:dyDescent="0.2">
      <c r="A80" s="340"/>
    </row>
    <row r="81" spans="1:1" x14ac:dyDescent="0.2">
      <c r="A81" s="339"/>
    </row>
    <row r="82" spans="1:1" x14ac:dyDescent="0.2">
      <c r="A82" s="339"/>
    </row>
    <row r="83" spans="1:1" x14ac:dyDescent="0.2">
      <c r="A83" s="339"/>
    </row>
    <row r="84" spans="1:1" x14ac:dyDescent="0.2">
      <c r="A84" s="339"/>
    </row>
    <row r="85" spans="1:1" x14ac:dyDescent="0.2">
      <c r="A85" s="339"/>
    </row>
    <row r="86" spans="1:1" x14ac:dyDescent="0.2">
      <c r="A86" s="339"/>
    </row>
    <row r="87" spans="1:1" x14ac:dyDescent="0.2">
      <c r="A87" s="339"/>
    </row>
    <row r="88" spans="1:1" x14ac:dyDescent="0.2">
      <c r="A88" s="339"/>
    </row>
    <row r="89" spans="1:1" x14ac:dyDescent="0.2">
      <c r="A89" s="339"/>
    </row>
    <row r="90" spans="1:1" x14ac:dyDescent="0.2">
      <c r="A90" s="339"/>
    </row>
    <row r="91" spans="1:1" x14ac:dyDescent="0.2">
      <c r="A91" s="339"/>
    </row>
    <row r="92" spans="1:1" x14ac:dyDescent="0.2">
      <c r="A92" s="339"/>
    </row>
    <row r="93" spans="1:1" x14ac:dyDescent="0.2">
      <c r="A93" s="339"/>
    </row>
    <row r="94" spans="1:1" x14ac:dyDescent="0.2">
      <c r="A94" s="339"/>
    </row>
    <row r="95" spans="1:1" x14ac:dyDescent="0.2">
      <c r="A95" s="339"/>
    </row>
    <row r="96" spans="1:1" x14ac:dyDescent="0.2">
      <c r="A96" s="339"/>
    </row>
    <row r="97" spans="1:1" x14ac:dyDescent="0.2">
      <c r="A97" s="339"/>
    </row>
    <row r="98" spans="1:1" x14ac:dyDescent="0.2">
      <c r="A98" s="339"/>
    </row>
    <row r="99" spans="1:1" x14ac:dyDescent="0.2">
      <c r="A99" s="339"/>
    </row>
    <row r="100" spans="1:1" x14ac:dyDescent="0.2">
      <c r="A100" s="339"/>
    </row>
    <row r="101" spans="1:1" x14ac:dyDescent="0.2">
      <c r="A101" s="339"/>
    </row>
    <row r="103" spans="1:1" x14ac:dyDescent="0.2">
      <c r="A103" s="339"/>
    </row>
    <row r="104" spans="1:1" x14ac:dyDescent="0.2">
      <c r="A104" s="339"/>
    </row>
    <row r="105" spans="1:1" x14ac:dyDescent="0.2">
      <c r="A105" s="339"/>
    </row>
    <row r="107" spans="1:1" x14ac:dyDescent="0.2">
      <c r="A107" s="340"/>
    </row>
    <row r="108" spans="1:1" x14ac:dyDescent="0.2">
      <c r="A108" s="340"/>
    </row>
    <row r="109" spans="1:1" x14ac:dyDescent="0.2">
      <c r="A109" s="340"/>
    </row>
  </sheetData>
  <pageMargins left="0.7" right="0.7" top="0.75" bottom="0.75" header="0.3" footer="0.3"/>
  <pageSetup orientation="portrait" r:id="rId1"/>
  <headerFooter>
    <oddFooter>&amp;Lrevised 10/2/09</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L75"/>
  <sheetViews>
    <sheetView workbookViewId="0">
      <selection activeCell="A3" sqref="A3"/>
    </sheetView>
  </sheetViews>
  <sheetFormatPr defaultRowHeight="15" x14ac:dyDescent="0.2"/>
  <cols>
    <col min="1" max="1" width="71.33203125" customWidth="1"/>
  </cols>
  <sheetData>
    <row r="3" spans="1:12" x14ac:dyDescent="0.2">
      <c r="A3" s="338" t="s">
        <v>504</v>
      </c>
      <c r="B3" s="338"/>
      <c r="C3" s="338"/>
      <c r="D3" s="338"/>
      <c r="E3" s="338"/>
      <c r="F3" s="338"/>
      <c r="G3" s="338"/>
      <c r="H3" s="338"/>
      <c r="I3" s="338"/>
      <c r="J3" s="338"/>
      <c r="K3" s="338"/>
      <c r="L3" s="338"/>
    </row>
    <row r="4" spans="1:12" x14ac:dyDescent="0.2">
      <c r="A4" s="338"/>
      <c r="B4" s="338"/>
      <c r="C4" s="338"/>
      <c r="D4" s="338"/>
      <c r="E4" s="338"/>
      <c r="F4" s="338"/>
      <c r="G4" s="338"/>
      <c r="H4" s="338"/>
      <c r="I4" s="338"/>
      <c r="J4" s="338"/>
      <c r="K4" s="338"/>
      <c r="L4" s="338"/>
    </row>
    <row r="5" spans="1:12" x14ac:dyDescent="0.2">
      <c r="A5" s="339" t="s">
        <v>393</v>
      </c>
      <c r="I5" s="338"/>
      <c r="J5" s="338"/>
      <c r="K5" s="338"/>
      <c r="L5" s="338"/>
    </row>
    <row r="6" spans="1:12" x14ac:dyDescent="0.2">
      <c r="A6" s="339" t="str">
        <f>CONCATENATE("estimated ",inputPrYr!C5-1," 'total expenditures' exceed your ",inputPrYr!C5-1,"")</f>
        <v>estimated 2014 'total expenditures' exceed your 2014</v>
      </c>
      <c r="I6" s="338"/>
      <c r="J6" s="338"/>
      <c r="K6" s="338"/>
      <c r="L6" s="338"/>
    </row>
    <row r="7" spans="1:12" x14ac:dyDescent="0.2">
      <c r="A7" s="342" t="s">
        <v>505</v>
      </c>
      <c r="I7" s="338"/>
      <c r="J7" s="338"/>
      <c r="K7" s="338"/>
      <c r="L7" s="338"/>
    </row>
    <row r="8" spans="1:12" x14ac:dyDescent="0.2">
      <c r="A8" s="339"/>
      <c r="I8" s="338"/>
      <c r="J8" s="338"/>
      <c r="K8" s="338"/>
      <c r="L8" s="338"/>
    </row>
    <row r="9" spans="1:12" x14ac:dyDescent="0.2">
      <c r="A9" s="339" t="s">
        <v>506</v>
      </c>
      <c r="I9" s="338"/>
      <c r="J9" s="338"/>
      <c r="K9" s="338"/>
      <c r="L9" s="338"/>
    </row>
    <row r="10" spans="1:12" x14ac:dyDescent="0.2">
      <c r="A10" s="339" t="s">
        <v>507</v>
      </c>
      <c r="I10" s="338"/>
      <c r="J10" s="338"/>
      <c r="K10" s="338"/>
      <c r="L10" s="338"/>
    </row>
    <row r="11" spans="1:12" x14ac:dyDescent="0.2">
      <c r="A11" s="339" t="s">
        <v>508</v>
      </c>
      <c r="I11" s="338"/>
      <c r="J11" s="338"/>
      <c r="K11" s="338"/>
      <c r="L11" s="338"/>
    </row>
    <row r="12" spans="1:12" x14ac:dyDescent="0.2">
      <c r="A12" s="339" t="s">
        <v>509</v>
      </c>
      <c r="I12" s="338"/>
      <c r="J12" s="338"/>
      <c r="K12" s="338"/>
      <c r="L12" s="338"/>
    </row>
    <row r="13" spans="1:12" x14ac:dyDescent="0.2">
      <c r="A13" s="339" t="s">
        <v>510</v>
      </c>
      <c r="I13" s="338"/>
      <c r="J13" s="338"/>
      <c r="K13" s="338"/>
      <c r="L13" s="338"/>
    </row>
    <row r="14" spans="1:12" x14ac:dyDescent="0.2">
      <c r="A14" s="338"/>
      <c r="B14" s="338"/>
      <c r="C14" s="338"/>
      <c r="D14" s="338"/>
      <c r="E14" s="338"/>
      <c r="F14" s="338"/>
      <c r="G14" s="338"/>
      <c r="H14" s="338"/>
      <c r="I14" s="338"/>
      <c r="J14" s="338"/>
      <c r="K14" s="338"/>
      <c r="L14" s="338"/>
    </row>
    <row r="15" spans="1:12" x14ac:dyDescent="0.2">
      <c r="A15" s="340" t="s">
        <v>511</v>
      </c>
    </row>
    <row r="16" spans="1:12" x14ac:dyDescent="0.2">
      <c r="A16" s="340" t="s">
        <v>512</v>
      </c>
    </row>
    <row r="17" spans="1:7" x14ac:dyDescent="0.2">
      <c r="A17" s="340"/>
    </row>
    <row r="18" spans="1:7" x14ac:dyDescent="0.2">
      <c r="A18" s="339" t="s">
        <v>513</v>
      </c>
      <c r="B18" s="339"/>
      <c r="C18" s="339"/>
      <c r="D18" s="339"/>
      <c r="E18" s="339"/>
      <c r="F18" s="339"/>
      <c r="G18" s="339"/>
    </row>
    <row r="19" spans="1:7" x14ac:dyDescent="0.2">
      <c r="A19" s="339" t="str">
        <f>CONCATENATE("your ",inputPrYr!C5-1," numbers to see what steps might be necessary to")</f>
        <v>your 2014 numbers to see what steps might be necessary to</v>
      </c>
      <c r="B19" s="339"/>
      <c r="C19" s="339"/>
      <c r="D19" s="339"/>
      <c r="E19" s="339"/>
      <c r="F19" s="339"/>
      <c r="G19" s="339"/>
    </row>
    <row r="20" spans="1:7" x14ac:dyDescent="0.2">
      <c r="A20" s="339" t="s">
        <v>514</v>
      </c>
      <c r="B20" s="339"/>
      <c r="C20" s="339"/>
      <c r="D20" s="339"/>
      <c r="E20" s="339"/>
      <c r="F20" s="339"/>
      <c r="G20" s="339"/>
    </row>
    <row r="21" spans="1:7" x14ac:dyDescent="0.2">
      <c r="A21" s="339" t="s">
        <v>515</v>
      </c>
      <c r="B21" s="339"/>
      <c r="C21" s="339"/>
      <c r="D21" s="339"/>
      <c r="E21" s="339"/>
      <c r="F21" s="339"/>
      <c r="G21" s="339"/>
    </row>
    <row r="22" spans="1:7" x14ac:dyDescent="0.2">
      <c r="A22" s="339"/>
    </row>
    <row r="23" spans="1:7" x14ac:dyDescent="0.2">
      <c r="A23" s="340" t="s">
        <v>516</v>
      </c>
    </row>
    <row r="24" spans="1:7" x14ac:dyDescent="0.2">
      <c r="A24" s="340"/>
    </row>
    <row r="25" spans="1:7" x14ac:dyDescent="0.2">
      <c r="A25" s="339" t="s">
        <v>517</v>
      </c>
    </row>
    <row r="26" spans="1:7" x14ac:dyDescent="0.2">
      <c r="A26" s="339" t="s">
        <v>518</v>
      </c>
      <c r="B26" s="339"/>
      <c r="C26" s="339"/>
      <c r="D26" s="339"/>
      <c r="E26" s="339"/>
      <c r="F26" s="339"/>
    </row>
    <row r="27" spans="1:7" x14ac:dyDescent="0.2">
      <c r="A27" s="339" t="s">
        <v>519</v>
      </c>
      <c r="B27" s="339"/>
      <c r="C27" s="339"/>
      <c r="D27" s="339"/>
      <c r="E27" s="339"/>
      <c r="F27" s="339"/>
    </row>
    <row r="28" spans="1:7" x14ac:dyDescent="0.2">
      <c r="A28" s="339" t="s">
        <v>520</v>
      </c>
      <c r="B28" s="339"/>
      <c r="C28" s="339"/>
      <c r="D28" s="339"/>
      <c r="E28" s="339"/>
      <c r="F28" s="339"/>
    </row>
    <row r="29" spans="1:7" x14ac:dyDescent="0.2">
      <c r="A29" s="339"/>
      <c r="B29" s="339"/>
      <c r="C29" s="339"/>
      <c r="D29" s="339"/>
      <c r="E29" s="339"/>
      <c r="F29" s="339"/>
    </row>
    <row r="30" spans="1:7" x14ac:dyDescent="0.2">
      <c r="A30" s="340" t="s">
        <v>521</v>
      </c>
      <c r="B30" s="340"/>
      <c r="C30" s="340"/>
      <c r="D30" s="340"/>
      <c r="E30" s="340"/>
      <c r="F30" s="340"/>
      <c r="G30" s="340"/>
    </row>
    <row r="31" spans="1:7" x14ac:dyDescent="0.2">
      <c r="A31" s="340" t="s">
        <v>522</v>
      </c>
      <c r="B31" s="340"/>
      <c r="C31" s="340"/>
      <c r="D31" s="340"/>
      <c r="E31" s="340"/>
      <c r="F31" s="340"/>
      <c r="G31" s="340"/>
    </row>
    <row r="32" spans="1:7" x14ac:dyDescent="0.2">
      <c r="A32" s="339"/>
      <c r="B32" s="339"/>
      <c r="C32" s="339"/>
      <c r="D32" s="339"/>
      <c r="E32" s="339"/>
      <c r="F32" s="339"/>
    </row>
    <row r="33" spans="1:6" x14ac:dyDescent="0.2">
      <c r="A33" s="337" t="str">
        <f>CONCATENATE("Well, let's look to see if any of your ",inputPrYr!C5-1," expenditures can")</f>
        <v>Well, let's look to see if any of your 2014 expenditures can</v>
      </c>
      <c r="B33" s="339"/>
      <c r="C33" s="339"/>
      <c r="D33" s="339"/>
      <c r="E33" s="339"/>
      <c r="F33" s="339"/>
    </row>
    <row r="34" spans="1:6" x14ac:dyDescent="0.2">
      <c r="A34" s="337" t="s">
        <v>523</v>
      </c>
      <c r="B34" s="339"/>
      <c r="C34" s="339"/>
      <c r="D34" s="339"/>
      <c r="E34" s="339"/>
      <c r="F34" s="339"/>
    </row>
    <row r="35" spans="1:6" x14ac:dyDescent="0.2">
      <c r="A35" s="337" t="s">
        <v>407</v>
      </c>
      <c r="B35" s="339"/>
      <c r="C35" s="339"/>
      <c r="D35" s="339"/>
      <c r="E35" s="339"/>
      <c r="F35" s="339"/>
    </row>
    <row r="36" spans="1:6" x14ac:dyDescent="0.2">
      <c r="A36" s="337" t="s">
        <v>408</v>
      </c>
      <c r="B36" s="339"/>
      <c r="C36" s="339"/>
      <c r="D36" s="339"/>
      <c r="E36" s="339"/>
      <c r="F36" s="339"/>
    </row>
    <row r="37" spans="1:6" x14ac:dyDescent="0.2">
      <c r="A37" s="337"/>
      <c r="B37" s="339"/>
      <c r="C37" s="339"/>
      <c r="D37" s="339"/>
      <c r="E37" s="339"/>
      <c r="F37" s="339"/>
    </row>
    <row r="38" spans="1:6" x14ac:dyDescent="0.2">
      <c r="A38" s="337" t="str">
        <f>CONCATENATE("Additionally, do your ",inputPrYr!C5-1," receipts contain a reimbursement")</f>
        <v>Additionally, do your 2014 receipts contain a reimbursement</v>
      </c>
      <c r="B38" s="339"/>
      <c r="C38" s="339"/>
      <c r="D38" s="339"/>
      <c r="E38" s="339"/>
      <c r="F38" s="339"/>
    </row>
    <row r="39" spans="1:6" x14ac:dyDescent="0.2">
      <c r="A39" s="337" t="s">
        <v>409</v>
      </c>
      <c r="B39" s="339"/>
      <c r="C39" s="339"/>
      <c r="D39" s="339"/>
      <c r="E39" s="339"/>
      <c r="F39" s="339"/>
    </row>
    <row r="40" spans="1:6" x14ac:dyDescent="0.2">
      <c r="A40" s="337" t="s">
        <v>410</v>
      </c>
      <c r="B40" s="339"/>
      <c r="C40" s="339"/>
      <c r="D40" s="339"/>
      <c r="E40" s="339"/>
      <c r="F40" s="339"/>
    </row>
    <row r="41" spans="1:6" x14ac:dyDescent="0.2">
      <c r="A41" s="337"/>
      <c r="B41" s="339"/>
      <c r="C41" s="339"/>
      <c r="D41" s="339"/>
      <c r="E41" s="339"/>
      <c r="F41" s="339"/>
    </row>
    <row r="42" spans="1:6" x14ac:dyDescent="0.2">
      <c r="A42" s="337" t="s">
        <v>411</v>
      </c>
      <c r="B42" s="339"/>
      <c r="C42" s="339"/>
      <c r="D42" s="339"/>
      <c r="E42" s="339"/>
      <c r="F42" s="339"/>
    </row>
    <row r="43" spans="1:6" x14ac:dyDescent="0.2">
      <c r="A43" s="337" t="s">
        <v>412</v>
      </c>
      <c r="B43" s="339"/>
      <c r="C43" s="339"/>
      <c r="D43" s="339"/>
      <c r="E43" s="339"/>
      <c r="F43" s="339"/>
    </row>
    <row r="44" spans="1:6" x14ac:dyDescent="0.2">
      <c r="A44" s="337" t="s">
        <v>413</v>
      </c>
      <c r="B44" s="339"/>
      <c r="C44" s="339"/>
      <c r="D44" s="339"/>
      <c r="E44" s="339"/>
      <c r="F44" s="339"/>
    </row>
    <row r="45" spans="1:6" x14ac:dyDescent="0.2">
      <c r="A45" s="337" t="s">
        <v>524</v>
      </c>
      <c r="B45" s="339"/>
      <c r="C45" s="339"/>
      <c r="D45" s="339"/>
      <c r="E45" s="339"/>
      <c r="F45" s="339"/>
    </row>
    <row r="46" spans="1:6" x14ac:dyDescent="0.2">
      <c r="A46" s="337" t="s">
        <v>415</v>
      </c>
      <c r="B46" s="339"/>
      <c r="C46" s="339"/>
      <c r="D46" s="339"/>
      <c r="E46" s="339"/>
      <c r="F46" s="339"/>
    </row>
    <row r="47" spans="1:6" x14ac:dyDescent="0.2">
      <c r="A47" s="337" t="s">
        <v>525</v>
      </c>
      <c r="B47" s="339"/>
      <c r="C47" s="339"/>
      <c r="D47" s="339"/>
      <c r="E47" s="339"/>
      <c r="F47" s="339"/>
    </row>
    <row r="48" spans="1:6" x14ac:dyDescent="0.2">
      <c r="A48" s="337" t="s">
        <v>526</v>
      </c>
      <c r="B48" s="339"/>
      <c r="C48" s="339"/>
      <c r="D48" s="339"/>
      <c r="E48" s="339"/>
      <c r="F48" s="339"/>
    </row>
    <row r="49" spans="1:6" x14ac:dyDescent="0.2">
      <c r="A49" s="337" t="s">
        <v>418</v>
      </c>
      <c r="B49" s="339"/>
      <c r="C49" s="339"/>
      <c r="D49" s="339"/>
      <c r="E49" s="339"/>
      <c r="F49" s="339"/>
    </row>
    <row r="50" spans="1:6" x14ac:dyDescent="0.2">
      <c r="A50" s="337"/>
      <c r="B50" s="339"/>
      <c r="C50" s="339"/>
      <c r="D50" s="339"/>
      <c r="E50" s="339"/>
      <c r="F50" s="339"/>
    </row>
    <row r="51" spans="1:6" x14ac:dyDescent="0.2">
      <c r="A51" s="337" t="s">
        <v>419</v>
      </c>
      <c r="B51" s="339"/>
      <c r="C51" s="339"/>
      <c r="D51" s="339"/>
      <c r="E51" s="339"/>
      <c r="F51" s="339"/>
    </row>
    <row r="52" spans="1:6" x14ac:dyDescent="0.2">
      <c r="A52" s="337" t="s">
        <v>420</v>
      </c>
      <c r="B52" s="339"/>
      <c r="C52" s="339"/>
      <c r="D52" s="339"/>
      <c r="E52" s="339"/>
      <c r="F52" s="339"/>
    </row>
    <row r="53" spans="1:6" x14ac:dyDescent="0.2">
      <c r="A53" s="337" t="s">
        <v>421</v>
      </c>
      <c r="B53" s="339"/>
      <c r="C53" s="339"/>
      <c r="D53" s="339"/>
      <c r="E53" s="339"/>
      <c r="F53" s="339"/>
    </row>
    <row r="54" spans="1:6" x14ac:dyDescent="0.2">
      <c r="A54" s="337"/>
      <c r="B54" s="339"/>
      <c r="C54" s="339"/>
      <c r="D54" s="339"/>
      <c r="E54" s="339"/>
      <c r="F54" s="339"/>
    </row>
    <row r="55" spans="1:6" x14ac:dyDescent="0.2">
      <c r="A55" s="337" t="s">
        <v>527</v>
      </c>
      <c r="B55" s="339"/>
      <c r="C55" s="339"/>
      <c r="D55" s="339"/>
      <c r="E55" s="339"/>
      <c r="F55" s="339"/>
    </row>
    <row r="56" spans="1:6" x14ac:dyDescent="0.2">
      <c r="A56" s="337" t="s">
        <v>528</v>
      </c>
      <c r="B56" s="339"/>
      <c r="C56" s="339"/>
      <c r="D56" s="339"/>
      <c r="E56" s="339"/>
      <c r="F56" s="339"/>
    </row>
    <row r="57" spans="1:6" x14ac:dyDescent="0.2">
      <c r="A57" s="337" t="s">
        <v>529</v>
      </c>
      <c r="B57" s="339"/>
      <c r="C57" s="339"/>
      <c r="D57" s="339"/>
      <c r="E57" s="339"/>
      <c r="F57" s="339"/>
    </row>
    <row r="58" spans="1:6" x14ac:dyDescent="0.2">
      <c r="A58" s="337" t="s">
        <v>530</v>
      </c>
      <c r="B58" s="339"/>
      <c r="C58" s="339"/>
      <c r="D58" s="339"/>
      <c r="E58" s="339"/>
      <c r="F58" s="339"/>
    </row>
    <row r="59" spans="1:6" x14ac:dyDescent="0.2">
      <c r="A59" s="337" t="s">
        <v>531</v>
      </c>
      <c r="B59" s="339"/>
      <c r="C59" s="339"/>
      <c r="D59" s="339"/>
      <c r="E59" s="339"/>
      <c r="F59" s="339"/>
    </row>
    <row r="60" spans="1:6" x14ac:dyDescent="0.2">
      <c r="A60" s="337"/>
      <c r="B60" s="339"/>
      <c r="C60" s="339"/>
      <c r="D60" s="339"/>
      <c r="E60" s="339"/>
      <c r="F60" s="339"/>
    </row>
    <row r="61" spans="1:6" x14ac:dyDescent="0.2">
      <c r="A61" s="336" t="s">
        <v>532</v>
      </c>
      <c r="B61" s="339"/>
      <c r="C61" s="339"/>
      <c r="D61" s="339"/>
      <c r="E61" s="339"/>
      <c r="F61" s="339"/>
    </row>
    <row r="62" spans="1:6" x14ac:dyDescent="0.2">
      <c r="A62" s="336" t="s">
        <v>533</v>
      </c>
      <c r="B62" s="339"/>
      <c r="C62" s="339"/>
      <c r="D62" s="339"/>
      <c r="E62" s="339"/>
      <c r="F62" s="339"/>
    </row>
    <row r="63" spans="1:6" x14ac:dyDescent="0.2">
      <c r="A63" s="336" t="s">
        <v>534</v>
      </c>
      <c r="B63" s="339"/>
      <c r="C63" s="339"/>
      <c r="D63" s="339"/>
      <c r="E63" s="339"/>
      <c r="F63" s="339"/>
    </row>
    <row r="64" spans="1:6" x14ac:dyDescent="0.2">
      <c r="A64" s="336" t="s">
        <v>535</v>
      </c>
    </row>
    <row r="65" spans="1:1" x14ac:dyDescent="0.2">
      <c r="A65" s="336" t="s">
        <v>536</v>
      </c>
    </row>
    <row r="66" spans="1:1" x14ac:dyDescent="0.2">
      <c r="A66" s="336" t="s">
        <v>537</v>
      </c>
    </row>
    <row r="68" spans="1:1" x14ac:dyDescent="0.2">
      <c r="A68" s="339" t="s">
        <v>538</v>
      </c>
    </row>
    <row r="69" spans="1:1" x14ac:dyDescent="0.2">
      <c r="A69" s="339" t="s">
        <v>539</v>
      </c>
    </row>
    <row r="70" spans="1:1" x14ac:dyDescent="0.2">
      <c r="A70" s="339" t="s">
        <v>540</v>
      </c>
    </row>
    <row r="71" spans="1:1" x14ac:dyDescent="0.2">
      <c r="A71" s="339" t="s">
        <v>541</v>
      </c>
    </row>
    <row r="72" spans="1:1" x14ac:dyDescent="0.2">
      <c r="A72" s="339" t="s">
        <v>542</v>
      </c>
    </row>
    <row r="73" spans="1:1" x14ac:dyDescent="0.2">
      <c r="A73" s="339" t="s">
        <v>543</v>
      </c>
    </row>
    <row r="75" spans="1:1" x14ac:dyDescent="0.2">
      <c r="A75" s="339" t="s">
        <v>448</v>
      </c>
    </row>
  </sheetData>
  <pageMargins left="0.7" right="0.7" top="0.75" bottom="0.75" header="0.3" footer="0.3"/>
  <pageSetup orientation="portrait" r:id="rId1"/>
  <headerFooter>
    <oddFooter>&amp;Lrevised 10/2/09</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G106"/>
  <sheetViews>
    <sheetView workbookViewId="0">
      <selection activeCell="A3" sqref="A3"/>
    </sheetView>
  </sheetViews>
  <sheetFormatPr defaultRowHeight="15" x14ac:dyDescent="0.2"/>
  <cols>
    <col min="1" max="1" width="71.33203125" customWidth="1"/>
  </cols>
  <sheetData>
    <row r="3" spans="1:7" x14ac:dyDescent="0.2">
      <c r="A3" s="338" t="s">
        <v>544</v>
      </c>
      <c r="B3" s="338"/>
      <c r="C3" s="338"/>
      <c r="D3" s="338"/>
      <c r="E3" s="338"/>
      <c r="F3" s="338"/>
      <c r="G3" s="338"/>
    </row>
    <row r="4" spans="1:7" x14ac:dyDescent="0.2">
      <c r="A4" s="338"/>
      <c r="B4" s="338"/>
      <c r="C4" s="338"/>
      <c r="D4" s="338"/>
      <c r="E4" s="338"/>
      <c r="F4" s="338"/>
      <c r="G4" s="338"/>
    </row>
    <row r="5" spans="1:7" x14ac:dyDescent="0.2">
      <c r="A5" s="339" t="s">
        <v>450</v>
      </c>
    </row>
    <row r="6" spans="1:7" x14ac:dyDescent="0.2">
      <c r="A6" s="339" t="str">
        <f>CONCATENATE(inputPrYr!C5," estimated expenditures show that at the end of this year")</f>
        <v>2015 estimated expenditures show that at the end of this year</v>
      </c>
    </row>
    <row r="7" spans="1:7" x14ac:dyDescent="0.2">
      <c r="A7" s="339" t="s">
        <v>545</v>
      </c>
    </row>
    <row r="8" spans="1:7" x14ac:dyDescent="0.2">
      <c r="A8" s="339" t="s">
        <v>546</v>
      </c>
    </row>
    <row r="10" spans="1:7" x14ac:dyDescent="0.2">
      <c r="A10" t="s">
        <v>452</v>
      </c>
    </row>
    <row r="11" spans="1:7" x14ac:dyDescent="0.2">
      <c r="A11" t="s">
        <v>453</v>
      </c>
    </row>
    <row r="12" spans="1:7" x14ac:dyDescent="0.2">
      <c r="A12" t="s">
        <v>454</v>
      </c>
    </row>
    <row r="13" spans="1:7" x14ac:dyDescent="0.2">
      <c r="A13" s="338"/>
      <c r="B13" s="338"/>
      <c r="C13" s="338"/>
      <c r="D13" s="338"/>
      <c r="E13" s="338"/>
      <c r="F13" s="338"/>
      <c r="G13" s="338"/>
    </row>
    <row r="14" spans="1:7" x14ac:dyDescent="0.2">
      <c r="A14" s="340" t="s">
        <v>547</v>
      </c>
    </row>
    <row r="15" spans="1:7" x14ac:dyDescent="0.2">
      <c r="A15" s="339"/>
    </row>
    <row r="16" spans="1:7" x14ac:dyDescent="0.2">
      <c r="A16" s="339" t="s">
        <v>548</v>
      </c>
    </row>
    <row r="17" spans="1:7" x14ac:dyDescent="0.2">
      <c r="A17" s="339" t="s">
        <v>549</v>
      </c>
    </row>
    <row r="18" spans="1:7" x14ac:dyDescent="0.2">
      <c r="A18" s="339" t="s">
        <v>550</v>
      </c>
    </row>
    <row r="19" spans="1:7" x14ac:dyDescent="0.2">
      <c r="A19" s="339"/>
    </row>
    <row r="20" spans="1:7" x14ac:dyDescent="0.2">
      <c r="A20" s="339" t="s">
        <v>551</v>
      </c>
    </row>
    <row r="21" spans="1:7" x14ac:dyDescent="0.2">
      <c r="A21" s="339" t="s">
        <v>552</v>
      </c>
    </row>
    <row r="22" spans="1:7" x14ac:dyDescent="0.2">
      <c r="A22" s="339" t="s">
        <v>553</v>
      </c>
    </row>
    <row r="23" spans="1:7" x14ac:dyDescent="0.2">
      <c r="A23" s="339" t="s">
        <v>554</v>
      </c>
    </row>
    <row r="24" spans="1:7" x14ac:dyDescent="0.2">
      <c r="A24" s="339"/>
    </row>
    <row r="25" spans="1:7" x14ac:dyDescent="0.2">
      <c r="A25" s="340" t="s">
        <v>516</v>
      </c>
    </row>
    <row r="26" spans="1:7" x14ac:dyDescent="0.2">
      <c r="A26" s="340"/>
    </row>
    <row r="27" spans="1:7" x14ac:dyDescent="0.2">
      <c r="A27" s="339" t="s">
        <v>517</v>
      </c>
    </row>
    <row r="28" spans="1:7" x14ac:dyDescent="0.2">
      <c r="A28" s="339" t="s">
        <v>518</v>
      </c>
      <c r="B28" s="339"/>
      <c r="C28" s="339"/>
      <c r="D28" s="339"/>
      <c r="E28" s="339"/>
      <c r="F28" s="339"/>
    </row>
    <row r="29" spans="1:7" x14ac:dyDescent="0.2">
      <c r="A29" s="339" t="s">
        <v>519</v>
      </c>
      <c r="B29" s="339"/>
      <c r="C29" s="339"/>
      <c r="D29" s="339"/>
      <c r="E29" s="339"/>
      <c r="F29" s="339"/>
    </row>
    <row r="30" spans="1:7" x14ac:dyDescent="0.2">
      <c r="A30" s="339" t="s">
        <v>520</v>
      </c>
      <c r="B30" s="339"/>
      <c r="C30" s="339"/>
      <c r="D30" s="339"/>
      <c r="E30" s="339"/>
      <c r="F30" s="339"/>
    </row>
    <row r="31" spans="1:7" x14ac:dyDescent="0.2">
      <c r="A31" s="339"/>
    </row>
    <row r="32" spans="1:7" x14ac:dyDescent="0.2">
      <c r="A32" s="340" t="s">
        <v>521</v>
      </c>
      <c r="B32" s="340"/>
      <c r="C32" s="340"/>
      <c r="D32" s="340"/>
      <c r="E32" s="340"/>
      <c r="F32" s="340"/>
      <c r="G32" s="340"/>
    </row>
    <row r="33" spans="1:7" x14ac:dyDescent="0.2">
      <c r="A33" s="340" t="s">
        <v>522</v>
      </c>
      <c r="B33" s="340"/>
      <c r="C33" s="340"/>
      <c r="D33" s="340"/>
      <c r="E33" s="340"/>
      <c r="F33" s="340"/>
      <c r="G33" s="340"/>
    </row>
    <row r="34" spans="1:7" x14ac:dyDescent="0.2">
      <c r="A34" s="340"/>
      <c r="B34" s="340"/>
      <c r="C34" s="340"/>
      <c r="D34" s="340"/>
      <c r="E34" s="340"/>
      <c r="F34" s="340"/>
      <c r="G34" s="340"/>
    </row>
    <row r="35" spans="1:7" x14ac:dyDescent="0.2">
      <c r="A35" s="339" t="s">
        <v>555</v>
      </c>
      <c r="B35" s="339"/>
      <c r="C35" s="339"/>
      <c r="D35" s="339"/>
      <c r="E35" s="339"/>
      <c r="F35" s="339"/>
      <c r="G35" s="339"/>
    </row>
    <row r="36" spans="1:7" x14ac:dyDescent="0.2">
      <c r="A36" s="339" t="s">
        <v>556</v>
      </c>
      <c r="B36" s="339"/>
      <c r="C36" s="339"/>
      <c r="D36" s="339"/>
      <c r="E36" s="339"/>
      <c r="F36" s="339"/>
      <c r="G36" s="339"/>
    </row>
    <row r="37" spans="1:7" x14ac:dyDescent="0.2">
      <c r="A37" s="339" t="s">
        <v>557</v>
      </c>
      <c r="B37" s="339"/>
      <c r="C37" s="339"/>
      <c r="D37" s="339"/>
      <c r="E37" s="339"/>
      <c r="F37" s="339"/>
      <c r="G37" s="339"/>
    </row>
    <row r="38" spans="1:7" x14ac:dyDescent="0.2">
      <c r="A38" s="339" t="s">
        <v>558</v>
      </c>
      <c r="B38" s="339"/>
      <c r="C38" s="339"/>
      <c r="D38" s="339"/>
      <c r="E38" s="339"/>
      <c r="F38" s="339"/>
      <c r="G38" s="339"/>
    </row>
    <row r="39" spans="1:7" x14ac:dyDescent="0.2">
      <c r="A39" s="339" t="s">
        <v>559</v>
      </c>
      <c r="B39" s="339"/>
      <c r="C39" s="339"/>
      <c r="D39" s="339"/>
      <c r="E39" s="339"/>
      <c r="F39" s="339"/>
      <c r="G39" s="339"/>
    </row>
    <row r="40" spans="1:7" x14ac:dyDescent="0.2">
      <c r="A40" s="340"/>
      <c r="B40" s="340"/>
      <c r="C40" s="340"/>
      <c r="D40" s="340"/>
      <c r="E40" s="340"/>
      <c r="F40" s="340"/>
      <c r="G40" s="340"/>
    </row>
    <row r="41" spans="1:7" x14ac:dyDescent="0.2">
      <c r="A41" s="337" t="str">
        <f>CONCATENATE("So, let's look to see if any of your ",inputPrYr!C5-1," expenditures can")</f>
        <v>So, let's look to see if any of your 2014 expenditures can</v>
      </c>
      <c r="B41" s="339"/>
      <c r="C41" s="339"/>
      <c r="D41" s="339"/>
      <c r="E41" s="339"/>
      <c r="F41" s="339"/>
    </row>
    <row r="42" spans="1:7" x14ac:dyDescent="0.2">
      <c r="A42" s="337" t="s">
        <v>523</v>
      </c>
      <c r="B42" s="339"/>
      <c r="C42" s="339"/>
      <c r="D42" s="339"/>
      <c r="E42" s="339"/>
      <c r="F42" s="339"/>
    </row>
    <row r="43" spans="1:7" x14ac:dyDescent="0.2">
      <c r="A43" s="337" t="s">
        <v>407</v>
      </c>
      <c r="B43" s="339"/>
      <c r="C43" s="339"/>
      <c r="D43" s="339"/>
      <c r="E43" s="339"/>
      <c r="F43" s="339"/>
    </row>
    <row r="44" spans="1:7" x14ac:dyDescent="0.2">
      <c r="A44" s="337" t="s">
        <v>408</v>
      </c>
      <c r="B44" s="339"/>
      <c r="C44" s="339"/>
      <c r="D44" s="339"/>
      <c r="E44" s="339"/>
      <c r="F44" s="339"/>
    </row>
    <row r="45" spans="1:7" x14ac:dyDescent="0.2">
      <c r="A45" s="339"/>
    </row>
    <row r="46" spans="1:7" x14ac:dyDescent="0.2">
      <c r="A46" s="337" t="str">
        <f>CONCATENATE("Additionally, do your ",inputPrYr!C5-1," receipts contain a reimbursement")</f>
        <v>Additionally, do your 2014 receipts contain a reimbursement</v>
      </c>
      <c r="B46" s="339"/>
      <c r="C46" s="339"/>
      <c r="D46" s="339"/>
      <c r="E46" s="339"/>
      <c r="F46" s="339"/>
    </row>
    <row r="47" spans="1:7" x14ac:dyDescent="0.2">
      <c r="A47" s="337" t="s">
        <v>409</v>
      </c>
      <c r="B47" s="339"/>
      <c r="C47" s="339"/>
      <c r="D47" s="339"/>
      <c r="E47" s="339"/>
      <c r="F47" s="339"/>
    </row>
    <row r="48" spans="1:7" x14ac:dyDescent="0.2">
      <c r="A48" s="337" t="s">
        <v>410</v>
      </c>
      <c r="B48" s="339"/>
      <c r="C48" s="339"/>
      <c r="D48" s="339"/>
      <c r="E48" s="339"/>
      <c r="F48" s="339"/>
    </row>
    <row r="49" spans="1:7" x14ac:dyDescent="0.2">
      <c r="A49" s="339"/>
      <c r="B49" s="339"/>
      <c r="C49" s="339"/>
      <c r="D49" s="339"/>
      <c r="E49" s="339"/>
      <c r="F49" s="339"/>
      <c r="G49" s="339"/>
    </row>
    <row r="50" spans="1:7" x14ac:dyDescent="0.2">
      <c r="A50" s="339" t="s">
        <v>477</v>
      </c>
      <c r="B50" s="339"/>
      <c r="C50" s="339"/>
      <c r="D50" s="339"/>
      <c r="E50" s="339"/>
      <c r="F50" s="339"/>
      <c r="G50" s="339"/>
    </row>
    <row r="51" spans="1:7" x14ac:dyDescent="0.2">
      <c r="A51" s="339" t="s">
        <v>478</v>
      </c>
      <c r="B51" s="339"/>
      <c r="C51" s="339"/>
      <c r="D51" s="339"/>
      <c r="E51" s="339"/>
      <c r="F51" s="339"/>
      <c r="G51" s="339"/>
    </row>
    <row r="52" spans="1:7" x14ac:dyDescent="0.2">
      <c r="A52" s="339" t="s">
        <v>479</v>
      </c>
      <c r="B52" s="339"/>
      <c r="C52" s="339"/>
      <c r="D52" s="339"/>
      <c r="E52" s="339"/>
      <c r="F52" s="339"/>
      <c r="G52" s="339"/>
    </row>
    <row r="53" spans="1:7" x14ac:dyDescent="0.2">
      <c r="A53" s="339" t="s">
        <v>480</v>
      </c>
      <c r="B53" s="339"/>
      <c r="C53" s="339"/>
      <c r="D53" s="339"/>
      <c r="E53" s="339"/>
      <c r="F53" s="339"/>
      <c r="G53" s="339"/>
    </row>
    <row r="54" spans="1:7" x14ac:dyDescent="0.2">
      <c r="A54" s="339" t="s">
        <v>481</v>
      </c>
      <c r="B54" s="339"/>
      <c r="C54" s="339"/>
      <c r="D54" s="339"/>
      <c r="E54" s="339"/>
      <c r="F54" s="339"/>
      <c r="G54" s="339"/>
    </row>
    <row r="55" spans="1:7" x14ac:dyDescent="0.2">
      <c r="A55" s="339"/>
      <c r="B55" s="339"/>
      <c r="C55" s="339"/>
      <c r="D55" s="339"/>
      <c r="E55" s="339"/>
      <c r="F55" s="339"/>
      <c r="G55" s="339"/>
    </row>
    <row r="56" spans="1:7" x14ac:dyDescent="0.2">
      <c r="A56" s="337" t="s">
        <v>419</v>
      </c>
      <c r="B56" s="339"/>
      <c r="C56" s="339"/>
      <c r="D56" s="339"/>
      <c r="E56" s="339"/>
      <c r="F56" s="339"/>
    </row>
    <row r="57" spans="1:7" x14ac:dyDescent="0.2">
      <c r="A57" s="337" t="s">
        <v>420</v>
      </c>
      <c r="B57" s="339"/>
      <c r="C57" s="339"/>
      <c r="D57" s="339"/>
      <c r="E57" s="339"/>
      <c r="F57" s="339"/>
    </row>
    <row r="58" spans="1:7" x14ac:dyDescent="0.2">
      <c r="A58" s="337" t="s">
        <v>421</v>
      </c>
      <c r="B58" s="339"/>
      <c r="C58" s="339"/>
      <c r="D58" s="339"/>
      <c r="E58" s="339"/>
      <c r="F58" s="339"/>
    </row>
    <row r="59" spans="1:7" x14ac:dyDescent="0.2">
      <c r="A59" s="337"/>
      <c r="B59" s="339"/>
      <c r="C59" s="339"/>
      <c r="D59" s="339"/>
      <c r="E59" s="339"/>
      <c r="F59" s="339"/>
    </row>
    <row r="60" spans="1:7" x14ac:dyDescent="0.2">
      <c r="A60" s="339" t="s">
        <v>560</v>
      </c>
      <c r="B60" s="339"/>
      <c r="C60" s="339"/>
      <c r="D60" s="339"/>
      <c r="E60" s="339"/>
      <c r="F60" s="339"/>
      <c r="G60" s="339"/>
    </row>
    <row r="61" spans="1:7" x14ac:dyDescent="0.2">
      <c r="A61" s="339" t="s">
        <v>561</v>
      </c>
      <c r="B61" s="339"/>
      <c r="C61" s="339"/>
      <c r="D61" s="339"/>
      <c r="E61" s="339"/>
      <c r="F61" s="339"/>
      <c r="G61" s="339"/>
    </row>
    <row r="62" spans="1:7" x14ac:dyDescent="0.2">
      <c r="A62" s="339" t="s">
        <v>562</v>
      </c>
      <c r="B62" s="339"/>
      <c r="C62" s="339"/>
      <c r="D62" s="339"/>
      <c r="E62" s="339"/>
      <c r="F62" s="339"/>
      <c r="G62" s="339"/>
    </row>
    <row r="63" spans="1:7" x14ac:dyDescent="0.2">
      <c r="A63" s="339" t="s">
        <v>563</v>
      </c>
      <c r="B63" s="339"/>
      <c r="C63" s="339"/>
      <c r="D63" s="339"/>
      <c r="E63" s="339"/>
      <c r="F63" s="339"/>
      <c r="G63" s="339"/>
    </row>
    <row r="64" spans="1:7" x14ac:dyDescent="0.2">
      <c r="A64" s="339" t="s">
        <v>564</v>
      </c>
      <c r="B64" s="339"/>
      <c r="C64" s="339"/>
      <c r="D64" s="339"/>
      <c r="E64" s="339"/>
      <c r="F64" s="339"/>
      <c r="G64" s="339"/>
    </row>
    <row r="66" spans="1:6" x14ac:dyDescent="0.2">
      <c r="A66" s="337" t="s">
        <v>527</v>
      </c>
      <c r="B66" s="339"/>
      <c r="C66" s="339"/>
      <c r="D66" s="339"/>
      <c r="E66" s="339"/>
      <c r="F66" s="339"/>
    </row>
    <row r="67" spans="1:6" x14ac:dyDescent="0.2">
      <c r="A67" s="337" t="s">
        <v>528</v>
      </c>
      <c r="B67" s="339"/>
      <c r="C67" s="339"/>
      <c r="D67" s="339"/>
      <c r="E67" s="339"/>
      <c r="F67" s="339"/>
    </row>
    <row r="68" spans="1:6" x14ac:dyDescent="0.2">
      <c r="A68" s="337" t="s">
        <v>529</v>
      </c>
      <c r="B68" s="339"/>
      <c r="C68" s="339"/>
      <c r="D68" s="339"/>
      <c r="E68" s="339"/>
      <c r="F68" s="339"/>
    </row>
    <row r="69" spans="1:6" x14ac:dyDescent="0.2">
      <c r="A69" s="337" t="s">
        <v>530</v>
      </c>
      <c r="B69" s="339"/>
      <c r="C69" s="339"/>
      <c r="D69" s="339"/>
      <c r="E69" s="339"/>
      <c r="F69" s="339"/>
    </row>
    <row r="70" spans="1:6" x14ac:dyDescent="0.2">
      <c r="A70" s="337" t="s">
        <v>531</v>
      </c>
      <c r="B70" s="339"/>
      <c r="C70" s="339"/>
      <c r="D70" s="339"/>
      <c r="E70" s="339"/>
      <c r="F70" s="339"/>
    </row>
    <row r="71" spans="1:6" x14ac:dyDescent="0.2">
      <c r="A71" s="339"/>
    </row>
    <row r="72" spans="1:6" x14ac:dyDescent="0.2">
      <c r="A72" s="339" t="s">
        <v>448</v>
      </c>
    </row>
    <row r="73" spans="1:6" x14ac:dyDescent="0.2">
      <c r="A73" s="339"/>
    </row>
    <row r="74" spans="1:6" x14ac:dyDescent="0.2">
      <c r="A74" s="339"/>
    </row>
    <row r="75" spans="1:6" x14ac:dyDescent="0.2">
      <c r="A75" s="339"/>
    </row>
    <row r="78" spans="1:6" x14ac:dyDescent="0.2">
      <c r="A78" s="340"/>
    </row>
    <row r="80" spans="1:6" x14ac:dyDescent="0.2">
      <c r="A80" s="339"/>
    </row>
    <row r="81" spans="1:1" x14ac:dyDescent="0.2">
      <c r="A81" s="339"/>
    </row>
    <row r="82" spans="1:1" x14ac:dyDescent="0.2">
      <c r="A82" s="339"/>
    </row>
    <row r="83" spans="1:1" x14ac:dyDescent="0.2">
      <c r="A83" s="339"/>
    </row>
    <row r="84" spans="1:1" x14ac:dyDescent="0.2">
      <c r="A84" s="339"/>
    </row>
    <row r="85" spans="1:1" x14ac:dyDescent="0.2">
      <c r="A85" s="339"/>
    </row>
    <row r="86" spans="1:1" x14ac:dyDescent="0.2">
      <c r="A86" s="339"/>
    </row>
    <row r="87" spans="1:1" x14ac:dyDescent="0.2">
      <c r="A87" s="339"/>
    </row>
    <row r="88" spans="1:1" x14ac:dyDescent="0.2">
      <c r="A88" s="339"/>
    </row>
    <row r="89" spans="1:1" x14ac:dyDescent="0.2">
      <c r="A89" s="339"/>
    </row>
    <row r="90" spans="1:1" x14ac:dyDescent="0.2">
      <c r="A90" s="339"/>
    </row>
    <row r="92" spans="1:1" x14ac:dyDescent="0.2">
      <c r="A92" s="339"/>
    </row>
    <row r="93" spans="1:1" x14ac:dyDescent="0.2">
      <c r="A93" s="339"/>
    </row>
    <row r="94" spans="1:1" x14ac:dyDescent="0.2">
      <c r="A94" s="339"/>
    </row>
    <row r="95" spans="1:1" x14ac:dyDescent="0.2">
      <c r="A95" s="339"/>
    </row>
    <row r="96" spans="1:1" x14ac:dyDescent="0.2">
      <c r="A96" s="339"/>
    </row>
    <row r="97" spans="1:1" x14ac:dyDescent="0.2">
      <c r="A97" s="339"/>
    </row>
    <row r="98" spans="1:1" x14ac:dyDescent="0.2">
      <c r="A98" s="339"/>
    </row>
    <row r="99" spans="1:1" x14ac:dyDescent="0.2">
      <c r="A99" s="339"/>
    </row>
    <row r="100" spans="1:1" x14ac:dyDescent="0.2">
      <c r="A100" s="339"/>
    </row>
    <row r="101" spans="1:1" x14ac:dyDescent="0.2">
      <c r="A101" s="339"/>
    </row>
    <row r="102" spans="1:1" x14ac:dyDescent="0.2">
      <c r="A102" s="339"/>
    </row>
    <row r="103" spans="1:1" x14ac:dyDescent="0.2">
      <c r="A103" s="339"/>
    </row>
    <row r="104" spans="1:1" x14ac:dyDescent="0.2">
      <c r="A104" s="339"/>
    </row>
    <row r="105" spans="1:1" x14ac:dyDescent="0.2">
      <c r="A105" s="339"/>
    </row>
    <row r="106" spans="1:1" x14ac:dyDescent="0.2">
      <c r="A106" s="339"/>
    </row>
  </sheetData>
  <pageMargins left="0.7" right="0.7" top="0.75" bottom="0.75" header="0.3" footer="0.3"/>
  <pageSetup orientation="portrait" r:id="rId1"/>
  <headerFooter>
    <oddFooter>&amp;Lrevised 10/2/09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92"/>
  <sheetViews>
    <sheetView topLeftCell="A15" workbookViewId="0">
      <selection activeCell="E42" sqref="E42"/>
    </sheetView>
  </sheetViews>
  <sheetFormatPr defaultRowHeight="15" x14ac:dyDescent="0.2"/>
  <cols>
    <col min="1" max="1" width="15.77734375" style="94" customWidth="1"/>
    <col min="2" max="2" width="20.77734375" style="94" customWidth="1"/>
    <col min="3" max="3" width="9.77734375" style="94" customWidth="1"/>
    <col min="4" max="4" width="15.109375" style="94" customWidth="1"/>
    <col min="5" max="5" width="15.77734375" style="94" customWidth="1"/>
    <col min="6" max="16384" width="8.88671875" style="94"/>
  </cols>
  <sheetData>
    <row r="1" spans="1:5" ht="15.75" x14ac:dyDescent="0.2">
      <c r="A1" s="161" t="str">
        <f>inputPrYr!$D$2</f>
        <v>City of Frankfort</v>
      </c>
      <c r="B1" s="58"/>
      <c r="C1" s="58"/>
      <c r="D1" s="58"/>
      <c r="E1" s="755">
        <f>+inputPrYr!C5</f>
        <v>2015</v>
      </c>
    </row>
    <row r="2" spans="1:5" x14ac:dyDescent="0.2">
      <c r="A2" s="58"/>
      <c r="B2" s="58"/>
      <c r="C2" s="58"/>
      <c r="D2" s="58"/>
      <c r="E2" s="58"/>
    </row>
    <row r="3" spans="1:5" ht="15.75" x14ac:dyDescent="0.2">
      <c r="A3" s="763" t="s">
        <v>297</v>
      </c>
      <c r="B3" s="764"/>
      <c r="C3" s="764"/>
      <c r="D3" s="764"/>
      <c r="E3" s="764"/>
    </row>
    <row r="4" spans="1:5" x14ac:dyDescent="0.2">
      <c r="A4" s="58"/>
      <c r="B4" s="58"/>
      <c r="C4" s="58"/>
      <c r="D4" s="58"/>
      <c r="E4" s="58"/>
    </row>
    <row r="5" spans="1:5" x14ac:dyDescent="0.2">
      <c r="A5" s="58"/>
      <c r="B5" s="58"/>
      <c r="C5" s="58"/>
      <c r="D5" s="58"/>
      <c r="E5" s="58"/>
    </row>
    <row r="6" spans="1:5" ht="15.75" x14ac:dyDescent="0.2">
      <c r="A6" s="50" t="str">
        <f>CONCATENATE("From the County Clerks ",+E1," Budget Information:")</f>
        <v>From the County Clerks 2015 Budget Information:</v>
      </c>
      <c r="B6" s="51"/>
      <c r="C6" s="43"/>
      <c r="D6" s="43"/>
      <c r="E6" s="87"/>
    </row>
    <row r="7" spans="1:5" ht="15.75" x14ac:dyDescent="0.2">
      <c r="A7" s="95" t="str">
        <f>CONCATENATE("Total Assessed Valuation for ",+E1-1,"")</f>
        <v>Total Assessed Valuation for 2014</v>
      </c>
      <c r="B7" s="62"/>
      <c r="C7" s="62"/>
      <c r="D7" s="62"/>
      <c r="E7" s="57">
        <v>3443957</v>
      </c>
    </row>
    <row r="8" spans="1:5" ht="15.75" x14ac:dyDescent="0.2">
      <c r="A8" s="95" t="str">
        <f>CONCATENATE("New Improvements for ",+E1-1,"")</f>
        <v>New Improvements for 2014</v>
      </c>
      <c r="B8" s="62"/>
      <c r="C8" s="62"/>
      <c r="D8" s="62"/>
      <c r="E8" s="96">
        <v>53079</v>
      </c>
    </row>
    <row r="9" spans="1:5" ht="15.75" x14ac:dyDescent="0.2">
      <c r="A9" s="95" t="str">
        <f>CONCATENATE("Personal Property excluding oil, gas, mobile homes - ",+E1-1,"")</f>
        <v>Personal Property excluding oil, gas, mobile homes - 2014</v>
      </c>
      <c r="B9" s="62"/>
      <c r="C9" s="62"/>
      <c r="D9" s="62"/>
      <c r="E9" s="96">
        <v>226483</v>
      </c>
    </row>
    <row r="10" spans="1:5" ht="15.75" x14ac:dyDescent="0.2">
      <c r="A10" s="97" t="s">
        <v>237</v>
      </c>
      <c r="B10" s="62"/>
      <c r="C10" s="62"/>
      <c r="D10" s="62"/>
      <c r="E10" s="77"/>
    </row>
    <row r="11" spans="1:5" ht="15.75" x14ac:dyDescent="0.2">
      <c r="A11" s="95" t="s">
        <v>209</v>
      </c>
      <c r="B11" s="62"/>
      <c r="C11" s="62"/>
      <c r="D11" s="62"/>
      <c r="E11" s="96">
        <v>0</v>
      </c>
    </row>
    <row r="12" spans="1:5" ht="15.75" x14ac:dyDescent="0.2">
      <c r="A12" s="95" t="s">
        <v>210</v>
      </c>
      <c r="B12" s="62"/>
      <c r="C12" s="62"/>
      <c r="D12" s="62"/>
      <c r="E12" s="96">
        <v>0</v>
      </c>
    </row>
    <row r="13" spans="1:5" ht="15.75" x14ac:dyDescent="0.2">
      <c r="A13" s="95" t="s">
        <v>211</v>
      </c>
      <c r="B13" s="62"/>
      <c r="C13" s="62"/>
      <c r="D13" s="62"/>
      <c r="E13" s="96">
        <v>0</v>
      </c>
    </row>
    <row r="14" spans="1:5" ht="15.75" x14ac:dyDescent="0.2">
      <c r="A14" s="95" t="str">
        <f>CONCATENATE("Property that has changed in use for ",+E1-1,"")</f>
        <v>Property that has changed in use for 2014</v>
      </c>
      <c r="B14" s="62"/>
      <c r="C14" s="62"/>
      <c r="D14" s="62"/>
      <c r="E14" s="96">
        <v>1246</v>
      </c>
    </row>
    <row r="15" spans="1:5" ht="15.75" x14ac:dyDescent="0.2">
      <c r="A15" s="95" t="str">
        <f>CONCATENATE("Personal Property  excluding oil, gas, mobile homes- ",+E1-2,"")</f>
        <v>Personal Property  excluding oil, gas, mobile homes- 2013</v>
      </c>
      <c r="B15" s="62"/>
      <c r="C15" s="62"/>
      <c r="D15" s="62"/>
      <c r="E15" s="96">
        <v>308342</v>
      </c>
    </row>
    <row r="16" spans="1:5" ht="15.75" x14ac:dyDescent="0.2">
      <c r="A16" s="95" t="str">
        <f>CONCATENATE("Gross earnings (intangible) tax estimate for ",+E1,"")</f>
        <v>Gross earnings (intangible) tax estimate for 2015</v>
      </c>
      <c r="B16" s="62"/>
      <c r="C16" s="62"/>
      <c r="D16" s="83"/>
      <c r="E16" s="57">
        <v>0</v>
      </c>
    </row>
    <row r="17" spans="1:5" ht="15.75" x14ac:dyDescent="0.2">
      <c r="A17" s="95" t="s">
        <v>238</v>
      </c>
      <c r="B17" s="62"/>
      <c r="C17" s="62"/>
      <c r="D17" s="62"/>
      <c r="E17" s="91">
        <v>89747</v>
      </c>
    </row>
    <row r="18" spans="1:5" ht="15.75" x14ac:dyDescent="0.2">
      <c r="A18" s="65"/>
      <c r="B18" s="66"/>
      <c r="C18" s="66"/>
      <c r="D18" s="66"/>
      <c r="E18" s="74"/>
    </row>
    <row r="19" spans="1:5" ht="15.75" x14ac:dyDescent="0.2">
      <c r="A19" s="65" t="str">
        <f>CONCATENATE("Actual Tax Rates for the ",+E1-1," Budget:")</f>
        <v>Actual Tax Rates for the 2014 Budget:</v>
      </c>
      <c r="B19" s="66"/>
      <c r="C19" s="66"/>
      <c r="D19" s="66"/>
      <c r="E19" s="74"/>
    </row>
    <row r="20" spans="1:5" ht="15.75" x14ac:dyDescent="0.2">
      <c r="A20" s="772" t="s">
        <v>90</v>
      </c>
      <c r="B20" s="773"/>
      <c r="C20" s="58"/>
      <c r="D20" s="98" t="s">
        <v>144</v>
      </c>
      <c r="E20" s="74"/>
    </row>
    <row r="21" spans="1:5" ht="15.75" x14ac:dyDescent="0.2">
      <c r="A21" s="60" t="s">
        <v>74</v>
      </c>
      <c r="B21" s="61"/>
      <c r="C21" s="66"/>
      <c r="D21" s="99">
        <v>59.886000000000003</v>
      </c>
      <c r="E21" s="74"/>
    </row>
    <row r="22" spans="1:5" ht="15.75" x14ac:dyDescent="0.2">
      <c r="A22" s="95" t="s">
        <v>45</v>
      </c>
      <c r="B22" s="62"/>
      <c r="C22" s="66"/>
      <c r="D22" s="100">
        <v>0</v>
      </c>
      <c r="E22" s="74"/>
    </row>
    <row r="23" spans="1:5" ht="15.75" x14ac:dyDescent="0.2">
      <c r="A23" s="95" t="str">
        <f>IF(inputPrYr!B19&gt;" ",(inputPrYr!B19)," ")</f>
        <v>Library</v>
      </c>
      <c r="B23" s="62"/>
      <c r="C23" s="66"/>
      <c r="D23" s="100">
        <v>11.192</v>
      </c>
      <c r="E23" s="74"/>
    </row>
    <row r="24" spans="1:5" ht="15.75" x14ac:dyDescent="0.2">
      <c r="A24" s="95" t="str">
        <f>IF(inputPrYr!B21&gt;" ",(inputPrYr!B21)," ")</f>
        <v xml:space="preserve"> </v>
      </c>
      <c r="B24" s="62"/>
      <c r="C24" s="66"/>
      <c r="D24" s="100"/>
      <c r="E24" s="74"/>
    </row>
    <row r="25" spans="1:5" ht="15.75" x14ac:dyDescent="0.2">
      <c r="A25" s="95" t="str">
        <f>IF(inputPrYr!B22&gt;" ",(inputPrYr!B22)," ")</f>
        <v xml:space="preserve"> </v>
      </c>
      <c r="B25" s="62"/>
      <c r="C25" s="66"/>
      <c r="D25" s="100"/>
      <c r="E25" s="74"/>
    </row>
    <row r="26" spans="1:5" ht="15.75" x14ac:dyDescent="0.2">
      <c r="A26" s="95" t="str">
        <f>IF(inputPrYr!B23&gt;" ",(inputPrYr!B23)," ")</f>
        <v xml:space="preserve"> </v>
      </c>
      <c r="B26" s="101"/>
      <c r="C26" s="66"/>
      <c r="D26" s="102"/>
      <c r="E26" s="74"/>
    </row>
    <row r="27" spans="1:5" ht="15.75" x14ac:dyDescent="0.2">
      <c r="A27" s="95" t="str">
        <f>IF(inputPrYr!B24&gt;" ",(inputPrYr!B24)," ")</f>
        <v xml:space="preserve"> </v>
      </c>
      <c r="B27" s="101"/>
      <c r="C27" s="66"/>
      <c r="D27" s="102"/>
      <c r="E27" s="74"/>
    </row>
    <row r="28" spans="1:5" ht="15.75" x14ac:dyDescent="0.2">
      <c r="A28" s="95" t="str">
        <f>IF(inputPrYr!B25&gt;" ",(inputPrYr!B25)," ")</f>
        <v xml:space="preserve"> </v>
      </c>
      <c r="B28" s="101"/>
      <c r="C28" s="66"/>
      <c r="D28" s="102"/>
      <c r="E28" s="74"/>
    </row>
    <row r="29" spans="1:5" ht="15.75" x14ac:dyDescent="0.2">
      <c r="A29" s="95" t="str">
        <f>IF(inputPrYr!B26&gt;" ",(inputPrYr!B26)," ")</f>
        <v xml:space="preserve"> </v>
      </c>
      <c r="B29" s="101"/>
      <c r="C29" s="66"/>
      <c r="D29" s="102"/>
      <c r="E29" s="74"/>
    </row>
    <row r="30" spans="1:5" ht="15.75" x14ac:dyDescent="0.2">
      <c r="A30" s="95" t="str">
        <f>IF(inputPrYr!B27&gt;" ",(inputPrYr!B27)," ")</f>
        <v xml:space="preserve"> </v>
      </c>
      <c r="B30" s="101"/>
      <c r="C30" s="66"/>
      <c r="D30" s="102"/>
      <c r="E30" s="74"/>
    </row>
    <row r="31" spans="1:5" ht="15.75" x14ac:dyDescent="0.2">
      <c r="A31" s="95" t="str">
        <f>IF(inputPrYr!B28&gt;" ",(inputPrYr!B28)," ")</f>
        <v xml:space="preserve"> </v>
      </c>
      <c r="B31" s="101"/>
      <c r="C31" s="66"/>
      <c r="D31" s="102"/>
      <c r="E31" s="74"/>
    </row>
    <row r="32" spans="1:5" ht="15.75" x14ac:dyDescent="0.2">
      <c r="A32" s="95" t="str">
        <f>IF(inputPrYr!B29&gt;" ",(inputPrYr!B29)," ")</f>
        <v xml:space="preserve"> </v>
      </c>
      <c r="B32" s="101"/>
      <c r="C32" s="66"/>
      <c r="D32" s="102"/>
      <c r="E32" s="74"/>
    </row>
    <row r="33" spans="1:5" ht="15.75" x14ac:dyDescent="0.2">
      <c r="A33" s="95" t="str">
        <f>IF(inputPrYr!B30&gt;" ",(inputPrYr!B30)," ")</f>
        <v xml:space="preserve"> </v>
      </c>
      <c r="B33" s="62"/>
      <c r="C33" s="66"/>
      <c r="D33" s="102"/>
      <c r="E33" s="74"/>
    </row>
    <row r="34" spans="1:5" ht="15.75" x14ac:dyDescent="0.2">
      <c r="A34" s="103"/>
      <c r="B34" s="66"/>
      <c r="C34" s="258" t="s">
        <v>76</v>
      </c>
      <c r="D34" s="580">
        <f>SUM(D21:D33)</f>
        <v>71.078000000000003</v>
      </c>
      <c r="E34" s="103"/>
    </row>
    <row r="35" spans="1:5" x14ac:dyDescent="0.2">
      <c r="A35" s="103"/>
      <c r="B35" s="103"/>
      <c r="C35" s="103"/>
      <c r="D35" s="103"/>
      <c r="E35" s="103"/>
    </row>
    <row r="36" spans="1:5" ht="15.75" x14ac:dyDescent="0.2">
      <c r="A36" s="61" t="str">
        <f>CONCATENATE("Final Assessed Valuation from the November 1, ",+E1-2," Abstract")</f>
        <v>Final Assessed Valuation from the November 1, 2013 Abstract</v>
      </c>
      <c r="B36" s="104"/>
      <c r="C36" s="104"/>
      <c r="D36" s="104"/>
      <c r="E36" s="91">
        <v>3399546</v>
      </c>
    </row>
    <row r="37" spans="1:5" x14ac:dyDescent="0.2">
      <c r="A37" s="103"/>
      <c r="B37" s="103"/>
      <c r="C37" s="103"/>
      <c r="D37" s="103"/>
      <c r="E37" s="103"/>
    </row>
    <row r="38" spans="1:5" ht="15.75" x14ac:dyDescent="0.2">
      <c r="A38" s="105" t="str">
        <f>CONCATENATE("From the County Treasurer's Budget Information - ",+E1," Budget Year Estimates:")</f>
        <v>From the County Treasurer's Budget Information - 2015 Budget Year Estimates:</v>
      </c>
      <c r="B38" s="49"/>
      <c r="C38" s="49"/>
      <c r="D38" s="106"/>
      <c r="E38" s="87"/>
    </row>
    <row r="39" spans="1:5" ht="15.75" x14ac:dyDescent="0.2">
      <c r="A39" s="60" t="s">
        <v>77</v>
      </c>
      <c r="B39" s="61"/>
      <c r="C39" s="61"/>
      <c r="D39" s="107"/>
      <c r="E39" s="57">
        <v>52457</v>
      </c>
    </row>
    <row r="40" spans="1:5" ht="15.75" x14ac:dyDescent="0.2">
      <c r="A40" s="95" t="s">
        <v>78</v>
      </c>
      <c r="B40" s="62"/>
      <c r="C40" s="62"/>
      <c r="D40" s="108"/>
      <c r="E40" s="57">
        <v>812</v>
      </c>
    </row>
    <row r="41" spans="1:5" ht="15.75" x14ac:dyDescent="0.2">
      <c r="A41" s="95" t="s">
        <v>239</v>
      </c>
      <c r="B41" s="62"/>
      <c r="C41" s="62"/>
      <c r="D41" s="108"/>
      <c r="E41" s="57">
        <v>3096</v>
      </c>
    </row>
    <row r="42" spans="1:5" ht="15.75" x14ac:dyDescent="0.2">
      <c r="A42" s="95" t="s">
        <v>240</v>
      </c>
      <c r="B42" s="62"/>
      <c r="C42" s="62"/>
      <c r="D42" s="108"/>
      <c r="E42" s="57">
        <v>0</v>
      </c>
    </row>
    <row r="43" spans="1:5" ht="15.75" x14ac:dyDescent="0.2">
      <c r="A43" s="95" t="s">
        <v>241</v>
      </c>
      <c r="B43" s="62"/>
      <c r="C43" s="62"/>
      <c r="D43" s="108"/>
      <c r="E43" s="57">
        <v>0</v>
      </c>
    </row>
    <row r="44" spans="1:5" ht="15.75" x14ac:dyDescent="0.2">
      <c r="A44" s="43" t="s">
        <v>242</v>
      </c>
      <c r="B44" s="43"/>
      <c r="C44" s="43"/>
      <c r="D44" s="43"/>
      <c r="E44" s="43"/>
    </row>
    <row r="45" spans="1:5" ht="15.75" x14ac:dyDescent="0.2">
      <c r="A45" s="42" t="s">
        <v>98</v>
      </c>
      <c r="B45" s="47"/>
      <c r="C45" s="47"/>
      <c r="D45" s="43"/>
      <c r="E45" s="43"/>
    </row>
    <row r="46" spans="1:5" ht="15.75" x14ac:dyDescent="0.2">
      <c r="A46" s="60" t="str">
        <f>CONCATENATE("Actual Delinquency for ",+E1-3," Tax - (rate .01213 = 1.213%, key in 1.2)")</f>
        <v>Actual Delinquency for 2012 Tax - (rate .01213 = 1.213%, key in 1.2)</v>
      </c>
      <c r="B46" s="61"/>
      <c r="C46" s="61"/>
      <c r="D46" s="71"/>
      <c r="E46" s="579">
        <v>0</v>
      </c>
    </row>
    <row r="47" spans="1:5" ht="15.75" x14ac:dyDescent="0.2">
      <c r="A47" s="95" t="s">
        <v>821</v>
      </c>
      <c r="B47" s="95"/>
      <c r="C47" s="62"/>
      <c r="D47" s="62"/>
      <c r="E47" s="579">
        <v>0</v>
      </c>
    </row>
    <row r="48" spans="1:5" ht="15.75" x14ac:dyDescent="0.2">
      <c r="A48" s="43"/>
      <c r="B48" s="43"/>
      <c r="C48" s="43"/>
      <c r="D48" s="43"/>
      <c r="E48" s="43"/>
    </row>
    <row r="49" spans="1:5" ht="15.75" x14ac:dyDescent="0.2">
      <c r="A49" s="109" t="s">
        <v>4</v>
      </c>
      <c r="B49" s="110"/>
      <c r="C49" s="111"/>
      <c r="D49" s="111"/>
      <c r="E49" s="111"/>
    </row>
    <row r="50" spans="1:5" ht="15.75" x14ac:dyDescent="0.2">
      <c r="A50" s="112" t="str">
        <f>CONCATENATE("",+E1," State Distribution for Kansas Gas Tax")</f>
        <v>2015 State Distribution for Kansas Gas Tax</v>
      </c>
      <c r="B50" s="113"/>
      <c r="C50" s="113"/>
      <c r="D50" s="114"/>
      <c r="E50" s="91">
        <v>18410</v>
      </c>
    </row>
    <row r="51" spans="1:5" ht="15.75" x14ac:dyDescent="0.2">
      <c r="A51" s="115" t="str">
        <f>CONCATENATE("",+E1," County Transfers for Gas**")</f>
        <v>2015 County Transfers for Gas**</v>
      </c>
      <c r="B51" s="116"/>
      <c r="C51" s="116"/>
      <c r="D51" s="117"/>
      <c r="E51" s="91">
        <v>0</v>
      </c>
    </row>
    <row r="52" spans="1:5" ht="15.75" x14ac:dyDescent="0.2">
      <c r="A52" s="115" t="str">
        <f>CONCATENATE("Adjusted ",+E1-1," State Distribution for Kansas Gas Tax")</f>
        <v>Adjusted 2014 State Distribution for Kansas Gas Tax</v>
      </c>
      <c r="B52" s="116"/>
      <c r="C52" s="116"/>
      <c r="D52" s="117"/>
      <c r="E52" s="91">
        <v>18260</v>
      </c>
    </row>
    <row r="53" spans="1:5" ht="15.75" x14ac:dyDescent="0.2">
      <c r="A53" s="115" t="str">
        <f>CONCATENATE("Adjusted ",+E1-1," County Transfers for Gas**")</f>
        <v>Adjusted 2014 County Transfers for Gas**</v>
      </c>
      <c r="B53" s="116"/>
      <c r="C53" s="116"/>
      <c r="D53" s="117"/>
      <c r="E53" s="91">
        <v>0</v>
      </c>
    </row>
    <row r="54" spans="1:5" x14ac:dyDescent="0.2">
      <c r="A54" s="774" t="s">
        <v>292</v>
      </c>
      <c r="B54" s="775"/>
      <c r="C54" s="775"/>
      <c r="D54" s="775"/>
      <c r="E54" s="775"/>
    </row>
    <row r="55" spans="1:5" x14ac:dyDescent="0.2">
      <c r="A55" s="118" t="s">
        <v>293</v>
      </c>
      <c r="B55" s="118"/>
      <c r="C55" s="118"/>
      <c r="D55" s="118"/>
      <c r="E55" s="118"/>
    </row>
    <row r="56" spans="1:5" x14ac:dyDescent="0.2">
      <c r="A56" s="58"/>
      <c r="B56" s="58"/>
      <c r="C56" s="58"/>
      <c r="D56" s="58"/>
      <c r="E56" s="58"/>
    </row>
    <row r="57" spans="1:5" ht="15.75" x14ac:dyDescent="0.2">
      <c r="A57" s="776" t="str">
        <f>CONCATENATE("From the ",+E1-2," Budget Certificate Page")</f>
        <v>From the 2013 Budget Certificate Page</v>
      </c>
      <c r="B57" s="777"/>
      <c r="C57" s="58"/>
      <c r="D57" s="58"/>
      <c r="E57" s="58"/>
    </row>
    <row r="58" spans="1:5" ht="15.75" x14ac:dyDescent="0.2">
      <c r="A58" s="119"/>
      <c r="B58" s="119" t="str">
        <f>CONCATENATE("",+E1-2," Expenditure Amounts")</f>
        <v>2013 Expenditure Amounts</v>
      </c>
      <c r="C58" s="770" t="str">
        <f>CONCATENATE("Note: If the ",+E1-2," budget was amended, then the")</f>
        <v>Note: If the 2013 budget was amended, then the</v>
      </c>
      <c r="D58" s="771"/>
      <c r="E58" s="771"/>
    </row>
    <row r="59" spans="1:5" ht="15.75" x14ac:dyDescent="0.2">
      <c r="A59" s="120" t="s">
        <v>9</v>
      </c>
      <c r="B59" s="120" t="s">
        <v>10</v>
      </c>
      <c r="C59" s="121" t="s">
        <v>11</v>
      </c>
      <c r="D59" s="122"/>
      <c r="E59" s="122"/>
    </row>
    <row r="60" spans="1:5" ht="15.75" x14ac:dyDescent="0.2">
      <c r="A60" s="123" t="str">
        <f>inputPrYr!B17</f>
        <v>General</v>
      </c>
      <c r="B60" s="91">
        <v>997847</v>
      </c>
      <c r="C60" s="121" t="s">
        <v>12</v>
      </c>
      <c r="D60" s="122"/>
      <c r="E60" s="122"/>
    </row>
    <row r="61" spans="1:5" ht="15.75" x14ac:dyDescent="0.2">
      <c r="A61" s="123" t="str">
        <f>inputPrYr!B18</f>
        <v>Debt Service</v>
      </c>
      <c r="B61" s="91">
        <v>0</v>
      </c>
      <c r="C61" s="121"/>
      <c r="D61" s="122"/>
      <c r="E61" s="122"/>
    </row>
    <row r="62" spans="1:5" ht="15.75" x14ac:dyDescent="0.2">
      <c r="A62" s="123" t="str">
        <f>inputPrYr!B19</f>
        <v>Library</v>
      </c>
      <c r="B62" s="91">
        <v>47523</v>
      </c>
      <c r="C62" s="58"/>
      <c r="D62" s="58"/>
      <c r="E62" s="58"/>
    </row>
    <row r="63" spans="1:5" ht="15.75" x14ac:dyDescent="0.2">
      <c r="A63" s="123">
        <f>inputPrYr!B21</f>
        <v>0</v>
      </c>
      <c r="B63" s="91"/>
      <c r="C63" s="58"/>
      <c r="D63" s="58"/>
      <c r="E63" s="58"/>
    </row>
    <row r="64" spans="1:5" ht="15.75" x14ac:dyDescent="0.2">
      <c r="A64" s="123">
        <f>inputPrYr!B22</f>
        <v>0</v>
      </c>
      <c r="B64" s="91"/>
      <c r="C64" s="58"/>
      <c r="D64" s="58"/>
      <c r="E64" s="58"/>
    </row>
    <row r="65" spans="1:5" ht="15.75" x14ac:dyDescent="0.2">
      <c r="A65" s="123">
        <f>inputPrYr!B23</f>
        <v>0</v>
      </c>
      <c r="B65" s="91"/>
      <c r="C65" s="58"/>
      <c r="D65" s="58"/>
      <c r="E65" s="58"/>
    </row>
    <row r="66" spans="1:5" ht="15.75" x14ac:dyDescent="0.2">
      <c r="A66" s="123">
        <f>inputPrYr!B24</f>
        <v>0</v>
      </c>
      <c r="B66" s="91"/>
      <c r="C66" s="58"/>
      <c r="D66" s="58"/>
      <c r="E66" s="58"/>
    </row>
    <row r="67" spans="1:5" ht="15.75" x14ac:dyDescent="0.2">
      <c r="A67" s="123">
        <f>inputPrYr!B25</f>
        <v>0</v>
      </c>
      <c r="B67" s="91"/>
      <c r="C67" s="58"/>
      <c r="D67" s="58"/>
      <c r="E67" s="58"/>
    </row>
    <row r="68" spans="1:5" ht="15.75" x14ac:dyDescent="0.2">
      <c r="A68" s="123">
        <f>inputPrYr!B26</f>
        <v>0</v>
      </c>
      <c r="B68" s="91"/>
      <c r="C68" s="58"/>
      <c r="D68" s="58"/>
      <c r="E68" s="58"/>
    </row>
    <row r="69" spans="1:5" ht="15.75" x14ac:dyDescent="0.2">
      <c r="A69" s="123">
        <f>inputPrYr!B27</f>
        <v>0</v>
      </c>
      <c r="B69" s="91"/>
      <c r="C69" s="58"/>
      <c r="D69" s="58"/>
      <c r="E69" s="58"/>
    </row>
    <row r="70" spans="1:5" ht="15.75" x14ac:dyDescent="0.2">
      <c r="A70" s="123">
        <f>inputPrYr!B28</f>
        <v>0</v>
      </c>
      <c r="B70" s="91"/>
      <c r="C70" s="58"/>
      <c r="D70" s="58"/>
      <c r="E70" s="58"/>
    </row>
    <row r="71" spans="1:5" ht="15.75" x14ac:dyDescent="0.2">
      <c r="A71" s="123">
        <f>inputPrYr!B29</f>
        <v>0</v>
      </c>
      <c r="B71" s="91"/>
      <c r="C71" s="58"/>
      <c r="D71" s="58"/>
      <c r="E71" s="58"/>
    </row>
    <row r="72" spans="1:5" ht="15.75" x14ac:dyDescent="0.2">
      <c r="A72" s="123">
        <f>inputPrYr!B30</f>
        <v>0</v>
      </c>
      <c r="B72" s="91"/>
      <c r="C72" s="58"/>
      <c r="D72" s="58"/>
      <c r="E72" s="58"/>
    </row>
    <row r="73" spans="1:5" ht="15.75" x14ac:dyDescent="0.2">
      <c r="A73" s="123" t="str">
        <f>inputPrYr!B34</f>
        <v>Special Highway</v>
      </c>
      <c r="B73" s="91">
        <v>19999</v>
      </c>
      <c r="C73" s="58"/>
      <c r="D73" s="58"/>
      <c r="E73" s="58"/>
    </row>
    <row r="74" spans="1:5" ht="15.75" x14ac:dyDescent="0.2">
      <c r="A74" s="123" t="str">
        <f>[1]inputPrYr!B35</f>
        <v>Special Parks &amp; Recreation</v>
      </c>
      <c r="B74" s="91">
        <v>5145</v>
      </c>
      <c r="C74" s="58"/>
      <c r="D74" s="58"/>
      <c r="E74" s="58"/>
    </row>
    <row r="75" spans="1:5" ht="15.75" x14ac:dyDescent="0.2">
      <c r="A75" s="123" t="str">
        <f>[1]inputPrYr!B36</f>
        <v>Ambulance</v>
      </c>
      <c r="B75" s="91">
        <v>278980</v>
      </c>
      <c r="C75" s="58"/>
      <c r="D75" s="58"/>
      <c r="E75" s="58"/>
    </row>
    <row r="76" spans="1:5" ht="15.75" x14ac:dyDescent="0.2">
      <c r="A76" s="123" t="str">
        <f>[1]inputPrYr!B37</f>
        <v>Water Utility</v>
      </c>
      <c r="B76" s="91">
        <v>185800</v>
      </c>
      <c r="C76" s="58"/>
      <c r="D76" s="58"/>
      <c r="E76" s="58"/>
    </row>
    <row r="77" spans="1:5" ht="15.75" x14ac:dyDescent="0.2">
      <c r="A77" s="123" t="str">
        <f>[1]inputPrYr!B38</f>
        <v>Sewer Utility</v>
      </c>
      <c r="B77" s="91">
        <v>104800</v>
      </c>
      <c r="C77" s="58"/>
      <c r="D77" s="58"/>
      <c r="E77" s="58"/>
    </row>
    <row r="78" spans="1:5" ht="15.75" x14ac:dyDescent="0.2">
      <c r="A78" s="123">
        <f>inputPrYr!B39</f>
        <v>0</v>
      </c>
      <c r="B78" s="91"/>
      <c r="C78" s="58"/>
      <c r="D78" s="58"/>
      <c r="E78" s="58"/>
    </row>
    <row r="79" spans="1:5" ht="15.75" x14ac:dyDescent="0.2">
      <c r="A79" s="123">
        <f>inputPrYr!B40</f>
        <v>0</v>
      </c>
      <c r="B79" s="91"/>
      <c r="C79" s="58"/>
      <c r="D79" s="58"/>
      <c r="E79" s="58"/>
    </row>
    <row r="80" spans="1:5" ht="15.75" x14ac:dyDescent="0.2">
      <c r="A80" s="123">
        <f>inputPrYr!B41</f>
        <v>0</v>
      </c>
      <c r="B80" s="91"/>
      <c r="C80" s="58"/>
      <c r="D80" s="58"/>
      <c r="E80" s="58"/>
    </row>
    <row r="81" spans="1:5" ht="15.75" x14ac:dyDescent="0.2">
      <c r="A81" s="123">
        <f>inputPrYr!B42</f>
        <v>0</v>
      </c>
      <c r="B81" s="91"/>
      <c r="C81" s="58"/>
      <c r="D81" s="58"/>
      <c r="E81" s="58"/>
    </row>
    <row r="82" spans="1:5" ht="15.75" x14ac:dyDescent="0.2">
      <c r="A82" s="123">
        <f>inputPrYr!B43</f>
        <v>0</v>
      </c>
      <c r="B82" s="91"/>
      <c r="C82" s="58"/>
      <c r="D82" s="58"/>
      <c r="E82" s="58"/>
    </row>
    <row r="83" spans="1:5" ht="15.75" x14ac:dyDescent="0.2">
      <c r="A83" s="123">
        <f>inputPrYr!B44</f>
        <v>0</v>
      </c>
      <c r="B83" s="91"/>
      <c r="C83" s="58"/>
      <c r="D83" s="58"/>
      <c r="E83" s="58"/>
    </row>
    <row r="84" spans="1:5" ht="15.75" x14ac:dyDescent="0.2">
      <c r="A84" s="123">
        <f>inputPrYr!B45</f>
        <v>0</v>
      </c>
      <c r="B84" s="91"/>
      <c r="C84" s="58"/>
      <c r="D84" s="58"/>
      <c r="E84" s="58"/>
    </row>
    <row r="85" spans="1:5" ht="15.75" x14ac:dyDescent="0.2">
      <c r="A85" s="123">
        <f>inputPrYr!B46</f>
        <v>0</v>
      </c>
      <c r="B85" s="91"/>
      <c r="C85" s="58"/>
      <c r="D85" s="58"/>
      <c r="E85" s="58"/>
    </row>
    <row r="86" spans="1:5" ht="15.75" x14ac:dyDescent="0.2">
      <c r="A86" s="123">
        <f>inputPrYr!B47</f>
        <v>0</v>
      </c>
      <c r="B86" s="91"/>
      <c r="C86" s="58"/>
      <c r="D86" s="58"/>
      <c r="E86" s="58"/>
    </row>
    <row r="87" spans="1:5" ht="15.75" x14ac:dyDescent="0.2">
      <c r="A87" s="123">
        <f>inputPrYr!B48</f>
        <v>0</v>
      </c>
      <c r="B87" s="91"/>
      <c r="C87" s="58"/>
      <c r="D87" s="58"/>
      <c r="E87" s="58"/>
    </row>
    <row r="88" spans="1:5" ht="15.75" x14ac:dyDescent="0.2">
      <c r="A88" s="123">
        <f>inputPrYr!B49</f>
        <v>0</v>
      </c>
      <c r="B88" s="91"/>
      <c r="C88" s="58"/>
      <c r="D88" s="58"/>
      <c r="E88" s="58"/>
    </row>
    <row r="89" spans="1:5" ht="15.75" x14ac:dyDescent="0.2">
      <c r="A89" s="123">
        <f>inputPrYr!B51</f>
        <v>0</v>
      </c>
      <c r="B89" s="91"/>
      <c r="C89" s="58"/>
      <c r="D89" s="58"/>
      <c r="E89" s="58"/>
    </row>
    <row r="90" spans="1:5" ht="15.75" x14ac:dyDescent="0.2">
      <c r="A90" s="123">
        <f>inputPrYr!B52</f>
        <v>0</v>
      </c>
      <c r="B90" s="91"/>
      <c r="C90" s="58"/>
      <c r="D90" s="58"/>
      <c r="E90" s="58"/>
    </row>
    <row r="91" spans="1:5" ht="15.75" x14ac:dyDescent="0.2">
      <c r="A91" s="123">
        <f>inputPrYr!B53</f>
        <v>0</v>
      </c>
      <c r="B91" s="91"/>
      <c r="C91" s="58"/>
      <c r="D91" s="58"/>
      <c r="E91" s="58"/>
    </row>
    <row r="92" spans="1:5" ht="15.75" x14ac:dyDescent="0.2">
      <c r="A92" s="123">
        <f>inputPrYr!B54</f>
        <v>0</v>
      </c>
      <c r="B92" s="91"/>
      <c r="C92" s="58"/>
      <c r="D92" s="58"/>
      <c r="E92" s="58"/>
    </row>
  </sheetData>
  <mergeCells count="5">
    <mergeCell ref="C58:E58"/>
    <mergeCell ref="A20:B20"/>
    <mergeCell ref="A54:E54"/>
    <mergeCell ref="A3:E3"/>
    <mergeCell ref="A57:B57"/>
  </mergeCells>
  <phoneticPr fontId="9" type="noConversion"/>
  <pageMargins left="0.75" right="0.75" top="1" bottom="1" header="0.5" footer="0.5"/>
  <pageSetup scale="48" orientation="portrait" blackAndWhite="1"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3:H52"/>
  <sheetViews>
    <sheetView workbookViewId="0">
      <selection activeCell="A3" sqref="A3"/>
    </sheetView>
  </sheetViews>
  <sheetFormatPr defaultRowHeight="15" x14ac:dyDescent="0.2"/>
  <cols>
    <col min="1" max="1" width="71.33203125" customWidth="1"/>
  </cols>
  <sheetData>
    <row r="3" spans="1:7" x14ac:dyDescent="0.2">
      <c r="A3" s="338" t="s">
        <v>565</v>
      </c>
      <c r="B3" s="338"/>
      <c r="C3" s="338"/>
      <c r="D3" s="338"/>
      <c r="E3" s="338"/>
      <c r="F3" s="338"/>
      <c r="G3" s="338"/>
    </row>
    <row r="4" spans="1:7" x14ac:dyDescent="0.2">
      <c r="A4" s="338" t="s">
        <v>566</v>
      </c>
      <c r="B4" s="338"/>
      <c r="C4" s="338"/>
      <c r="D4" s="338"/>
      <c r="E4" s="338"/>
      <c r="F4" s="338"/>
      <c r="G4" s="338"/>
    </row>
    <row r="5" spans="1:7" x14ac:dyDescent="0.2">
      <c r="A5" s="338"/>
      <c r="B5" s="338"/>
      <c r="C5" s="338"/>
      <c r="D5" s="338"/>
      <c r="E5" s="338"/>
      <c r="F5" s="338"/>
      <c r="G5" s="338"/>
    </row>
    <row r="6" spans="1:7" x14ac:dyDescent="0.2">
      <c r="A6" s="338"/>
      <c r="B6" s="338"/>
      <c r="C6" s="338"/>
      <c r="D6" s="338"/>
      <c r="E6" s="338"/>
      <c r="F6" s="338"/>
      <c r="G6" s="338"/>
    </row>
    <row r="7" spans="1:7" x14ac:dyDescent="0.2">
      <c r="A7" s="339" t="s">
        <v>393</v>
      </c>
    </row>
    <row r="8" spans="1:7" x14ac:dyDescent="0.2">
      <c r="A8" s="339" t="str">
        <f>CONCATENATE("estimated ",inputPrYr!C5," 'total expenditures' exceed your ",inputPrYr!C5,"")</f>
        <v>estimated 2015 'total expenditures' exceed your 2015</v>
      </c>
    </row>
    <row r="9" spans="1:7" x14ac:dyDescent="0.2">
      <c r="A9" s="342" t="s">
        <v>567</v>
      </c>
    </row>
    <row r="10" spans="1:7" x14ac:dyDescent="0.2">
      <c r="A10" s="339"/>
    </row>
    <row r="11" spans="1:7" x14ac:dyDescent="0.2">
      <c r="A11" s="339" t="s">
        <v>568</v>
      </c>
    </row>
    <row r="12" spans="1:7" x14ac:dyDescent="0.2">
      <c r="A12" s="339" t="s">
        <v>569</v>
      </c>
    </row>
    <row r="13" spans="1:7" x14ac:dyDescent="0.2">
      <c r="A13" s="339" t="s">
        <v>570</v>
      </c>
    </row>
    <row r="14" spans="1:7" x14ac:dyDescent="0.2">
      <c r="A14" s="339"/>
    </row>
    <row r="15" spans="1:7" x14ac:dyDescent="0.2">
      <c r="A15" s="340" t="s">
        <v>571</v>
      </c>
    </row>
    <row r="16" spans="1:7" x14ac:dyDescent="0.2">
      <c r="A16" s="338"/>
      <c r="B16" s="338"/>
      <c r="C16" s="338"/>
      <c r="D16" s="338"/>
      <c r="E16" s="338"/>
      <c r="F16" s="338"/>
      <c r="G16" s="338"/>
    </row>
    <row r="17" spans="1:8" x14ac:dyDescent="0.2">
      <c r="A17" s="343" t="s">
        <v>572</v>
      </c>
      <c r="B17" s="344"/>
      <c r="C17" s="344"/>
      <c r="D17" s="344"/>
      <c r="E17" s="344"/>
      <c r="F17" s="344"/>
      <c r="G17" s="344"/>
      <c r="H17" s="344"/>
    </row>
    <row r="18" spans="1:8" x14ac:dyDescent="0.2">
      <c r="A18" s="339" t="s">
        <v>573</v>
      </c>
      <c r="B18" s="345"/>
      <c r="C18" s="345"/>
      <c r="D18" s="345"/>
      <c r="E18" s="345"/>
      <c r="F18" s="345"/>
      <c r="G18" s="345"/>
    </row>
    <row r="19" spans="1:8" x14ac:dyDescent="0.2">
      <c r="A19" s="339" t="s">
        <v>574</v>
      </c>
    </row>
    <row r="20" spans="1:8" x14ac:dyDescent="0.2">
      <c r="A20" s="339" t="s">
        <v>575</v>
      </c>
    </row>
    <row r="22" spans="1:8" x14ac:dyDescent="0.2">
      <c r="A22" s="340" t="s">
        <v>576</v>
      </c>
    </row>
    <row r="24" spans="1:8" x14ac:dyDescent="0.2">
      <c r="A24" s="339" t="s">
        <v>577</v>
      </c>
    </row>
    <row r="25" spans="1:8" x14ac:dyDescent="0.2">
      <c r="A25" s="339" t="s">
        <v>578</v>
      </c>
    </row>
    <row r="26" spans="1:8" x14ac:dyDescent="0.2">
      <c r="A26" s="339" t="s">
        <v>579</v>
      </c>
    </row>
    <row r="28" spans="1:8" x14ac:dyDescent="0.2">
      <c r="A28" s="340" t="s">
        <v>580</v>
      </c>
    </row>
    <row r="30" spans="1:8" x14ac:dyDescent="0.2">
      <c r="A30" t="s">
        <v>581</v>
      </c>
    </row>
    <row r="31" spans="1:8" x14ac:dyDescent="0.2">
      <c r="A31" t="s">
        <v>582</v>
      </c>
    </row>
    <row r="32" spans="1:8" x14ac:dyDescent="0.2">
      <c r="A32" t="s">
        <v>583</v>
      </c>
    </row>
    <row r="33" spans="1:1" x14ac:dyDescent="0.2">
      <c r="A33" s="339" t="s">
        <v>584</v>
      </c>
    </row>
    <row r="35" spans="1:1" x14ac:dyDescent="0.2">
      <c r="A35" t="s">
        <v>585</v>
      </c>
    </row>
    <row r="36" spans="1:1" x14ac:dyDescent="0.2">
      <c r="A36" t="s">
        <v>586</v>
      </c>
    </row>
    <row r="37" spans="1:1" x14ac:dyDescent="0.2">
      <c r="A37" t="s">
        <v>587</v>
      </c>
    </row>
    <row r="38" spans="1:1" x14ac:dyDescent="0.2">
      <c r="A38" t="s">
        <v>588</v>
      </c>
    </row>
    <row r="40" spans="1:1" x14ac:dyDescent="0.2">
      <c r="A40" t="s">
        <v>589</v>
      </c>
    </row>
    <row r="41" spans="1:1" x14ac:dyDescent="0.2">
      <c r="A41" t="s">
        <v>590</v>
      </c>
    </row>
    <row r="42" spans="1:1" x14ac:dyDescent="0.2">
      <c r="A42" t="s">
        <v>591</v>
      </c>
    </row>
    <row r="43" spans="1:1" x14ac:dyDescent="0.2">
      <c r="A43" t="s">
        <v>592</v>
      </c>
    </row>
    <row r="44" spans="1:1" x14ac:dyDescent="0.2">
      <c r="A44" t="s">
        <v>593</v>
      </c>
    </row>
    <row r="45" spans="1:1" x14ac:dyDescent="0.2">
      <c r="A45" t="s">
        <v>594</v>
      </c>
    </row>
    <row r="47" spans="1:1" x14ac:dyDescent="0.2">
      <c r="A47" t="s">
        <v>595</v>
      </c>
    </row>
    <row r="48" spans="1:1" x14ac:dyDescent="0.2">
      <c r="A48" t="s">
        <v>596</v>
      </c>
    </row>
    <row r="49" spans="1:1" x14ac:dyDescent="0.2">
      <c r="A49" s="339" t="s">
        <v>597</v>
      </c>
    </row>
    <row r="50" spans="1:1" x14ac:dyDescent="0.2">
      <c r="A50" s="339" t="s">
        <v>598</v>
      </c>
    </row>
    <row r="52" spans="1:1" x14ac:dyDescent="0.2">
      <c r="A52" t="s">
        <v>448</v>
      </c>
    </row>
  </sheetData>
  <pageMargins left="0.7" right="0.7" top="0.75" bottom="0.75" header="0.3" footer="0.3"/>
  <pageSetup orientation="portrait" r:id="rId1"/>
  <headerFooter>
    <oddFooter>&amp;Lrevised 10/2/09</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54"/>
  <sheetViews>
    <sheetView zoomScaleNormal="100" zoomScaleSheetLayoutView="100" workbookViewId="0">
      <selection activeCell="B50" sqref="B50"/>
    </sheetView>
  </sheetViews>
  <sheetFormatPr defaultRowHeight="14.25" x14ac:dyDescent="0.2"/>
  <cols>
    <col min="1" max="1" width="7.5546875" style="407" customWidth="1"/>
    <col min="2" max="2" width="11.21875" style="409" customWidth="1"/>
    <col min="3" max="3" width="7.44140625" style="409" customWidth="1"/>
    <col min="4" max="4" width="8.88671875" style="409"/>
    <col min="5" max="5" width="1.5546875" style="409" customWidth="1"/>
    <col min="6" max="6" width="14.33203125" style="409" customWidth="1"/>
    <col min="7" max="7" width="2.5546875" style="409" customWidth="1"/>
    <col min="8" max="8" width="9.77734375" style="409" customWidth="1"/>
    <col min="9" max="9" width="2" style="409" customWidth="1"/>
    <col min="10" max="10" width="8.5546875" style="409" customWidth="1"/>
    <col min="11" max="11" width="11.6640625" style="409" customWidth="1"/>
    <col min="12" max="12" width="7.5546875" style="407" customWidth="1"/>
    <col min="13" max="14" width="8.88671875" style="407"/>
    <col min="15" max="15" width="9.88671875" style="407" bestFit="1" customWidth="1"/>
    <col min="16" max="16384" width="8.88671875" style="407"/>
  </cols>
  <sheetData>
    <row r="1" spans="1:12" x14ac:dyDescent="0.2">
      <c r="A1" s="408"/>
      <c r="B1" s="408"/>
      <c r="C1" s="408"/>
      <c r="D1" s="408"/>
      <c r="E1" s="408"/>
      <c r="F1" s="408"/>
      <c r="G1" s="408"/>
      <c r="H1" s="408"/>
      <c r="I1" s="408"/>
      <c r="J1" s="408"/>
      <c r="K1" s="408"/>
      <c r="L1" s="408"/>
    </row>
    <row r="2" spans="1:12" x14ac:dyDescent="0.2">
      <c r="A2" s="408"/>
      <c r="B2" s="408"/>
      <c r="C2" s="408"/>
      <c r="D2" s="408"/>
      <c r="E2" s="408"/>
      <c r="F2" s="408"/>
      <c r="G2" s="408"/>
      <c r="H2" s="408"/>
      <c r="I2" s="408"/>
      <c r="J2" s="408"/>
      <c r="K2" s="408"/>
      <c r="L2" s="408"/>
    </row>
    <row r="3" spans="1:12" x14ac:dyDescent="0.2">
      <c r="A3" s="408"/>
      <c r="B3" s="408"/>
      <c r="C3" s="408"/>
      <c r="D3" s="408"/>
      <c r="E3" s="408"/>
      <c r="F3" s="408"/>
      <c r="G3" s="408"/>
      <c r="H3" s="408"/>
      <c r="I3" s="408"/>
      <c r="J3" s="408"/>
      <c r="K3" s="408"/>
      <c r="L3" s="408"/>
    </row>
    <row r="4" spans="1:12" x14ac:dyDescent="0.2">
      <c r="A4" s="408"/>
      <c r="L4" s="408"/>
    </row>
    <row r="5" spans="1:12" ht="15" customHeight="1" x14ac:dyDescent="0.2">
      <c r="A5" s="408"/>
      <c r="L5" s="408"/>
    </row>
    <row r="6" spans="1:12" ht="33" customHeight="1" x14ac:dyDescent="0.2">
      <c r="A6" s="408"/>
      <c r="B6" s="865" t="s">
        <v>629</v>
      </c>
      <c r="C6" s="878"/>
      <c r="D6" s="878"/>
      <c r="E6" s="878"/>
      <c r="F6" s="878"/>
      <c r="G6" s="878"/>
      <c r="H6" s="878"/>
      <c r="I6" s="878"/>
      <c r="J6" s="878"/>
      <c r="K6" s="878"/>
      <c r="L6" s="410"/>
    </row>
    <row r="7" spans="1:12" ht="40.5" customHeight="1" x14ac:dyDescent="0.2">
      <c r="A7" s="408"/>
      <c r="B7" s="879" t="s">
        <v>630</v>
      </c>
      <c r="C7" s="880"/>
      <c r="D7" s="880"/>
      <c r="E7" s="880"/>
      <c r="F7" s="880"/>
      <c r="G7" s="880"/>
      <c r="H7" s="880"/>
      <c r="I7" s="880"/>
      <c r="J7" s="880"/>
      <c r="K7" s="880"/>
      <c r="L7" s="408"/>
    </row>
    <row r="8" spans="1:12" x14ac:dyDescent="0.2">
      <c r="A8" s="408"/>
      <c r="B8" s="874" t="s">
        <v>631</v>
      </c>
      <c r="C8" s="874"/>
      <c r="D8" s="874"/>
      <c r="E8" s="874"/>
      <c r="F8" s="874"/>
      <c r="G8" s="874"/>
      <c r="H8" s="874"/>
      <c r="I8" s="874"/>
      <c r="J8" s="874"/>
      <c r="K8" s="874"/>
      <c r="L8" s="408"/>
    </row>
    <row r="9" spans="1:12" x14ac:dyDescent="0.2">
      <c r="A9" s="408"/>
      <c r="L9" s="408"/>
    </row>
    <row r="10" spans="1:12" x14ac:dyDescent="0.2">
      <c r="A10" s="408"/>
      <c r="B10" s="874" t="s">
        <v>632</v>
      </c>
      <c r="C10" s="874"/>
      <c r="D10" s="874"/>
      <c r="E10" s="874"/>
      <c r="F10" s="874"/>
      <c r="G10" s="874"/>
      <c r="H10" s="874"/>
      <c r="I10" s="874"/>
      <c r="J10" s="874"/>
      <c r="K10" s="874"/>
      <c r="L10" s="408"/>
    </row>
    <row r="11" spans="1:12" x14ac:dyDescent="0.2">
      <c r="A11" s="408"/>
      <c r="B11" s="569"/>
      <c r="C11" s="569"/>
      <c r="D11" s="569"/>
      <c r="E11" s="569"/>
      <c r="F11" s="569"/>
      <c r="G11" s="569"/>
      <c r="H11" s="569"/>
      <c r="I11" s="569"/>
      <c r="J11" s="569"/>
      <c r="K11" s="569"/>
      <c r="L11" s="408"/>
    </row>
    <row r="12" spans="1:12" ht="32.25" customHeight="1" x14ac:dyDescent="0.2">
      <c r="A12" s="408"/>
      <c r="B12" s="867" t="s">
        <v>633</v>
      </c>
      <c r="C12" s="867"/>
      <c r="D12" s="867"/>
      <c r="E12" s="867"/>
      <c r="F12" s="867"/>
      <c r="G12" s="867"/>
      <c r="H12" s="867"/>
      <c r="I12" s="867"/>
      <c r="J12" s="867"/>
      <c r="K12" s="867"/>
      <c r="L12" s="408"/>
    </row>
    <row r="13" spans="1:12" x14ac:dyDescent="0.2">
      <c r="A13" s="408"/>
      <c r="L13" s="408"/>
    </row>
    <row r="14" spans="1:12" x14ac:dyDescent="0.2">
      <c r="A14" s="408"/>
      <c r="B14" s="411" t="s">
        <v>634</v>
      </c>
      <c r="L14" s="408"/>
    </row>
    <row r="15" spans="1:12" x14ac:dyDescent="0.2">
      <c r="A15" s="408"/>
      <c r="L15" s="408"/>
    </row>
    <row r="16" spans="1:12" x14ac:dyDescent="0.2">
      <c r="A16" s="408"/>
      <c r="B16" s="409" t="s">
        <v>635</v>
      </c>
      <c r="L16" s="408"/>
    </row>
    <row r="17" spans="1:12" x14ac:dyDescent="0.2">
      <c r="A17" s="408"/>
      <c r="B17" s="409" t="s">
        <v>636</v>
      </c>
      <c r="L17" s="408"/>
    </row>
    <row r="18" spans="1:12" x14ac:dyDescent="0.2">
      <c r="A18" s="408"/>
      <c r="L18" s="408"/>
    </row>
    <row r="19" spans="1:12" x14ac:dyDescent="0.2">
      <c r="A19" s="408"/>
      <c r="B19" s="411" t="s">
        <v>807</v>
      </c>
      <c r="L19" s="408"/>
    </row>
    <row r="20" spans="1:12" x14ac:dyDescent="0.2">
      <c r="A20" s="408"/>
      <c r="B20" s="411"/>
      <c r="L20" s="408"/>
    </row>
    <row r="21" spans="1:12" x14ac:dyDescent="0.2">
      <c r="A21" s="408"/>
      <c r="B21" s="409" t="s">
        <v>808</v>
      </c>
      <c r="L21" s="408"/>
    </row>
    <row r="22" spans="1:12" x14ac:dyDescent="0.2">
      <c r="A22" s="408"/>
      <c r="L22" s="408"/>
    </row>
    <row r="23" spans="1:12" x14ac:dyDescent="0.2">
      <c r="A23" s="408"/>
      <c r="B23" s="409" t="s">
        <v>637</v>
      </c>
      <c r="E23" s="409" t="s">
        <v>638</v>
      </c>
      <c r="F23" s="869">
        <v>312000000</v>
      </c>
      <c r="G23" s="869"/>
      <c r="L23" s="408"/>
    </row>
    <row r="24" spans="1:12" x14ac:dyDescent="0.2">
      <c r="A24" s="408"/>
      <c r="L24" s="408"/>
    </row>
    <row r="25" spans="1:12" x14ac:dyDescent="0.2">
      <c r="A25" s="408"/>
      <c r="C25" s="876">
        <f>F23</f>
        <v>312000000</v>
      </c>
      <c r="D25" s="876"/>
      <c r="E25" s="409" t="s">
        <v>639</v>
      </c>
      <c r="F25" s="412">
        <v>1000</v>
      </c>
      <c r="G25" s="412" t="s">
        <v>638</v>
      </c>
      <c r="H25" s="570">
        <f>F23/F25</f>
        <v>312000</v>
      </c>
      <c r="L25" s="408"/>
    </row>
    <row r="26" spans="1:12" ht="15" thickBot="1" x14ac:dyDescent="0.25">
      <c r="A26" s="408"/>
      <c r="L26" s="408"/>
    </row>
    <row r="27" spans="1:12" x14ac:dyDescent="0.2">
      <c r="A27" s="408"/>
      <c r="B27" s="413" t="s">
        <v>634</v>
      </c>
      <c r="C27" s="414"/>
      <c r="D27" s="414"/>
      <c r="E27" s="414"/>
      <c r="F27" s="414"/>
      <c r="G27" s="414"/>
      <c r="H27" s="414"/>
      <c r="I27" s="414"/>
      <c r="J27" s="414"/>
      <c r="K27" s="415"/>
      <c r="L27" s="408"/>
    </row>
    <row r="28" spans="1:12" x14ac:dyDescent="0.2">
      <c r="A28" s="408"/>
      <c r="B28" s="416">
        <f>F23</f>
        <v>312000000</v>
      </c>
      <c r="C28" s="417" t="s">
        <v>640</v>
      </c>
      <c r="D28" s="417"/>
      <c r="E28" s="417" t="s">
        <v>639</v>
      </c>
      <c r="F28" s="567">
        <v>1000</v>
      </c>
      <c r="G28" s="567" t="s">
        <v>638</v>
      </c>
      <c r="H28" s="418">
        <f>B28/F28</f>
        <v>312000</v>
      </c>
      <c r="I28" s="417" t="s">
        <v>641</v>
      </c>
      <c r="J28" s="417"/>
      <c r="K28" s="419"/>
      <c r="L28" s="408"/>
    </row>
    <row r="29" spans="1:12" ht="15" thickBot="1" x14ac:dyDescent="0.25">
      <c r="A29" s="408"/>
      <c r="B29" s="420"/>
      <c r="C29" s="421"/>
      <c r="D29" s="421"/>
      <c r="E29" s="421"/>
      <c r="F29" s="421"/>
      <c r="G29" s="421"/>
      <c r="H29" s="421"/>
      <c r="I29" s="421"/>
      <c r="J29" s="421"/>
      <c r="K29" s="422"/>
      <c r="L29" s="408"/>
    </row>
    <row r="30" spans="1:12" ht="40.5" customHeight="1" x14ac:dyDescent="0.2">
      <c r="A30" s="408"/>
      <c r="B30" s="864" t="s">
        <v>630</v>
      </c>
      <c r="C30" s="864"/>
      <c r="D30" s="864"/>
      <c r="E30" s="864"/>
      <c r="F30" s="864"/>
      <c r="G30" s="864"/>
      <c r="H30" s="864"/>
      <c r="I30" s="864"/>
      <c r="J30" s="864"/>
      <c r="K30" s="864"/>
      <c r="L30" s="408"/>
    </row>
    <row r="31" spans="1:12" x14ac:dyDescent="0.2">
      <c r="A31" s="408"/>
      <c r="B31" s="874" t="s">
        <v>642</v>
      </c>
      <c r="C31" s="874"/>
      <c r="D31" s="874"/>
      <c r="E31" s="874"/>
      <c r="F31" s="874"/>
      <c r="G31" s="874"/>
      <c r="H31" s="874"/>
      <c r="I31" s="874"/>
      <c r="J31" s="874"/>
      <c r="K31" s="874"/>
      <c r="L31" s="408"/>
    </row>
    <row r="32" spans="1:12" x14ac:dyDescent="0.2">
      <c r="A32" s="408"/>
      <c r="L32" s="408"/>
    </row>
    <row r="33" spans="1:12" x14ac:dyDescent="0.2">
      <c r="A33" s="408"/>
      <c r="B33" s="874" t="s">
        <v>643</v>
      </c>
      <c r="C33" s="874"/>
      <c r="D33" s="874"/>
      <c r="E33" s="874"/>
      <c r="F33" s="874"/>
      <c r="G33" s="874"/>
      <c r="H33" s="874"/>
      <c r="I33" s="874"/>
      <c r="J33" s="874"/>
      <c r="K33" s="874"/>
      <c r="L33" s="408"/>
    </row>
    <row r="34" spans="1:12" x14ac:dyDescent="0.2">
      <c r="A34" s="408"/>
      <c r="L34" s="408"/>
    </row>
    <row r="35" spans="1:12" ht="89.25" customHeight="1" x14ac:dyDescent="0.2">
      <c r="A35" s="408"/>
      <c r="B35" s="867" t="s">
        <v>644</v>
      </c>
      <c r="C35" s="875"/>
      <c r="D35" s="875"/>
      <c r="E35" s="875"/>
      <c r="F35" s="875"/>
      <c r="G35" s="875"/>
      <c r="H35" s="875"/>
      <c r="I35" s="875"/>
      <c r="J35" s="875"/>
      <c r="K35" s="875"/>
      <c r="L35" s="408"/>
    </row>
    <row r="36" spans="1:12" x14ac:dyDescent="0.2">
      <c r="A36" s="408"/>
      <c r="L36" s="408"/>
    </row>
    <row r="37" spans="1:12" x14ac:dyDescent="0.2">
      <c r="A37" s="408"/>
      <c r="B37" s="411" t="s">
        <v>645</v>
      </c>
      <c r="L37" s="408"/>
    </row>
    <row r="38" spans="1:12" x14ac:dyDescent="0.2">
      <c r="A38" s="408"/>
      <c r="L38" s="408"/>
    </row>
    <row r="39" spans="1:12" x14ac:dyDescent="0.2">
      <c r="A39" s="408"/>
      <c r="B39" s="409" t="s">
        <v>646</v>
      </c>
      <c r="L39" s="408"/>
    </row>
    <row r="40" spans="1:12" x14ac:dyDescent="0.2">
      <c r="A40" s="408"/>
      <c r="L40" s="408"/>
    </row>
    <row r="41" spans="1:12" x14ac:dyDescent="0.2">
      <c r="A41" s="408"/>
      <c r="C41" s="877">
        <v>312000000</v>
      </c>
      <c r="D41" s="877"/>
      <c r="E41" s="409" t="s">
        <v>639</v>
      </c>
      <c r="F41" s="412">
        <v>1000</v>
      </c>
      <c r="G41" s="412" t="s">
        <v>638</v>
      </c>
      <c r="H41" s="423">
        <f>C41/F41</f>
        <v>312000</v>
      </c>
      <c r="L41" s="408"/>
    </row>
    <row r="42" spans="1:12" x14ac:dyDescent="0.2">
      <c r="A42" s="408"/>
      <c r="L42" s="408"/>
    </row>
    <row r="43" spans="1:12" x14ac:dyDescent="0.2">
      <c r="A43" s="408"/>
      <c r="B43" s="409" t="s">
        <v>647</v>
      </c>
      <c r="L43" s="408"/>
    </row>
    <row r="44" spans="1:12" x14ac:dyDescent="0.2">
      <c r="A44" s="408"/>
      <c r="L44" s="408"/>
    </row>
    <row r="45" spans="1:12" x14ac:dyDescent="0.2">
      <c r="A45" s="408"/>
      <c r="B45" s="409" t="s">
        <v>648</v>
      </c>
      <c r="L45" s="408"/>
    </row>
    <row r="46" spans="1:12" ht="15" thickBot="1" x14ac:dyDescent="0.25">
      <c r="A46" s="408"/>
      <c r="L46" s="408"/>
    </row>
    <row r="47" spans="1:12" x14ac:dyDescent="0.2">
      <c r="A47" s="408"/>
      <c r="B47" s="424" t="s">
        <v>634</v>
      </c>
      <c r="C47" s="414"/>
      <c r="D47" s="414"/>
      <c r="E47" s="414"/>
      <c r="F47" s="414"/>
      <c r="G47" s="414"/>
      <c r="H47" s="414"/>
      <c r="I47" s="414"/>
      <c r="J47" s="414"/>
      <c r="K47" s="415"/>
      <c r="L47" s="408"/>
    </row>
    <row r="48" spans="1:12" x14ac:dyDescent="0.2">
      <c r="A48" s="408"/>
      <c r="B48" s="868">
        <v>312000000</v>
      </c>
      <c r="C48" s="869"/>
      <c r="D48" s="417" t="s">
        <v>649</v>
      </c>
      <c r="E48" s="417" t="s">
        <v>639</v>
      </c>
      <c r="F48" s="567">
        <v>1000</v>
      </c>
      <c r="G48" s="567" t="s">
        <v>638</v>
      </c>
      <c r="H48" s="418">
        <f>B48/F48</f>
        <v>312000</v>
      </c>
      <c r="I48" s="417" t="s">
        <v>650</v>
      </c>
      <c r="J48" s="417"/>
      <c r="K48" s="419"/>
      <c r="L48" s="408"/>
    </row>
    <row r="49" spans="1:24" x14ac:dyDescent="0.2">
      <c r="A49" s="408"/>
      <c r="B49" s="425"/>
      <c r="C49" s="417"/>
      <c r="D49" s="417"/>
      <c r="E49" s="417"/>
      <c r="F49" s="417"/>
      <c r="G49" s="417"/>
      <c r="H49" s="417"/>
      <c r="I49" s="417"/>
      <c r="J49" s="417"/>
      <c r="K49" s="419"/>
      <c r="L49" s="408"/>
    </row>
    <row r="50" spans="1:24" x14ac:dyDescent="0.2">
      <c r="A50" s="408"/>
      <c r="B50" s="426">
        <v>50000</v>
      </c>
      <c r="C50" s="417" t="s">
        <v>651</v>
      </c>
      <c r="D50" s="417"/>
      <c r="E50" s="417" t="s">
        <v>639</v>
      </c>
      <c r="F50" s="418">
        <f>H48</f>
        <v>312000</v>
      </c>
      <c r="G50" s="870" t="s">
        <v>652</v>
      </c>
      <c r="H50" s="871"/>
      <c r="I50" s="567" t="s">
        <v>638</v>
      </c>
      <c r="J50" s="427">
        <f>B50/F50</f>
        <v>0.16025641025641027</v>
      </c>
      <c r="K50" s="419"/>
      <c r="L50" s="408"/>
    </row>
    <row r="51" spans="1:24" ht="15" thickBot="1" x14ac:dyDescent="0.25">
      <c r="A51" s="408"/>
      <c r="B51" s="420"/>
      <c r="C51" s="421"/>
      <c r="D51" s="421"/>
      <c r="E51" s="421"/>
      <c r="F51" s="421"/>
      <c r="G51" s="421"/>
      <c r="H51" s="421"/>
      <c r="I51" s="872" t="s">
        <v>653</v>
      </c>
      <c r="J51" s="872"/>
      <c r="K51" s="873"/>
      <c r="L51" s="408"/>
      <c r="O51" s="550"/>
    </row>
    <row r="52" spans="1:24" ht="40.5" customHeight="1" x14ac:dyDescent="0.2">
      <c r="A52" s="408"/>
      <c r="B52" s="864" t="s">
        <v>630</v>
      </c>
      <c r="C52" s="864"/>
      <c r="D52" s="864"/>
      <c r="E52" s="864"/>
      <c r="F52" s="864"/>
      <c r="G52" s="864"/>
      <c r="H52" s="864"/>
      <c r="I52" s="864"/>
      <c r="J52" s="864"/>
      <c r="K52" s="864"/>
      <c r="L52" s="408"/>
    </row>
    <row r="53" spans="1:24" x14ac:dyDescent="0.2">
      <c r="A53" s="408"/>
      <c r="B53" s="874" t="s">
        <v>654</v>
      </c>
      <c r="C53" s="874"/>
      <c r="D53" s="874"/>
      <c r="E53" s="874"/>
      <c r="F53" s="874"/>
      <c r="G53" s="874"/>
      <c r="H53" s="874"/>
      <c r="I53" s="874"/>
      <c r="J53" s="874"/>
      <c r="K53" s="874"/>
      <c r="L53" s="408"/>
    </row>
    <row r="54" spans="1:24" x14ac:dyDescent="0.2">
      <c r="A54" s="408"/>
      <c r="B54" s="569"/>
      <c r="C54" s="569"/>
      <c r="D54" s="569"/>
      <c r="E54" s="569"/>
      <c r="F54" s="569"/>
      <c r="G54" s="569"/>
      <c r="H54" s="569"/>
      <c r="I54" s="569"/>
      <c r="J54" s="569"/>
      <c r="K54" s="569"/>
      <c r="L54" s="408"/>
    </row>
    <row r="55" spans="1:24" x14ac:dyDescent="0.2">
      <c r="A55" s="408"/>
      <c r="B55" s="865" t="s">
        <v>655</v>
      </c>
      <c r="C55" s="865"/>
      <c r="D55" s="865"/>
      <c r="E55" s="865"/>
      <c r="F55" s="865"/>
      <c r="G55" s="865"/>
      <c r="H55" s="865"/>
      <c r="I55" s="865"/>
      <c r="J55" s="865"/>
      <c r="K55" s="865"/>
      <c r="L55" s="408"/>
    </row>
    <row r="56" spans="1:24" ht="15" customHeight="1" x14ac:dyDescent="0.2">
      <c r="A56" s="408"/>
      <c r="L56" s="408"/>
    </row>
    <row r="57" spans="1:24" ht="74.25" customHeight="1" x14ac:dyDescent="0.2">
      <c r="A57" s="408"/>
      <c r="B57" s="867" t="s">
        <v>656</v>
      </c>
      <c r="C57" s="875"/>
      <c r="D57" s="875"/>
      <c r="E57" s="875"/>
      <c r="F57" s="875"/>
      <c r="G57" s="875"/>
      <c r="H57" s="875"/>
      <c r="I57" s="875"/>
      <c r="J57" s="875"/>
      <c r="K57" s="875"/>
      <c r="L57" s="408"/>
      <c r="M57" s="428"/>
      <c r="N57" s="429"/>
      <c r="O57" s="429"/>
      <c r="P57" s="429"/>
      <c r="Q57" s="429"/>
      <c r="R57" s="429"/>
      <c r="S57" s="429"/>
      <c r="T57" s="429"/>
      <c r="U57" s="429"/>
      <c r="V57" s="429"/>
      <c r="W57" s="429"/>
      <c r="X57" s="429"/>
    </row>
    <row r="58" spans="1:24" ht="15" customHeight="1" x14ac:dyDescent="0.2">
      <c r="A58" s="408"/>
      <c r="B58" s="867"/>
      <c r="C58" s="875"/>
      <c r="D58" s="875"/>
      <c r="E58" s="875"/>
      <c r="F58" s="875"/>
      <c r="G58" s="875"/>
      <c r="H58" s="875"/>
      <c r="I58" s="875"/>
      <c r="J58" s="875"/>
      <c r="K58" s="875"/>
      <c r="L58" s="408"/>
      <c r="M58" s="428"/>
      <c r="N58" s="429"/>
      <c r="O58" s="429"/>
      <c r="P58" s="429"/>
      <c r="Q58" s="429"/>
      <c r="R58" s="429"/>
      <c r="S58" s="429"/>
      <c r="T58" s="429"/>
      <c r="U58" s="429"/>
      <c r="V58" s="429"/>
      <c r="W58" s="429"/>
      <c r="X58" s="429"/>
    </row>
    <row r="59" spans="1:24" x14ac:dyDescent="0.2">
      <c r="A59" s="408"/>
      <c r="B59" s="411" t="s">
        <v>645</v>
      </c>
      <c r="L59" s="408"/>
      <c r="M59" s="429"/>
      <c r="N59" s="429"/>
      <c r="O59" s="429"/>
      <c r="P59" s="429"/>
      <c r="Q59" s="429"/>
      <c r="R59" s="429"/>
      <c r="S59" s="429"/>
      <c r="T59" s="429"/>
      <c r="U59" s="429"/>
      <c r="V59" s="429"/>
      <c r="W59" s="429"/>
      <c r="X59" s="429"/>
    </row>
    <row r="60" spans="1:24" x14ac:dyDescent="0.2">
      <c r="A60" s="408"/>
      <c r="L60" s="408"/>
      <c r="M60" s="429"/>
      <c r="N60" s="429"/>
      <c r="O60" s="429"/>
      <c r="P60" s="429"/>
      <c r="Q60" s="429"/>
      <c r="R60" s="429"/>
      <c r="S60" s="429"/>
      <c r="T60" s="429"/>
      <c r="U60" s="429"/>
      <c r="V60" s="429"/>
      <c r="W60" s="429"/>
      <c r="X60" s="429"/>
    </row>
    <row r="61" spans="1:24" x14ac:dyDescent="0.2">
      <c r="A61" s="408"/>
      <c r="B61" s="409" t="s">
        <v>657</v>
      </c>
      <c r="L61" s="408"/>
      <c r="M61" s="429"/>
      <c r="N61" s="429"/>
      <c r="O61" s="429"/>
      <c r="P61" s="429"/>
      <c r="Q61" s="429"/>
      <c r="R61" s="429"/>
      <c r="S61" s="429"/>
      <c r="T61" s="429"/>
      <c r="U61" s="429"/>
      <c r="V61" s="429"/>
      <c r="W61" s="429"/>
      <c r="X61" s="429"/>
    </row>
    <row r="62" spans="1:24" x14ac:dyDescent="0.2">
      <c r="A62" s="408"/>
      <c r="B62" s="409" t="s">
        <v>809</v>
      </c>
      <c r="L62" s="408"/>
      <c r="M62" s="429"/>
      <c r="N62" s="429"/>
      <c r="O62" s="429"/>
      <c r="P62" s="429"/>
      <c r="Q62" s="429"/>
      <c r="R62" s="429"/>
      <c r="S62" s="429"/>
      <c r="T62" s="429"/>
      <c r="U62" s="429"/>
      <c r="V62" s="429"/>
      <c r="W62" s="429"/>
      <c r="X62" s="429"/>
    </row>
    <row r="63" spans="1:24" x14ac:dyDescent="0.2">
      <c r="A63" s="408"/>
      <c r="B63" s="409" t="s">
        <v>810</v>
      </c>
      <c r="L63" s="408"/>
      <c r="M63" s="429"/>
      <c r="N63" s="429"/>
      <c r="O63" s="429"/>
      <c r="P63" s="429"/>
      <c r="Q63" s="429"/>
      <c r="R63" s="429"/>
      <c r="S63" s="429"/>
      <c r="T63" s="429"/>
      <c r="U63" s="429"/>
      <c r="V63" s="429"/>
      <c r="W63" s="429"/>
      <c r="X63" s="429"/>
    </row>
    <row r="64" spans="1:24" x14ac:dyDescent="0.2">
      <c r="A64" s="408"/>
      <c r="L64" s="408"/>
      <c r="M64" s="429"/>
      <c r="N64" s="429"/>
      <c r="O64" s="429"/>
      <c r="P64" s="429"/>
      <c r="Q64" s="429"/>
      <c r="R64" s="429"/>
      <c r="S64" s="429"/>
      <c r="T64" s="429"/>
      <c r="U64" s="429"/>
      <c r="V64" s="429"/>
      <c r="W64" s="429"/>
      <c r="X64" s="429"/>
    </row>
    <row r="65" spans="1:24" x14ac:dyDescent="0.2">
      <c r="A65" s="408"/>
      <c r="B65" s="409" t="s">
        <v>658</v>
      </c>
      <c r="L65" s="408"/>
      <c r="M65" s="429"/>
      <c r="N65" s="429"/>
      <c r="O65" s="429"/>
      <c r="P65" s="429"/>
      <c r="Q65" s="429"/>
      <c r="R65" s="429"/>
      <c r="S65" s="429"/>
      <c r="T65" s="429"/>
      <c r="U65" s="429"/>
      <c r="V65" s="429"/>
      <c r="W65" s="429"/>
      <c r="X65" s="429"/>
    </row>
    <row r="66" spans="1:24" x14ac:dyDescent="0.2">
      <c r="A66" s="408"/>
      <c r="B66" s="409" t="s">
        <v>659</v>
      </c>
      <c r="L66" s="408"/>
      <c r="M66" s="429"/>
      <c r="N66" s="429"/>
      <c r="O66" s="429"/>
      <c r="P66" s="429"/>
      <c r="Q66" s="429"/>
      <c r="R66" s="429"/>
      <c r="S66" s="429"/>
      <c r="T66" s="429"/>
      <c r="U66" s="429"/>
      <c r="V66" s="429"/>
      <c r="W66" s="429"/>
      <c r="X66" s="429"/>
    </row>
    <row r="67" spans="1:24" x14ac:dyDescent="0.2">
      <c r="A67" s="408"/>
      <c r="L67" s="408"/>
      <c r="M67" s="429"/>
      <c r="N67" s="429"/>
      <c r="O67" s="429"/>
      <c r="P67" s="429"/>
      <c r="Q67" s="429"/>
      <c r="R67" s="429"/>
      <c r="S67" s="429"/>
      <c r="T67" s="429"/>
      <c r="U67" s="429"/>
      <c r="V67" s="429"/>
      <c r="W67" s="429"/>
      <c r="X67" s="429"/>
    </row>
    <row r="68" spans="1:24" x14ac:dyDescent="0.2">
      <c r="A68" s="408"/>
      <c r="B68" s="409" t="s">
        <v>660</v>
      </c>
      <c r="L68" s="408"/>
      <c r="M68" s="430"/>
      <c r="N68" s="431"/>
      <c r="O68" s="431"/>
      <c r="P68" s="431"/>
      <c r="Q68" s="431"/>
      <c r="R68" s="431"/>
      <c r="S68" s="431"/>
      <c r="T68" s="431"/>
      <c r="U68" s="431"/>
      <c r="V68" s="431"/>
      <c r="W68" s="431"/>
      <c r="X68" s="429"/>
    </row>
    <row r="69" spans="1:24" x14ac:dyDescent="0.2">
      <c r="A69" s="408"/>
      <c r="B69" s="409" t="s">
        <v>811</v>
      </c>
      <c r="L69" s="408"/>
      <c r="M69" s="429"/>
      <c r="N69" s="429"/>
      <c r="O69" s="429"/>
      <c r="P69" s="429"/>
      <c r="Q69" s="429"/>
      <c r="R69" s="429"/>
      <c r="S69" s="429"/>
      <c r="T69" s="429"/>
      <c r="U69" s="429"/>
      <c r="V69" s="429"/>
      <c r="W69" s="429"/>
      <c r="X69" s="429"/>
    </row>
    <row r="70" spans="1:24" x14ac:dyDescent="0.2">
      <c r="A70" s="408"/>
      <c r="B70" s="409" t="s">
        <v>812</v>
      </c>
      <c r="L70" s="408"/>
      <c r="M70" s="429"/>
      <c r="N70" s="429"/>
      <c r="O70" s="429"/>
      <c r="P70" s="429"/>
      <c r="Q70" s="429"/>
      <c r="R70" s="429"/>
      <c r="S70" s="429"/>
      <c r="T70" s="429"/>
      <c r="U70" s="429"/>
      <c r="V70" s="429"/>
      <c r="W70" s="429"/>
      <c r="X70" s="429"/>
    </row>
    <row r="71" spans="1:24" ht="15" thickBot="1" x14ac:dyDescent="0.25">
      <c r="A71" s="408"/>
      <c r="B71" s="417"/>
      <c r="C71" s="417"/>
      <c r="D71" s="417"/>
      <c r="E71" s="417"/>
      <c r="F71" s="417"/>
      <c r="G71" s="417"/>
      <c r="H71" s="417"/>
      <c r="I71" s="417"/>
      <c r="J71" s="417"/>
      <c r="K71" s="417"/>
      <c r="L71" s="408"/>
    </row>
    <row r="72" spans="1:24" x14ac:dyDescent="0.2">
      <c r="A72" s="408"/>
      <c r="B72" s="413" t="s">
        <v>634</v>
      </c>
      <c r="C72" s="414"/>
      <c r="D72" s="414"/>
      <c r="E72" s="414"/>
      <c r="F72" s="414"/>
      <c r="G72" s="414"/>
      <c r="H72" s="414"/>
      <c r="I72" s="414"/>
      <c r="J72" s="414"/>
      <c r="K72" s="415"/>
      <c r="L72" s="432"/>
    </row>
    <row r="73" spans="1:24" x14ac:dyDescent="0.2">
      <c r="A73" s="408"/>
      <c r="B73" s="425"/>
      <c r="C73" s="417" t="s">
        <v>640</v>
      </c>
      <c r="D73" s="417"/>
      <c r="E73" s="417"/>
      <c r="F73" s="417"/>
      <c r="G73" s="417"/>
      <c r="H73" s="417"/>
      <c r="I73" s="417"/>
      <c r="J73" s="417"/>
      <c r="K73" s="419"/>
      <c r="L73" s="432"/>
    </row>
    <row r="74" spans="1:24" x14ac:dyDescent="0.2">
      <c r="A74" s="408"/>
      <c r="B74" s="425" t="s">
        <v>661</v>
      </c>
      <c r="C74" s="869">
        <v>312000000</v>
      </c>
      <c r="D74" s="869"/>
      <c r="E74" s="567" t="s">
        <v>639</v>
      </c>
      <c r="F74" s="567">
        <v>1000</v>
      </c>
      <c r="G74" s="567" t="s">
        <v>638</v>
      </c>
      <c r="H74" s="564">
        <f>C74/F74</f>
        <v>312000</v>
      </c>
      <c r="I74" s="417" t="s">
        <v>662</v>
      </c>
      <c r="J74" s="417"/>
      <c r="K74" s="419"/>
      <c r="L74" s="432"/>
    </row>
    <row r="75" spans="1:24" x14ac:dyDescent="0.2">
      <c r="A75" s="408"/>
      <c r="B75" s="425"/>
      <c r="C75" s="417"/>
      <c r="D75" s="417"/>
      <c r="E75" s="567"/>
      <c r="F75" s="417"/>
      <c r="G75" s="417"/>
      <c r="H75" s="417"/>
      <c r="I75" s="417"/>
      <c r="J75" s="417"/>
      <c r="K75" s="419"/>
      <c r="L75" s="432"/>
    </row>
    <row r="76" spans="1:24" x14ac:dyDescent="0.2">
      <c r="A76" s="408"/>
      <c r="B76" s="425"/>
      <c r="C76" s="417" t="s">
        <v>663</v>
      </c>
      <c r="D76" s="417"/>
      <c r="E76" s="567"/>
      <c r="F76" s="417" t="s">
        <v>662</v>
      </c>
      <c r="G76" s="417"/>
      <c r="H76" s="417"/>
      <c r="I76" s="417"/>
      <c r="J76" s="417"/>
      <c r="K76" s="419"/>
      <c r="L76" s="432"/>
    </row>
    <row r="77" spans="1:24" x14ac:dyDescent="0.2">
      <c r="A77" s="408"/>
      <c r="B77" s="425" t="s">
        <v>666</v>
      </c>
      <c r="C77" s="869">
        <v>50000</v>
      </c>
      <c r="D77" s="869"/>
      <c r="E77" s="567" t="s">
        <v>639</v>
      </c>
      <c r="F77" s="564">
        <f>H74</f>
        <v>312000</v>
      </c>
      <c r="G77" s="567" t="s">
        <v>638</v>
      </c>
      <c r="H77" s="427">
        <f>C77/F77</f>
        <v>0.16025641025641027</v>
      </c>
      <c r="I77" s="417" t="s">
        <v>664</v>
      </c>
      <c r="J77" s="417"/>
      <c r="K77" s="419"/>
      <c r="L77" s="432"/>
    </row>
    <row r="78" spans="1:24" x14ac:dyDescent="0.2">
      <c r="A78" s="408"/>
      <c r="B78" s="425"/>
      <c r="C78" s="417"/>
      <c r="D78" s="417"/>
      <c r="E78" s="567"/>
      <c r="F78" s="417"/>
      <c r="G78" s="417"/>
      <c r="H78" s="417"/>
      <c r="I78" s="417"/>
      <c r="J78" s="417"/>
      <c r="K78" s="419"/>
      <c r="L78" s="432"/>
    </row>
    <row r="79" spans="1:24" x14ac:dyDescent="0.2">
      <c r="A79" s="408"/>
      <c r="B79" s="433"/>
      <c r="C79" s="434" t="s">
        <v>665</v>
      </c>
      <c r="D79" s="434"/>
      <c r="E79" s="573"/>
      <c r="F79" s="434"/>
      <c r="G79" s="434"/>
      <c r="H79" s="434"/>
      <c r="I79" s="434"/>
      <c r="J79" s="434"/>
      <c r="K79" s="435"/>
      <c r="L79" s="432"/>
    </row>
    <row r="80" spans="1:24" x14ac:dyDescent="0.2">
      <c r="A80" s="408"/>
      <c r="B80" s="425" t="s">
        <v>727</v>
      </c>
      <c r="C80" s="869">
        <v>100000</v>
      </c>
      <c r="D80" s="869"/>
      <c r="E80" s="567" t="s">
        <v>93</v>
      </c>
      <c r="F80" s="567">
        <v>0.115</v>
      </c>
      <c r="G80" s="567" t="s">
        <v>638</v>
      </c>
      <c r="H80" s="564">
        <f>C80*F80</f>
        <v>11500</v>
      </c>
      <c r="I80" s="417" t="s">
        <v>667</v>
      </c>
      <c r="J80" s="417"/>
      <c r="K80" s="419"/>
      <c r="L80" s="432"/>
    </row>
    <row r="81" spans="1:12" x14ac:dyDescent="0.2">
      <c r="A81" s="408"/>
      <c r="B81" s="425"/>
      <c r="C81" s="417"/>
      <c r="D81" s="417"/>
      <c r="E81" s="567"/>
      <c r="F81" s="417"/>
      <c r="G81" s="417"/>
      <c r="H81" s="417"/>
      <c r="I81" s="417"/>
      <c r="J81" s="417"/>
      <c r="K81" s="419"/>
      <c r="L81" s="432"/>
    </row>
    <row r="82" spans="1:12" x14ac:dyDescent="0.2">
      <c r="A82" s="408"/>
      <c r="B82" s="433"/>
      <c r="C82" s="434" t="s">
        <v>668</v>
      </c>
      <c r="D82" s="434"/>
      <c r="E82" s="573"/>
      <c r="F82" s="434" t="s">
        <v>664</v>
      </c>
      <c r="G82" s="434"/>
      <c r="H82" s="434"/>
      <c r="I82" s="434"/>
      <c r="J82" s="434" t="s">
        <v>669</v>
      </c>
      <c r="K82" s="435"/>
      <c r="L82" s="432"/>
    </row>
    <row r="83" spans="1:12" x14ac:dyDescent="0.2">
      <c r="A83" s="408"/>
      <c r="B83" s="425" t="s">
        <v>728</v>
      </c>
      <c r="C83" s="881">
        <f>H80</f>
        <v>11500</v>
      </c>
      <c r="D83" s="881"/>
      <c r="E83" s="567" t="s">
        <v>93</v>
      </c>
      <c r="F83" s="427">
        <f>H77</f>
        <v>0.16025641025641027</v>
      </c>
      <c r="G83" s="567" t="s">
        <v>639</v>
      </c>
      <c r="H83" s="567">
        <v>1000</v>
      </c>
      <c r="I83" s="567" t="s">
        <v>638</v>
      </c>
      <c r="J83" s="565">
        <f>C83*F83/H83</f>
        <v>1.8429487179487181</v>
      </c>
      <c r="K83" s="419"/>
      <c r="L83" s="432"/>
    </row>
    <row r="84" spans="1:12" ht="15" thickBot="1" x14ac:dyDescent="0.25">
      <c r="A84" s="408"/>
      <c r="B84" s="420"/>
      <c r="C84" s="436"/>
      <c r="D84" s="436"/>
      <c r="E84" s="437"/>
      <c r="F84" s="438"/>
      <c r="G84" s="437"/>
      <c r="H84" s="437"/>
      <c r="I84" s="437"/>
      <c r="J84" s="439"/>
      <c r="K84" s="422"/>
      <c r="L84" s="432"/>
    </row>
    <row r="85" spans="1:12" ht="40.5" customHeight="1" x14ac:dyDescent="0.2">
      <c r="A85" s="408"/>
      <c r="B85" s="864" t="s">
        <v>630</v>
      </c>
      <c r="C85" s="864"/>
      <c r="D85" s="864"/>
      <c r="E85" s="864"/>
      <c r="F85" s="864"/>
      <c r="G85" s="864"/>
      <c r="H85" s="864"/>
      <c r="I85" s="864"/>
      <c r="J85" s="864"/>
      <c r="K85" s="864"/>
      <c r="L85" s="408"/>
    </row>
    <row r="86" spans="1:12" x14ac:dyDescent="0.2">
      <c r="A86" s="408"/>
      <c r="B86" s="865" t="s">
        <v>670</v>
      </c>
      <c r="C86" s="865"/>
      <c r="D86" s="865"/>
      <c r="E86" s="865"/>
      <c r="F86" s="865"/>
      <c r="G86" s="865"/>
      <c r="H86" s="865"/>
      <c r="I86" s="865"/>
      <c r="J86" s="865"/>
      <c r="K86" s="865"/>
      <c r="L86" s="408"/>
    </row>
    <row r="87" spans="1:12" x14ac:dyDescent="0.2">
      <c r="A87" s="408"/>
      <c r="B87" s="440"/>
      <c r="C87" s="440"/>
      <c r="D87" s="440"/>
      <c r="E87" s="440"/>
      <c r="F87" s="440"/>
      <c r="G87" s="440"/>
      <c r="H87" s="440"/>
      <c r="I87" s="440"/>
      <c r="J87" s="440"/>
      <c r="K87" s="440"/>
      <c r="L87" s="408"/>
    </row>
    <row r="88" spans="1:12" x14ac:dyDescent="0.2">
      <c r="A88" s="408"/>
      <c r="B88" s="865" t="s">
        <v>671</v>
      </c>
      <c r="C88" s="865"/>
      <c r="D88" s="865"/>
      <c r="E88" s="865"/>
      <c r="F88" s="865"/>
      <c r="G88" s="865"/>
      <c r="H88" s="865"/>
      <c r="I88" s="865"/>
      <c r="J88" s="865"/>
      <c r="K88" s="865"/>
      <c r="L88" s="408"/>
    </row>
    <row r="89" spans="1:12" x14ac:dyDescent="0.2">
      <c r="A89" s="408"/>
      <c r="B89" s="566"/>
      <c r="C89" s="566"/>
      <c r="D89" s="566"/>
      <c r="E89" s="566"/>
      <c r="F89" s="566"/>
      <c r="G89" s="566"/>
      <c r="H89" s="566"/>
      <c r="I89" s="566"/>
      <c r="J89" s="566"/>
      <c r="K89" s="566"/>
      <c r="L89" s="408"/>
    </row>
    <row r="90" spans="1:12" ht="45" customHeight="1" x14ac:dyDescent="0.2">
      <c r="A90" s="408"/>
      <c r="B90" s="867" t="s">
        <v>672</v>
      </c>
      <c r="C90" s="867"/>
      <c r="D90" s="867"/>
      <c r="E90" s="867"/>
      <c r="F90" s="867"/>
      <c r="G90" s="867"/>
      <c r="H90" s="867"/>
      <c r="I90" s="867"/>
      <c r="J90" s="867"/>
      <c r="K90" s="867"/>
      <c r="L90" s="408"/>
    </row>
    <row r="91" spans="1:12" ht="15" customHeight="1" thickBot="1" x14ac:dyDescent="0.25">
      <c r="A91" s="408"/>
      <c r="L91" s="408"/>
    </row>
    <row r="92" spans="1:12" ht="15" customHeight="1" x14ac:dyDescent="0.2">
      <c r="A92" s="408"/>
      <c r="B92" s="441" t="s">
        <v>634</v>
      </c>
      <c r="C92" s="442"/>
      <c r="D92" s="442"/>
      <c r="E92" s="442"/>
      <c r="F92" s="442"/>
      <c r="G92" s="442"/>
      <c r="H92" s="442"/>
      <c r="I92" s="442"/>
      <c r="J92" s="442"/>
      <c r="K92" s="443"/>
      <c r="L92" s="408"/>
    </row>
    <row r="93" spans="1:12" ht="15" customHeight="1" x14ac:dyDescent="0.2">
      <c r="A93" s="408"/>
      <c r="B93" s="444"/>
      <c r="C93" s="571" t="s">
        <v>640</v>
      </c>
      <c r="D93" s="571"/>
      <c r="E93" s="571"/>
      <c r="F93" s="571"/>
      <c r="G93" s="571"/>
      <c r="H93" s="571"/>
      <c r="I93" s="571"/>
      <c r="J93" s="571"/>
      <c r="K93" s="445"/>
      <c r="L93" s="408"/>
    </row>
    <row r="94" spans="1:12" ht="15" customHeight="1" x14ac:dyDescent="0.2">
      <c r="A94" s="408"/>
      <c r="B94" s="444" t="s">
        <v>661</v>
      </c>
      <c r="C94" s="869">
        <v>312000000</v>
      </c>
      <c r="D94" s="869"/>
      <c r="E94" s="567" t="s">
        <v>639</v>
      </c>
      <c r="F94" s="567">
        <v>1000</v>
      </c>
      <c r="G94" s="567" t="s">
        <v>638</v>
      </c>
      <c r="H94" s="564">
        <f>C94/F94</f>
        <v>312000</v>
      </c>
      <c r="I94" s="571" t="s">
        <v>662</v>
      </c>
      <c r="J94" s="571"/>
      <c r="K94" s="445"/>
      <c r="L94" s="408"/>
    </row>
    <row r="95" spans="1:12" ht="15" customHeight="1" x14ac:dyDescent="0.2">
      <c r="A95" s="408"/>
      <c r="B95" s="444"/>
      <c r="C95" s="571"/>
      <c r="D95" s="571"/>
      <c r="E95" s="567"/>
      <c r="F95" s="571"/>
      <c r="G95" s="571"/>
      <c r="H95" s="571"/>
      <c r="I95" s="571"/>
      <c r="J95" s="571"/>
      <c r="K95" s="445"/>
      <c r="L95" s="408"/>
    </row>
    <row r="96" spans="1:12" ht="15" customHeight="1" x14ac:dyDescent="0.2">
      <c r="A96" s="408"/>
      <c r="B96" s="444"/>
      <c r="C96" s="571" t="s">
        <v>663</v>
      </c>
      <c r="D96" s="571"/>
      <c r="E96" s="567"/>
      <c r="F96" s="571" t="s">
        <v>662</v>
      </c>
      <c r="G96" s="571"/>
      <c r="H96" s="571"/>
      <c r="I96" s="571"/>
      <c r="J96" s="571"/>
      <c r="K96" s="445"/>
      <c r="L96" s="408"/>
    </row>
    <row r="97" spans="1:12" ht="15" customHeight="1" x14ac:dyDescent="0.2">
      <c r="A97" s="408"/>
      <c r="B97" s="444" t="s">
        <v>666</v>
      </c>
      <c r="C97" s="869">
        <v>50000</v>
      </c>
      <c r="D97" s="869"/>
      <c r="E97" s="567" t="s">
        <v>639</v>
      </c>
      <c r="F97" s="564">
        <f>H94</f>
        <v>312000</v>
      </c>
      <c r="G97" s="567" t="s">
        <v>638</v>
      </c>
      <c r="H97" s="427">
        <f>C97/F97</f>
        <v>0.16025641025641027</v>
      </c>
      <c r="I97" s="571" t="s">
        <v>664</v>
      </c>
      <c r="J97" s="571"/>
      <c r="K97" s="445"/>
      <c r="L97" s="408"/>
    </row>
    <row r="98" spans="1:12" ht="15" customHeight="1" x14ac:dyDescent="0.2">
      <c r="A98" s="408"/>
      <c r="B98" s="444"/>
      <c r="C98" s="571"/>
      <c r="D98" s="571"/>
      <c r="E98" s="567"/>
      <c r="F98" s="571"/>
      <c r="G98" s="571"/>
      <c r="H98" s="571"/>
      <c r="I98" s="571"/>
      <c r="J98" s="571"/>
      <c r="K98" s="445"/>
      <c r="L98" s="408"/>
    </row>
    <row r="99" spans="1:12" ht="15" customHeight="1" x14ac:dyDescent="0.2">
      <c r="A99" s="408"/>
      <c r="B99" s="446"/>
      <c r="C99" s="447" t="s">
        <v>673</v>
      </c>
      <c r="D99" s="447"/>
      <c r="E99" s="573"/>
      <c r="F99" s="447"/>
      <c r="G99" s="447"/>
      <c r="H99" s="447"/>
      <c r="I99" s="447"/>
      <c r="J99" s="447"/>
      <c r="K99" s="448"/>
      <c r="L99" s="408"/>
    </row>
    <row r="100" spans="1:12" ht="15" customHeight="1" x14ac:dyDescent="0.2">
      <c r="A100" s="408"/>
      <c r="B100" s="444" t="s">
        <v>727</v>
      </c>
      <c r="C100" s="869">
        <v>2500000</v>
      </c>
      <c r="D100" s="869"/>
      <c r="E100" s="567" t="s">
        <v>93</v>
      </c>
      <c r="F100" s="449">
        <v>0.3</v>
      </c>
      <c r="G100" s="567" t="s">
        <v>638</v>
      </c>
      <c r="H100" s="564">
        <f>C100*F100</f>
        <v>750000</v>
      </c>
      <c r="I100" s="571" t="s">
        <v>667</v>
      </c>
      <c r="J100" s="571"/>
      <c r="K100" s="445"/>
      <c r="L100" s="408"/>
    </row>
    <row r="101" spans="1:12" ht="15" customHeight="1" x14ac:dyDescent="0.2">
      <c r="A101" s="408"/>
      <c r="B101" s="444"/>
      <c r="C101" s="571"/>
      <c r="D101" s="571"/>
      <c r="E101" s="567"/>
      <c r="F101" s="571"/>
      <c r="G101" s="571"/>
      <c r="H101" s="571"/>
      <c r="I101" s="571"/>
      <c r="J101" s="571"/>
      <c r="K101" s="445"/>
      <c r="L101" s="408"/>
    </row>
    <row r="102" spans="1:12" ht="15" customHeight="1" x14ac:dyDescent="0.2">
      <c r="A102" s="408"/>
      <c r="B102" s="446"/>
      <c r="C102" s="447" t="s">
        <v>668</v>
      </c>
      <c r="D102" s="447"/>
      <c r="E102" s="573"/>
      <c r="F102" s="447" t="s">
        <v>664</v>
      </c>
      <c r="G102" s="447"/>
      <c r="H102" s="447"/>
      <c r="I102" s="447"/>
      <c r="J102" s="447" t="s">
        <v>669</v>
      </c>
      <c r="K102" s="448"/>
      <c r="L102" s="408"/>
    </row>
    <row r="103" spans="1:12" ht="15" customHeight="1" x14ac:dyDescent="0.2">
      <c r="A103" s="408"/>
      <c r="B103" s="444" t="s">
        <v>728</v>
      </c>
      <c r="C103" s="881">
        <f>H100</f>
        <v>750000</v>
      </c>
      <c r="D103" s="881"/>
      <c r="E103" s="567" t="s">
        <v>93</v>
      </c>
      <c r="F103" s="427">
        <f>H97</f>
        <v>0.16025641025641027</v>
      </c>
      <c r="G103" s="567" t="s">
        <v>639</v>
      </c>
      <c r="H103" s="567">
        <v>1000</v>
      </c>
      <c r="I103" s="567" t="s">
        <v>638</v>
      </c>
      <c r="J103" s="565">
        <f>C103*F103/H103</f>
        <v>120.19230769230771</v>
      </c>
      <c r="K103" s="445"/>
      <c r="L103" s="408"/>
    </row>
    <row r="104" spans="1:12" ht="15" customHeight="1" thickBot="1" x14ac:dyDescent="0.25">
      <c r="A104" s="408"/>
      <c r="B104" s="450"/>
      <c r="C104" s="436"/>
      <c r="D104" s="436"/>
      <c r="E104" s="437"/>
      <c r="F104" s="438"/>
      <c r="G104" s="437"/>
      <c r="H104" s="437"/>
      <c r="I104" s="437"/>
      <c r="J104" s="439"/>
      <c r="K104" s="572"/>
      <c r="L104" s="408"/>
    </row>
    <row r="105" spans="1:12" ht="40.5" customHeight="1" x14ac:dyDescent="0.2">
      <c r="A105" s="408"/>
      <c r="B105" s="864" t="s">
        <v>630</v>
      </c>
      <c r="C105" s="883"/>
      <c r="D105" s="883"/>
      <c r="E105" s="883"/>
      <c r="F105" s="883"/>
      <c r="G105" s="883"/>
      <c r="H105" s="883"/>
      <c r="I105" s="883"/>
      <c r="J105" s="883"/>
      <c r="K105" s="883"/>
      <c r="L105" s="408"/>
    </row>
    <row r="106" spans="1:12" ht="15" customHeight="1" x14ac:dyDescent="0.2">
      <c r="A106" s="408"/>
      <c r="B106" s="884" t="s">
        <v>674</v>
      </c>
      <c r="C106" s="878"/>
      <c r="D106" s="878"/>
      <c r="E106" s="878"/>
      <c r="F106" s="878"/>
      <c r="G106" s="878"/>
      <c r="H106" s="878"/>
      <c r="I106" s="878"/>
      <c r="J106" s="878"/>
      <c r="K106" s="878"/>
      <c r="L106" s="408"/>
    </row>
    <row r="107" spans="1:12" ht="15" customHeight="1" x14ac:dyDescent="0.2">
      <c r="A107" s="408"/>
      <c r="B107" s="571"/>
      <c r="C107" s="451"/>
      <c r="D107" s="451"/>
      <c r="E107" s="567"/>
      <c r="F107" s="427"/>
      <c r="G107" s="567"/>
      <c r="H107" s="567"/>
      <c r="I107" s="567"/>
      <c r="J107" s="565"/>
      <c r="K107" s="571"/>
      <c r="L107" s="408"/>
    </row>
    <row r="108" spans="1:12" ht="15" customHeight="1" x14ac:dyDescent="0.2">
      <c r="A108" s="408"/>
      <c r="B108" s="884" t="s">
        <v>675</v>
      </c>
      <c r="C108" s="885"/>
      <c r="D108" s="885"/>
      <c r="E108" s="885"/>
      <c r="F108" s="885"/>
      <c r="G108" s="885"/>
      <c r="H108" s="885"/>
      <c r="I108" s="885"/>
      <c r="J108" s="885"/>
      <c r="K108" s="885"/>
      <c r="L108" s="408"/>
    </row>
    <row r="109" spans="1:12" ht="15" customHeight="1" x14ac:dyDescent="0.2">
      <c r="A109" s="408"/>
      <c r="B109" s="571"/>
      <c r="C109" s="451"/>
      <c r="D109" s="451"/>
      <c r="E109" s="567"/>
      <c r="F109" s="427"/>
      <c r="G109" s="567"/>
      <c r="H109" s="567"/>
      <c r="I109" s="567"/>
      <c r="J109" s="565"/>
      <c r="K109" s="571"/>
      <c r="L109" s="408"/>
    </row>
    <row r="110" spans="1:12" ht="59.25" customHeight="1" x14ac:dyDescent="0.2">
      <c r="A110" s="408"/>
      <c r="B110" s="886" t="s">
        <v>676</v>
      </c>
      <c r="C110" s="875"/>
      <c r="D110" s="875"/>
      <c r="E110" s="875"/>
      <c r="F110" s="875"/>
      <c r="G110" s="875"/>
      <c r="H110" s="875"/>
      <c r="I110" s="875"/>
      <c r="J110" s="875"/>
      <c r="K110" s="875"/>
      <c r="L110" s="408"/>
    </row>
    <row r="111" spans="1:12" ht="15" thickBot="1" x14ac:dyDescent="0.25">
      <c r="A111" s="408"/>
      <c r="B111" s="569"/>
      <c r="C111" s="569"/>
      <c r="D111" s="569"/>
      <c r="E111" s="569"/>
      <c r="F111" s="569"/>
      <c r="G111" s="569"/>
      <c r="H111" s="569"/>
      <c r="I111" s="569"/>
      <c r="J111" s="569"/>
      <c r="K111" s="569"/>
      <c r="L111" s="452"/>
    </row>
    <row r="112" spans="1:12" x14ac:dyDescent="0.2">
      <c r="A112" s="408"/>
      <c r="B112" s="413" t="s">
        <v>634</v>
      </c>
      <c r="C112" s="414"/>
      <c r="D112" s="414"/>
      <c r="E112" s="414"/>
      <c r="F112" s="414"/>
      <c r="G112" s="414"/>
      <c r="H112" s="414"/>
      <c r="I112" s="414"/>
      <c r="J112" s="414"/>
      <c r="K112" s="415"/>
      <c r="L112" s="408"/>
    </row>
    <row r="113" spans="1:12" x14ac:dyDescent="0.2">
      <c r="A113" s="408"/>
      <c r="B113" s="425"/>
      <c r="C113" s="417" t="s">
        <v>640</v>
      </c>
      <c r="D113" s="417"/>
      <c r="E113" s="417"/>
      <c r="F113" s="417"/>
      <c r="G113" s="417"/>
      <c r="H113" s="417"/>
      <c r="I113" s="417"/>
      <c r="J113" s="417"/>
      <c r="K113" s="419"/>
      <c r="L113" s="408"/>
    </row>
    <row r="114" spans="1:12" x14ac:dyDescent="0.2">
      <c r="A114" s="408"/>
      <c r="B114" s="425" t="s">
        <v>661</v>
      </c>
      <c r="C114" s="869">
        <v>312000000</v>
      </c>
      <c r="D114" s="869"/>
      <c r="E114" s="567" t="s">
        <v>639</v>
      </c>
      <c r="F114" s="567">
        <v>1000</v>
      </c>
      <c r="G114" s="567" t="s">
        <v>638</v>
      </c>
      <c r="H114" s="564">
        <f>C114/F114</f>
        <v>312000</v>
      </c>
      <c r="I114" s="417" t="s">
        <v>662</v>
      </c>
      <c r="J114" s="417"/>
      <c r="K114" s="419"/>
      <c r="L114" s="408"/>
    </row>
    <row r="115" spans="1:12" x14ac:dyDescent="0.2">
      <c r="A115" s="408"/>
      <c r="B115" s="425"/>
      <c r="C115" s="417"/>
      <c r="D115" s="417"/>
      <c r="E115" s="567"/>
      <c r="F115" s="417"/>
      <c r="G115" s="417"/>
      <c r="H115" s="417"/>
      <c r="I115" s="417"/>
      <c r="J115" s="417"/>
      <c r="K115" s="419"/>
      <c r="L115" s="408"/>
    </row>
    <row r="116" spans="1:12" x14ac:dyDescent="0.2">
      <c r="A116" s="408"/>
      <c r="B116" s="425"/>
      <c r="C116" s="417" t="s">
        <v>663</v>
      </c>
      <c r="D116" s="417"/>
      <c r="E116" s="567"/>
      <c r="F116" s="417" t="s">
        <v>662</v>
      </c>
      <c r="G116" s="417"/>
      <c r="H116" s="417"/>
      <c r="I116" s="417"/>
      <c r="J116" s="417"/>
      <c r="K116" s="419"/>
      <c r="L116" s="408"/>
    </row>
    <row r="117" spans="1:12" x14ac:dyDescent="0.2">
      <c r="A117" s="408"/>
      <c r="B117" s="425" t="s">
        <v>666</v>
      </c>
      <c r="C117" s="869">
        <v>50000</v>
      </c>
      <c r="D117" s="869"/>
      <c r="E117" s="567" t="s">
        <v>639</v>
      </c>
      <c r="F117" s="564">
        <f>H114</f>
        <v>312000</v>
      </c>
      <c r="G117" s="567" t="s">
        <v>638</v>
      </c>
      <c r="H117" s="427">
        <f>C117/F117</f>
        <v>0.16025641025641027</v>
      </c>
      <c r="I117" s="417" t="s">
        <v>664</v>
      </c>
      <c r="J117" s="417"/>
      <c r="K117" s="419"/>
      <c r="L117" s="408"/>
    </row>
    <row r="118" spans="1:12" x14ac:dyDescent="0.2">
      <c r="A118" s="408"/>
      <c r="B118" s="425"/>
      <c r="C118" s="417"/>
      <c r="D118" s="417"/>
      <c r="E118" s="567"/>
      <c r="F118" s="417"/>
      <c r="G118" s="417"/>
      <c r="H118" s="417"/>
      <c r="I118" s="417"/>
      <c r="J118" s="417"/>
      <c r="K118" s="419"/>
      <c r="L118" s="408"/>
    </row>
    <row r="119" spans="1:12" x14ac:dyDescent="0.2">
      <c r="A119" s="408"/>
      <c r="B119" s="433"/>
      <c r="C119" s="434" t="s">
        <v>673</v>
      </c>
      <c r="D119" s="434"/>
      <c r="E119" s="573"/>
      <c r="F119" s="434"/>
      <c r="G119" s="434"/>
      <c r="H119" s="434"/>
      <c r="I119" s="434"/>
      <c r="J119" s="434"/>
      <c r="K119" s="435"/>
      <c r="L119" s="408"/>
    </row>
    <row r="120" spans="1:12" x14ac:dyDescent="0.2">
      <c r="A120" s="408"/>
      <c r="B120" s="425" t="s">
        <v>727</v>
      </c>
      <c r="C120" s="869">
        <v>2500000</v>
      </c>
      <c r="D120" s="869"/>
      <c r="E120" s="567" t="s">
        <v>93</v>
      </c>
      <c r="F120" s="449">
        <v>0.25</v>
      </c>
      <c r="G120" s="567" t="s">
        <v>638</v>
      </c>
      <c r="H120" s="564">
        <f>C120*F120</f>
        <v>625000</v>
      </c>
      <c r="I120" s="417" t="s">
        <v>667</v>
      </c>
      <c r="J120" s="417"/>
      <c r="K120" s="419"/>
      <c r="L120" s="408"/>
    </row>
    <row r="121" spans="1:12" x14ac:dyDescent="0.2">
      <c r="A121" s="408"/>
      <c r="B121" s="425"/>
      <c r="C121" s="417"/>
      <c r="D121" s="417"/>
      <c r="E121" s="567"/>
      <c r="F121" s="417"/>
      <c r="G121" s="417"/>
      <c r="H121" s="417"/>
      <c r="I121" s="417"/>
      <c r="J121" s="417"/>
      <c r="K121" s="419"/>
      <c r="L121" s="408"/>
    </row>
    <row r="122" spans="1:12" x14ac:dyDescent="0.2">
      <c r="A122" s="408"/>
      <c r="B122" s="433"/>
      <c r="C122" s="434" t="s">
        <v>668</v>
      </c>
      <c r="D122" s="434"/>
      <c r="E122" s="573"/>
      <c r="F122" s="434" t="s">
        <v>664</v>
      </c>
      <c r="G122" s="434"/>
      <c r="H122" s="434"/>
      <c r="I122" s="434"/>
      <c r="J122" s="434" t="s">
        <v>669</v>
      </c>
      <c r="K122" s="435"/>
      <c r="L122" s="408"/>
    </row>
    <row r="123" spans="1:12" x14ac:dyDescent="0.2">
      <c r="A123" s="408"/>
      <c r="B123" s="425" t="s">
        <v>728</v>
      </c>
      <c r="C123" s="881">
        <f>H120</f>
        <v>625000</v>
      </c>
      <c r="D123" s="881"/>
      <c r="E123" s="567" t="s">
        <v>93</v>
      </c>
      <c r="F123" s="427">
        <f>H117</f>
        <v>0.16025641025641027</v>
      </c>
      <c r="G123" s="567" t="s">
        <v>639</v>
      </c>
      <c r="H123" s="567">
        <v>1000</v>
      </c>
      <c r="I123" s="567" t="s">
        <v>638</v>
      </c>
      <c r="J123" s="565">
        <f>C123*F123/H123</f>
        <v>100.16025641025642</v>
      </c>
      <c r="K123" s="419"/>
      <c r="L123" s="408"/>
    </row>
    <row r="124" spans="1:12" ht="15" thickBot="1" x14ac:dyDescent="0.25">
      <c r="A124" s="408"/>
      <c r="B124" s="420"/>
      <c r="C124" s="436"/>
      <c r="D124" s="436"/>
      <c r="E124" s="437"/>
      <c r="F124" s="438"/>
      <c r="G124" s="437"/>
      <c r="H124" s="437"/>
      <c r="I124" s="437"/>
      <c r="J124" s="439"/>
      <c r="K124" s="422"/>
      <c r="L124" s="408"/>
    </row>
    <row r="125" spans="1:12" ht="40.5" customHeight="1" x14ac:dyDescent="0.2">
      <c r="A125" s="408"/>
      <c r="B125" s="864" t="s">
        <v>630</v>
      </c>
      <c r="C125" s="864"/>
      <c r="D125" s="864"/>
      <c r="E125" s="864"/>
      <c r="F125" s="864"/>
      <c r="G125" s="864"/>
      <c r="H125" s="864"/>
      <c r="I125" s="864"/>
      <c r="J125" s="864"/>
      <c r="K125" s="864"/>
      <c r="L125" s="452"/>
    </row>
    <row r="126" spans="1:12" x14ac:dyDescent="0.2">
      <c r="A126" s="408"/>
      <c r="B126" s="865" t="s">
        <v>677</v>
      </c>
      <c r="C126" s="865"/>
      <c r="D126" s="865"/>
      <c r="E126" s="865"/>
      <c r="F126" s="865"/>
      <c r="G126" s="865"/>
      <c r="H126" s="865"/>
      <c r="I126" s="865"/>
      <c r="J126" s="865"/>
      <c r="K126" s="865"/>
      <c r="L126" s="452"/>
    </row>
    <row r="127" spans="1:12" x14ac:dyDescent="0.2">
      <c r="A127" s="408"/>
      <c r="B127" s="569"/>
      <c r="C127" s="569"/>
      <c r="D127" s="569"/>
      <c r="E127" s="569"/>
      <c r="F127" s="569"/>
      <c r="G127" s="569"/>
      <c r="H127" s="569"/>
      <c r="I127" s="569"/>
      <c r="J127" s="569"/>
      <c r="K127" s="569"/>
      <c r="L127" s="452"/>
    </row>
    <row r="128" spans="1:12" x14ac:dyDescent="0.2">
      <c r="A128" s="408"/>
      <c r="B128" s="865" t="s">
        <v>678</v>
      </c>
      <c r="C128" s="865"/>
      <c r="D128" s="865"/>
      <c r="E128" s="865"/>
      <c r="F128" s="865"/>
      <c r="G128" s="865"/>
      <c r="H128" s="865"/>
      <c r="I128" s="865"/>
      <c r="J128" s="865"/>
      <c r="K128" s="865"/>
      <c r="L128" s="452"/>
    </row>
    <row r="129" spans="1:12" x14ac:dyDescent="0.2">
      <c r="A129" s="408"/>
      <c r="B129" s="566"/>
      <c r="C129" s="566"/>
      <c r="D129" s="566"/>
      <c r="E129" s="566"/>
      <c r="F129" s="566"/>
      <c r="G129" s="566"/>
      <c r="H129" s="566"/>
      <c r="I129" s="566"/>
      <c r="J129" s="566"/>
      <c r="K129" s="566"/>
      <c r="L129" s="452"/>
    </row>
    <row r="130" spans="1:12" ht="74.25" customHeight="1" x14ac:dyDescent="0.2">
      <c r="A130" s="408"/>
      <c r="B130" s="867" t="s">
        <v>729</v>
      </c>
      <c r="C130" s="867"/>
      <c r="D130" s="867"/>
      <c r="E130" s="867"/>
      <c r="F130" s="867"/>
      <c r="G130" s="867"/>
      <c r="H130" s="867"/>
      <c r="I130" s="867"/>
      <c r="J130" s="867"/>
      <c r="K130" s="867"/>
      <c r="L130" s="452"/>
    </row>
    <row r="131" spans="1:12" ht="15" thickBot="1" x14ac:dyDescent="0.25">
      <c r="A131" s="408"/>
      <c r="L131" s="408"/>
    </row>
    <row r="132" spans="1:12" x14ac:dyDescent="0.2">
      <c r="A132" s="408"/>
      <c r="B132" s="413" t="s">
        <v>634</v>
      </c>
      <c r="C132" s="414"/>
      <c r="D132" s="414"/>
      <c r="E132" s="414"/>
      <c r="F132" s="414"/>
      <c r="G132" s="414"/>
      <c r="H132" s="414"/>
      <c r="I132" s="414"/>
      <c r="J132" s="414"/>
      <c r="K132" s="415"/>
      <c r="L132" s="408"/>
    </row>
    <row r="133" spans="1:12" x14ac:dyDescent="0.2">
      <c r="A133" s="408"/>
      <c r="B133" s="425"/>
      <c r="C133" s="866" t="s">
        <v>679</v>
      </c>
      <c r="D133" s="866"/>
      <c r="E133" s="417"/>
      <c r="F133" s="567" t="s">
        <v>680</v>
      </c>
      <c r="G133" s="417"/>
      <c r="H133" s="866" t="s">
        <v>667</v>
      </c>
      <c r="I133" s="866"/>
      <c r="J133" s="417"/>
      <c r="K133" s="419"/>
      <c r="L133" s="408"/>
    </row>
    <row r="134" spans="1:12" x14ac:dyDescent="0.2">
      <c r="A134" s="408"/>
      <c r="B134" s="425" t="s">
        <v>661</v>
      </c>
      <c r="C134" s="869">
        <v>100000</v>
      </c>
      <c r="D134" s="869"/>
      <c r="E134" s="567" t="s">
        <v>93</v>
      </c>
      <c r="F134" s="567">
        <v>0.115</v>
      </c>
      <c r="G134" s="567" t="s">
        <v>638</v>
      </c>
      <c r="H134" s="856">
        <f>C134*F134</f>
        <v>11500</v>
      </c>
      <c r="I134" s="856"/>
      <c r="J134" s="417"/>
      <c r="K134" s="419"/>
      <c r="L134" s="408"/>
    </row>
    <row r="135" spans="1:12" x14ac:dyDescent="0.2">
      <c r="A135" s="408"/>
      <c r="B135" s="425"/>
      <c r="C135" s="417"/>
      <c r="D135" s="417"/>
      <c r="E135" s="417"/>
      <c r="F135" s="417"/>
      <c r="G135" s="417"/>
      <c r="H135" s="417"/>
      <c r="I135" s="417"/>
      <c r="J135" s="417"/>
      <c r="K135" s="419"/>
      <c r="L135" s="408"/>
    </row>
    <row r="136" spans="1:12" x14ac:dyDescent="0.2">
      <c r="A136" s="408"/>
      <c r="B136" s="433"/>
      <c r="C136" s="882" t="s">
        <v>667</v>
      </c>
      <c r="D136" s="882"/>
      <c r="E136" s="434"/>
      <c r="F136" s="573" t="s">
        <v>681</v>
      </c>
      <c r="G136" s="573"/>
      <c r="H136" s="434"/>
      <c r="I136" s="434"/>
      <c r="J136" s="434" t="s">
        <v>682</v>
      </c>
      <c r="K136" s="435"/>
      <c r="L136" s="408"/>
    </row>
    <row r="137" spans="1:12" x14ac:dyDescent="0.2">
      <c r="A137" s="408"/>
      <c r="B137" s="425" t="s">
        <v>666</v>
      </c>
      <c r="C137" s="856">
        <f>H134</f>
        <v>11500</v>
      </c>
      <c r="D137" s="856"/>
      <c r="E137" s="567" t="s">
        <v>93</v>
      </c>
      <c r="F137" s="453">
        <v>52.869</v>
      </c>
      <c r="G137" s="567" t="s">
        <v>639</v>
      </c>
      <c r="H137" s="567">
        <v>1000</v>
      </c>
      <c r="I137" s="567" t="s">
        <v>638</v>
      </c>
      <c r="J137" s="454">
        <f>C137*F137/H137</f>
        <v>607.99350000000004</v>
      </c>
      <c r="K137" s="419"/>
      <c r="L137" s="408"/>
    </row>
    <row r="138" spans="1:12" ht="15" thickBot="1" x14ac:dyDescent="0.25">
      <c r="A138" s="408"/>
      <c r="B138" s="420"/>
      <c r="C138" s="551"/>
      <c r="D138" s="551"/>
      <c r="E138" s="437"/>
      <c r="F138" s="552"/>
      <c r="G138" s="437"/>
      <c r="H138" s="437"/>
      <c r="I138" s="437"/>
      <c r="J138" s="553"/>
      <c r="K138" s="422"/>
      <c r="L138" s="408"/>
    </row>
    <row r="139" spans="1:12" ht="40.5" customHeight="1" x14ac:dyDescent="0.2">
      <c r="A139" s="408"/>
      <c r="B139" s="538" t="s">
        <v>630</v>
      </c>
      <c r="C139" s="539"/>
      <c r="D139" s="539"/>
      <c r="E139" s="540"/>
      <c r="F139" s="541"/>
      <c r="G139" s="540"/>
      <c r="H139" s="540"/>
      <c r="I139" s="540"/>
      <c r="J139" s="542"/>
      <c r="K139" s="543"/>
      <c r="L139" s="408"/>
    </row>
    <row r="140" spans="1:12" x14ac:dyDescent="0.2">
      <c r="A140" s="408"/>
      <c r="B140" s="544" t="s">
        <v>730</v>
      </c>
      <c r="C140" s="545"/>
      <c r="D140" s="545"/>
      <c r="E140" s="546"/>
      <c r="F140" s="547"/>
      <c r="G140" s="546"/>
      <c r="H140" s="546"/>
      <c r="I140" s="546"/>
      <c r="J140" s="548"/>
      <c r="K140" s="549"/>
      <c r="L140" s="408"/>
    </row>
    <row r="141" spans="1:12" x14ac:dyDescent="0.2">
      <c r="A141" s="408"/>
      <c r="B141" s="425"/>
      <c r="C141" s="564"/>
      <c r="D141" s="564"/>
      <c r="E141" s="567"/>
      <c r="F141" s="554"/>
      <c r="G141" s="567"/>
      <c r="H141" s="567"/>
      <c r="I141" s="567"/>
      <c r="J141" s="454"/>
      <c r="K141" s="419"/>
      <c r="L141" s="408"/>
    </row>
    <row r="142" spans="1:12" x14ac:dyDescent="0.2">
      <c r="A142" s="408"/>
      <c r="B142" s="544" t="s">
        <v>731</v>
      </c>
      <c r="C142" s="545"/>
      <c r="D142" s="545"/>
      <c r="E142" s="546"/>
      <c r="F142" s="547"/>
      <c r="G142" s="546"/>
      <c r="H142" s="546"/>
      <c r="I142" s="546"/>
      <c r="J142" s="548"/>
      <c r="K142" s="549"/>
      <c r="L142" s="408"/>
    </row>
    <row r="143" spans="1:12" x14ac:dyDescent="0.2">
      <c r="A143" s="408"/>
      <c r="B143" s="425"/>
      <c r="C143" s="564"/>
      <c r="D143" s="564"/>
      <c r="E143" s="567"/>
      <c r="F143" s="554"/>
      <c r="G143" s="567"/>
      <c r="H143" s="567"/>
      <c r="I143" s="567"/>
      <c r="J143" s="454"/>
      <c r="K143" s="419"/>
      <c r="L143" s="408"/>
    </row>
    <row r="144" spans="1:12" ht="76.5" customHeight="1" x14ac:dyDescent="0.2">
      <c r="A144" s="408"/>
      <c r="B144" s="857" t="s">
        <v>732</v>
      </c>
      <c r="C144" s="858"/>
      <c r="D144" s="858"/>
      <c r="E144" s="858"/>
      <c r="F144" s="858"/>
      <c r="G144" s="858"/>
      <c r="H144" s="858"/>
      <c r="I144" s="858"/>
      <c r="J144" s="858"/>
      <c r="K144" s="859"/>
      <c r="L144" s="408"/>
    </row>
    <row r="145" spans="1:12" ht="15" thickBot="1" x14ac:dyDescent="0.25">
      <c r="A145" s="408"/>
      <c r="B145" s="425"/>
      <c r="C145" s="564"/>
      <c r="D145" s="564"/>
      <c r="E145" s="567"/>
      <c r="F145" s="554"/>
      <c r="G145" s="567"/>
      <c r="H145" s="567"/>
      <c r="I145" s="567"/>
      <c r="J145" s="454"/>
      <c r="K145" s="419"/>
      <c r="L145" s="408"/>
    </row>
    <row r="146" spans="1:12" x14ac:dyDescent="0.2">
      <c r="A146" s="408"/>
      <c r="B146" s="413" t="s">
        <v>634</v>
      </c>
      <c r="C146" s="555"/>
      <c r="D146" s="555"/>
      <c r="E146" s="556"/>
      <c r="F146" s="557"/>
      <c r="G146" s="556"/>
      <c r="H146" s="556"/>
      <c r="I146" s="556"/>
      <c r="J146" s="558"/>
      <c r="K146" s="415"/>
      <c r="L146" s="408"/>
    </row>
    <row r="147" spans="1:12" x14ac:dyDescent="0.2">
      <c r="A147" s="408"/>
      <c r="B147" s="425"/>
      <c r="C147" s="856" t="s">
        <v>733</v>
      </c>
      <c r="D147" s="856"/>
      <c r="E147" s="567"/>
      <c r="F147" s="554" t="s">
        <v>734</v>
      </c>
      <c r="G147" s="567"/>
      <c r="H147" s="567"/>
      <c r="I147" s="567"/>
      <c r="J147" s="860" t="s">
        <v>735</v>
      </c>
      <c r="K147" s="861"/>
      <c r="L147" s="408"/>
    </row>
    <row r="148" spans="1:12" x14ac:dyDescent="0.2">
      <c r="A148" s="408"/>
      <c r="B148" s="425"/>
      <c r="C148" s="862">
        <v>52.869</v>
      </c>
      <c r="D148" s="862"/>
      <c r="E148" s="567" t="s">
        <v>93</v>
      </c>
      <c r="F148" s="568">
        <v>312000000</v>
      </c>
      <c r="G148" s="559" t="s">
        <v>639</v>
      </c>
      <c r="H148" s="567">
        <v>1000</v>
      </c>
      <c r="I148" s="567" t="s">
        <v>638</v>
      </c>
      <c r="J148" s="860">
        <f>C148*(F148/1000)</f>
        <v>16495128</v>
      </c>
      <c r="K148" s="863"/>
      <c r="L148" s="408"/>
    </row>
    <row r="149" spans="1:12" ht="15" thickBot="1" x14ac:dyDescent="0.25">
      <c r="A149" s="408"/>
      <c r="B149" s="420"/>
      <c r="C149" s="551"/>
      <c r="D149" s="551"/>
      <c r="E149" s="437"/>
      <c r="F149" s="552"/>
      <c r="G149" s="437"/>
      <c r="H149" s="437"/>
      <c r="I149" s="437"/>
      <c r="J149" s="553"/>
      <c r="K149" s="422"/>
      <c r="L149" s="408"/>
    </row>
    <row r="150" spans="1:12" ht="15" thickBot="1" x14ac:dyDescent="0.25">
      <c r="A150" s="408"/>
      <c r="B150" s="420"/>
      <c r="C150" s="421"/>
      <c r="D150" s="421"/>
      <c r="E150" s="421"/>
      <c r="F150" s="421"/>
      <c r="G150" s="421"/>
      <c r="H150" s="421"/>
      <c r="I150" s="421"/>
      <c r="J150" s="421"/>
      <c r="K150" s="422"/>
      <c r="L150" s="408"/>
    </row>
    <row r="151" spans="1:12" x14ac:dyDescent="0.2">
      <c r="A151" s="408"/>
      <c r="B151" s="408"/>
      <c r="C151" s="408"/>
      <c r="D151" s="408"/>
      <c r="E151" s="408"/>
      <c r="F151" s="408"/>
      <c r="G151" s="408"/>
      <c r="H151" s="408"/>
      <c r="I151" s="408"/>
      <c r="J151" s="408"/>
      <c r="K151" s="408"/>
      <c r="L151" s="408"/>
    </row>
    <row r="152" spans="1:12" x14ac:dyDescent="0.2">
      <c r="A152" s="408"/>
      <c r="B152" s="408"/>
      <c r="C152" s="408"/>
      <c r="D152" s="408"/>
      <c r="E152" s="408"/>
      <c r="F152" s="408"/>
      <c r="G152" s="408"/>
      <c r="H152" s="408"/>
      <c r="I152" s="408"/>
      <c r="J152" s="408"/>
      <c r="K152" s="408"/>
      <c r="L152" s="408"/>
    </row>
    <row r="153" spans="1:12" x14ac:dyDescent="0.2">
      <c r="A153" s="408"/>
      <c r="B153" s="408"/>
      <c r="C153" s="408"/>
      <c r="D153" s="408"/>
      <c r="E153" s="408"/>
      <c r="F153" s="408"/>
      <c r="G153" s="408"/>
      <c r="H153" s="408"/>
      <c r="I153" s="408"/>
      <c r="J153" s="408"/>
      <c r="K153" s="408"/>
      <c r="L153" s="408"/>
    </row>
    <row r="154" spans="1:12" x14ac:dyDescent="0.2">
      <c r="A154" s="455"/>
      <c r="B154" s="455"/>
      <c r="C154" s="455"/>
      <c r="D154" s="455"/>
      <c r="E154" s="455"/>
      <c r="F154" s="455"/>
      <c r="G154" s="455"/>
      <c r="H154" s="455"/>
      <c r="I154" s="455"/>
      <c r="J154" s="455"/>
      <c r="K154" s="455"/>
      <c r="L154" s="455"/>
    </row>
    <row r="155" spans="1:12" x14ac:dyDescent="0.2">
      <c r="A155" s="455"/>
      <c r="B155" s="455"/>
      <c r="C155" s="455"/>
      <c r="D155" s="455"/>
      <c r="E155" s="455"/>
      <c r="F155" s="455"/>
      <c r="G155" s="455"/>
      <c r="H155" s="455"/>
      <c r="I155" s="455"/>
      <c r="J155" s="455"/>
      <c r="K155" s="455"/>
      <c r="L155" s="455"/>
    </row>
    <row r="156" spans="1:12" x14ac:dyDescent="0.2">
      <c r="A156" s="455"/>
      <c r="B156" s="455"/>
      <c r="C156" s="455"/>
      <c r="D156" s="455"/>
      <c r="E156" s="455"/>
      <c r="F156" s="455"/>
      <c r="G156" s="455"/>
      <c r="H156" s="455"/>
      <c r="I156" s="455"/>
      <c r="J156" s="455"/>
      <c r="K156" s="455"/>
      <c r="L156" s="455"/>
    </row>
    <row r="157" spans="1:12" x14ac:dyDescent="0.2">
      <c r="A157" s="455"/>
      <c r="B157" s="455"/>
      <c r="C157" s="455"/>
      <c r="D157" s="455"/>
      <c r="E157" s="455"/>
      <c r="F157" s="455"/>
      <c r="G157" s="455"/>
      <c r="H157" s="455"/>
      <c r="I157" s="455"/>
      <c r="J157" s="455"/>
      <c r="K157" s="455"/>
      <c r="L157" s="455"/>
    </row>
    <row r="158" spans="1:12" x14ac:dyDescent="0.2">
      <c r="A158" s="455"/>
      <c r="B158" s="455"/>
      <c r="C158" s="455"/>
      <c r="D158" s="455"/>
      <c r="E158" s="455"/>
      <c r="F158" s="455"/>
      <c r="G158" s="455"/>
      <c r="H158" s="455"/>
      <c r="I158" s="455"/>
      <c r="J158" s="455"/>
      <c r="K158" s="455"/>
      <c r="L158" s="455"/>
    </row>
    <row r="159" spans="1:12" x14ac:dyDescent="0.2">
      <c r="A159" s="455"/>
      <c r="B159" s="455"/>
      <c r="C159" s="455"/>
      <c r="D159" s="455"/>
      <c r="E159" s="455"/>
      <c r="F159" s="455"/>
      <c r="G159" s="455"/>
      <c r="H159" s="455"/>
      <c r="I159" s="455"/>
      <c r="J159" s="455"/>
      <c r="K159" s="455"/>
      <c r="L159" s="455"/>
    </row>
    <row r="160" spans="1:12" x14ac:dyDescent="0.2">
      <c r="A160" s="455"/>
      <c r="B160" s="455"/>
      <c r="C160" s="455"/>
      <c r="D160" s="455"/>
      <c r="E160" s="455"/>
      <c r="F160" s="455"/>
      <c r="G160" s="455"/>
      <c r="H160" s="455"/>
      <c r="I160" s="455"/>
      <c r="J160" s="455"/>
      <c r="K160" s="455"/>
      <c r="L160" s="455"/>
    </row>
    <row r="161" spans="1:12" x14ac:dyDescent="0.2">
      <c r="A161" s="455"/>
      <c r="B161" s="455"/>
      <c r="C161" s="455"/>
      <c r="D161" s="455"/>
      <c r="E161" s="455"/>
      <c r="F161" s="455"/>
      <c r="G161" s="455"/>
      <c r="H161" s="455"/>
      <c r="I161" s="455"/>
      <c r="J161" s="455"/>
      <c r="K161" s="455"/>
      <c r="L161" s="455"/>
    </row>
    <row r="162" spans="1:12" x14ac:dyDescent="0.2">
      <c r="A162" s="455"/>
      <c r="B162" s="455"/>
      <c r="C162" s="455"/>
      <c r="D162" s="455"/>
      <c r="E162" s="455"/>
      <c r="F162" s="455"/>
      <c r="G162" s="455"/>
      <c r="H162" s="455"/>
      <c r="I162" s="455"/>
      <c r="J162" s="455"/>
      <c r="K162" s="455"/>
      <c r="L162" s="455"/>
    </row>
    <row r="163" spans="1:12" x14ac:dyDescent="0.2">
      <c r="A163" s="455"/>
      <c r="B163" s="455"/>
      <c r="C163" s="455"/>
      <c r="D163" s="455"/>
      <c r="E163" s="455"/>
      <c r="F163" s="455"/>
      <c r="G163" s="455"/>
      <c r="H163" s="455"/>
      <c r="I163" s="455"/>
      <c r="J163" s="455"/>
      <c r="K163" s="455"/>
      <c r="L163" s="455"/>
    </row>
    <row r="164" spans="1:12" x14ac:dyDescent="0.2">
      <c r="A164" s="455"/>
      <c r="B164" s="455"/>
      <c r="C164" s="455"/>
      <c r="D164" s="455"/>
      <c r="E164" s="455"/>
      <c r="F164" s="455"/>
      <c r="G164" s="455"/>
      <c r="H164" s="455"/>
      <c r="I164" s="455"/>
      <c r="J164" s="455"/>
      <c r="K164" s="455"/>
      <c r="L164" s="455"/>
    </row>
    <row r="165" spans="1:12" x14ac:dyDescent="0.2">
      <c r="A165" s="455"/>
      <c r="B165" s="455"/>
      <c r="C165" s="455"/>
      <c r="D165" s="455"/>
      <c r="E165" s="455"/>
      <c r="F165" s="455"/>
      <c r="G165" s="455"/>
      <c r="H165" s="455"/>
      <c r="I165" s="455"/>
      <c r="J165" s="455"/>
      <c r="K165" s="455"/>
      <c r="L165" s="455"/>
    </row>
    <row r="166" spans="1:12" x14ac:dyDescent="0.2">
      <c r="A166" s="455"/>
      <c r="B166" s="455"/>
      <c r="C166" s="455"/>
      <c r="D166" s="455"/>
      <c r="E166" s="455"/>
      <c r="F166" s="455"/>
      <c r="G166" s="455"/>
      <c r="H166" s="455"/>
      <c r="I166" s="455"/>
      <c r="J166" s="455"/>
      <c r="K166" s="455"/>
      <c r="L166" s="455"/>
    </row>
    <row r="167" spans="1:12" x14ac:dyDescent="0.2">
      <c r="A167" s="455"/>
      <c r="B167" s="455"/>
      <c r="C167" s="455"/>
      <c r="D167" s="455"/>
      <c r="E167" s="455"/>
      <c r="F167" s="455"/>
      <c r="G167" s="455"/>
      <c r="H167" s="455"/>
      <c r="I167" s="455"/>
      <c r="J167" s="455"/>
      <c r="K167" s="455"/>
      <c r="L167" s="455"/>
    </row>
    <row r="168" spans="1:12" x14ac:dyDescent="0.2">
      <c r="A168" s="455"/>
      <c r="B168" s="455"/>
      <c r="C168" s="455"/>
      <c r="D168" s="455"/>
      <c r="E168" s="455"/>
      <c r="F168" s="455"/>
      <c r="G168" s="455"/>
      <c r="H168" s="455"/>
      <c r="I168" s="455"/>
      <c r="J168" s="455"/>
      <c r="K168" s="455"/>
      <c r="L168" s="455"/>
    </row>
    <row r="169" spans="1:12" x14ac:dyDescent="0.2">
      <c r="A169" s="455"/>
      <c r="B169" s="455"/>
      <c r="C169" s="455"/>
      <c r="D169" s="455"/>
      <c r="E169" s="455"/>
      <c r="F169" s="455"/>
      <c r="G169" s="455"/>
      <c r="H169" s="455"/>
      <c r="I169" s="455"/>
      <c r="J169" s="455"/>
      <c r="K169" s="455"/>
      <c r="L169" s="455"/>
    </row>
    <row r="170" spans="1:12" x14ac:dyDescent="0.2">
      <c r="A170" s="455"/>
      <c r="B170" s="455"/>
      <c r="C170" s="455"/>
      <c r="D170" s="455"/>
      <c r="E170" s="455"/>
      <c r="F170" s="455"/>
      <c r="G170" s="455"/>
      <c r="H170" s="455"/>
      <c r="I170" s="455"/>
      <c r="J170" s="455"/>
      <c r="K170" s="455"/>
      <c r="L170" s="455"/>
    </row>
    <row r="171" spans="1:12" x14ac:dyDescent="0.2">
      <c r="A171" s="455"/>
      <c r="B171" s="455"/>
      <c r="C171" s="455"/>
      <c r="D171" s="455"/>
      <c r="E171" s="455"/>
      <c r="F171" s="455"/>
      <c r="G171" s="455"/>
      <c r="H171" s="455"/>
      <c r="I171" s="455"/>
      <c r="J171" s="455"/>
      <c r="K171" s="455"/>
      <c r="L171" s="455"/>
    </row>
    <row r="172" spans="1:12" x14ac:dyDescent="0.2">
      <c r="A172" s="455"/>
      <c r="B172" s="455"/>
      <c r="C172" s="455"/>
      <c r="D172" s="455"/>
      <c r="E172" s="455"/>
      <c r="F172" s="455"/>
      <c r="G172" s="455"/>
      <c r="H172" s="455"/>
      <c r="I172" s="455"/>
      <c r="J172" s="455"/>
      <c r="K172" s="455"/>
      <c r="L172" s="455"/>
    </row>
    <row r="173" spans="1:12" x14ac:dyDescent="0.2">
      <c r="A173" s="455"/>
      <c r="B173" s="455"/>
      <c r="C173" s="455"/>
      <c r="D173" s="455"/>
      <c r="E173" s="455"/>
      <c r="F173" s="455"/>
      <c r="G173" s="455"/>
      <c r="H173" s="455"/>
      <c r="I173" s="455"/>
      <c r="J173" s="455"/>
      <c r="K173" s="455"/>
      <c r="L173" s="455"/>
    </row>
    <row r="174" spans="1:12" x14ac:dyDescent="0.2">
      <c r="A174" s="455"/>
      <c r="B174" s="455"/>
      <c r="C174" s="455"/>
      <c r="D174" s="455"/>
      <c r="E174" s="455"/>
      <c r="F174" s="455"/>
      <c r="G174" s="455"/>
      <c r="H174" s="455"/>
      <c r="I174" s="455"/>
      <c r="J174" s="455"/>
      <c r="K174" s="455"/>
      <c r="L174" s="455"/>
    </row>
    <row r="175" spans="1:12" x14ac:dyDescent="0.2">
      <c r="A175" s="455"/>
      <c r="B175" s="455"/>
      <c r="C175" s="455"/>
      <c r="D175" s="455"/>
      <c r="E175" s="455"/>
      <c r="F175" s="455"/>
      <c r="G175" s="455"/>
      <c r="H175" s="455"/>
      <c r="I175" s="455"/>
      <c r="J175" s="455"/>
      <c r="K175" s="455"/>
      <c r="L175" s="455"/>
    </row>
    <row r="176" spans="1:12" x14ac:dyDescent="0.2">
      <c r="A176" s="455"/>
      <c r="B176" s="455"/>
      <c r="C176" s="455"/>
      <c r="D176" s="455"/>
      <c r="E176" s="455"/>
      <c r="F176" s="455"/>
      <c r="G176" s="455"/>
      <c r="H176" s="455"/>
      <c r="I176" s="455"/>
      <c r="J176" s="455"/>
      <c r="K176" s="455"/>
      <c r="L176" s="455"/>
    </row>
    <row r="177" spans="1:12" x14ac:dyDescent="0.2">
      <c r="A177" s="455"/>
      <c r="B177" s="455"/>
      <c r="C177" s="455"/>
      <c r="D177" s="455"/>
      <c r="E177" s="455"/>
      <c r="F177" s="455"/>
      <c r="G177" s="455"/>
      <c r="H177" s="455"/>
      <c r="I177" s="455"/>
      <c r="J177" s="455"/>
      <c r="K177" s="455"/>
      <c r="L177" s="455"/>
    </row>
    <row r="178" spans="1:12" x14ac:dyDescent="0.2">
      <c r="A178" s="455"/>
      <c r="B178" s="455"/>
      <c r="C178" s="455"/>
      <c r="D178" s="455"/>
      <c r="E178" s="455"/>
      <c r="F178" s="455"/>
      <c r="G178" s="455"/>
      <c r="H178" s="455"/>
      <c r="I178" s="455"/>
      <c r="J178" s="455"/>
      <c r="K178" s="455"/>
      <c r="L178" s="455"/>
    </row>
    <row r="179" spans="1:12" x14ac:dyDescent="0.2">
      <c r="A179" s="455"/>
      <c r="B179" s="455"/>
      <c r="C179" s="455"/>
      <c r="D179" s="455"/>
      <c r="E179" s="455"/>
      <c r="F179" s="455"/>
      <c r="G179" s="455"/>
      <c r="H179" s="455"/>
      <c r="I179" s="455"/>
      <c r="J179" s="455"/>
      <c r="K179" s="455"/>
      <c r="L179" s="455"/>
    </row>
    <row r="180" spans="1:12" x14ac:dyDescent="0.2">
      <c r="A180" s="455"/>
      <c r="B180" s="455"/>
      <c r="C180" s="455"/>
      <c r="D180" s="455"/>
      <c r="E180" s="455"/>
      <c r="F180" s="455"/>
      <c r="G180" s="455"/>
      <c r="H180" s="455"/>
      <c r="I180" s="455"/>
      <c r="J180" s="455"/>
      <c r="K180" s="455"/>
      <c r="L180" s="455"/>
    </row>
    <row r="181" spans="1:12" x14ac:dyDescent="0.2">
      <c r="A181" s="455"/>
      <c r="B181" s="455"/>
      <c r="C181" s="455"/>
      <c r="D181" s="455"/>
      <c r="E181" s="455"/>
      <c r="F181" s="455"/>
      <c r="G181" s="455"/>
      <c r="H181" s="455"/>
      <c r="I181" s="455"/>
      <c r="J181" s="455"/>
      <c r="K181" s="455"/>
      <c r="L181" s="455"/>
    </row>
    <row r="182" spans="1:12" x14ac:dyDescent="0.2">
      <c r="A182" s="455"/>
      <c r="B182" s="455"/>
      <c r="C182" s="455"/>
      <c r="D182" s="455"/>
      <c r="E182" s="455"/>
      <c r="F182" s="455"/>
      <c r="G182" s="455"/>
      <c r="H182" s="455"/>
      <c r="I182" s="455"/>
      <c r="J182" s="455"/>
      <c r="K182" s="455"/>
      <c r="L182" s="455"/>
    </row>
    <row r="183" spans="1:12" x14ac:dyDescent="0.2">
      <c r="A183" s="455"/>
      <c r="B183" s="455"/>
      <c r="C183" s="455"/>
      <c r="D183" s="455"/>
      <c r="E183" s="455"/>
      <c r="F183" s="455"/>
      <c r="G183" s="455"/>
      <c r="H183" s="455"/>
      <c r="I183" s="455"/>
      <c r="J183" s="455"/>
      <c r="K183" s="455"/>
      <c r="L183" s="455"/>
    </row>
    <row r="184" spans="1:12" x14ac:dyDescent="0.2">
      <c r="A184" s="455"/>
      <c r="B184" s="455"/>
      <c r="C184" s="455"/>
      <c r="D184" s="455"/>
      <c r="E184" s="455"/>
      <c r="F184" s="455"/>
      <c r="G184" s="455"/>
      <c r="H184" s="455"/>
      <c r="I184" s="455"/>
      <c r="J184" s="455"/>
      <c r="K184" s="455"/>
      <c r="L184" s="455"/>
    </row>
    <row r="185" spans="1:12" x14ac:dyDescent="0.2">
      <c r="A185" s="455"/>
      <c r="B185" s="455"/>
      <c r="C185" s="455"/>
      <c r="D185" s="455"/>
      <c r="E185" s="455"/>
      <c r="F185" s="455"/>
      <c r="G185" s="455"/>
      <c r="H185" s="455"/>
      <c r="I185" s="455"/>
      <c r="J185" s="455"/>
      <c r="K185" s="455"/>
      <c r="L185" s="455"/>
    </row>
    <row r="186" spans="1:12" x14ac:dyDescent="0.2">
      <c r="A186" s="455"/>
      <c r="B186" s="455"/>
      <c r="C186" s="455"/>
      <c r="D186" s="455"/>
      <c r="E186" s="455"/>
      <c r="F186" s="455"/>
      <c r="G186" s="455"/>
      <c r="H186" s="455"/>
      <c r="I186" s="455"/>
      <c r="J186" s="455"/>
      <c r="K186" s="455"/>
      <c r="L186" s="455"/>
    </row>
    <row r="187" spans="1:12" x14ac:dyDescent="0.2">
      <c r="A187" s="455"/>
      <c r="B187" s="455"/>
      <c r="C187" s="455"/>
      <c r="D187" s="455"/>
      <c r="E187" s="455"/>
      <c r="F187" s="455"/>
      <c r="G187" s="455"/>
      <c r="H187" s="455"/>
      <c r="I187" s="455"/>
      <c r="J187" s="455"/>
      <c r="K187" s="455"/>
      <c r="L187" s="455"/>
    </row>
    <row r="188" spans="1:12" x14ac:dyDescent="0.2">
      <c r="A188" s="455"/>
      <c r="B188" s="455"/>
      <c r="C188" s="455"/>
      <c r="D188" s="455"/>
      <c r="E188" s="455"/>
      <c r="F188" s="455"/>
      <c r="G188" s="455"/>
      <c r="H188" s="455"/>
      <c r="I188" s="455"/>
      <c r="J188" s="455"/>
      <c r="K188" s="455"/>
      <c r="L188" s="455"/>
    </row>
    <row r="189" spans="1:12" x14ac:dyDescent="0.2">
      <c r="A189" s="455"/>
      <c r="B189" s="455"/>
      <c r="C189" s="455"/>
      <c r="D189" s="455"/>
      <c r="E189" s="455"/>
      <c r="F189" s="455"/>
      <c r="G189" s="455"/>
      <c r="H189" s="455"/>
      <c r="I189" s="455"/>
      <c r="J189" s="455"/>
      <c r="K189" s="455"/>
      <c r="L189" s="455"/>
    </row>
    <row r="190" spans="1:12" x14ac:dyDescent="0.2">
      <c r="A190" s="455"/>
      <c r="B190" s="455"/>
      <c r="C190" s="455"/>
      <c r="D190" s="455"/>
      <c r="E190" s="455"/>
      <c r="F190" s="455"/>
      <c r="G190" s="455"/>
      <c r="H190" s="455"/>
      <c r="I190" s="455"/>
      <c r="J190" s="455"/>
      <c r="K190" s="455"/>
      <c r="L190" s="455"/>
    </row>
    <row r="191" spans="1:12" x14ac:dyDescent="0.2">
      <c r="A191" s="455"/>
      <c r="B191" s="455"/>
      <c r="C191" s="455"/>
      <c r="D191" s="455"/>
      <c r="E191" s="455"/>
      <c r="F191" s="455"/>
      <c r="G191" s="455"/>
      <c r="H191" s="455"/>
      <c r="I191" s="455"/>
      <c r="J191" s="455"/>
      <c r="K191" s="455"/>
      <c r="L191" s="455"/>
    </row>
    <row r="192" spans="1:12" x14ac:dyDescent="0.2">
      <c r="A192" s="455"/>
      <c r="B192" s="455"/>
      <c r="C192" s="455"/>
      <c r="D192" s="455"/>
      <c r="E192" s="455"/>
      <c r="F192" s="455"/>
      <c r="G192" s="455"/>
      <c r="H192" s="455"/>
      <c r="I192" s="455"/>
      <c r="J192" s="455"/>
      <c r="K192" s="455"/>
      <c r="L192" s="455"/>
    </row>
    <row r="193" spans="1:12" x14ac:dyDescent="0.2">
      <c r="A193" s="455"/>
      <c r="B193" s="455"/>
      <c r="C193" s="455"/>
      <c r="D193" s="455"/>
      <c r="E193" s="455"/>
      <c r="F193" s="455"/>
      <c r="G193" s="455"/>
      <c r="H193" s="455"/>
      <c r="I193" s="455"/>
      <c r="J193" s="455"/>
      <c r="K193" s="455"/>
      <c r="L193" s="455"/>
    </row>
    <row r="194" spans="1:12" x14ac:dyDescent="0.2">
      <c r="A194" s="455"/>
      <c r="B194" s="455"/>
      <c r="C194" s="455"/>
      <c r="D194" s="455"/>
      <c r="E194" s="455"/>
      <c r="F194" s="455"/>
      <c r="G194" s="455"/>
      <c r="H194" s="455"/>
      <c r="I194" s="455"/>
      <c r="J194" s="455"/>
      <c r="K194" s="455"/>
      <c r="L194" s="455"/>
    </row>
    <row r="195" spans="1:12" x14ac:dyDescent="0.2">
      <c r="A195" s="455"/>
      <c r="B195" s="455"/>
      <c r="C195" s="455"/>
      <c r="D195" s="455"/>
      <c r="E195" s="455"/>
      <c r="F195" s="455"/>
      <c r="G195" s="455"/>
      <c r="H195" s="455"/>
      <c r="I195" s="455"/>
      <c r="J195" s="455"/>
      <c r="K195" s="455"/>
      <c r="L195" s="455"/>
    </row>
    <row r="196" spans="1:12" x14ac:dyDescent="0.2">
      <c r="A196" s="455"/>
      <c r="B196" s="455"/>
      <c r="C196" s="455"/>
      <c r="D196" s="455"/>
      <c r="E196" s="455"/>
      <c r="F196" s="455"/>
      <c r="G196" s="455"/>
      <c r="H196" s="455"/>
      <c r="I196" s="455"/>
      <c r="J196" s="455"/>
      <c r="K196" s="455"/>
      <c r="L196" s="455"/>
    </row>
    <row r="197" spans="1:12" x14ac:dyDescent="0.2">
      <c r="A197" s="455"/>
      <c r="B197" s="455"/>
      <c r="C197" s="455"/>
      <c r="D197" s="455"/>
      <c r="E197" s="455"/>
      <c r="F197" s="455"/>
      <c r="G197" s="455"/>
      <c r="H197" s="455"/>
      <c r="I197" s="455"/>
      <c r="J197" s="455"/>
      <c r="K197" s="455"/>
      <c r="L197" s="455"/>
    </row>
    <row r="198" spans="1:12" x14ac:dyDescent="0.2">
      <c r="A198" s="455"/>
      <c r="B198" s="455"/>
      <c r="C198" s="455"/>
      <c r="D198" s="455"/>
      <c r="E198" s="455"/>
      <c r="F198" s="455"/>
      <c r="G198" s="455"/>
      <c r="H198" s="455"/>
      <c r="I198" s="455"/>
      <c r="J198" s="455"/>
      <c r="K198" s="455"/>
      <c r="L198" s="455"/>
    </row>
    <row r="199" spans="1:12" x14ac:dyDescent="0.2">
      <c r="A199" s="455"/>
      <c r="B199" s="455"/>
      <c r="C199" s="455"/>
      <c r="D199" s="455"/>
      <c r="E199" s="455"/>
      <c r="F199" s="455"/>
      <c r="G199" s="455"/>
      <c r="H199" s="455"/>
      <c r="I199" s="455"/>
      <c r="J199" s="455"/>
      <c r="K199" s="455"/>
      <c r="L199" s="455"/>
    </row>
    <row r="200" spans="1:12" x14ac:dyDescent="0.2">
      <c r="A200" s="455"/>
      <c r="B200" s="455"/>
      <c r="C200" s="455"/>
      <c r="D200" s="455"/>
      <c r="E200" s="455"/>
      <c r="F200" s="455"/>
      <c r="G200" s="455"/>
      <c r="H200" s="455"/>
      <c r="I200" s="455"/>
      <c r="J200" s="455"/>
      <c r="K200" s="455"/>
      <c r="L200" s="455"/>
    </row>
    <row r="201" spans="1:12" x14ac:dyDescent="0.2">
      <c r="A201" s="455"/>
      <c r="B201" s="455"/>
      <c r="C201" s="455"/>
      <c r="D201" s="455"/>
      <c r="E201" s="455"/>
      <c r="F201" s="455"/>
      <c r="G201" s="455"/>
      <c r="H201" s="455"/>
      <c r="I201" s="455"/>
      <c r="J201" s="455"/>
      <c r="K201" s="455"/>
      <c r="L201" s="455"/>
    </row>
    <row r="202" spans="1:12" x14ac:dyDescent="0.2">
      <c r="A202" s="455"/>
      <c r="B202" s="455"/>
      <c r="C202" s="455"/>
      <c r="D202" s="455"/>
      <c r="E202" s="455"/>
      <c r="F202" s="455"/>
      <c r="G202" s="455"/>
      <c r="H202" s="455"/>
      <c r="I202" s="455"/>
      <c r="J202" s="455"/>
      <c r="K202" s="455"/>
      <c r="L202" s="455"/>
    </row>
    <row r="203" spans="1:12" x14ac:dyDescent="0.2">
      <c r="A203" s="455"/>
      <c r="B203" s="455"/>
      <c r="C203" s="455"/>
      <c r="D203" s="455"/>
      <c r="E203" s="455"/>
      <c r="F203" s="455"/>
      <c r="G203" s="455"/>
      <c r="H203" s="455"/>
      <c r="I203" s="455"/>
      <c r="J203" s="455"/>
      <c r="K203" s="455"/>
      <c r="L203" s="455"/>
    </row>
    <row r="204" spans="1:12" x14ac:dyDescent="0.2">
      <c r="A204" s="455"/>
      <c r="B204" s="455"/>
      <c r="C204" s="455"/>
      <c r="D204" s="455"/>
      <c r="E204" s="455"/>
      <c r="F204" s="455"/>
      <c r="G204" s="455"/>
      <c r="H204" s="455"/>
      <c r="I204" s="455"/>
      <c r="J204" s="455"/>
      <c r="K204" s="455"/>
      <c r="L204" s="455"/>
    </row>
    <row r="205" spans="1:12" x14ac:dyDescent="0.2">
      <c r="A205" s="455"/>
      <c r="B205" s="455"/>
      <c r="C205" s="455"/>
      <c r="D205" s="455"/>
      <c r="E205" s="455"/>
      <c r="F205" s="455"/>
      <c r="G205" s="455"/>
      <c r="H205" s="455"/>
      <c r="I205" s="455"/>
      <c r="J205" s="455"/>
      <c r="K205" s="455"/>
      <c r="L205" s="455"/>
    </row>
    <row r="206" spans="1:12" x14ac:dyDescent="0.2">
      <c r="A206" s="455"/>
      <c r="B206" s="455"/>
      <c r="C206" s="455"/>
      <c r="D206" s="455"/>
      <c r="E206" s="455"/>
      <c r="F206" s="455"/>
      <c r="G206" s="455"/>
      <c r="H206" s="455"/>
      <c r="I206" s="455"/>
      <c r="J206" s="455"/>
      <c r="K206" s="455"/>
      <c r="L206" s="455"/>
    </row>
    <row r="207" spans="1:12" x14ac:dyDescent="0.2">
      <c r="A207" s="455"/>
      <c r="B207" s="455"/>
      <c r="C207" s="455"/>
      <c r="D207" s="455"/>
      <c r="E207" s="455"/>
      <c r="F207" s="455"/>
      <c r="G207" s="455"/>
      <c r="H207" s="455"/>
      <c r="I207" s="455"/>
      <c r="J207" s="455"/>
      <c r="K207" s="455"/>
      <c r="L207" s="455"/>
    </row>
    <row r="208" spans="1:12" x14ac:dyDescent="0.2">
      <c r="A208" s="455"/>
      <c r="B208" s="455"/>
      <c r="C208" s="455"/>
      <c r="D208" s="455"/>
      <c r="E208" s="455"/>
      <c r="F208" s="455"/>
      <c r="G208" s="455"/>
      <c r="H208" s="455"/>
      <c r="I208" s="455"/>
      <c r="J208" s="455"/>
      <c r="K208" s="455"/>
      <c r="L208" s="455"/>
    </row>
    <row r="209" spans="1:12" x14ac:dyDescent="0.2">
      <c r="A209" s="455"/>
      <c r="B209" s="455"/>
      <c r="C209" s="455"/>
      <c r="D209" s="455"/>
      <c r="E209" s="455"/>
      <c r="F209" s="455"/>
      <c r="G209" s="455"/>
      <c r="H209" s="455"/>
      <c r="I209" s="455"/>
      <c r="J209" s="455"/>
      <c r="K209" s="455"/>
      <c r="L209" s="455"/>
    </row>
    <row r="210" spans="1:12" x14ac:dyDescent="0.2">
      <c r="A210" s="455"/>
      <c r="B210" s="455"/>
      <c r="C210" s="455"/>
      <c r="D210" s="455"/>
      <c r="E210" s="455"/>
      <c r="F210" s="455"/>
      <c r="G210" s="455"/>
      <c r="H210" s="455"/>
      <c r="I210" s="455"/>
      <c r="J210" s="455"/>
      <c r="K210" s="455"/>
      <c r="L210" s="455"/>
    </row>
    <row r="211" spans="1:12" x14ac:dyDescent="0.2">
      <c r="A211" s="455"/>
      <c r="B211" s="455"/>
      <c r="C211" s="455"/>
      <c r="D211" s="455"/>
      <c r="E211" s="455"/>
      <c r="F211" s="455"/>
      <c r="G211" s="455"/>
      <c r="H211" s="455"/>
      <c r="I211" s="455"/>
      <c r="J211" s="455"/>
      <c r="K211" s="455"/>
      <c r="L211" s="455"/>
    </row>
    <row r="212" spans="1:12" x14ac:dyDescent="0.2">
      <c r="A212" s="455"/>
      <c r="B212" s="455"/>
      <c r="C212" s="455"/>
      <c r="D212" s="455"/>
      <c r="E212" s="455"/>
      <c r="F212" s="455"/>
      <c r="G212" s="455"/>
      <c r="H212" s="455"/>
      <c r="I212" s="455"/>
      <c r="J212" s="455"/>
      <c r="K212" s="455"/>
      <c r="L212" s="455"/>
    </row>
    <row r="213" spans="1:12" x14ac:dyDescent="0.2">
      <c r="A213" s="455"/>
      <c r="B213" s="455"/>
      <c r="C213" s="455"/>
      <c r="D213" s="455"/>
      <c r="E213" s="455"/>
      <c r="F213" s="455"/>
      <c r="G213" s="455"/>
      <c r="H213" s="455"/>
      <c r="I213" s="455"/>
      <c r="J213" s="455"/>
      <c r="K213" s="455"/>
      <c r="L213" s="455"/>
    </row>
    <row r="214" spans="1:12" x14ac:dyDescent="0.2">
      <c r="A214" s="455"/>
      <c r="B214" s="455"/>
      <c r="C214" s="455"/>
      <c r="D214" s="455"/>
      <c r="E214" s="455"/>
      <c r="F214" s="455"/>
      <c r="G214" s="455"/>
      <c r="H214" s="455"/>
      <c r="I214" s="455"/>
      <c r="J214" s="455"/>
      <c r="K214" s="455"/>
      <c r="L214" s="455"/>
    </row>
    <row r="215" spans="1:12" x14ac:dyDescent="0.2">
      <c r="A215" s="455"/>
      <c r="B215" s="455"/>
      <c r="C215" s="455"/>
      <c r="D215" s="455"/>
      <c r="E215" s="455"/>
      <c r="F215" s="455"/>
      <c r="G215" s="455"/>
      <c r="H215" s="455"/>
      <c r="I215" s="455"/>
      <c r="J215" s="455"/>
      <c r="K215" s="455"/>
      <c r="L215" s="455"/>
    </row>
    <row r="216" spans="1:12" x14ac:dyDescent="0.2">
      <c r="A216" s="455"/>
      <c r="B216" s="455"/>
      <c r="C216" s="455"/>
      <c r="D216" s="455"/>
      <c r="E216" s="455"/>
      <c r="F216" s="455"/>
      <c r="G216" s="455"/>
      <c r="H216" s="455"/>
      <c r="I216" s="455"/>
      <c r="J216" s="455"/>
      <c r="K216" s="455"/>
      <c r="L216" s="455"/>
    </row>
    <row r="217" spans="1:12" x14ac:dyDescent="0.2">
      <c r="A217" s="455"/>
      <c r="B217" s="455"/>
      <c r="C217" s="455"/>
      <c r="D217" s="455"/>
      <c r="E217" s="455"/>
      <c r="F217" s="455"/>
      <c r="G217" s="455"/>
      <c r="H217" s="455"/>
      <c r="I217" s="455"/>
      <c r="J217" s="455"/>
      <c r="K217" s="455"/>
      <c r="L217" s="455"/>
    </row>
    <row r="218" spans="1:12" x14ac:dyDescent="0.2">
      <c r="A218" s="455"/>
      <c r="B218" s="455"/>
      <c r="C218" s="455"/>
      <c r="D218" s="455"/>
      <c r="E218" s="455"/>
      <c r="F218" s="455"/>
      <c r="G218" s="455"/>
      <c r="H218" s="455"/>
      <c r="I218" s="455"/>
      <c r="J218" s="455"/>
      <c r="K218" s="455"/>
      <c r="L218" s="455"/>
    </row>
    <row r="219" spans="1:12" x14ac:dyDescent="0.2">
      <c r="A219" s="455"/>
      <c r="B219" s="455"/>
      <c r="C219" s="455"/>
      <c r="D219" s="455"/>
      <c r="E219" s="455"/>
      <c r="F219" s="455"/>
      <c r="G219" s="455"/>
      <c r="H219" s="455"/>
      <c r="I219" s="455"/>
      <c r="J219" s="455"/>
      <c r="K219" s="455"/>
      <c r="L219" s="455"/>
    </row>
    <row r="220" spans="1:12" x14ac:dyDescent="0.2">
      <c r="A220" s="455"/>
      <c r="B220" s="455"/>
      <c r="C220" s="455"/>
      <c r="D220" s="455"/>
      <c r="E220" s="455"/>
      <c r="F220" s="455"/>
      <c r="G220" s="455"/>
      <c r="H220" s="455"/>
      <c r="I220" s="455"/>
      <c r="J220" s="455"/>
      <c r="K220" s="455"/>
      <c r="L220" s="455"/>
    </row>
    <row r="221" spans="1:12" x14ac:dyDescent="0.2">
      <c r="A221" s="455"/>
      <c r="B221" s="455"/>
      <c r="C221" s="455"/>
      <c r="D221" s="455"/>
      <c r="E221" s="455"/>
      <c r="F221" s="455"/>
      <c r="G221" s="455"/>
      <c r="H221" s="455"/>
      <c r="I221" s="455"/>
      <c r="J221" s="455"/>
      <c r="K221" s="455"/>
      <c r="L221" s="455"/>
    </row>
    <row r="222" spans="1:12" x14ac:dyDescent="0.2">
      <c r="A222" s="455"/>
      <c r="B222" s="455"/>
      <c r="C222" s="455"/>
      <c r="D222" s="455"/>
      <c r="E222" s="455"/>
      <c r="F222" s="455"/>
      <c r="G222" s="455"/>
      <c r="H222" s="455"/>
      <c r="I222" s="455"/>
      <c r="J222" s="455"/>
      <c r="K222" s="455"/>
      <c r="L222" s="455"/>
    </row>
    <row r="223" spans="1:12" x14ac:dyDescent="0.2">
      <c r="A223" s="455"/>
      <c r="B223" s="455"/>
      <c r="C223" s="455"/>
      <c r="D223" s="455"/>
      <c r="E223" s="455"/>
      <c r="F223" s="455"/>
      <c r="G223" s="455"/>
      <c r="H223" s="455"/>
      <c r="I223" s="455"/>
      <c r="J223" s="455"/>
      <c r="K223" s="455"/>
      <c r="L223" s="455"/>
    </row>
    <row r="224" spans="1:12" x14ac:dyDescent="0.2">
      <c r="A224" s="455"/>
      <c r="B224" s="455"/>
      <c r="C224" s="455"/>
      <c r="D224" s="455"/>
      <c r="E224" s="455"/>
      <c r="F224" s="455"/>
      <c r="G224" s="455"/>
      <c r="H224" s="455"/>
      <c r="I224" s="455"/>
      <c r="J224" s="455"/>
      <c r="K224" s="455"/>
      <c r="L224" s="455"/>
    </row>
    <row r="225" spans="1:12" x14ac:dyDescent="0.2">
      <c r="A225" s="455"/>
      <c r="B225" s="455"/>
      <c r="C225" s="455"/>
      <c r="D225" s="455"/>
      <c r="E225" s="455"/>
      <c r="F225" s="455"/>
      <c r="G225" s="455"/>
      <c r="H225" s="455"/>
      <c r="I225" s="455"/>
      <c r="J225" s="455"/>
      <c r="K225" s="455"/>
      <c r="L225" s="455"/>
    </row>
    <row r="226" spans="1:12" x14ac:dyDescent="0.2">
      <c r="A226" s="455"/>
      <c r="B226" s="455"/>
      <c r="C226" s="455"/>
      <c r="D226" s="455"/>
      <c r="E226" s="455"/>
      <c r="F226" s="455"/>
      <c r="G226" s="455"/>
      <c r="H226" s="455"/>
      <c r="I226" s="455"/>
      <c r="J226" s="455"/>
      <c r="K226" s="455"/>
      <c r="L226" s="455"/>
    </row>
    <row r="227" spans="1:12" x14ac:dyDescent="0.2">
      <c r="A227" s="455"/>
      <c r="B227" s="455"/>
      <c r="C227" s="455"/>
      <c r="D227" s="455"/>
      <c r="E227" s="455"/>
      <c r="F227" s="455"/>
      <c r="G227" s="455"/>
      <c r="H227" s="455"/>
      <c r="I227" s="455"/>
      <c r="J227" s="455"/>
      <c r="K227" s="455"/>
      <c r="L227" s="455"/>
    </row>
    <row r="228" spans="1:12" x14ac:dyDescent="0.2">
      <c r="A228" s="455"/>
      <c r="B228" s="455"/>
      <c r="C228" s="455"/>
      <c r="D228" s="455"/>
      <c r="E228" s="455"/>
      <c r="F228" s="455"/>
      <c r="G228" s="455"/>
      <c r="H228" s="455"/>
      <c r="I228" s="455"/>
      <c r="J228" s="455"/>
      <c r="K228" s="455"/>
      <c r="L228" s="455"/>
    </row>
    <row r="229" spans="1:12" x14ac:dyDescent="0.2">
      <c r="A229" s="455"/>
      <c r="B229" s="455"/>
      <c r="C229" s="455"/>
      <c r="D229" s="455"/>
      <c r="E229" s="455"/>
      <c r="F229" s="455"/>
      <c r="G229" s="455"/>
      <c r="H229" s="455"/>
      <c r="I229" s="455"/>
      <c r="J229" s="455"/>
      <c r="K229" s="455"/>
      <c r="L229" s="455"/>
    </row>
    <row r="230" spans="1:12" x14ac:dyDescent="0.2">
      <c r="A230" s="455"/>
      <c r="B230" s="455"/>
      <c r="C230" s="455"/>
      <c r="D230" s="455"/>
      <c r="E230" s="455"/>
      <c r="F230" s="455"/>
      <c r="G230" s="455"/>
      <c r="H230" s="455"/>
      <c r="I230" s="455"/>
      <c r="J230" s="455"/>
      <c r="K230" s="455"/>
      <c r="L230" s="455"/>
    </row>
    <row r="231" spans="1:12" x14ac:dyDescent="0.2">
      <c r="A231" s="455"/>
      <c r="B231" s="455"/>
      <c r="C231" s="455"/>
      <c r="D231" s="455"/>
      <c r="E231" s="455"/>
      <c r="F231" s="455"/>
      <c r="G231" s="455"/>
      <c r="H231" s="455"/>
      <c r="I231" s="455"/>
      <c r="J231" s="455"/>
      <c r="K231" s="455"/>
      <c r="L231" s="455"/>
    </row>
    <row r="232" spans="1:12" x14ac:dyDescent="0.2">
      <c r="A232" s="455"/>
      <c r="B232" s="455"/>
      <c r="C232" s="455"/>
      <c r="D232" s="455"/>
      <c r="E232" s="455"/>
      <c r="F232" s="455"/>
      <c r="G232" s="455"/>
      <c r="H232" s="455"/>
      <c r="I232" s="455"/>
      <c r="J232" s="455"/>
      <c r="K232" s="455"/>
      <c r="L232" s="455"/>
    </row>
    <row r="233" spans="1:12" x14ac:dyDescent="0.2">
      <c r="A233" s="455"/>
      <c r="B233" s="455"/>
      <c r="C233" s="455"/>
      <c r="D233" s="455"/>
      <c r="E233" s="455"/>
      <c r="F233" s="455"/>
      <c r="G233" s="455"/>
      <c r="H233" s="455"/>
      <c r="I233" s="455"/>
      <c r="J233" s="455"/>
      <c r="K233" s="455"/>
      <c r="L233" s="455"/>
    </row>
    <row r="234" spans="1:12" x14ac:dyDescent="0.2">
      <c r="A234" s="455"/>
      <c r="B234" s="455"/>
      <c r="C234" s="455"/>
      <c r="D234" s="455"/>
      <c r="E234" s="455"/>
      <c r="F234" s="455"/>
      <c r="G234" s="455"/>
      <c r="H234" s="455"/>
      <c r="I234" s="455"/>
      <c r="J234" s="455"/>
      <c r="K234" s="455"/>
      <c r="L234" s="455"/>
    </row>
    <row r="235" spans="1:12" x14ac:dyDescent="0.2">
      <c r="A235" s="455"/>
      <c r="B235" s="455"/>
      <c r="C235" s="455"/>
      <c r="D235" s="455"/>
      <c r="E235" s="455"/>
      <c r="F235" s="455"/>
      <c r="G235" s="455"/>
      <c r="H235" s="455"/>
      <c r="I235" s="455"/>
      <c r="J235" s="455"/>
      <c r="K235" s="455"/>
      <c r="L235" s="455"/>
    </row>
    <row r="236" spans="1:12" x14ac:dyDescent="0.2">
      <c r="A236" s="455"/>
      <c r="B236" s="455"/>
      <c r="C236" s="455"/>
      <c r="D236" s="455"/>
      <c r="E236" s="455"/>
      <c r="F236" s="455"/>
      <c r="G236" s="455"/>
      <c r="H236" s="455"/>
      <c r="I236" s="455"/>
      <c r="J236" s="455"/>
      <c r="K236" s="455"/>
      <c r="L236" s="455"/>
    </row>
    <row r="237" spans="1:12" x14ac:dyDescent="0.2">
      <c r="A237" s="455"/>
      <c r="B237" s="455"/>
      <c r="C237" s="455"/>
      <c r="D237" s="455"/>
      <c r="E237" s="455"/>
      <c r="F237" s="455"/>
      <c r="G237" s="455"/>
      <c r="H237" s="455"/>
      <c r="I237" s="455"/>
      <c r="J237" s="455"/>
      <c r="K237" s="455"/>
      <c r="L237" s="455"/>
    </row>
    <row r="238" spans="1:12" x14ac:dyDescent="0.2">
      <c r="A238" s="455"/>
      <c r="B238" s="455"/>
      <c r="C238" s="455"/>
      <c r="D238" s="455"/>
      <c r="E238" s="455"/>
      <c r="F238" s="455"/>
      <c r="G238" s="455"/>
      <c r="H238" s="455"/>
      <c r="I238" s="455"/>
      <c r="J238" s="455"/>
      <c r="K238" s="455"/>
      <c r="L238" s="455"/>
    </row>
    <row r="239" spans="1:12" x14ac:dyDescent="0.2">
      <c r="A239" s="455"/>
      <c r="B239" s="455"/>
      <c r="C239" s="455"/>
      <c r="D239" s="455"/>
      <c r="E239" s="455"/>
      <c r="F239" s="455"/>
      <c r="G239" s="455"/>
      <c r="H239" s="455"/>
      <c r="I239" s="455"/>
      <c r="J239" s="455"/>
      <c r="K239" s="455"/>
      <c r="L239" s="455"/>
    </row>
    <row r="240" spans="1:12" x14ac:dyDescent="0.2">
      <c r="A240" s="455"/>
      <c r="B240" s="455"/>
      <c r="C240" s="455"/>
      <c r="D240" s="455"/>
      <c r="E240" s="455"/>
      <c r="F240" s="455"/>
      <c r="G240" s="455"/>
      <c r="H240" s="455"/>
      <c r="I240" s="455"/>
      <c r="J240" s="455"/>
      <c r="K240" s="455"/>
      <c r="L240" s="455"/>
    </row>
    <row r="241" spans="1:12" x14ac:dyDescent="0.2">
      <c r="A241" s="455"/>
      <c r="B241" s="455"/>
      <c r="C241" s="455"/>
      <c r="D241" s="455"/>
      <c r="E241" s="455"/>
      <c r="F241" s="455"/>
      <c r="G241" s="455"/>
      <c r="H241" s="455"/>
      <c r="I241" s="455"/>
      <c r="J241" s="455"/>
      <c r="K241" s="455"/>
      <c r="L241" s="455"/>
    </row>
    <row r="242" spans="1:12" x14ac:dyDescent="0.2">
      <c r="A242" s="455"/>
      <c r="B242" s="455"/>
      <c r="C242" s="455"/>
      <c r="D242" s="455"/>
      <c r="E242" s="455"/>
      <c r="F242" s="455"/>
      <c r="G242" s="455"/>
      <c r="H242" s="455"/>
      <c r="I242" s="455"/>
      <c r="J242" s="455"/>
      <c r="K242" s="455"/>
      <c r="L242" s="455"/>
    </row>
    <row r="243" spans="1:12" x14ac:dyDescent="0.2">
      <c r="A243" s="455"/>
      <c r="B243" s="455"/>
      <c r="C243" s="455"/>
      <c r="D243" s="455"/>
      <c r="E243" s="455"/>
      <c r="F243" s="455"/>
      <c r="G243" s="455"/>
      <c r="H243" s="455"/>
      <c r="I243" s="455"/>
      <c r="J243" s="455"/>
      <c r="K243" s="455"/>
      <c r="L243" s="455"/>
    </row>
    <row r="244" spans="1:12" x14ac:dyDescent="0.2">
      <c r="A244" s="455"/>
      <c r="B244" s="455"/>
      <c r="C244" s="455"/>
      <c r="D244" s="455"/>
      <c r="E244" s="455"/>
      <c r="F244" s="455"/>
      <c r="G244" s="455"/>
      <c r="H244" s="455"/>
      <c r="I244" s="455"/>
      <c r="J244" s="455"/>
      <c r="K244" s="455"/>
      <c r="L244" s="455"/>
    </row>
    <row r="245" spans="1:12" x14ac:dyDescent="0.2">
      <c r="A245" s="455"/>
      <c r="B245" s="455"/>
      <c r="C245" s="455"/>
      <c r="D245" s="455"/>
      <c r="E245" s="455"/>
      <c r="F245" s="455"/>
      <c r="G245" s="455"/>
      <c r="H245" s="455"/>
      <c r="I245" s="455"/>
      <c r="J245" s="455"/>
      <c r="K245" s="455"/>
      <c r="L245" s="455"/>
    </row>
    <row r="246" spans="1:12" x14ac:dyDescent="0.2">
      <c r="A246" s="455"/>
      <c r="B246" s="455"/>
      <c r="C246" s="455"/>
      <c r="D246" s="455"/>
      <c r="E246" s="455"/>
      <c r="F246" s="455"/>
      <c r="G246" s="455"/>
      <c r="H246" s="455"/>
      <c r="I246" s="455"/>
      <c r="J246" s="455"/>
      <c r="K246" s="455"/>
      <c r="L246" s="455"/>
    </row>
    <row r="247" spans="1:12" x14ac:dyDescent="0.2">
      <c r="A247" s="455"/>
      <c r="B247" s="455"/>
      <c r="C247" s="455"/>
      <c r="D247" s="455"/>
      <c r="E247" s="455"/>
      <c r="F247" s="455"/>
      <c r="G247" s="455"/>
      <c r="H247" s="455"/>
      <c r="I247" s="455"/>
      <c r="J247" s="455"/>
      <c r="K247" s="455"/>
      <c r="L247" s="455"/>
    </row>
    <row r="248" spans="1:12" x14ac:dyDescent="0.2">
      <c r="A248" s="455"/>
      <c r="B248" s="455"/>
      <c r="C248" s="455"/>
      <c r="D248" s="455"/>
      <c r="E248" s="455"/>
      <c r="F248" s="455"/>
      <c r="G248" s="455"/>
      <c r="H248" s="455"/>
      <c r="I248" s="455"/>
      <c r="J248" s="455"/>
      <c r="K248" s="455"/>
      <c r="L248" s="455"/>
    </row>
    <row r="249" spans="1:12" x14ac:dyDescent="0.2">
      <c r="A249" s="455"/>
      <c r="B249" s="455"/>
      <c r="C249" s="455"/>
      <c r="D249" s="455"/>
      <c r="E249" s="455"/>
      <c r="F249" s="455"/>
      <c r="G249" s="455"/>
      <c r="H249" s="455"/>
      <c r="I249" s="455"/>
      <c r="J249" s="455"/>
      <c r="K249" s="455"/>
      <c r="L249" s="455"/>
    </row>
    <row r="250" spans="1:12" x14ac:dyDescent="0.2">
      <c r="A250" s="455"/>
      <c r="B250" s="455"/>
      <c r="C250" s="455"/>
      <c r="D250" s="455"/>
      <c r="E250" s="455"/>
      <c r="F250" s="455"/>
      <c r="G250" s="455"/>
      <c r="H250" s="455"/>
      <c r="I250" s="455"/>
      <c r="J250" s="455"/>
      <c r="K250" s="455"/>
      <c r="L250" s="455"/>
    </row>
    <row r="251" spans="1:12" x14ac:dyDescent="0.2">
      <c r="A251" s="455"/>
      <c r="B251" s="455"/>
      <c r="C251" s="455"/>
      <c r="D251" s="455"/>
      <c r="E251" s="455"/>
      <c r="F251" s="455"/>
      <c r="G251" s="455"/>
      <c r="H251" s="455"/>
      <c r="I251" s="455"/>
      <c r="J251" s="455"/>
      <c r="K251" s="455"/>
      <c r="L251" s="455"/>
    </row>
    <row r="252" spans="1:12" x14ac:dyDescent="0.2">
      <c r="A252" s="455"/>
      <c r="B252" s="455"/>
      <c r="C252" s="455"/>
      <c r="D252" s="455"/>
      <c r="E252" s="455"/>
      <c r="F252" s="455"/>
      <c r="G252" s="455"/>
      <c r="H252" s="455"/>
      <c r="I252" s="455"/>
      <c r="J252" s="455"/>
      <c r="K252" s="455"/>
      <c r="L252" s="455"/>
    </row>
    <row r="253" spans="1:12" x14ac:dyDescent="0.2">
      <c r="A253" s="455"/>
      <c r="B253" s="455"/>
      <c r="C253" s="455"/>
      <c r="D253" s="455"/>
      <c r="E253" s="455"/>
      <c r="F253" s="455"/>
      <c r="G253" s="455"/>
      <c r="H253" s="455"/>
      <c r="I253" s="455"/>
      <c r="J253" s="455"/>
      <c r="K253" s="455"/>
      <c r="L253" s="455"/>
    </row>
    <row r="254" spans="1:12" x14ac:dyDescent="0.2">
      <c r="A254" s="455"/>
      <c r="B254" s="455"/>
      <c r="C254" s="455"/>
      <c r="D254" s="455"/>
      <c r="E254" s="455"/>
      <c r="F254" s="455"/>
      <c r="G254" s="455"/>
      <c r="H254" s="455"/>
      <c r="I254" s="455"/>
      <c r="J254" s="455"/>
      <c r="K254" s="455"/>
      <c r="L254" s="455"/>
    </row>
    <row r="255" spans="1:12" x14ac:dyDescent="0.2">
      <c r="A255" s="455"/>
      <c r="B255" s="455"/>
      <c r="C255" s="455"/>
      <c r="D255" s="455"/>
      <c r="E255" s="455"/>
      <c r="F255" s="455"/>
      <c r="G255" s="455"/>
      <c r="H255" s="455"/>
      <c r="I255" s="455"/>
      <c r="J255" s="455"/>
      <c r="K255" s="455"/>
      <c r="L255" s="455"/>
    </row>
    <row r="256" spans="1:12" x14ac:dyDescent="0.2">
      <c r="A256" s="455"/>
      <c r="B256" s="455"/>
      <c r="C256" s="455"/>
      <c r="D256" s="455"/>
      <c r="E256" s="455"/>
      <c r="F256" s="455"/>
      <c r="G256" s="455"/>
      <c r="H256" s="455"/>
      <c r="I256" s="455"/>
      <c r="J256" s="455"/>
      <c r="K256" s="455"/>
      <c r="L256" s="455"/>
    </row>
    <row r="257" spans="1:12" x14ac:dyDescent="0.2">
      <c r="A257" s="455"/>
      <c r="B257" s="455"/>
      <c r="C257" s="455"/>
      <c r="D257" s="455"/>
      <c r="E257" s="455"/>
      <c r="F257" s="455"/>
      <c r="G257" s="455"/>
      <c r="H257" s="455"/>
      <c r="I257" s="455"/>
      <c r="J257" s="455"/>
      <c r="K257" s="455"/>
      <c r="L257" s="455"/>
    </row>
    <row r="258" spans="1:12" x14ac:dyDescent="0.2">
      <c r="A258" s="455"/>
      <c r="B258" s="455"/>
      <c r="C258" s="455"/>
      <c r="D258" s="455"/>
      <c r="E258" s="455"/>
      <c r="F258" s="455"/>
      <c r="G258" s="455"/>
      <c r="H258" s="455"/>
      <c r="I258" s="455"/>
      <c r="J258" s="455"/>
      <c r="K258" s="455"/>
      <c r="L258" s="455"/>
    </row>
    <row r="259" spans="1:12" x14ac:dyDescent="0.2">
      <c r="A259" s="455"/>
      <c r="B259" s="455"/>
      <c r="C259" s="455"/>
      <c r="D259" s="455"/>
      <c r="E259" s="455"/>
      <c r="F259" s="455"/>
      <c r="G259" s="455"/>
      <c r="H259" s="455"/>
      <c r="I259" s="455"/>
      <c r="J259" s="455"/>
      <c r="K259" s="455"/>
      <c r="L259" s="455"/>
    </row>
    <row r="260" spans="1:12" x14ac:dyDescent="0.2">
      <c r="A260" s="455"/>
      <c r="B260" s="455"/>
      <c r="C260" s="455"/>
      <c r="D260" s="455"/>
      <c r="E260" s="455"/>
      <c r="F260" s="455"/>
      <c r="G260" s="455"/>
      <c r="H260" s="455"/>
      <c r="I260" s="455"/>
      <c r="J260" s="455"/>
      <c r="K260" s="455"/>
      <c r="L260" s="455"/>
    </row>
    <row r="261" spans="1:12" x14ac:dyDescent="0.2">
      <c r="A261" s="455"/>
      <c r="B261" s="455"/>
      <c r="C261" s="455"/>
      <c r="D261" s="455"/>
      <c r="E261" s="455"/>
      <c r="F261" s="455"/>
      <c r="G261" s="455"/>
      <c r="H261" s="455"/>
      <c r="I261" s="455"/>
      <c r="J261" s="455"/>
      <c r="K261" s="455"/>
      <c r="L261" s="455"/>
    </row>
    <row r="262" spans="1:12" x14ac:dyDescent="0.2">
      <c r="A262" s="455"/>
      <c r="B262" s="455"/>
      <c r="C262" s="455"/>
      <c r="D262" s="455"/>
      <c r="E262" s="455"/>
      <c r="F262" s="455"/>
      <c r="G262" s="455"/>
      <c r="H262" s="455"/>
      <c r="I262" s="455"/>
      <c r="J262" s="455"/>
      <c r="K262" s="455"/>
      <c r="L262" s="455"/>
    </row>
    <row r="263" spans="1:12" x14ac:dyDescent="0.2">
      <c r="A263" s="455"/>
      <c r="B263" s="455"/>
      <c r="C263" s="455"/>
      <c r="D263" s="455"/>
      <c r="E263" s="455"/>
      <c r="F263" s="455"/>
      <c r="G263" s="455"/>
      <c r="H263" s="455"/>
      <c r="I263" s="455"/>
      <c r="J263" s="455"/>
      <c r="K263" s="455"/>
      <c r="L263" s="455"/>
    </row>
    <row r="264" spans="1:12" x14ac:dyDescent="0.2">
      <c r="A264" s="455"/>
      <c r="B264" s="455"/>
      <c r="C264" s="455"/>
      <c r="D264" s="455"/>
      <c r="E264" s="455"/>
      <c r="F264" s="455"/>
      <c r="G264" s="455"/>
      <c r="H264" s="455"/>
      <c r="I264" s="455"/>
      <c r="J264" s="455"/>
      <c r="K264" s="455"/>
      <c r="L264" s="455"/>
    </row>
    <row r="265" spans="1:12" x14ac:dyDescent="0.2">
      <c r="A265" s="455"/>
      <c r="B265" s="455"/>
      <c r="C265" s="455"/>
      <c r="D265" s="455"/>
      <c r="E265" s="455"/>
      <c r="F265" s="455"/>
      <c r="G265" s="455"/>
      <c r="H265" s="455"/>
      <c r="I265" s="455"/>
      <c r="J265" s="455"/>
      <c r="K265" s="455"/>
      <c r="L265" s="455"/>
    </row>
    <row r="266" spans="1:12" x14ac:dyDescent="0.2">
      <c r="A266" s="455"/>
      <c r="B266" s="455"/>
      <c r="C266" s="455"/>
      <c r="D266" s="455"/>
      <c r="E266" s="455"/>
      <c r="F266" s="455"/>
      <c r="G266" s="455"/>
      <c r="H266" s="455"/>
      <c r="I266" s="455"/>
      <c r="J266" s="455"/>
      <c r="K266" s="455"/>
      <c r="L266" s="455"/>
    </row>
    <row r="267" spans="1:12" x14ac:dyDescent="0.2">
      <c r="A267" s="455"/>
      <c r="B267" s="455"/>
      <c r="C267" s="455"/>
      <c r="D267" s="455"/>
      <c r="E267" s="455"/>
      <c r="F267" s="455"/>
      <c r="G267" s="455"/>
      <c r="H267" s="455"/>
      <c r="I267" s="455"/>
      <c r="J267" s="455"/>
      <c r="K267" s="455"/>
      <c r="L267" s="455"/>
    </row>
    <row r="268" spans="1:12" x14ac:dyDescent="0.2">
      <c r="A268" s="455"/>
      <c r="B268" s="455"/>
      <c r="C268" s="455"/>
      <c r="D268" s="455"/>
      <c r="E268" s="455"/>
      <c r="F268" s="455"/>
      <c r="G268" s="455"/>
      <c r="H268" s="455"/>
      <c r="I268" s="455"/>
      <c r="J268" s="455"/>
      <c r="K268" s="455"/>
      <c r="L268" s="455"/>
    </row>
    <row r="269" spans="1:12" x14ac:dyDescent="0.2">
      <c r="A269" s="455"/>
      <c r="B269" s="455"/>
      <c r="C269" s="455"/>
      <c r="D269" s="455"/>
      <c r="E269" s="455"/>
      <c r="F269" s="455"/>
      <c r="G269" s="455"/>
      <c r="H269" s="455"/>
      <c r="I269" s="455"/>
      <c r="J269" s="455"/>
      <c r="K269" s="455"/>
      <c r="L269" s="455"/>
    </row>
    <row r="270" spans="1:12" x14ac:dyDescent="0.2">
      <c r="A270" s="455"/>
      <c r="B270" s="455"/>
      <c r="C270" s="455"/>
      <c r="D270" s="455"/>
      <c r="E270" s="455"/>
      <c r="F270" s="455"/>
      <c r="G270" s="455"/>
      <c r="H270" s="455"/>
      <c r="I270" s="455"/>
      <c r="J270" s="455"/>
      <c r="K270" s="455"/>
      <c r="L270" s="455"/>
    </row>
    <row r="271" spans="1:12" x14ac:dyDescent="0.2">
      <c r="A271" s="455"/>
      <c r="B271" s="455"/>
      <c r="C271" s="455"/>
      <c r="D271" s="455"/>
      <c r="E271" s="455"/>
      <c r="F271" s="455"/>
      <c r="G271" s="455"/>
      <c r="H271" s="455"/>
      <c r="I271" s="455"/>
      <c r="J271" s="455"/>
      <c r="K271" s="455"/>
      <c r="L271" s="455"/>
    </row>
    <row r="272" spans="1:12" x14ac:dyDescent="0.2">
      <c r="A272" s="455"/>
      <c r="B272" s="455"/>
      <c r="C272" s="455"/>
      <c r="D272" s="455"/>
      <c r="E272" s="455"/>
      <c r="F272" s="455"/>
      <c r="G272" s="455"/>
      <c r="H272" s="455"/>
      <c r="I272" s="455"/>
      <c r="J272" s="455"/>
      <c r="K272" s="455"/>
      <c r="L272" s="455"/>
    </row>
    <row r="273" spans="1:12" x14ac:dyDescent="0.2">
      <c r="A273" s="455"/>
      <c r="B273" s="455"/>
      <c r="C273" s="455"/>
      <c r="D273" s="455"/>
      <c r="E273" s="455"/>
      <c r="F273" s="455"/>
      <c r="G273" s="455"/>
      <c r="H273" s="455"/>
      <c r="I273" s="455"/>
      <c r="J273" s="455"/>
      <c r="K273" s="455"/>
      <c r="L273" s="455"/>
    </row>
    <row r="274" spans="1:12" x14ac:dyDescent="0.2">
      <c r="A274" s="455"/>
      <c r="B274" s="455"/>
      <c r="C274" s="455"/>
      <c r="D274" s="455"/>
      <c r="E274" s="455"/>
      <c r="F274" s="455"/>
      <c r="G274" s="455"/>
      <c r="H274" s="455"/>
      <c r="I274" s="455"/>
      <c r="J274" s="455"/>
      <c r="K274" s="455"/>
      <c r="L274" s="455"/>
    </row>
    <row r="275" spans="1:12" x14ac:dyDescent="0.2">
      <c r="A275" s="455"/>
      <c r="B275" s="455"/>
      <c r="C275" s="455"/>
      <c r="D275" s="455"/>
      <c r="E275" s="455"/>
      <c r="F275" s="455"/>
      <c r="G275" s="455"/>
      <c r="H275" s="455"/>
      <c r="I275" s="455"/>
      <c r="J275" s="455"/>
      <c r="K275" s="455"/>
      <c r="L275" s="455"/>
    </row>
    <row r="276" spans="1:12" x14ac:dyDescent="0.2">
      <c r="A276" s="455"/>
      <c r="B276" s="455"/>
      <c r="C276" s="455"/>
      <c r="D276" s="455"/>
      <c r="E276" s="455"/>
      <c r="F276" s="455"/>
      <c r="G276" s="455"/>
      <c r="H276" s="455"/>
      <c r="I276" s="455"/>
      <c r="J276" s="455"/>
      <c r="K276" s="455"/>
      <c r="L276" s="455"/>
    </row>
    <row r="277" spans="1:12" x14ac:dyDescent="0.2">
      <c r="A277" s="455"/>
      <c r="B277" s="455"/>
      <c r="C277" s="455"/>
      <c r="D277" s="455"/>
      <c r="E277" s="455"/>
      <c r="F277" s="455"/>
      <c r="G277" s="455"/>
      <c r="H277" s="455"/>
      <c r="I277" s="455"/>
      <c r="J277" s="455"/>
      <c r="K277" s="455"/>
      <c r="L277" s="455"/>
    </row>
    <row r="278" spans="1:12" x14ac:dyDescent="0.2">
      <c r="A278" s="455"/>
      <c r="B278" s="455"/>
      <c r="C278" s="455"/>
      <c r="D278" s="455"/>
      <c r="E278" s="455"/>
      <c r="F278" s="455"/>
      <c r="G278" s="455"/>
      <c r="H278" s="455"/>
      <c r="I278" s="455"/>
      <c r="J278" s="455"/>
      <c r="K278" s="455"/>
      <c r="L278" s="455"/>
    </row>
    <row r="279" spans="1:12" x14ac:dyDescent="0.2">
      <c r="A279" s="455"/>
      <c r="B279" s="455"/>
      <c r="C279" s="455"/>
      <c r="D279" s="455"/>
      <c r="E279" s="455"/>
      <c r="F279" s="455"/>
      <c r="G279" s="455"/>
      <c r="H279" s="455"/>
      <c r="I279" s="455"/>
      <c r="J279" s="455"/>
      <c r="K279" s="455"/>
      <c r="L279" s="455"/>
    </row>
    <row r="280" spans="1:12" x14ac:dyDescent="0.2">
      <c r="A280" s="455"/>
      <c r="B280" s="455"/>
      <c r="C280" s="455"/>
      <c r="D280" s="455"/>
      <c r="E280" s="455"/>
      <c r="F280" s="455"/>
      <c r="G280" s="455"/>
      <c r="H280" s="455"/>
      <c r="I280" s="455"/>
      <c r="J280" s="455"/>
      <c r="K280" s="455"/>
      <c r="L280" s="455"/>
    </row>
    <row r="281" spans="1:12" x14ac:dyDescent="0.2">
      <c r="A281" s="455"/>
      <c r="B281" s="455"/>
      <c r="C281" s="455"/>
      <c r="D281" s="455"/>
      <c r="E281" s="455"/>
      <c r="F281" s="455"/>
      <c r="G281" s="455"/>
      <c r="H281" s="455"/>
      <c r="I281" s="455"/>
      <c r="J281" s="455"/>
      <c r="K281" s="455"/>
      <c r="L281" s="455"/>
    </row>
    <row r="282" spans="1:12" x14ac:dyDescent="0.2">
      <c r="A282" s="455"/>
      <c r="B282" s="455"/>
      <c r="C282" s="455"/>
      <c r="D282" s="455"/>
      <c r="E282" s="455"/>
      <c r="F282" s="455"/>
      <c r="G282" s="455"/>
      <c r="H282" s="455"/>
      <c r="I282" s="455"/>
      <c r="J282" s="455"/>
      <c r="K282" s="455"/>
      <c r="L282" s="455"/>
    </row>
    <row r="283" spans="1:12" x14ac:dyDescent="0.2">
      <c r="A283" s="455"/>
      <c r="B283" s="455"/>
      <c r="C283" s="455"/>
      <c r="D283" s="455"/>
      <c r="E283" s="455"/>
      <c r="F283" s="455"/>
      <c r="G283" s="455"/>
      <c r="H283" s="455"/>
      <c r="I283" s="455"/>
      <c r="J283" s="455"/>
      <c r="K283" s="455"/>
      <c r="L283" s="455"/>
    </row>
    <row r="284" spans="1:12" x14ac:dyDescent="0.2">
      <c r="A284" s="455"/>
      <c r="B284" s="455"/>
      <c r="C284" s="455"/>
      <c r="D284" s="455"/>
      <c r="E284" s="455"/>
      <c r="F284" s="455"/>
      <c r="G284" s="455"/>
      <c r="H284" s="455"/>
      <c r="I284" s="455"/>
      <c r="J284" s="455"/>
      <c r="K284" s="455"/>
      <c r="L284" s="455"/>
    </row>
    <row r="285" spans="1:12" x14ac:dyDescent="0.2">
      <c r="A285" s="455"/>
      <c r="B285" s="455"/>
      <c r="C285" s="455"/>
      <c r="D285" s="455"/>
      <c r="E285" s="455"/>
      <c r="F285" s="455"/>
      <c r="G285" s="455"/>
      <c r="H285" s="455"/>
      <c r="I285" s="455"/>
      <c r="J285" s="455"/>
      <c r="K285" s="455"/>
      <c r="L285" s="455"/>
    </row>
    <row r="286" spans="1:12" x14ac:dyDescent="0.2">
      <c r="A286" s="455"/>
      <c r="B286" s="455"/>
      <c r="C286" s="455"/>
      <c r="D286" s="455"/>
      <c r="E286" s="455"/>
      <c r="F286" s="455"/>
      <c r="G286" s="455"/>
      <c r="H286" s="455"/>
      <c r="I286" s="455"/>
      <c r="J286" s="455"/>
      <c r="K286" s="455"/>
      <c r="L286" s="455"/>
    </row>
    <row r="287" spans="1:12" x14ac:dyDescent="0.2">
      <c r="A287" s="455"/>
      <c r="B287" s="455"/>
      <c r="C287" s="455"/>
      <c r="D287" s="455"/>
      <c r="E287" s="455"/>
      <c r="F287" s="455"/>
      <c r="G287" s="455"/>
      <c r="H287" s="455"/>
      <c r="I287" s="455"/>
      <c r="J287" s="455"/>
      <c r="K287" s="455"/>
      <c r="L287" s="455"/>
    </row>
    <row r="288" spans="1:12" x14ac:dyDescent="0.2">
      <c r="A288" s="455"/>
      <c r="B288" s="455"/>
      <c r="C288" s="455"/>
      <c r="D288" s="455"/>
      <c r="E288" s="455"/>
      <c r="F288" s="455"/>
      <c r="G288" s="455"/>
      <c r="H288" s="455"/>
      <c r="I288" s="455"/>
      <c r="J288" s="455"/>
      <c r="K288" s="455"/>
      <c r="L288" s="455"/>
    </row>
    <row r="289" spans="1:12" x14ac:dyDescent="0.2">
      <c r="A289" s="455"/>
      <c r="B289" s="455"/>
      <c r="C289" s="455"/>
      <c r="D289" s="455"/>
      <c r="E289" s="455"/>
      <c r="F289" s="455"/>
      <c r="G289" s="455"/>
      <c r="H289" s="455"/>
      <c r="I289" s="455"/>
      <c r="J289" s="455"/>
      <c r="K289" s="455"/>
      <c r="L289" s="455"/>
    </row>
    <row r="290" spans="1:12" x14ac:dyDescent="0.2">
      <c r="A290" s="455"/>
      <c r="B290" s="455"/>
      <c r="C290" s="455"/>
      <c r="D290" s="455"/>
      <c r="E290" s="455"/>
      <c r="F290" s="455"/>
      <c r="G290" s="455"/>
      <c r="H290" s="455"/>
      <c r="I290" s="455"/>
      <c r="J290" s="455"/>
      <c r="K290" s="455"/>
      <c r="L290" s="455"/>
    </row>
    <row r="291" spans="1:12" x14ac:dyDescent="0.2">
      <c r="A291" s="455"/>
      <c r="B291" s="455"/>
      <c r="C291" s="455"/>
      <c r="D291" s="455"/>
      <c r="E291" s="455"/>
      <c r="F291" s="455"/>
      <c r="G291" s="455"/>
      <c r="H291" s="455"/>
      <c r="I291" s="455"/>
      <c r="J291" s="455"/>
      <c r="K291" s="455"/>
      <c r="L291" s="455"/>
    </row>
    <row r="292" spans="1:12" x14ac:dyDescent="0.2">
      <c r="A292" s="455"/>
      <c r="B292" s="455"/>
      <c r="C292" s="455"/>
      <c r="D292" s="455"/>
      <c r="E292" s="455"/>
      <c r="F292" s="455"/>
      <c r="G292" s="455"/>
      <c r="H292" s="455"/>
      <c r="I292" s="455"/>
      <c r="J292" s="455"/>
      <c r="K292" s="455"/>
      <c r="L292" s="455"/>
    </row>
    <row r="293" spans="1:12" x14ac:dyDescent="0.2">
      <c r="A293" s="455"/>
      <c r="B293" s="455"/>
      <c r="C293" s="455"/>
      <c r="D293" s="455"/>
      <c r="E293" s="455"/>
      <c r="F293" s="455"/>
      <c r="G293" s="455"/>
      <c r="H293" s="455"/>
      <c r="I293" s="455"/>
      <c r="J293" s="455"/>
      <c r="K293" s="455"/>
      <c r="L293" s="455"/>
    </row>
    <row r="294" spans="1:12" x14ac:dyDescent="0.2">
      <c r="A294" s="455"/>
      <c r="B294" s="455"/>
      <c r="C294" s="455"/>
      <c r="D294" s="455"/>
      <c r="E294" s="455"/>
      <c r="F294" s="455"/>
      <c r="G294" s="455"/>
      <c r="H294" s="455"/>
      <c r="I294" s="455"/>
      <c r="J294" s="455"/>
      <c r="K294" s="455"/>
      <c r="L294" s="455"/>
    </row>
    <row r="295" spans="1:12" x14ac:dyDescent="0.2">
      <c r="A295" s="455"/>
      <c r="B295" s="455"/>
      <c r="C295" s="455"/>
      <c r="D295" s="455"/>
      <c r="E295" s="455"/>
      <c r="F295" s="455"/>
      <c r="G295" s="455"/>
      <c r="H295" s="455"/>
      <c r="I295" s="455"/>
      <c r="J295" s="455"/>
      <c r="K295" s="455"/>
      <c r="L295" s="455"/>
    </row>
    <row r="296" spans="1:12" x14ac:dyDescent="0.2">
      <c r="A296" s="455"/>
      <c r="B296" s="455"/>
      <c r="C296" s="455"/>
      <c r="D296" s="455"/>
      <c r="E296" s="455"/>
      <c r="F296" s="455"/>
      <c r="G296" s="455"/>
      <c r="H296" s="455"/>
      <c r="I296" s="455"/>
      <c r="J296" s="455"/>
      <c r="K296" s="455"/>
      <c r="L296" s="455"/>
    </row>
    <row r="297" spans="1:12" x14ac:dyDescent="0.2">
      <c r="A297" s="455"/>
      <c r="B297" s="455"/>
      <c r="C297" s="455"/>
      <c r="D297" s="455"/>
      <c r="E297" s="455"/>
      <c r="F297" s="455"/>
      <c r="G297" s="455"/>
      <c r="H297" s="455"/>
      <c r="I297" s="455"/>
      <c r="J297" s="455"/>
      <c r="K297" s="455"/>
      <c r="L297" s="455"/>
    </row>
    <row r="298" spans="1:12" x14ac:dyDescent="0.2">
      <c r="A298" s="455"/>
      <c r="B298" s="455"/>
      <c r="C298" s="455"/>
      <c r="D298" s="455"/>
      <c r="E298" s="455"/>
      <c r="F298" s="455"/>
      <c r="G298" s="455"/>
      <c r="H298" s="455"/>
      <c r="I298" s="455"/>
      <c r="J298" s="455"/>
      <c r="K298" s="455"/>
      <c r="L298" s="455"/>
    </row>
    <row r="299" spans="1:12" x14ac:dyDescent="0.2">
      <c r="A299" s="455"/>
      <c r="B299" s="455"/>
      <c r="C299" s="455"/>
      <c r="D299" s="455"/>
      <c r="E299" s="455"/>
      <c r="F299" s="455"/>
      <c r="G299" s="455"/>
      <c r="H299" s="455"/>
      <c r="I299" s="455"/>
      <c r="J299" s="455"/>
      <c r="K299" s="455"/>
      <c r="L299" s="455"/>
    </row>
    <row r="300" spans="1:12" x14ac:dyDescent="0.2">
      <c r="A300" s="455"/>
      <c r="B300" s="455"/>
      <c r="C300" s="455"/>
      <c r="D300" s="455"/>
      <c r="E300" s="455"/>
      <c r="F300" s="455"/>
      <c r="G300" s="455"/>
      <c r="H300" s="455"/>
      <c r="I300" s="455"/>
      <c r="J300" s="455"/>
      <c r="K300" s="455"/>
      <c r="L300" s="455"/>
    </row>
    <row r="301" spans="1:12" x14ac:dyDescent="0.2">
      <c r="A301" s="455"/>
      <c r="B301" s="455"/>
      <c r="C301" s="455"/>
      <c r="D301" s="455"/>
      <c r="E301" s="455"/>
      <c r="F301" s="455"/>
      <c r="G301" s="455"/>
      <c r="H301" s="455"/>
      <c r="I301" s="455"/>
      <c r="J301" s="455"/>
      <c r="K301" s="455"/>
      <c r="L301" s="455"/>
    </row>
    <row r="302" spans="1:12" x14ac:dyDescent="0.2">
      <c r="A302" s="455"/>
      <c r="B302" s="455"/>
      <c r="C302" s="455"/>
      <c r="D302" s="455"/>
      <c r="E302" s="455"/>
      <c r="F302" s="455"/>
      <c r="G302" s="455"/>
      <c r="H302" s="455"/>
      <c r="I302" s="455"/>
      <c r="J302" s="455"/>
      <c r="K302" s="455"/>
      <c r="L302" s="455"/>
    </row>
    <row r="303" spans="1:12" x14ac:dyDescent="0.2">
      <c r="A303" s="455"/>
      <c r="B303" s="455"/>
      <c r="C303" s="455"/>
      <c r="D303" s="455"/>
      <c r="E303" s="455"/>
      <c r="F303" s="455"/>
      <c r="G303" s="455"/>
      <c r="H303" s="455"/>
      <c r="I303" s="455"/>
      <c r="J303" s="455"/>
      <c r="K303" s="455"/>
      <c r="L303" s="455"/>
    </row>
    <row r="304" spans="1:12" x14ac:dyDescent="0.2">
      <c r="A304" s="455"/>
      <c r="B304" s="455"/>
      <c r="C304" s="455"/>
      <c r="D304" s="455"/>
      <c r="E304" s="455"/>
      <c r="F304" s="455"/>
      <c r="G304" s="455"/>
      <c r="H304" s="455"/>
      <c r="I304" s="455"/>
      <c r="J304" s="455"/>
      <c r="K304" s="455"/>
      <c r="L304" s="455"/>
    </row>
    <row r="305" spans="1:12" x14ac:dyDescent="0.2">
      <c r="A305" s="455"/>
      <c r="B305" s="455"/>
      <c r="C305" s="455"/>
      <c r="D305" s="455"/>
      <c r="E305" s="455"/>
      <c r="F305" s="455"/>
      <c r="G305" s="455"/>
      <c r="H305" s="455"/>
      <c r="I305" s="455"/>
      <c r="J305" s="455"/>
      <c r="K305" s="455"/>
      <c r="L305" s="455"/>
    </row>
    <row r="306" spans="1:12" x14ac:dyDescent="0.2">
      <c r="A306" s="455"/>
      <c r="B306" s="455"/>
      <c r="C306" s="455"/>
      <c r="D306" s="455"/>
      <c r="E306" s="455"/>
      <c r="F306" s="455"/>
      <c r="G306" s="455"/>
      <c r="H306" s="455"/>
      <c r="I306" s="455"/>
      <c r="J306" s="455"/>
      <c r="K306" s="455"/>
      <c r="L306" s="455"/>
    </row>
    <row r="307" spans="1:12" x14ac:dyDescent="0.2">
      <c r="A307" s="455"/>
      <c r="B307" s="455"/>
      <c r="C307" s="455"/>
      <c r="D307" s="455"/>
      <c r="E307" s="455"/>
      <c r="F307" s="455"/>
      <c r="G307" s="455"/>
      <c r="H307" s="455"/>
      <c r="I307" s="455"/>
      <c r="J307" s="455"/>
      <c r="K307" s="455"/>
      <c r="L307" s="455"/>
    </row>
    <row r="308" spans="1:12" x14ac:dyDescent="0.2">
      <c r="A308" s="455"/>
      <c r="B308" s="455"/>
      <c r="C308" s="455"/>
      <c r="D308" s="455"/>
      <c r="E308" s="455"/>
      <c r="F308" s="455"/>
      <c r="G308" s="455"/>
      <c r="H308" s="455"/>
      <c r="I308" s="455"/>
      <c r="J308" s="455"/>
      <c r="K308" s="455"/>
      <c r="L308" s="455"/>
    </row>
    <row r="309" spans="1:12" x14ac:dyDescent="0.2">
      <c r="A309" s="455"/>
      <c r="B309" s="455"/>
      <c r="C309" s="455"/>
      <c r="D309" s="455"/>
      <c r="E309" s="455"/>
      <c r="F309" s="455"/>
      <c r="G309" s="455"/>
      <c r="H309" s="455"/>
      <c r="I309" s="455"/>
      <c r="J309" s="455"/>
      <c r="K309" s="455"/>
      <c r="L309" s="455"/>
    </row>
    <row r="310" spans="1:12" x14ac:dyDescent="0.2">
      <c r="A310" s="455"/>
      <c r="B310" s="455"/>
      <c r="C310" s="455"/>
      <c r="D310" s="455"/>
      <c r="E310" s="455"/>
      <c r="F310" s="455"/>
      <c r="G310" s="455"/>
      <c r="H310" s="455"/>
      <c r="I310" s="455"/>
      <c r="J310" s="455"/>
      <c r="K310" s="455"/>
      <c r="L310" s="455"/>
    </row>
    <row r="311" spans="1:12" x14ac:dyDescent="0.2">
      <c r="A311" s="455"/>
      <c r="B311" s="455"/>
      <c r="C311" s="455"/>
      <c r="D311" s="455"/>
      <c r="E311" s="455"/>
      <c r="F311" s="455"/>
      <c r="G311" s="455"/>
      <c r="H311" s="455"/>
      <c r="I311" s="455"/>
      <c r="J311" s="455"/>
      <c r="K311" s="455"/>
      <c r="L311" s="455"/>
    </row>
    <row r="312" spans="1:12" x14ac:dyDescent="0.2">
      <c r="A312" s="455"/>
      <c r="B312" s="455"/>
      <c r="C312" s="455"/>
      <c r="D312" s="455"/>
      <c r="E312" s="455"/>
      <c r="F312" s="455"/>
      <c r="G312" s="455"/>
      <c r="H312" s="455"/>
      <c r="I312" s="455"/>
      <c r="J312" s="455"/>
      <c r="K312" s="455"/>
      <c r="L312" s="455"/>
    </row>
    <row r="313" spans="1:12" x14ac:dyDescent="0.2">
      <c r="A313" s="455"/>
      <c r="B313" s="455"/>
      <c r="C313" s="455"/>
      <c r="D313" s="455"/>
      <c r="E313" s="455"/>
      <c r="F313" s="455"/>
      <c r="G313" s="455"/>
      <c r="H313" s="455"/>
      <c r="I313" s="455"/>
      <c r="J313" s="455"/>
      <c r="K313" s="455"/>
      <c r="L313" s="455"/>
    </row>
    <row r="314" spans="1:12" x14ac:dyDescent="0.2">
      <c r="A314" s="455"/>
      <c r="B314" s="455"/>
      <c r="C314" s="455"/>
      <c r="D314" s="455"/>
      <c r="E314" s="455"/>
      <c r="F314" s="455"/>
      <c r="G314" s="455"/>
      <c r="H314" s="455"/>
      <c r="I314" s="455"/>
      <c r="J314" s="455"/>
      <c r="K314" s="455"/>
      <c r="L314" s="455"/>
    </row>
    <row r="315" spans="1:12" x14ac:dyDescent="0.2">
      <c r="A315" s="455"/>
      <c r="B315" s="455"/>
      <c r="C315" s="455"/>
      <c r="D315" s="455"/>
      <c r="E315" s="455"/>
      <c r="F315" s="455"/>
      <c r="G315" s="455"/>
      <c r="H315" s="455"/>
      <c r="I315" s="455"/>
      <c r="J315" s="455"/>
      <c r="K315" s="455"/>
      <c r="L315" s="455"/>
    </row>
    <row r="316" spans="1:12" x14ac:dyDescent="0.2">
      <c r="A316" s="455"/>
      <c r="B316" s="455"/>
      <c r="C316" s="455"/>
      <c r="D316" s="455"/>
      <c r="E316" s="455"/>
      <c r="F316" s="455"/>
      <c r="G316" s="455"/>
      <c r="H316" s="455"/>
      <c r="I316" s="455"/>
      <c r="J316" s="455"/>
      <c r="K316" s="455"/>
      <c r="L316" s="455"/>
    </row>
    <row r="317" spans="1:12" x14ac:dyDescent="0.2">
      <c r="A317" s="455"/>
      <c r="B317" s="455"/>
      <c r="C317" s="455"/>
      <c r="D317" s="455"/>
      <c r="E317" s="455"/>
      <c r="F317" s="455"/>
      <c r="G317" s="455"/>
      <c r="H317" s="455"/>
      <c r="I317" s="455"/>
      <c r="J317" s="455"/>
      <c r="K317" s="455"/>
      <c r="L317" s="455"/>
    </row>
    <row r="318" spans="1:12" x14ac:dyDescent="0.2">
      <c r="A318" s="455"/>
      <c r="B318" s="455"/>
      <c r="C318" s="455"/>
      <c r="D318" s="455"/>
      <c r="E318" s="455"/>
      <c r="F318" s="455"/>
      <c r="G318" s="455"/>
      <c r="H318" s="455"/>
      <c r="I318" s="455"/>
      <c r="J318" s="455"/>
      <c r="K318" s="455"/>
      <c r="L318" s="455"/>
    </row>
    <row r="319" spans="1:12" x14ac:dyDescent="0.2">
      <c r="A319" s="455"/>
      <c r="B319" s="455"/>
      <c r="C319" s="455"/>
      <c r="D319" s="455"/>
      <c r="E319" s="455"/>
      <c r="F319" s="455"/>
      <c r="G319" s="455"/>
      <c r="H319" s="455"/>
      <c r="I319" s="455"/>
      <c r="J319" s="455"/>
      <c r="K319" s="455"/>
      <c r="L319" s="455"/>
    </row>
    <row r="320" spans="1:12" x14ac:dyDescent="0.2">
      <c r="A320" s="455"/>
      <c r="B320" s="455"/>
      <c r="C320" s="455"/>
      <c r="D320" s="455"/>
      <c r="E320" s="455"/>
      <c r="F320" s="455"/>
      <c r="G320" s="455"/>
      <c r="H320" s="455"/>
      <c r="I320" s="455"/>
      <c r="J320" s="455"/>
      <c r="K320" s="455"/>
      <c r="L320" s="455"/>
    </row>
    <row r="321" spans="1:12" x14ac:dyDescent="0.2">
      <c r="A321" s="455"/>
      <c r="B321" s="455"/>
      <c r="C321" s="455"/>
      <c r="D321" s="455"/>
      <c r="E321" s="455"/>
      <c r="F321" s="455"/>
      <c r="G321" s="455"/>
      <c r="H321" s="455"/>
      <c r="I321" s="455"/>
      <c r="J321" s="455"/>
      <c r="K321" s="455"/>
      <c r="L321" s="455"/>
    </row>
    <row r="322" spans="1:12" x14ac:dyDescent="0.2">
      <c r="A322" s="455"/>
      <c r="B322" s="455"/>
      <c r="C322" s="455"/>
      <c r="D322" s="455"/>
      <c r="E322" s="455"/>
      <c r="F322" s="455"/>
      <c r="G322" s="455"/>
      <c r="H322" s="455"/>
      <c r="I322" s="455"/>
      <c r="J322" s="455"/>
      <c r="K322" s="455"/>
      <c r="L322" s="455"/>
    </row>
    <row r="323" spans="1:12" x14ac:dyDescent="0.2">
      <c r="A323" s="455"/>
      <c r="B323" s="455"/>
      <c r="C323" s="455"/>
      <c r="D323" s="455"/>
      <c r="E323" s="455"/>
      <c r="F323" s="455"/>
      <c r="G323" s="455"/>
      <c r="H323" s="455"/>
      <c r="I323" s="455"/>
      <c r="J323" s="455"/>
      <c r="K323" s="455"/>
      <c r="L323" s="455"/>
    </row>
    <row r="324" spans="1:12" x14ac:dyDescent="0.2">
      <c r="A324" s="455"/>
      <c r="B324" s="455"/>
      <c r="C324" s="455"/>
      <c r="D324" s="455"/>
      <c r="E324" s="455"/>
      <c r="F324" s="455"/>
      <c r="G324" s="455"/>
      <c r="H324" s="455"/>
      <c r="I324" s="455"/>
      <c r="J324" s="455"/>
      <c r="K324" s="455"/>
      <c r="L324" s="455"/>
    </row>
    <row r="325" spans="1:12" x14ac:dyDescent="0.2">
      <c r="A325" s="455"/>
      <c r="B325" s="455"/>
      <c r="C325" s="455"/>
      <c r="D325" s="455"/>
      <c r="E325" s="455"/>
      <c r="F325" s="455"/>
      <c r="G325" s="455"/>
      <c r="H325" s="455"/>
      <c r="I325" s="455"/>
      <c r="J325" s="455"/>
      <c r="K325" s="455"/>
      <c r="L325" s="455"/>
    </row>
    <row r="326" spans="1:12" x14ac:dyDescent="0.2">
      <c r="A326" s="455"/>
      <c r="B326" s="455"/>
      <c r="C326" s="455"/>
      <c r="D326" s="455"/>
      <c r="E326" s="455"/>
      <c r="F326" s="455"/>
      <c r="G326" s="455"/>
      <c r="H326" s="455"/>
      <c r="I326" s="455"/>
      <c r="J326" s="455"/>
      <c r="K326" s="455"/>
      <c r="L326" s="455"/>
    </row>
    <row r="327" spans="1:12" x14ac:dyDescent="0.2">
      <c r="A327" s="455"/>
      <c r="B327" s="455"/>
      <c r="C327" s="455"/>
      <c r="D327" s="455"/>
      <c r="E327" s="455"/>
      <c r="F327" s="455"/>
      <c r="G327" s="455"/>
      <c r="H327" s="455"/>
      <c r="I327" s="455"/>
      <c r="J327" s="455"/>
      <c r="K327" s="455"/>
      <c r="L327" s="455"/>
    </row>
    <row r="328" spans="1:12" x14ac:dyDescent="0.2">
      <c r="A328" s="455"/>
      <c r="B328" s="455"/>
      <c r="C328" s="455"/>
      <c r="D328" s="455"/>
      <c r="E328" s="455"/>
      <c r="F328" s="455"/>
      <c r="G328" s="455"/>
      <c r="H328" s="455"/>
      <c r="I328" s="455"/>
      <c r="J328" s="455"/>
      <c r="K328" s="455"/>
      <c r="L328" s="455"/>
    </row>
    <row r="329" spans="1:12" x14ac:dyDescent="0.2">
      <c r="A329" s="455"/>
      <c r="B329" s="455"/>
      <c r="C329" s="455"/>
      <c r="D329" s="455"/>
      <c r="E329" s="455"/>
      <c r="F329" s="455"/>
      <c r="G329" s="455"/>
      <c r="H329" s="455"/>
      <c r="I329" s="455"/>
      <c r="J329" s="455"/>
      <c r="K329" s="455"/>
      <c r="L329" s="455"/>
    </row>
    <row r="330" spans="1:12" x14ac:dyDescent="0.2">
      <c r="A330" s="455"/>
      <c r="B330" s="455"/>
      <c r="C330" s="455"/>
      <c r="D330" s="455"/>
      <c r="E330" s="455"/>
      <c r="F330" s="455"/>
      <c r="G330" s="455"/>
      <c r="H330" s="455"/>
      <c r="I330" s="455"/>
      <c r="J330" s="455"/>
      <c r="K330" s="455"/>
      <c r="L330" s="455"/>
    </row>
    <row r="331" spans="1:12" x14ac:dyDescent="0.2">
      <c r="A331" s="455"/>
      <c r="B331" s="455"/>
      <c r="C331" s="455"/>
      <c r="D331" s="455"/>
      <c r="E331" s="455"/>
      <c r="F331" s="455"/>
      <c r="G331" s="455"/>
      <c r="H331" s="455"/>
      <c r="I331" s="455"/>
      <c r="J331" s="455"/>
      <c r="K331" s="455"/>
      <c r="L331" s="455"/>
    </row>
    <row r="332" spans="1:12" x14ac:dyDescent="0.2">
      <c r="A332" s="455"/>
      <c r="B332" s="455"/>
      <c r="C332" s="455"/>
      <c r="D332" s="455"/>
      <c r="E332" s="455"/>
      <c r="F332" s="455"/>
      <c r="G332" s="455"/>
      <c r="H332" s="455"/>
      <c r="I332" s="455"/>
      <c r="J332" s="455"/>
      <c r="K332" s="455"/>
      <c r="L332" s="455"/>
    </row>
    <row r="333" spans="1:12" x14ac:dyDescent="0.2">
      <c r="A333" s="455"/>
      <c r="B333" s="455"/>
      <c r="C333" s="455"/>
      <c r="D333" s="455"/>
      <c r="E333" s="455"/>
      <c r="F333" s="455"/>
      <c r="G333" s="455"/>
      <c r="H333" s="455"/>
      <c r="I333" s="455"/>
      <c r="J333" s="455"/>
      <c r="K333" s="455"/>
      <c r="L333" s="455"/>
    </row>
    <row r="334" spans="1:12" x14ac:dyDescent="0.2">
      <c r="A334" s="455"/>
      <c r="B334" s="455"/>
      <c r="C334" s="455"/>
      <c r="D334" s="455"/>
      <c r="E334" s="455"/>
      <c r="F334" s="455"/>
      <c r="G334" s="455"/>
      <c r="H334" s="455"/>
      <c r="I334" s="455"/>
      <c r="J334" s="455"/>
      <c r="K334" s="455"/>
      <c r="L334" s="455"/>
    </row>
    <row r="335" spans="1:12" x14ac:dyDescent="0.2">
      <c r="A335" s="455"/>
      <c r="B335" s="455"/>
      <c r="C335" s="455"/>
      <c r="D335" s="455"/>
      <c r="E335" s="455"/>
      <c r="F335" s="455"/>
      <c r="G335" s="455"/>
      <c r="H335" s="455"/>
      <c r="I335" s="455"/>
      <c r="J335" s="455"/>
      <c r="K335" s="455"/>
      <c r="L335" s="455"/>
    </row>
    <row r="336" spans="1:12" x14ac:dyDescent="0.2">
      <c r="A336" s="455"/>
      <c r="B336" s="455"/>
      <c r="C336" s="455"/>
      <c r="D336" s="455"/>
      <c r="E336" s="455"/>
      <c r="F336" s="455"/>
      <c r="G336" s="455"/>
      <c r="H336" s="455"/>
      <c r="I336" s="455"/>
      <c r="J336" s="455"/>
      <c r="K336" s="455"/>
      <c r="L336" s="455"/>
    </row>
    <row r="337" spans="1:12" x14ac:dyDescent="0.2">
      <c r="A337" s="455"/>
      <c r="B337" s="455"/>
      <c r="C337" s="455"/>
      <c r="D337" s="455"/>
      <c r="E337" s="455"/>
      <c r="F337" s="455"/>
      <c r="G337" s="455"/>
      <c r="H337" s="455"/>
      <c r="I337" s="455"/>
      <c r="J337" s="455"/>
      <c r="K337" s="455"/>
      <c r="L337" s="455"/>
    </row>
    <row r="338" spans="1:12" x14ac:dyDescent="0.2">
      <c r="A338" s="455"/>
      <c r="B338" s="455"/>
      <c r="C338" s="455"/>
      <c r="D338" s="455"/>
      <c r="E338" s="455"/>
      <c r="F338" s="455"/>
      <c r="G338" s="455"/>
      <c r="H338" s="455"/>
      <c r="I338" s="455"/>
      <c r="J338" s="455"/>
      <c r="K338" s="455"/>
      <c r="L338" s="455"/>
    </row>
    <row r="339" spans="1:12" x14ac:dyDescent="0.2">
      <c r="A339" s="455"/>
      <c r="B339" s="455"/>
      <c r="C339" s="455"/>
      <c r="D339" s="455"/>
      <c r="E339" s="455"/>
      <c r="F339" s="455"/>
      <c r="G339" s="455"/>
      <c r="H339" s="455"/>
      <c r="I339" s="455"/>
      <c r="J339" s="455"/>
      <c r="K339" s="455"/>
      <c r="L339" s="455"/>
    </row>
    <row r="340" spans="1:12" x14ac:dyDescent="0.2">
      <c r="A340" s="455"/>
      <c r="B340" s="455"/>
      <c r="C340" s="455"/>
      <c r="D340" s="455"/>
      <c r="E340" s="455"/>
      <c r="F340" s="455"/>
      <c r="G340" s="455"/>
      <c r="H340" s="455"/>
      <c r="I340" s="455"/>
      <c r="J340" s="455"/>
      <c r="K340" s="455"/>
      <c r="L340" s="455"/>
    </row>
    <row r="341" spans="1:12" x14ac:dyDescent="0.2">
      <c r="A341" s="455"/>
      <c r="B341" s="455"/>
      <c r="C341" s="455"/>
      <c r="D341" s="455"/>
      <c r="E341" s="455"/>
      <c r="F341" s="455"/>
      <c r="G341" s="455"/>
      <c r="H341" s="455"/>
      <c r="I341" s="455"/>
      <c r="J341" s="455"/>
      <c r="K341" s="455"/>
      <c r="L341" s="455"/>
    </row>
    <row r="342" spans="1:12" x14ac:dyDescent="0.2">
      <c r="A342" s="455"/>
      <c r="B342" s="455"/>
      <c r="C342" s="455"/>
      <c r="D342" s="455"/>
      <c r="E342" s="455"/>
      <c r="F342" s="455"/>
      <c r="G342" s="455"/>
      <c r="H342" s="455"/>
      <c r="I342" s="455"/>
      <c r="J342" s="455"/>
      <c r="K342" s="455"/>
      <c r="L342" s="455"/>
    </row>
    <row r="343" spans="1:12" x14ac:dyDescent="0.2">
      <c r="A343" s="455"/>
      <c r="B343" s="455"/>
      <c r="C343" s="455"/>
      <c r="D343" s="455"/>
      <c r="E343" s="455"/>
      <c r="F343" s="455"/>
      <c r="G343" s="455"/>
      <c r="H343" s="455"/>
      <c r="I343" s="455"/>
      <c r="J343" s="455"/>
      <c r="K343" s="455"/>
      <c r="L343" s="455"/>
    </row>
    <row r="344" spans="1:12" x14ac:dyDescent="0.2">
      <c r="A344" s="455"/>
      <c r="B344" s="455"/>
      <c r="C344" s="455"/>
      <c r="D344" s="455"/>
      <c r="E344" s="455"/>
      <c r="F344" s="455"/>
      <c r="G344" s="455"/>
      <c r="H344" s="455"/>
      <c r="I344" s="455"/>
      <c r="J344" s="455"/>
      <c r="K344" s="455"/>
      <c r="L344" s="455"/>
    </row>
    <row r="345" spans="1:12" x14ac:dyDescent="0.2">
      <c r="A345" s="455"/>
      <c r="B345" s="455"/>
      <c r="C345" s="455"/>
      <c r="D345" s="455"/>
      <c r="E345" s="455"/>
      <c r="F345" s="455"/>
      <c r="G345" s="455"/>
      <c r="H345" s="455"/>
      <c r="I345" s="455"/>
      <c r="J345" s="455"/>
      <c r="K345" s="455"/>
      <c r="L345" s="455"/>
    </row>
    <row r="346" spans="1:12" x14ac:dyDescent="0.2">
      <c r="A346" s="455"/>
      <c r="B346" s="455"/>
      <c r="C346" s="455"/>
      <c r="D346" s="455"/>
      <c r="E346" s="455"/>
      <c r="F346" s="455"/>
      <c r="G346" s="455"/>
      <c r="H346" s="455"/>
      <c r="I346" s="455"/>
      <c r="J346" s="455"/>
      <c r="K346" s="455"/>
      <c r="L346" s="455"/>
    </row>
    <row r="347" spans="1:12" x14ac:dyDescent="0.2">
      <c r="A347" s="455"/>
      <c r="B347" s="455"/>
      <c r="C347" s="455"/>
      <c r="D347" s="455"/>
      <c r="E347" s="455"/>
      <c r="F347" s="455"/>
      <c r="G347" s="455"/>
      <c r="H347" s="455"/>
      <c r="I347" s="455"/>
      <c r="J347" s="455"/>
      <c r="K347" s="455"/>
      <c r="L347" s="455"/>
    </row>
    <row r="348" spans="1:12" x14ac:dyDescent="0.2">
      <c r="A348" s="455"/>
      <c r="B348" s="455"/>
      <c r="C348" s="455"/>
      <c r="D348" s="455"/>
      <c r="E348" s="455"/>
      <c r="F348" s="455"/>
      <c r="G348" s="455"/>
      <c r="H348" s="455"/>
      <c r="I348" s="455"/>
      <c r="J348" s="455"/>
      <c r="K348" s="455"/>
      <c r="L348" s="455"/>
    </row>
    <row r="349" spans="1:12" x14ac:dyDescent="0.2">
      <c r="A349" s="455"/>
      <c r="B349" s="455"/>
      <c r="C349" s="455"/>
      <c r="D349" s="455"/>
      <c r="E349" s="455"/>
      <c r="F349" s="455"/>
      <c r="G349" s="455"/>
      <c r="H349" s="455"/>
      <c r="I349" s="455"/>
      <c r="J349" s="455"/>
      <c r="K349" s="455"/>
      <c r="L349" s="455"/>
    </row>
    <row r="350" spans="1:12" x14ac:dyDescent="0.2">
      <c r="A350" s="455"/>
      <c r="B350" s="455"/>
      <c r="C350" s="455"/>
      <c r="D350" s="455"/>
      <c r="E350" s="455"/>
      <c r="F350" s="455"/>
      <c r="G350" s="455"/>
      <c r="H350" s="455"/>
      <c r="I350" s="455"/>
      <c r="J350" s="455"/>
      <c r="K350" s="455"/>
      <c r="L350" s="455"/>
    </row>
    <row r="351" spans="1:12" x14ac:dyDescent="0.2">
      <c r="A351" s="455"/>
      <c r="B351" s="455"/>
      <c r="C351" s="455"/>
      <c r="D351" s="455"/>
      <c r="E351" s="455"/>
      <c r="F351" s="455"/>
      <c r="G351" s="455"/>
      <c r="H351" s="455"/>
      <c r="I351" s="455"/>
      <c r="J351" s="455"/>
      <c r="K351" s="455"/>
      <c r="L351" s="455"/>
    </row>
    <row r="352" spans="1:12" x14ac:dyDescent="0.2">
      <c r="A352" s="455"/>
      <c r="B352" s="455"/>
      <c r="C352" s="455"/>
      <c r="D352" s="455"/>
      <c r="E352" s="455"/>
      <c r="F352" s="455"/>
      <c r="G352" s="455"/>
      <c r="H352" s="455"/>
      <c r="I352" s="455"/>
      <c r="J352" s="455"/>
      <c r="K352" s="455"/>
      <c r="L352" s="455"/>
    </row>
    <row r="353" spans="1:12" x14ac:dyDescent="0.2">
      <c r="A353" s="455"/>
      <c r="B353" s="455"/>
      <c r="C353" s="455"/>
      <c r="D353" s="455"/>
      <c r="E353" s="455"/>
      <c r="F353" s="455"/>
      <c r="G353" s="455"/>
      <c r="H353" s="455"/>
      <c r="I353" s="455"/>
      <c r="J353" s="455"/>
      <c r="K353" s="455"/>
      <c r="L353" s="455"/>
    </row>
    <row r="354" spans="1:12" x14ac:dyDescent="0.2">
      <c r="A354" s="455"/>
      <c r="B354" s="455"/>
      <c r="C354" s="455"/>
      <c r="D354" s="455"/>
      <c r="E354" s="455"/>
      <c r="F354" s="455"/>
      <c r="G354" s="455"/>
      <c r="H354" s="455"/>
      <c r="I354" s="455"/>
      <c r="J354" s="455"/>
      <c r="K354" s="455"/>
      <c r="L354" s="455"/>
    </row>
  </sheetData>
  <mergeCells count="55">
    <mergeCell ref="C134:D134"/>
    <mergeCell ref="H134:I134"/>
    <mergeCell ref="C136:D136"/>
    <mergeCell ref="B90:K90"/>
    <mergeCell ref="C94:D94"/>
    <mergeCell ref="C97:D97"/>
    <mergeCell ref="C100:D100"/>
    <mergeCell ref="C103:D103"/>
    <mergeCell ref="C120:D120"/>
    <mergeCell ref="B105:K105"/>
    <mergeCell ref="B106:K106"/>
    <mergeCell ref="B108:K108"/>
    <mergeCell ref="B110:K110"/>
    <mergeCell ref="C114:D114"/>
    <mergeCell ref="C117:D117"/>
    <mergeCell ref="C123:D123"/>
    <mergeCell ref="C80:D80"/>
    <mergeCell ref="C83:D83"/>
    <mergeCell ref="B88:K88"/>
    <mergeCell ref="C74:D74"/>
    <mergeCell ref="B85:K85"/>
    <mergeCell ref="B86:K86"/>
    <mergeCell ref="C77:D77"/>
    <mergeCell ref="B58:K58"/>
    <mergeCell ref="B52:K52"/>
    <mergeCell ref="B53:K53"/>
    <mergeCell ref="B55:K55"/>
    <mergeCell ref="B57:K57"/>
    <mergeCell ref="B6:K6"/>
    <mergeCell ref="B7:K7"/>
    <mergeCell ref="B8:K8"/>
    <mergeCell ref="B10:K10"/>
    <mergeCell ref="B12:K12"/>
    <mergeCell ref="C25:D25"/>
    <mergeCell ref="F23:G23"/>
    <mergeCell ref="B30:K30"/>
    <mergeCell ref="B31:K31"/>
    <mergeCell ref="C41:D41"/>
    <mergeCell ref="B48:C48"/>
    <mergeCell ref="G50:H50"/>
    <mergeCell ref="I51:K51"/>
    <mergeCell ref="B33:K33"/>
    <mergeCell ref="B35:K35"/>
    <mergeCell ref="B125:K125"/>
    <mergeCell ref="B126:K126"/>
    <mergeCell ref="B128:K128"/>
    <mergeCell ref="C133:D133"/>
    <mergeCell ref="H133:I133"/>
    <mergeCell ref="B130:K130"/>
    <mergeCell ref="C137:D137"/>
    <mergeCell ref="B144:K144"/>
    <mergeCell ref="C147:D147"/>
    <mergeCell ref="J147:K147"/>
    <mergeCell ref="C148:D148"/>
    <mergeCell ref="J148:K148"/>
  </mergeCells>
  <pageMargins left="0.7" right="0.7" top="0.75" bottom="0.75" header="0.3" footer="0.3"/>
  <pageSetup scale="80" orientation="portrait" blackAndWhite="1" r:id="rId1"/>
  <colBreaks count="1" manualBreakCount="1">
    <brk id="11" max="1048575" man="1"/>
  </colBreaks>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0"/>
  <sheetViews>
    <sheetView workbookViewId="0">
      <selection activeCell="C9" sqref="C9"/>
    </sheetView>
  </sheetViews>
  <sheetFormatPr defaultRowHeight="15.75" x14ac:dyDescent="0.25"/>
  <cols>
    <col min="1" max="1" width="71.21875" style="1" customWidth="1"/>
    <col min="2" max="16384" width="8.88671875" style="1"/>
  </cols>
  <sheetData>
    <row r="1" spans="1:1" ht="16.5" x14ac:dyDescent="0.25">
      <c r="A1" s="456" t="s">
        <v>683</v>
      </c>
    </row>
    <row r="3" spans="1:1" ht="31.5" x14ac:dyDescent="0.25">
      <c r="A3" s="457" t="s">
        <v>684</v>
      </c>
    </row>
    <row r="4" spans="1:1" x14ac:dyDescent="0.25">
      <c r="A4" s="458" t="s">
        <v>685</v>
      </c>
    </row>
    <row r="7" spans="1:1" ht="31.5" x14ac:dyDescent="0.25">
      <c r="A7" s="457" t="s">
        <v>686</v>
      </c>
    </row>
    <row r="8" spans="1:1" x14ac:dyDescent="0.25">
      <c r="A8" s="458" t="s">
        <v>687</v>
      </c>
    </row>
    <row r="11" spans="1:1" x14ac:dyDescent="0.25">
      <c r="A11" s="1" t="s">
        <v>688</v>
      </c>
    </row>
    <row r="12" spans="1:1" x14ac:dyDescent="0.25">
      <c r="A12" s="458" t="s">
        <v>689</v>
      </c>
    </row>
    <row r="15" spans="1:1" x14ac:dyDescent="0.25">
      <c r="A15" s="1" t="s">
        <v>690</v>
      </c>
    </row>
    <row r="16" spans="1:1" x14ac:dyDescent="0.25">
      <c r="A16" s="458" t="s">
        <v>691</v>
      </c>
    </row>
    <row r="19" spans="1:1" x14ac:dyDescent="0.25">
      <c r="A19" s="1" t="s">
        <v>692</v>
      </c>
    </row>
    <row r="20" spans="1:1" x14ac:dyDescent="0.25">
      <c r="A20" s="458" t="s">
        <v>693</v>
      </c>
    </row>
    <row r="23" spans="1:1" x14ac:dyDescent="0.25">
      <c r="A23" s="1" t="s">
        <v>694</v>
      </c>
    </row>
    <row r="24" spans="1:1" x14ac:dyDescent="0.25">
      <c r="A24" s="458" t="s">
        <v>695</v>
      </c>
    </row>
    <row r="27" spans="1:1" x14ac:dyDescent="0.25">
      <c r="A27" s="1" t="s">
        <v>696</v>
      </c>
    </row>
    <row r="28" spans="1:1" x14ac:dyDescent="0.25">
      <c r="A28" s="458" t="s">
        <v>697</v>
      </c>
    </row>
    <row r="31" spans="1:1" x14ac:dyDescent="0.25">
      <c r="A31" s="1" t="s">
        <v>698</v>
      </c>
    </row>
    <row r="32" spans="1:1" x14ac:dyDescent="0.25">
      <c r="A32" s="458" t="s">
        <v>699</v>
      </c>
    </row>
    <row r="35" spans="1:1" x14ac:dyDescent="0.25">
      <c r="A35" s="1" t="s">
        <v>700</v>
      </c>
    </row>
    <row r="36" spans="1:1" x14ac:dyDescent="0.25">
      <c r="A36" s="458" t="s">
        <v>701</v>
      </c>
    </row>
    <row r="39" spans="1:1" x14ac:dyDescent="0.25">
      <c r="A39" s="1" t="s">
        <v>702</v>
      </c>
    </row>
    <row r="40" spans="1:1" x14ac:dyDescent="0.25">
      <c r="A40" s="458" t="s">
        <v>703</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pageSetup orientation="portrait" r:id="rId1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2"/>
  <sheetViews>
    <sheetView workbookViewId="0">
      <selection activeCell="M70" sqref="M70"/>
    </sheetView>
  </sheetViews>
  <sheetFormatPr defaultRowHeight="15.75" x14ac:dyDescent="0.2"/>
  <cols>
    <col min="1" max="1" width="81.88671875" style="29" customWidth="1"/>
    <col min="2" max="16384" width="8.88671875" style="29"/>
  </cols>
  <sheetData>
    <row r="1" spans="1:1" x14ac:dyDescent="0.2">
      <c r="A1" s="495" t="s">
        <v>982</v>
      </c>
    </row>
    <row r="2" spans="1:1" x14ac:dyDescent="0.2">
      <c r="A2" s="29" t="s">
        <v>983</v>
      </c>
    </row>
    <row r="4" spans="1:1" x14ac:dyDescent="0.2">
      <c r="A4" s="495" t="s">
        <v>984</v>
      </c>
    </row>
    <row r="5" spans="1:1" x14ac:dyDescent="0.2">
      <c r="A5" s="30" t="s">
        <v>952</v>
      </c>
    </row>
    <row r="7" spans="1:1" x14ac:dyDescent="0.2">
      <c r="A7" s="495" t="s">
        <v>985</v>
      </c>
    </row>
    <row r="8" spans="1:1" x14ac:dyDescent="0.2">
      <c r="A8" s="29" t="s">
        <v>951</v>
      </c>
    </row>
    <row r="10" spans="1:1" x14ac:dyDescent="0.2">
      <c r="A10" s="495" t="s">
        <v>986</v>
      </c>
    </row>
    <row r="11" spans="1:1" x14ac:dyDescent="0.2">
      <c r="A11" s="29" t="s">
        <v>950</v>
      </c>
    </row>
    <row r="13" spans="1:1" x14ac:dyDescent="0.2">
      <c r="A13" s="495" t="s">
        <v>987</v>
      </c>
    </row>
    <row r="14" spans="1:1" x14ac:dyDescent="0.2">
      <c r="A14" s="29" t="s">
        <v>948</v>
      </c>
    </row>
    <row r="16" spans="1:1" x14ac:dyDescent="0.2">
      <c r="A16" s="495" t="s">
        <v>988</v>
      </c>
    </row>
    <row r="17" spans="1:5" x14ac:dyDescent="0.2">
      <c r="A17" s="575" t="s">
        <v>947</v>
      </c>
    </row>
    <row r="19" spans="1:5" x14ac:dyDescent="0.2">
      <c r="A19" s="495" t="s">
        <v>989</v>
      </c>
    </row>
    <row r="20" spans="1:5" x14ac:dyDescent="0.2">
      <c r="A20" s="575" t="s">
        <v>946</v>
      </c>
    </row>
    <row r="21" spans="1:5" x14ac:dyDescent="0.2">
      <c r="A21" s="495"/>
    </row>
    <row r="22" spans="1:5" x14ac:dyDescent="0.2">
      <c r="A22" s="495" t="s">
        <v>990</v>
      </c>
    </row>
    <row r="23" spans="1:5" x14ac:dyDescent="0.2">
      <c r="A23" s="29" t="s">
        <v>942</v>
      </c>
    </row>
    <row r="25" spans="1:5" x14ac:dyDescent="0.25">
      <c r="A25" s="495" t="s">
        <v>991</v>
      </c>
      <c r="B25" s="699"/>
      <c r="C25" s="699"/>
      <c r="D25" s="699"/>
      <c r="E25" s="699"/>
    </row>
    <row r="26" spans="1:5" x14ac:dyDescent="0.25">
      <c r="A26" s="700" t="s">
        <v>941</v>
      </c>
      <c r="B26" s="699"/>
      <c r="C26" s="699"/>
      <c r="D26" s="699"/>
      <c r="E26" s="699"/>
    </row>
    <row r="28" spans="1:5" x14ac:dyDescent="0.2">
      <c r="A28" s="495" t="s">
        <v>992</v>
      </c>
    </row>
    <row r="29" spans="1:5" x14ac:dyDescent="0.2">
      <c r="A29" s="29" t="s">
        <v>939</v>
      </c>
    </row>
    <row r="31" spans="1:5" x14ac:dyDescent="0.2">
      <c r="A31" s="495" t="s">
        <v>993</v>
      </c>
    </row>
    <row r="32" spans="1:5" x14ac:dyDescent="0.2">
      <c r="A32" s="575" t="s">
        <v>772</v>
      </c>
    </row>
    <row r="33" spans="1:1" x14ac:dyDescent="0.2">
      <c r="A33" s="29" t="s">
        <v>773</v>
      </c>
    </row>
    <row r="34" spans="1:1" x14ac:dyDescent="0.2">
      <c r="A34" s="29" t="s">
        <v>774</v>
      </c>
    </row>
    <row r="35" spans="1:1" x14ac:dyDescent="0.2">
      <c r="A35" s="29" t="s">
        <v>775</v>
      </c>
    </row>
    <row r="36" spans="1:1" x14ac:dyDescent="0.2">
      <c r="A36" s="29" t="s">
        <v>776</v>
      </c>
    </row>
    <row r="37" spans="1:1" x14ac:dyDescent="0.2">
      <c r="A37" s="29" t="s">
        <v>777</v>
      </c>
    </row>
    <row r="38" spans="1:1" x14ac:dyDescent="0.2">
      <c r="A38" s="29" t="s">
        <v>778</v>
      </c>
    </row>
    <row r="39" spans="1:1" x14ac:dyDescent="0.2">
      <c r="A39" s="29" t="s">
        <v>779</v>
      </c>
    </row>
    <row r="40" spans="1:1" x14ac:dyDescent="0.2">
      <c r="A40" s="29" t="s">
        <v>780</v>
      </c>
    </row>
    <row r="41" spans="1:1" x14ac:dyDescent="0.2">
      <c r="A41" s="29" t="s">
        <v>781</v>
      </c>
    </row>
    <row r="42" spans="1:1" x14ac:dyDescent="0.2">
      <c r="A42" s="29" t="s">
        <v>782</v>
      </c>
    </row>
    <row r="43" spans="1:1" x14ac:dyDescent="0.2">
      <c r="A43" s="29" t="s">
        <v>783</v>
      </c>
    </row>
    <row r="44" spans="1:1" x14ac:dyDescent="0.2">
      <c r="A44" s="29" t="s">
        <v>784</v>
      </c>
    </row>
    <row r="45" spans="1:1" x14ac:dyDescent="0.2">
      <c r="A45" s="29" t="s">
        <v>785</v>
      </c>
    </row>
    <row r="46" spans="1:1" x14ac:dyDescent="0.2">
      <c r="A46" s="29" t="s">
        <v>786</v>
      </c>
    </row>
    <row r="47" spans="1:1" x14ac:dyDescent="0.2">
      <c r="A47" s="29" t="s">
        <v>787</v>
      </c>
    </row>
    <row r="48" spans="1:1" ht="47.25" x14ac:dyDescent="0.2">
      <c r="A48" s="31" t="s">
        <v>788</v>
      </c>
    </row>
    <row r="49" spans="1:1" x14ac:dyDescent="0.2">
      <c r="A49" s="30" t="s">
        <v>789</v>
      </c>
    </row>
    <row r="50" spans="1:1" ht="31.5" x14ac:dyDescent="0.2">
      <c r="A50" s="31" t="s">
        <v>790</v>
      </c>
    </row>
    <row r="51" spans="1:1" x14ac:dyDescent="0.2">
      <c r="A51" s="29" t="s">
        <v>791</v>
      </c>
    </row>
    <row r="52" spans="1:1" x14ac:dyDescent="0.2">
      <c r="A52" s="29" t="s">
        <v>792</v>
      </c>
    </row>
    <row r="53" spans="1:1" x14ac:dyDescent="0.2">
      <c r="A53" s="29" t="s">
        <v>793</v>
      </c>
    </row>
    <row r="54" spans="1:1" x14ac:dyDescent="0.2">
      <c r="A54" s="29" t="s">
        <v>794</v>
      </c>
    </row>
    <row r="55" spans="1:1" x14ac:dyDescent="0.2">
      <c r="A55" s="29" t="s">
        <v>795</v>
      </c>
    </row>
    <row r="56" spans="1:1" x14ac:dyDescent="0.2">
      <c r="A56" s="29" t="s">
        <v>796</v>
      </c>
    </row>
    <row r="57" spans="1:1" x14ac:dyDescent="0.2">
      <c r="A57" s="29" t="s">
        <v>797</v>
      </c>
    </row>
    <row r="58" spans="1:1" x14ac:dyDescent="0.2">
      <c r="A58" s="29" t="s">
        <v>798</v>
      </c>
    </row>
    <row r="59" spans="1:1" x14ac:dyDescent="0.2">
      <c r="A59" s="29" t="s">
        <v>799</v>
      </c>
    </row>
    <row r="60" spans="1:1" x14ac:dyDescent="0.2">
      <c r="A60" s="29" t="s">
        <v>800</v>
      </c>
    </row>
    <row r="61" spans="1:1" x14ac:dyDescent="0.2">
      <c r="A61" s="29" t="s">
        <v>801</v>
      </c>
    </row>
    <row r="62" spans="1:1" x14ac:dyDescent="0.2">
      <c r="A62" s="29" t="s">
        <v>802</v>
      </c>
    </row>
    <row r="63" spans="1:1" x14ac:dyDescent="0.2">
      <c r="A63" s="29" t="s">
        <v>803</v>
      </c>
    </row>
    <row r="64" spans="1:1" x14ac:dyDescent="0.2">
      <c r="A64" s="29" t="s">
        <v>804</v>
      </c>
    </row>
    <row r="65" spans="1:1" x14ac:dyDescent="0.2">
      <c r="A65" s="29" t="s">
        <v>933</v>
      </c>
    </row>
    <row r="66" spans="1:1" x14ac:dyDescent="0.2">
      <c r="A66" s="29" t="s">
        <v>934</v>
      </c>
    </row>
    <row r="67" spans="1:1" x14ac:dyDescent="0.2">
      <c r="A67" s="29" t="s">
        <v>935</v>
      </c>
    </row>
    <row r="68" spans="1:1" x14ac:dyDescent="0.2">
      <c r="A68" s="29" t="s">
        <v>936</v>
      </c>
    </row>
    <row r="70" spans="1:1" x14ac:dyDescent="0.2">
      <c r="A70" s="495" t="s">
        <v>993</v>
      </c>
    </row>
    <row r="71" spans="1:1" x14ac:dyDescent="0.2">
      <c r="A71" s="575" t="s">
        <v>772</v>
      </c>
    </row>
    <row r="72" spans="1:1" x14ac:dyDescent="0.2">
      <c r="A72" s="29" t="s">
        <v>773</v>
      </c>
    </row>
    <row r="73" spans="1:1" x14ac:dyDescent="0.2">
      <c r="A73" s="29" t="s">
        <v>774</v>
      </c>
    </row>
    <row r="74" spans="1:1" x14ac:dyDescent="0.2">
      <c r="A74" s="29" t="s">
        <v>775</v>
      </c>
    </row>
    <row r="75" spans="1:1" x14ac:dyDescent="0.2">
      <c r="A75" s="29" t="s">
        <v>776</v>
      </c>
    </row>
    <row r="76" spans="1:1" x14ac:dyDescent="0.2">
      <c r="A76" s="29" t="s">
        <v>777</v>
      </c>
    </row>
    <row r="77" spans="1:1" x14ac:dyDescent="0.2">
      <c r="A77" s="29" t="s">
        <v>778</v>
      </c>
    </row>
    <row r="78" spans="1:1" x14ac:dyDescent="0.2">
      <c r="A78" s="29" t="s">
        <v>779</v>
      </c>
    </row>
    <row r="79" spans="1:1" x14ac:dyDescent="0.2">
      <c r="A79" s="29" t="s">
        <v>780</v>
      </c>
    </row>
    <row r="80" spans="1:1" x14ac:dyDescent="0.2">
      <c r="A80" s="29" t="s">
        <v>781</v>
      </c>
    </row>
    <row r="81" spans="1:1" x14ac:dyDescent="0.2">
      <c r="A81" s="29" t="s">
        <v>782</v>
      </c>
    </row>
    <row r="82" spans="1:1" x14ac:dyDescent="0.2">
      <c r="A82" s="29" t="s">
        <v>783</v>
      </c>
    </row>
    <row r="83" spans="1:1" x14ac:dyDescent="0.2">
      <c r="A83" s="29" t="s">
        <v>784</v>
      </c>
    </row>
    <row r="84" spans="1:1" x14ac:dyDescent="0.2">
      <c r="A84" s="29" t="s">
        <v>785</v>
      </c>
    </row>
    <row r="85" spans="1:1" x14ac:dyDescent="0.2">
      <c r="A85" s="29" t="s">
        <v>786</v>
      </c>
    </row>
    <row r="86" spans="1:1" x14ac:dyDescent="0.2">
      <c r="A86" s="29" t="s">
        <v>787</v>
      </c>
    </row>
    <row r="87" spans="1:1" ht="47.25" x14ac:dyDescent="0.2">
      <c r="A87" s="31" t="s">
        <v>788</v>
      </c>
    </row>
    <row r="88" spans="1:1" x14ac:dyDescent="0.2">
      <c r="A88" s="30" t="s">
        <v>789</v>
      </c>
    </row>
    <row r="89" spans="1:1" ht="31.5" x14ac:dyDescent="0.2">
      <c r="A89" s="31" t="s">
        <v>790</v>
      </c>
    </row>
    <row r="90" spans="1:1" x14ac:dyDescent="0.2">
      <c r="A90" s="29" t="s">
        <v>791</v>
      </c>
    </row>
    <row r="91" spans="1:1" x14ac:dyDescent="0.2">
      <c r="A91" s="29" t="s">
        <v>792</v>
      </c>
    </row>
    <row r="92" spans="1:1" x14ac:dyDescent="0.2">
      <c r="A92" s="29" t="s">
        <v>793</v>
      </c>
    </row>
    <row r="93" spans="1:1" x14ac:dyDescent="0.2">
      <c r="A93" s="29" t="s">
        <v>794</v>
      </c>
    </row>
    <row r="94" spans="1:1" x14ac:dyDescent="0.2">
      <c r="A94" s="29" t="s">
        <v>795</v>
      </c>
    </row>
    <row r="95" spans="1:1" x14ac:dyDescent="0.2">
      <c r="A95" s="29" t="s">
        <v>796</v>
      </c>
    </row>
    <row r="96" spans="1:1" x14ac:dyDescent="0.2">
      <c r="A96" s="29" t="s">
        <v>797</v>
      </c>
    </row>
    <row r="97" spans="1:1" x14ac:dyDescent="0.2">
      <c r="A97" s="29" t="s">
        <v>798</v>
      </c>
    </row>
    <row r="98" spans="1:1" x14ac:dyDescent="0.2">
      <c r="A98" s="29" t="s">
        <v>799</v>
      </c>
    </row>
    <row r="99" spans="1:1" x14ac:dyDescent="0.2">
      <c r="A99" s="29" t="s">
        <v>800</v>
      </c>
    </row>
    <row r="100" spans="1:1" x14ac:dyDescent="0.2">
      <c r="A100" s="29" t="s">
        <v>801</v>
      </c>
    </row>
    <row r="101" spans="1:1" x14ac:dyDescent="0.2">
      <c r="A101" s="29" t="s">
        <v>802</v>
      </c>
    </row>
    <row r="102" spans="1:1" x14ac:dyDescent="0.2">
      <c r="A102" s="29" t="s">
        <v>803</v>
      </c>
    </row>
    <row r="103" spans="1:1" x14ac:dyDescent="0.2">
      <c r="A103" s="29" t="s">
        <v>804</v>
      </c>
    </row>
    <row r="104" spans="1:1" x14ac:dyDescent="0.2">
      <c r="A104" s="29" t="s">
        <v>805</v>
      </c>
    </row>
    <row r="105" spans="1:1" x14ac:dyDescent="0.2">
      <c r="A105" s="29" t="s">
        <v>806</v>
      </c>
    </row>
    <row r="107" spans="1:1" x14ac:dyDescent="0.2">
      <c r="A107" s="495" t="s">
        <v>994</v>
      </c>
    </row>
    <row r="108" spans="1:1" x14ac:dyDescent="0.2">
      <c r="A108" s="29" t="s">
        <v>770</v>
      </c>
    </row>
    <row r="110" spans="1:1" x14ac:dyDescent="0.2">
      <c r="A110" s="495" t="s">
        <v>995</v>
      </c>
    </row>
    <row r="111" spans="1:1" x14ac:dyDescent="0.2">
      <c r="A111" s="29" t="s">
        <v>767</v>
      </c>
    </row>
    <row r="112" spans="1:1" x14ac:dyDescent="0.2">
      <c r="A112" s="29" t="s">
        <v>768</v>
      </c>
    </row>
    <row r="113" spans="1:1" x14ac:dyDescent="0.2">
      <c r="A113" s="29" t="s">
        <v>769</v>
      </c>
    </row>
    <row r="115" spans="1:1" x14ac:dyDescent="0.2">
      <c r="A115" s="495" t="s">
        <v>996</v>
      </c>
    </row>
    <row r="116" spans="1:1" x14ac:dyDescent="0.2">
      <c r="A116" s="475" t="s">
        <v>766</v>
      </c>
    </row>
    <row r="118" spans="1:1" x14ac:dyDescent="0.2">
      <c r="A118" s="495" t="s">
        <v>997</v>
      </c>
    </row>
    <row r="119" spans="1:1" x14ac:dyDescent="0.2">
      <c r="A119" s="29" t="s">
        <v>739</v>
      </c>
    </row>
    <row r="121" spans="1:1" x14ac:dyDescent="0.2">
      <c r="A121" s="495" t="s">
        <v>998</v>
      </c>
    </row>
    <row r="122" spans="1:1" x14ac:dyDescent="0.2">
      <c r="A122" s="475" t="s">
        <v>706</v>
      </c>
    </row>
    <row r="123" spans="1:1" x14ac:dyDescent="0.2">
      <c r="A123" s="475" t="s">
        <v>707</v>
      </c>
    </row>
    <row r="124" spans="1:1" ht="31.5" x14ac:dyDescent="0.2">
      <c r="A124" s="462" t="s">
        <v>708</v>
      </c>
    </row>
    <row r="125" spans="1:1" x14ac:dyDescent="0.2">
      <c r="A125" s="475" t="s">
        <v>740</v>
      </c>
    </row>
    <row r="126" spans="1:1" x14ac:dyDescent="0.2">
      <c r="A126" s="475" t="s">
        <v>741</v>
      </c>
    </row>
    <row r="127" spans="1:1" x14ac:dyDescent="0.2">
      <c r="A127" s="475" t="s">
        <v>742</v>
      </c>
    </row>
    <row r="128" spans="1:1" x14ac:dyDescent="0.2">
      <c r="A128" s="475" t="s">
        <v>743</v>
      </c>
    </row>
    <row r="129" spans="1:1" x14ac:dyDescent="0.2">
      <c r="A129" s="475" t="s">
        <v>744</v>
      </c>
    </row>
    <row r="130" spans="1:1" x14ac:dyDescent="0.2">
      <c r="A130" s="475" t="s">
        <v>745</v>
      </c>
    </row>
    <row r="131" spans="1:1" x14ac:dyDescent="0.2">
      <c r="A131" s="475" t="s">
        <v>746</v>
      </c>
    </row>
    <row r="132" spans="1:1" x14ac:dyDescent="0.2">
      <c r="A132" s="475" t="s">
        <v>747</v>
      </c>
    </row>
    <row r="133" spans="1:1" x14ac:dyDescent="0.2">
      <c r="A133" s="475" t="s">
        <v>748</v>
      </c>
    </row>
    <row r="134" spans="1:1" x14ac:dyDescent="0.2">
      <c r="A134" s="475" t="s">
        <v>749</v>
      </c>
    </row>
    <row r="135" spans="1:1" x14ac:dyDescent="0.2">
      <c r="A135" s="475" t="s">
        <v>750</v>
      </c>
    </row>
    <row r="136" spans="1:1" x14ac:dyDescent="0.2">
      <c r="A136" s="475" t="s">
        <v>751</v>
      </c>
    </row>
    <row r="137" spans="1:1" x14ac:dyDescent="0.2">
      <c r="A137" s="475" t="s">
        <v>752</v>
      </c>
    </row>
    <row r="138" spans="1:1" x14ac:dyDescent="0.2">
      <c r="A138" s="475" t="s">
        <v>753</v>
      </c>
    </row>
    <row r="139" spans="1:1" x14ac:dyDescent="0.2">
      <c r="A139" s="475" t="s">
        <v>754</v>
      </c>
    </row>
    <row r="140" spans="1:1" x14ac:dyDescent="0.2">
      <c r="A140" s="475" t="s">
        <v>755</v>
      </c>
    </row>
    <row r="141" spans="1:1" x14ac:dyDescent="0.2">
      <c r="A141" s="475" t="s">
        <v>756</v>
      </c>
    </row>
    <row r="142" spans="1:1" x14ac:dyDescent="0.2">
      <c r="A142" s="475" t="s">
        <v>757</v>
      </c>
    </row>
    <row r="143" spans="1:1" x14ac:dyDescent="0.2">
      <c r="A143" s="475" t="s">
        <v>758</v>
      </c>
    </row>
    <row r="144" spans="1:1" x14ac:dyDescent="0.2">
      <c r="A144" s="475" t="s">
        <v>759</v>
      </c>
    </row>
    <row r="145" spans="1:1" x14ac:dyDescent="0.2">
      <c r="A145" s="475" t="s">
        <v>760</v>
      </c>
    </row>
    <row r="146" spans="1:1" x14ac:dyDescent="0.2">
      <c r="A146" s="475" t="s">
        <v>761</v>
      </c>
    </row>
    <row r="147" spans="1:1" x14ac:dyDescent="0.2">
      <c r="A147" s="475" t="s">
        <v>762</v>
      </c>
    </row>
    <row r="148" spans="1:1" x14ac:dyDescent="0.2">
      <c r="A148" s="475" t="s">
        <v>763</v>
      </c>
    </row>
    <row r="149" spans="1:1" x14ac:dyDescent="0.2">
      <c r="A149" s="475" t="s">
        <v>764</v>
      </c>
    </row>
    <row r="150" spans="1:1" x14ac:dyDescent="0.2">
      <c r="A150" s="475" t="s">
        <v>765</v>
      </c>
    </row>
    <row r="152" spans="1:1" x14ac:dyDescent="0.2">
      <c r="A152" s="347" t="s">
        <v>999</v>
      </c>
    </row>
    <row r="153" spans="1:1" x14ac:dyDescent="0.2">
      <c r="A153" s="29" t="s">
        <v>619</v>
      </c>
    </row>
    <row r="154" spans="1:1" x14ac:dyDescent="0.2">
      <c r="A154" s="29" t="s">
        <v>620</v>
      </c>
    </row>
    <row r="155" spans="1:1" x14ac:dyDescent="0.2">
      <c r="A155" s="29" t="s">
        <v>621</v>
      </c>
    </row>
    <row r="157" spans="1:1" x14ac:dyDescent="0.2">
      <c r="A157" s="347" t="s">
        <v>1000</v>
      </c>
    </row>
    <row r="158" spans="1:1" x14ac:dyDescent="0.2">
      <c r="A158" s="29" t="s">
        <v>618</v>
      </c>
    </row>
    <row r="160" spans="1:1" x14ac:dyDescent="0.2">
      <c r="A160" s="347" t="s">
        <v>1001</v>
      </c>
    </row>
    <row r="161" spans="1:1" x14ac:dyDescent="0.2">
      <c r="A161" s="346" t="s">
        <v>389</v>
      </c>
    </row>
    <row r="162" spans="1:1" x14ac:dyDescent="0.2">
      <c r="A162" s="346" t="s">
        <v>390</v>
      </c>
    </row>
    <row r="163" spans="1:1" x14ac:dyDescent="0.2">
      <c r="A163" s="346" t="s">
        <v>391</v>
      </c>
    </row>
    <row r="164" spans="1:1" x14ac:dyDescent="0.2">
      <c r="A164" s="29" t="s">
        <v>608</v>
      </c>
    </row>
    <row r="166" spans="1:1" x14ac:dyDescent="0.2">
      <c r="A166" s="322" t="s">
        <v>1002</v>
      </c>
    </row>
    <row r="167" spans="1:1" x14ac:dyDescent="0.2">
      <c r="A167" s="326" t="s">
        <v>369</v>
      </c>
    </row>
    <row r="168" spans="1:1" x14ac:dyDescent="0.2">
      <c r="A168" s="29" t="s">
        <v>370</v>
      </c>
    </row>
    <row r="169" spans="1:1" x14ac:dyDescent="0.2">
      <c r="A169" s="29" t="s">
        <v>371</v>
      </c>
    </row>
    <row r="170" spans="1:1" ht="17.25" customHeight="1" x14ac:dyDescent="0.2">
      <c r="A170" s="748" t="s">
        <v>372</v>
      </c>
    </row>
    <row r="171" spans="1:1" x14ac:dyDescent="0.2">
      <c r="A171" s="29" t="s">
        <v>373</v>
      </c>
    </row>
    <row r="172" spans="1:1" x14ac:dyDescent="0.2">
      <c r="A172" s="29" t="s">
        <v>374</v>
      </c>
    </row>
    <row r="173" spans="1:1" x14ac:dyDescent="0.2">
      <c r="A173" s="29" t="s">
        <v>375</v>
      </c>
    </row>
    <row r="174" spans="1:1" x14ac:dyDescent="0.2">
      <c r="A174" s="29" t="s">
        <v>376</v>
      </c>
    </row>
    <row r="175" spans="1:1" x14ac:dyDescent="0.2">
      <c r="A175" s="29" t="s">
        <v>377</v>
      </c>
    </row>
    <row r="176" spans="1:1" x14ac:dyDescent="0.2">
      <c r="A176" s="29" t="s">
        <v>378</v>
      </c>
    </row>
    <row r="177" spans="1:1" x14ac:dyDescent="0.2">
      <c r="A177" s="29" t="s">
        <v>379</v>
      </c>
    </row>
    <row r="179" spans="1:1" x14ac:dyDescent="0.2">
      <c r="A179" s="322" t="s">
        <v>1003</v>
      </c>
    </row>
    <row r="180" spans="1:1" x14ac:dyDescent="0.2">
      <c r="A180" s="29" t="s">
        <v>316</v>
      </c>
    </row>
    <row r="182" spans="1:1" x14ac:dyDescent="0.2">
      <c r="A182" s="322" t="s">
        <v>1004</v>
      </c>
    </row>
    <row r="183" spans="1:1" x14ac:dyDescent="0.2">
      <c r="A183" s="29" t="s">
        <v>315</v>
      </c>
    </row>
    <row r="185" spans="1:1" x14ac:dyDescent="0.2">
      <c r="A185" s="322" t="s">
        <v>312</v>
      </c>
    </row>
    <row r="186" spans="1:1" x14ac:dyDescent="0.2">
      <c r="A186" s="29" t="s">
        <v>313</v>
      </c>
    </row>
    <row r="187" spans="1:1" x14ac:dyDescent="0.2">
      <c r="A187" s="29" t="s">
        <v>314</v>
      </c>
    </row>
    <row r="189" spans="1:1" x14ac:dyDescent="0.2">
      <c r="A189" s="322" t="s">
        <v>62</v>
      </c>
    </row>
    <row r="190" spans="1:1" x14ac:dyDescent="0.2">
      <c r="A190" s="29" t="s">
        <v>47</v>
      </c>
    </row>
    <row r="191" spans="1:1" x14ac:dyDescent="0.2">
      <c r="A191" s="29" t="s">
        <v>48</v>
      </c>
    </row>
    <row r="192" spans="1:1" x14ac:dyDescent="0.2">
      <c r="A192" s="29" t="s">
        <v>49</v>
      </c>
    </row>
    <row r="193" spans="1:1" x14ac:dyDescent="0.2">
      <c r="A193" s="29" t="s">
        <v>56</v>
      </c>
    </row>
    <row r="194" spans="1:1" x14ac:dyDescent="0.2">
      <c r="A194" s="29" t="s">
        <v>50</v>
      </c>
    </row>
    <row r="195" spans="1:1" x14ac:dyDescent="0.2">
      <c r="A195" s="29" t="s">
        <v>51</v>
      </c>
    </row>
    <row r="196" spans="1:1" ht="31.5" x14ac:dyDescent="0.2">
      <c r="A196" s="31" t="s">
        <v>57</v>
      </c>
    </row>
    <row r="197" spans="1:1" ht="31.5" x14ac:dyDescent="0.2">
      <c r="A197" s="31" t="s">
        <v>52</v>
      </c>
    </row>
    <row r="198" spans="1:1" x14ac:dyDescent="0.2">
      <c r="A198" s="31" t="s">
        <v>53</v>
      </c>
    </row>
    <row r="199" spans="1:1" x14ac:dyDescent="0.2">
      <c r="A199" s="31" t="s">
        <v>54</v>
      </c>
    </row>
    <row r="200" spans="1:1" ht="31.5" x14ac:dyDescent="0.2">
      <c r="A200" s="31" t="s">
        <v>305</v>
      </c>
    </row>
    <row r="201" spans="1:1" x14ac:dyDescent="0.2">
      <c r="A201" s="29" t="s">
        <v>306</v>
      </c>
    </row>
    <row r="202" spans="1:1" ht="31.5" x14ac:dyDescent="0.2">
      <c r="A202" s="31" t="s">
        <v>55</v>
      </c>
    </row>
    <row r="203" spans="1:1" x14ac:dyDescent="0.2">
      <c r="A203" s="29" t="s">
        <v>59</v>
      </c>
    </row>
    <row r="204" spans="1:1" x14ac:dyDescent="0.2">
      <c r="A204" s="29" t="s">
        <v>60</v>
      </c>
    </row>
    <row r="205" spans="1:1" x14ac:dyDescent="0.2">
      <c r="A205" s="29" t="s">
        <v>61</v>
      </c>
    </row>
    <row r="206" spans="1:1" ht="31.5" x14ac:dyDescent="0.2">
      <c r="A206" s="31" t="s">
        <v>304</v>
      </c>
    </row>
    <row r="207" spans="1:1" x14ac:dyDescent="0.2">
      <c r="A207" s="29" t="s">
        <v>303</v>
      </c>
    </row>
    <row r="208" spans="1:1" ht="31.5" x14ac:dyDescent="0.2">
      <c r="A208" s="31" t="s">
        <v>302</v>
      </c>
    </row>
    <row r="209" spans="1:1" x14ac:dyDescent="0.2">
      <c r="A209" s="29" t="s">
        <v>307</v>
      </c>
    </row>
    <row r="211" spans="1:1" x14ac:dyDescent="0.2">
      <c r="A211" s="322" t="s">
        <v>66</v>
      </c>
    </row>
    <row r="212" spans="1:1" x14ac:dyDescent="0.2">
      <c r="A212" s="29" t="s">
        <v>67</v>
      </c>
    </row>
    <row r="213" spans="1:1" x14ac:dyDescent="0.2">
      <c r="A213" s="29" t="s">
        <v>68</v>
      </c>
    </row>
    <row r="214" spans="1:1" x14ac:dyDescent="0.2">
      <c r="A214" s="29" t="s">
        <v>69</v>
      </c>
    </row>
    <row r="215" spans="1:1" x14ac:dyDescent="0.2">
      <c r="A215" s="29" t="s">
        <v>58</v>
      </c>
    </row>
    <row r="218" spans="1:1" x14ac:dyDescent="0.2">
      <c r="A218" s="322" t="s">
        <v>43</v>
      </c>
    </row>
    <row r="219" spans="1:1" x14ac:dyDescent="0.2">
      <c r="A219" s="29" t="s">
        <v>44</v>
      </c>
    </row>
    <row r="221" spans="1:1" x14ac:dyDescent="0.2">
      <c r="A221" s="322" t="s">
        <v>36</v>
      </c>
    </row>
    <row r="222" spans="1:1" x14ac:dyDescent="0.2">
      <c r="A222" s="29" t="s">
        <v>37</v>
      </c>
    </row>
    <row r="223" spans="1:1" x14ac:dyDescent="0.2">
      <c r="A223" s="29" t="s">
        <v>38</v>
      </c>
    </row>
    <row r="224" spans="1:1" ht="31.5" x14ac:dyDescent="0.2">
      <c r="A224" s="31" t="s">
        <v>39</v>
      </c>
    </row>
    <row r="225" spans="1:1" x14ac:dyDescent="0.2">
      <c r="A225" s="29" t="s">
        <v>40</v>
      </c>
    </row>
    <row r="226" spans="1:1" x14ac:dyDescent="0.2">
      <c r="A226" s="29" t="s">
        <v>41</v>
      </c>
    </row>
    <row r="227" spans="1:1" x14ac:dyDescent="0.2">
      <c r="A227" s="29" t="s">
        <v>42</v>
      </c>
    </row>
    <row r="229" spans="1:1" ht="18" customHeight="1" x14ac:dyDescent="0.2">
      <c r="A229" s="322" t="s">
        <v>275</v>
      </c>
    </row>
    <row r="230" spans="1:1" ht="48.75" customHeight="1" x14ac:dyDescent="0.2">
      <c r="A230" s="31" t="s">
        <v>308</v>
      </c>
    </row>
    <row r="231" spans="1:1" x14ac:dyDescent="0.2">
      <c r="A231" s="29" t="s">
        <v>276</v>
      </c>
    </row>
    <row r="232" spans="1:1" x14ac:dyDescent="0.2">
      <c r="A232" s="29" t="s">
        <v>277</v>
      </c>
    </row>
    <row r="233" spans="1:1" x14ac:dyDescent="0.2">
      <c r="A233" s="29" t="s">
        <v>309</v>
      </c>
    </row>
    <row r="234" spans="1:1" x14ac:dyDescent="0.2">
      <c r="A234" s="29" t="s">
        <v>278</v>
      </c>
    </row>
    <row r="235" spans="1:1" x14ac:dyDescent="0.2">
      <c r="A235" s="29" t="s">
        <v>279</v>
      </c>
    </row>
    <row r="236" spans="1:1" x14ac:dyDescent="0.2">
      <c r="A236" s="29" t="s">
        <v>6</v>
      </c>
    </row>
    <row r="237" spans="1:1" x14ac:dyDescent="0.2">
      <c r="A237" s="29" t="s">
        <v>280</v>
      </c>
    </row>
    <row r="238" spans="1:1" x14ac:dyDescent="0.2">
      <c r="A238" s="29" t="s">
        <v>281</v>
      </c>
    </row>
    <row r="239" spans="1:1" ht="31.5" x14ac:dyDescent="0.2">
      <c r="A239" s="31" t="s">
        <v>282</v>
      </c>
    </row>
    <row r="240" spans="1:1" ht="31.5" x14ac:dyDescent="0.2">
      <c r="A240" s="31" t="s">
        <v>15</v>
      </c>
    </row>
    <row r="241" spans="1:1" x14ac:dyDescent="0.2">
      <c r="A241" s="29" t="s">
        <v>283</v>
      </c>
    </row>
    <row r="242" spans="1:1" x14ac:dyDescent="0.2">
      <c r="A242" s="29" t="s">
        <v>284</v>
      </c>
    </row>
    <row r="243" spans="1:1" x14ac:dyDescent="0.2">
      <c r="A243" s="29" t="s">
        <v>310</v>
      </c>
    </row>
    <row r="244" spans="1:1" x14ac:dyDescent="0.2">
      <c r="A244" s="29" t="s">
        <v>285</v>
      </c>
    </row>
    <row r="245" spans="1:1" x14ac:dyDescent="0.2">
      <c r="A245" s="29" t="s">
        <v>0</v>
      </c>
    </row>
    <row r="246" spans="1:1" ht="31.5" x14ac:dyDescent="0.2">
      <c r="A246" s="31" t="s">
        <v>1</v>
      </c>
    </row>
    <row r="247" spans="1:1" x14ac:dyDescent="0.2">
      <c r="A247" s="29" t="s">
        <v>294</v>
      </c>
    </row>
    <row r="248" spans="1:1" x14ac:dyDescent="0.2">
      <c r="A248" s="29" t="s">
        <v>295</v>
      </c>
    </row>
    <row r="249" spans="1:1" ht="31.5" x14ac:dyDescent="0.2">
      <c r="A249" s="31" t="s">
        <v>296</v>
      </c>
    </row>
    <row r="250" spans="1:1" x14ac:dyDescent="0.2">
      <c r="A250" s="29" t="s">
        <v>23</v>
      </c>
    </row>
    <row r="251" spans="1:1" x14ac:dyDescent="0.2">
      <c r="A251" s="29" t="s">
        <v>24</v>
      </c>
    </row>
    <row r="252" spans="1:1" x14ac:dyDescent="0.2">
      <c r="A252" s="29" t="s">
        <v>25</v>
      </c>
    </row>
    <row r="253" spans="1:1" x14ac:dyDescent="0.2">
      <c r="A253" s="29" t="s">
        <v>26</v>
      </c>
    </row>
    <row r="254" spans="1:1" x14ac:dyDescent="0.2">
      <c r="A254" s="29" t="s">
        <v>27</v>
      </c>
    </row>
    <row r="255" spans="1:1" x14ac:dyDescent="0.2">
      <c r="A255" s="29" t="s">
        <v>28</v>
      </c>
    </row>
    <row r="256" spans="1:1" x14ac:dyDescent="0.2">
      <c r="A256" s="29" t="s">
        <v>29</v>
      </c>
    </row>
    <row r="257" spans="1:1" x14ac:dyDescent="0.2">
      <c r="A257" s="29" t="s">
        <v>30</v>
      </c>
    </row>
    <row r="258" spans="1:1" x14ac:dyDescent="0.2">
      <c r="A258" s="29" t="s">
        <v>31</v>
      </c>
    </row>
    <row r="259" spans="1:1" x14ac:dyDescent="0.2">
      <c r="A259" s="29" t="s">
        <v>33</v>
      </c>
    </row>
    <row r="260" spans="1:1" x14ac:dyDescent="0.2">
      <c r="A260" s="29" t="s">
        <v>34</v>
      </c>
    </row>
    <row r="261" spans="1:1" x14ac:dyDescent="0.2">
      <c r="A261" s="29" t="s">
        <v>35</v>
      </c>
    </row>
    <row r="262" spans="1:1" x14ac:dyDescent="0.2">
      <c r="A262" s="29" t="s">
        <v>32</v>
      </c>
    </row>
  </sheetData>
  <phoneticPr fontId="0" type="noConversion"/>
  <pageMargins left="0.75" right="0.75" top="1" bottom="1" header="0.5" footer="0.5"/>
  <pageSetup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workbookViewId="0">
      <selection activeCell="B8" sqref="B8"/>
    </sheetView>
  </sheetViews>
  <sheetFormatPr defaultRowHeight="15" x14ac:dyDescent="0.2"/>
  <cols>
    <col min="1" max="1" width="13.77734375" customWidth="1"/>
    <col min="2" max="2" width="16.109375" customWidth="1"/>
  </cols>
  <sheetData>
    <row r="1" spans="1:10" x14ac:dyDescent="0.2">
      <c r="J1" s="581" t="s">
        <v>822</v>
      </c>
    </row>
    <row r="2" spans="1:10" ht="54" customHeight="1" x14ac:dyDescent="0.2">
      <c r="A2" s="778" t="s">
        <v>380</v>
      </c>
      <c r="B2" s="779"/>
      <c r="C2" s="779"/>
      <c r="D2" s="779"/>
      <c r="E2" s="779"/>
      <c r="F2" s="779"/>
      <c r="J2" s="581" t="s">
        <v>823</v>
      </c>
    </row>
    <row r="3" spans="1:10" ht="15.75" x14ac:dyDescent="0.25">
      <c r="A3" s="1" t="s">
        <v>824</v>
      </c>
      <c r="B3" s="756" t="s">
        <v>1012</v>
      </c>
      <c r="C3" s="711"/>
      <c r="J3" s="581" t="s">
        <v>825</v>
      </c>
    </row>
    <row r="4" spans="1:10" ht="15.75" x14ac:dyDescent="0.25">
      <c r="A4" s="1"/>
      <c r="B4" s="582"/>
      <c r="J4" s="581" t="s">
        <v>826</v>
      </c>
    </row>
    <row r="5" spans="1:10" ht="15.75" x14ac:dyDescent="0.25">
      <c r="A5" s="1" t="s">
        <v>718</v>
      </c>
      <c r="B5" s="756" t="s">
        <v>1013</v>
      </c>
      <c r="J5" s="581" t="s">
        <v>827</v>
      </c>
    </row>
    <row r="6" spans="1:10" ht="15.75" x14ac:dyDescent="0.25">
      <c r="A6" s="330"/>
      <c r="B6" s="330"/>
      <c r="C6" s="330"/>
      <c r="D6" s="331" t="s">
        <v>828</v>
      </c>
      <c r="E6" s="330"/>
      <c r="F6" s="330"/>
      <c r="J6" s="581" t="s">
        <v>829</v>
      </c>
    </row>
    <row r="7" spans="1:10" ht="15.75" x14ac:dyDescent="0.25">
      <c r="A7" s="331" t="s">
        <v>381</v>
      </c>
      <c r="B7" s="756" t="s">
        <v>1039</v>
      </c>
      <c r="C7" s="332"/>
      <c r="D7" s="331" t="str">
        <f ca="1">IF(B7="","",CONCATENATE("Latest date for notice to be published in your newspaper: ",G18," ",G22,", ",G23))</f>
        <v>Latest date for notice to be published in your newspaper: August 1, 2014</v>
      </c>
      <c r="E7" s="330"/>
      <c r="F7" s="330"/>
      <c r="J7" s="581" t="s">
        <v>830</v>
      </c>
    </row>
    <row r="8" spans="1:10" ht="15.75" x14ac:dyDescent="0.25">
      <c r="A8" s="331"/>
      <c r="B8" s="333"/>
      <c r="C8" s="334"/>
      <c r="D8" s="331"/>
      <c r="E8" s="330"/>
      <c r="F8" s="330"/>
      <c r="J8" s="581" t="s">
        <v>831</v>
      </c>
    </row>
    <row r="9" spans="1:10" ht="15.75" x14ac:dyDescent="0.25">
      <c r="A9" s="331" t="s">
        <v>382</v>
      </c>
      <c r="B9" s="756" t="s">
        <v>1014</v>
      </c>
      <c r="C9" s="335"/>
      <c r="D9" s="331"/>
      <c r="E9" s="330"/>
      <c r="F9" s="330"/>
      <c r="J9" s="581" t="s">
        <v>832</v>
      </c>
    </row>
    <row r="10" spans="1:10" ht="15.75" x14ac:dyDescent="0.25">
      <c r="A10" s="331"/>
      <c r="B10" s="331"/>
      <c r="C10" s="331"/>
      <c r="D10" s="331"/>
      <c r="E10" s="330"/>
      <c r="F10" s="330"/>
      <c r="J10" s="581" t="s">
        <v>833</v>
      </c>
    </row>
    <row r="11" spans="1:10" ht="15.75" x14ac:dyDescent="0.25">
      <c r="A11" s="331" t="s">
        <v>383</v>
      </c>
      <c r="B11" s="757" t="s">
        <v>388</v>
      </c>
      <c r="C11" s="712"/>
      <c r="D11" s="712"/>
      <c r="E11" s="713"/>
      <c r="F11" s="330"/>
      <c r="J11" s="581" t="s">
        <v>834</v>
      </c>
    </row>
    <row r="12" spans="1:10" ht="15.75" x14ac:dyDescent="0.25">
      <c r="A12" s="331"/>
      <c r="B12" s="331"/>
      <c r="C12" s="331"/>
      <c r="D12" s="331"/>
      <c r="E12" s="330"/>
      <c r="F12" s="330"/>
      <c r="J12" s="581" t="s">
        <v>835</v>
      </c>
    </row>
    <row r="13" spans="1:10" ht="15.75" x14ac:dyDescent="0.25">
      <c r="A13" s="331"/>
      <c r="B13" s="331"/>
      <c r="C13" s="331"/>
      <c r="D13" s="331"/>
      <c r="E13" s="330"/>
      <c r="F13" s="330"/>
    </row>
    <row r="14" spans="1:10" ht="15.75" x14ac:dyDescent="0.25">
      <c r="A14" s="331" t="s">
        <v>384</v>
      </c>
      <c r="B14" s="757" t="s">
        <v>388</v>
      </c>
      <c r="C14" s="712"/>
      <c r="D14" s="712"/>
      <c r="E14" s="713"/>
      <c r="F14" s="330"/>
    </row>
    <row r="17" spans="1:7" ht="15.75" x14ac:dyDescent="0.25">
      <c r="A17" s="780" t="s">
        <v>385</v>
      </c>
      <c r="B17" s="780"/>
      <c r="C17" s="331"/>
      <c r="D17" s="331"/>
      <c r="E17" s="331"/>
      <c r="F17" s="330"/>
    </row>
    <row r="18" spans="1:7" ht="15.75" x14ac:dyDescent="0.25">
      <c r="A18" s="331"/>
      <c r="B18" s="331"/>
      <c r="C18" s="331"/>
      <c r="D18" s="331"/>
      <c r="E18" s="331"/>
      <c r="F18" s="330"/>
      <c r="G18" s="581" t="str">
        <f ca="1">IF(B7="","",INDIRECT(G19))</f>
        <v>August</v>
      </c>
    </row>
    <row r="19" spans="1:7" ht="15.75" x14ac:dyDescent="0.25">
      <c r="A19" s="331" t="s">
        <v>718</v>
      </c>
      <c r="B19" s="331" t="s">
        <v>719</v>
      </c>
      <c r="C19" s="331"/>
      <c r="D19" s="331"/>
      <c r="E19" s="331"/>
      <c r="F19" s="330"/>
      <c r="G19" s="583" t="str">
        <f>IF(B7="","",CONCATENATE("J",G21))</f>
        <v>J8</v>
      </c>
    </row>
    <row r="20" spans="1:7" ht="15.75" x14ac:dyDescent="0.25">
      <c r="A20" s="331"/>
      <c r="B20" s="331"/>
      <c r="C20" s="331"/>
      <c r="D20" s="331"/>
      <c r="E20" s="331"/>
      <c r="F20" s="330"/>
      <c r="G20" s="584">
        <f>B7-10</f>
        <v>41852</v>
      </c>
    </row>
    <row r="21" spans="1:7" ht="15.75" x14ac:dyDescent="0.2">
      <c r="A21" s="331" t="s">
        <v>381</v>
      </c>
      <c r="B21" s="333" t="s">
        <v>386</v>
      </c>
      <c r="C21" s="331"/>
      <c r="D21" s="331"/>
      <c r="E21" s="331"/>
      <c r="G21" s="585">
        <f>IF(B7="","",MONTH(G20))</f>
        <v>8</v>
      </c>
    </row>
    <row r="22" spans="1:7" ht="15.75" x14ac:dyDescent="0.2">
      <c r="A22" s="331"/>
      <c r="B22" s="331"/>
      <c r="C22" s="331"/>
      <c r="D22" s="331"/>
      <c r="E22" s="331"/>
      <c r="G22" s="586">
        <f>IF(B7="","",DAY(G20))</f>
        <v>1</v>
      </c>
    </row>
    <row r="23" spans="1:7" ht="15.75" x14ac:dyDescent="0.2">
      <c r="A23" s="331" t="s">
        <v>382</v>
      </c>
      <c r="B23" s="331" t="s">
        <v>387</v>
      </c>
      <c r="C23" s="331"/>
      <c r="D23" s="331"/>
      <c r="E23" s="331"/>
      <c r="G23" s="587">
        <f>IF(B7="","",YEAR(G20))</f>
        <v>2014</v>
      </c>
    </row>
    <row r="24" spans="1:7" ht="15.75" x14ac:dyDescent="0.2">
      <c r="A24" s="331"/>
      <c r="B24" s="331"/>
      <c r="C24" s="331"/>
      <c r="D24" s="331"/>
      <c r="E24" s="331"/>
    </row>
    <row r="25" spans="1:7" ht="15.75" x14ac:dyDescent="0.2">
      <c r="A25" s="331" t="s">
        <v>383</v>
      </c>
      <c r="B25" s="331" t="s">
        <v>388</v>
      </c>
      <c r="C25" s="331"/>
      <c r="D25" s="331"/>
      <c r="E25" s="331"/>
    </row>
    <row r="26" spans="1:7" ht="15.75" x14ac:dyDescent="0.2">
      <c r="A26" s="331"/>
      <c r="B26" s="331"/>
      <c r="C26" s="331"/>
      <c r="D26" s="331"/>
      <c r="E26" s="331"/>
    </row>
    <row r="27" spans="1:7" ht="15.75" x14ac:dyDescent="0.2">
      <c r="A27" s="331" t="s">
        <v>384</v>
      </c>
      <c r="B27" s="331" t="s">
        <v>388</v>
      </c>
      <c r="C27" s="331"/>
      <c r="D27" s="331"/>
      <c r="E27" s="331"/>
    </row>
  </sheetData>
  <sheetProtection sheet="1"/>
  <mergeCells count="2">
    <mergeCell ref="A2:F2"/>
    <mergeCell ref="A17:B17"/>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77"/>
  <sheetViews>
    <sheetView tabSelected="1" workbookViewId="0">
      <selection activeCell="A7" sqref="A7"/>
    </sheetView>
  </sheetViews>
  <sheetFormatPr defaultRowHeight="15.75" x14ac:dyDescent="0.2"/>
  <cols>
    <col min="1" max="1" width="2.88671875" style="94" customWidth="1"/>
    <col min="2" max="2" width="24.33203125" style="41" customWidth="1"/>
    <col min="3" max="3" width="10.77734375" style="41" customWidth="1"/>
    <col min="4" max="4" width="5.77734375" style="41" customWidth="1"/>
    <col min="5" max="5" width="14" style="41" customWidth="1"/>
    <col min="6" max="6" width="13.33203125" style="41" customWidth="1"/>
    <col min="7" max="7" width="12.33203125" style="41" customWidth="1"/>
    <col min="8" max="16384" width="8.88671875" style="94"/>
  </cols>
  <sheetData>
    <row r="1" spans="2:9" x14ac:dyDescent="0.2">
      <c r="B1" s="43"/>
      <c r="C1" s="43"/>
      <c r="D1" s="42" t="s">
        <v>166</v>
      </c>
      <c r="E1" s="43"/>
      <c r="F1" s="43"/>
      <c r="G1" s="124"/>
      <c r="I1" s="29">
        <f>inputPrYr!C5</f>
        <v>2015</v>
      </c>
    </row>
    <row r="2" spans="2:9" x14ac:dyDescent="0.2">
      <c r="B2" s="783" t="str">
        <f>CONCATENATE("To the Clerk of ",(inputPrYr!D3),", State of Kansas")</f>
        <v>To the Clerk of Marshall County, State of Kansas</v>
      </c>
      <c r="C2" s="773"/>
      <c r="D2" s="773"/>
      <c r="E2" s="773"/>
      <c r="F2" s="773"/>
      <c r="G2" s="773"/>
    </row>
    <row r="3" spans="2:9" x14ac:dyDescent="0.2">
      <c r="B3" s="126" t="s">
        <v>622</v>
      </c>
      <c r="C3" s="47"/>
      <c r="D3" s="47"/>
      <c r="E3" s="47"/>
      <c r="F3" s="47"/>
      <c r="G3" s="47"/>
    </row>
    <row r="4" spans="2:9" x14ac:dyDescent="0.2">
      <c r="B4" s="781" t="str">
        <f>(inputPrYr!D2)</f>
        <v>City of Frankfort</v>
      </c>
      <c r="C4" s="782"/>
      <c r="D4" s="782"/>
      <c r="E4" s="782"/>
      <c r="F4" s="782"/>
      <c r="G4" s="782"/>
    </row>
    <row r="5" spans="2:9" x14ac:dyDescent="0.2">
      <c r="B5" s="126" t="s">
        <v>79</v>
      </c>
      <c r="C5" s="47"/>
      <c r="D5" s="47"/>
      <c r="E5" s="47"/>
      <c r="F5" s="47"/>
      <c r="G5" s="47"/>
    </row>
    <row r="6" spans="2:9" x14ac:dyDescent="0.2">
      <c r="B6" s="126" t="s">
        <v>80</v>
      </c>
      <c r="C6" s="47"/>
      <c r="D6" s="47"/>
      <c r="E6" s="47"/>
      <c r="F6" s="47"/>
      <c r="G6" s="47"/>
    </row>
    <row r="7" spans="2:9" x14ac:dyDescent="0.2">
      <c r="B7" s="126" t="str">
        <f>CONCATENATE("maximum expenditures for the various funds for the year ",I1,"; and")</f>
        <v>maximum expenditures for the various funds for the year 2015; and</v>
      </c>
      <c r="C7" s="47"/>
      <c r="D7" s="47"/>
      <c r="E7" s="47"/>
      <c r="F7" s="47"/>
      <c r="G7" s="47"/>
    </row>
    <row r="8" spans="2:9" x14ac:dyDescent="0.2">
      <c r="B8" s="126" t="str">
        <f>CONCATENATE("(3) the Amounts(s) of ",I1-1," Ad Valorem Tax are within statutory limitations.")</f>
        <v>(3) the Amounts(s) of 2014 Ad Valorem Tax are within statutory limitations.</v>
      </c>
      <c r="C8" s="47"/>
      <c r="D8" s="47"/>
      <c r="E8" s="47"/>
      <c r="F8" s="47"/>
      <c r="G8" s="47"/>
    </row>
    <row r="9" spans="2:9" x14ac:dyDescent="0.2">
      <c r="B9" s="43"/>
      <c r="C9" s="43"/>
      <c r="D9" s="43"/>
      <c r="E9" s="127" t="str">
        <f>CONCATENATE("",I1," Adopted Budget")</f>
        <v>2015 Adopted Budget</v>
      </c>
      <c r="F9" s="128"/>
      <c r="G9" s="129"/>
    </row>
    <row r="10" spans="2:9" ht="21" customHeight="1" x14ac:dyDescent="0.2">
      <c r="B10" s="43"/>
      <c r="C10" s="43"/>
      <c r="D10" s="130"/>
      <c r="E10" s="131" t="s">
        <v>81</v>
      </c>
      <c r="F10" s="132" t="str">
        <f>CONCATENATE("Amount of ",I1-1,"")</f>
        <v>Amount of 2014</v>
      </c>
      <c r="G10" s="132" t="s">
        <v>82</v>
      </c>
    </row>
    <row r="11" spans="2:9" x14ac:dyDescent="0.2">
      <c r="B11" s="44"/>
      <c r="C11" s="43"/>
      <c r="D11" s="132" t="s">
        <v>83</v>
      </c>
      <c r="E11" s="404" t="s">
        <v>10</v>
      </c>
      <c r="F11" s="134" t="s">
        <v>252</v>
      </c>
      <c r="G11" s="133" t="s">
        <v>84</v>
      </c>
    </row>
    <row r="12" spans="2:9" x14ac:dyDescent="0.2">
      <c r="B12" s="135" t="s">
        <v>85</v>
      </c>
      <c r="C12" s="61"/>
      <c r="D12" s="136" t="s">
        <v>86</v>
      </c>
      <c r="E12" s="405" t="s">
        <v>628</v>
      </c>
      <c r="F12" s="137" t="s">
        <v>253</v>
      </c>
      <c r="G12" s="136" t="s">
        <v>87</v>
      </c>
    </row>
    <row r="13" spans="2:9" x14ac:dyDescent="0.2">
      <c r="B13" s="138" t="str">
        <f>CONCATENATE("Computation to Determine Limit for ",I1,"")</f>
        <v>Computation to Determine Limit for 2015</v>
      </c>
      <c r="C13" s="83"/>
      <c r="D13" s="139">
        <v>2</v>
      </c>
      <c r="E13" s="140"/>
      <c r="F13" s="140"/>
      <c r="G13" s="140"/>
    </row>
    <row r="14" spans="2:9" x14ac:dyDescent="0.2">
      <c r="B14" s="138" t="s">
        <v>894</v>
      </c>
      <c r="C14" s="61"/>
      <c r="D14" s="136">
        <v>3</v>
      </c>
      <c r="E14" s="133"/>
      <c r="F14" s="133"/>
      <c r="G14" s="133"/>
    </row>
    <row r="15" spans="2:9" x14ac:dyDescent="0.2">
      <c r="B15" s="138" t="s">
        <v>219</v>
      </c>
      <c r="C15" s="61"/>
      <c r="D15" s="136">
        <v>4</v>
      </c>
      <c r="E15" s="133"/>
      <c r="F15" s="133"/>
      <c r="G15" s="133"/>
    </row>
    <row r="16" spans="2:9" x14ac:dyDescent="0.2">
      <c r="B16" s="138" t="s">
        <v>88</v>
      </c>
      <c r="C16" s="83"/>
      <c r="D16" s="139">
        <v>5</v>
      </c>
      <c r="E16" s="141"/>
      <c r="F16" s="141"/>
      <c r="G16" s="141"/>
    </row>
    <row r="17" spans="2:10" x14ac:dyDescent="0.2">
      <c r="B17" s="138" t="s">
        <v>89</v>
      </c>
      <c r="C17" s="83"/>
      <c r="D17" s="139">
        <v>6</v>
      </c>
      <c r="E17" s="141"/>
      <c r="F17" s="141"/>
      <c r="G17" s="141"/>
    </row>
    <row r="18" spans="2:10" x14ac:dyDescent="0.2">
      <c r="B18" s="269" t="str">
        <f>IF(inputPrYr!D19="","","Computation to Determine State Library Grant")</f>
        <v>Computation to Determine State Library Grant</v>
      </c>
      <c r="C18" s="83"/>
      <c r="D18" s="149">
        <f>IF(inputPrYr!D19="","",'Library Grant'!F40)</f>
        <v>7</v>
      </c>
      <c r="E18" s="141"/>
      <c r="F18" s="141"/>
      <c r="G18" s="141"/>
    </row>
    <row r="19" spans="2:10" x14ac:dyDescent="0.2">
      <c r="B19" s="142" t="s">
        <v>90</v>
      </c>
      <c r="C19" s="143" t="s">
        <v>91</v>
      </c>
      <c r="D19" s="144"/>
      <c r="E19" s="145"/>
      <c r="F19" s="145"/>
      <c r="G19" s="145"/>
    </row>
    <row r="20" spans="2:10" x14ac:dyDescent="0.2">
      <c r="B20" s="54" t="s">
        <v>74</v>
      </c>
      <c r="C20" s="146" t="str">
        <f>IF(inputPrYr!C17&gt;0,(inputPrYr!C17),"  ")</f>
        <v>12-101a</v>
      </c>
      <c r="D20" s="139">
        <f>general!C59</f>
        <v>8</v>
      </c>
      <c r="E20" s="679">
        <f>IF(general!$E$111&lt;&gt;0,general!$E$111,"  ")</f>
        <v>1475353</v>
      </c>
      <c r="F20" s="680">
        <f>IF(general!$E$118&lt;&gt;0,general!$E$118,0)</f>
        <v>207835</v>
      </c>
      <c r="G20" s="681" t="str">
        <f>IF($G$35=0,"",ROUND(F20/$G$35*1000,3))</f>
        <v/>
      </c>
    </row>
    <row r="21" spans="2:10" x14ac:dyDescent="0.2">
      <c r="B21" s="54" t="s">
        <v>45</v>
      </c>
      <c r="C21" s="146" t="str">
        <f>IF(inputPrYr!C18&gt;0,(inputPrYr!C18),"  ")</f>
        <v>10-113</v>
      </c>
      <c r="D21" s="139">
        <f>IF('DebtSvs-library'!C81&gt;0,'DebtSvs-library'!C81,"  ")</f>
        <v>9</v>
      </c>
      <c r="E21" s="679" t="str">
        <f>IF('DebtSvs-library'!E33&lt;&gt;0,'DebtSvs-library'!E33,"  ")</f>
        <v xml:space="preserve">  </v>
      </c>
      <c r="F21" s="680">
        <f>IF('DebtSvs-library'!E40&lt;&gt;0,'DebtSvs-library'!E40,0)</f>
        <v>0</v>
      </c>
      <c r="G21" s="681" t="str">
        <f>IF($G$35=0,"",ROUND(F21/$G$35*1000,3))</f>
        <v/>
      </c>
    </row>
    <row r="22" spans="2:10" x14ac:dyDescent="0.2">
      <c r="B22" s="77" t="str">
        <f>IF(inputPrYr!$B19&gt;"  ",(inputPrYr!$B19),"  ")</f>
        <v>Library</v>
      </c>
      <c r="C22" s="146" t="str">
        <f>IF(inputPrYr!C19&gt;0,(inputPrYr!C19),"  ")</f>
        <v>12-1220</v>
      </c>
      <c r="D22" s="139">
        <f>IF('DebtSvs-library'!C81&gt;0,'DebtSvs-library'!C81,"  ")</f>
        <v>9</v>
      </c>
      <c r="E22" s="679">
        <f>IF('DebtSvs-library'!E73&lt;&gt;0,'DebtSvs-library'!E73,"  ")</f>
        <v>47466</v>
      </c>
      <c r="F22" s="680">
        <f>IF('DebtSvs-library'!E80&lt;&gt;0,'DebtSvs-library'!E80,0)</f>
        <v>38590</v>
      </c>
      <c r="G22" s="681" t="str">
        <f>IF($G$35=0,"",ROUND(F22/$G$35*1000,3))</f>
        <v/>
      </c>
      <c r="I22" s="526"/>
      <c r="J22" s="526"/>
    </row>
    <row r="23" spans="2:10" x14ac:dyDescent="0.2">
      <c r="B23" s="77" t="str">
        <f>IF(inputPrYr!$B21&gt;"  ",(inputPrYr!$B21),"  ")</f>
        <v xml:space="preserve">  </v>
      </c>
      <c r="C23" s="146" t="str">
        <f>IF(inputPrYr!C21&gt;0,(inputPrYr!C21),"  ")</f>
        <v xml:space="preserve">  </v>
      </c>
      <c r="D23" s="139"/>
      <c r="E23" s="679"/>
      <c r="F23" s="680"/>
      <c r="G23" s="681" t="str">
        <f>IF($G$35=0,"",ROUND(F23/$G$35*1000,3))</f>
        <v/>
      </c>
      <c r="I23" s="526"/>
      <c r="J23" s="526"/>
    </row>
    <row r="24" spans="2:10" x14ac:dyDescent="0.2">
      <c r="B24" s="147" t="str">
        <f>IF(inputPrYr!$B34&gt;"  ",(inputPrYr!$B34),"  ")</f>
        <v>Special Highway</v>
      </c>
      <c r="C24" s="148"/>
      <c r="D24" s="149">
        <f>IF('Sp Hiway'!C67&gt;0,'Sp Hiway'!C67,"  ")</f>
        <v>10</v>
      </c>
      <c r="E24" s="679">
        <f>IF('Sp Hiway'!$E$30&gt;0,'Sp Hiway'!$E$30,"  ")</f>
        <v>19066</v>
      </c>
      <c r="F24" s="679"/>
      <c r="G24" s="682"/>
    </row>
    <row r="25" spans="2:10" x14ac:dyDescent="0.2">
      <c r="B25" s="147" t="str">
        <f>IF(inputPrYr!$B35&gt;"  ",(inputPrYr!$B35),"  ")</f>
        <v>Special Parks &amp; Recreation</v>
      </c>
      <c r="C25" s="148"/>
      <c r="D25" s="149">
        <f>IF('Sp Hiway'!C67&gt;0,'Sp Hiway'!C67,"  ")</f>
        <v>10</v>
      </c>
      <c r="E25" s="679">
        <f>IF('Sp Hiway'!$E$61&gt;0,'Sp Hiway'!$E$61,"  ")</f>
        <v>9689</v>
      </c>
      <c r="F25" s="679"/>
      <c r="G25" s="682"/>
    </row>
    <row r="26" spans="2:10" x14ac:dyDescent="0.2">
      <c r="B26" s="147" t="str">
        <f>IF(inputPrYr!$B36&gt;"  ",(inputPrYr!$B36),"  ")</f>
        <v>Ambulance</v>
      </c>
      <c r="C26" s="150"/>
      <c r="D26" s="149">
        <f>IF('Ambul-Water'!C65&gt;0,'Ambul-Water'!C65,"  ")</f>
        <v>11</v>
      </c>
      <c r="E26" s="679">
        <f>IF('Ambul-Water'!$E$28&gt;0,'Ambul-Water'!$E$28,"  ")</f>
        <v>389320</v>
      </c>
      <c r="F26" s="679"/>
      <c r="G26" s="682"/>
    </row>
    <row r="27" spans="2:10" x14ac:dyDescent="0.2">
      <c r="B27" s="147" t="str">
        <f>IF(inputPrYr!$B37&gt;"  ",(inputPrYr!$B37),"  ")</f>
        <v>Water Utility</v>
      </c>
      <c r="C27" s="148"/>
      <c r="D27" s="149">
        <f>IF('Ambul-Water'!C65&gt;0,'Ambul-Water'!C65,"  ")</f>
        <v>11</v>
      </c>
      <c r="E27" s="679">
        <f>IF('Ambul-Water'!$E$59&gt;0,'Ambul-Water'!$E$59,"  ")</f>
        <v>202830</v>
      </c>
      <c r="F27" s="679"/>
      <c r="G27" s="682"/>
    </row>
    <row r="28" spans="2:10" x14ac:dyDescent="0.2">
      <c r="B28" s="147" t="str">
        <f>IF(inputPrYr!$B38&gt;"  ",(inputPrYr!$B38),"  ")</f>
        <v>Sewer Utility</v>
      </c>
      <c r="C28" s="150"/>
      <c r="D28" s="149">
        <f>IF(Sewer!C65&gt;0,Sewer!C65,"  ")</f>
        <v>12</v>
      </c>
      <c r="E28" s="679">
        <f>IF(Sewer!$E$28&gt;0,Sewer!$E$28,"  ")</f>
        <v>145120</v>
      </c>
      <c r="F28" s="679"/>
      <c r="G28" s="682"/>
    </row>
    <row r="29" spans="2:10" x14ac:dyDescent="0.2">
      <c r="B29" s="147" t="str">
        <f>IF(inputPrYr!$B39&gt;"  ",(inputPrYr!$B39),"  ")</f>
        <v xml:space="preserve">  </v>
      </c>
      <c r="C29" s="151"/>
      <c r="D29" s="149">
        <f>IF(Sewer!C65&gt;0,Sewer!C65,"  ")</f>
        <v>12</v>
      </c>
      <c r="E29" s="679" t="str">
        <f>IF(Sewer!$E$59&gt;0,Sewer!$E$59,"  ")</f>
        <v xml:space="preserve">  </v>
      </c>
      <c r="F29" s="679"/>
      <c r="G29" s="682"/>
    </row>
    <row r="30" spans="2:10" x14ac:dyDescent="0.2">
      <c r="B30" s="147" t="str">
        <f>IF(inputPrYr!$B41&gt;"  ",(inputPrYr!$B41),"  ")</f>
        <v xml:space="preserve">  </v>
      </c>
      <c r="C30" s="151"/>
      <c r="D30" s="149" t="str">
        <f>IF('no levy page17'!C65&gt;0,'no levy page17'!C65,"  ")</f>
        <v xml:space="preserve">  </v>
      </c>
      <c r="E30" s="679" t="str">
        <f>IF('no levy page17'!$E$59&gt;0,'no levy page17'!$E$59,"  ")</f>
        <v xml:space="preserve">  </v>
      </c>
      <c r="F30" s="679"/>
      <c r="G30" s="682"/>
    </row>
    <row r="31" spans="2:10" x14ac:dyDescent="0.2">
      <c r="B31" s="147" t="str">
        <f>IF(inputPrYr!$B57&gt;"  ",('Capital Improv'!$A3),"  ")</f>
        <v>Non-Budgeted Funds-A</v>
      </c>
      <c r="C31" s="151"/>
      <c r="D31" s="149">
        <f>IF('Capital Improv'!F33&gt;0,'Capital Improv'!F33,"  ")</f>
        <v>13</v>
      </c>
      <c r="E31" s="679"/>
      <c r="F31" s="679"/>
      <c r="G31" s="682"/>
    </row>
    <row r="32" spans="2:10" ht="16.5" thickBot="1" x14ac:dyDescent="0.25">
      <c r="B32" s="147" t="str">
        <f>IF(inputPrYr!$B75&gt;"  ",(#REF!),"  ")</f>
        <v xml:space="preserve">  </v>
      </c>
      <c r="C32" s="150"/>
      <c r="D32" s="149"/>
      <c r="E32" s="683"/>
      <c r="F32" s="683"/>
      <c r="G32" s="684"/>
    </row>
    <row r="33" spans="2:7" x14ac:dyDescent="0.2">
      <c r="B33" s="377" t="s">
        <v>726</v>
      </c>
      <c r="C33" s="83"/>
      <c r="D33" s="243" t="s">
        <v>93</v>
      </c>
      <c r="E33" s="685">
        <f>SUM(E20:E32)</f>
        <v>2288844</v>
      </c>
      <c r="F33" s="685">
        <f>SUM(F20:F32)</f>
        <v>246425</v>
      </c>
      <c r="G33" s="686" t="str">
        <f>IF(SUM(G20:G32)=0,"",SUM(G20:G32))</f>
        <v/>
      </c>
    </row>
    <row r="34" spans="2:7" x14ac:dyDescent="0.2">
      <c r="B34" s="726" t="s">
        <v>970</v>
      </c>
      <c r="C34" s="152"/>
      <c r="D34" s="153"/>
      <c r="E34" s="154"/>
      <c r="F34" s="155" t="str">
        <f>IF(F33&gt;1000,IF(F33&gt;computation!J47,"Yes","No"),"No")</f>
        <v>No</v>
      </c>
      <c r="G34" s="403" t="s">
        <v>223</v>
      </c>
    </row>
    <row r="35" spans="2:7" x14ac:dyDescent="0.2">
      <c r="B35" s="138" t="s">
        <v>299</v>
      </c>
      <c r="C35" s="83"/>
      <c r="D35" s="139">
        <f>summ!D45</f>
        <v>14</v>
      </c>
      <c r="E35" s="43"/>
      <c r="F35" s="43"/>
      <c r="G35" s="501"/>
    </row>
    <row r="36" spans="2:7" x14ac:dyDescent="0.2">
      <c r="B36" s="138" t="s">
        <v>13</v>
      </c>
      <c r="C36" s="83"/>
      <c r="D36" s="139">
        <f>IF(nhood!C39&gt;0,nhood!C39,"")</f>
        <v>15</v>
      </c>
      <c r="E36" s="43"/>
      <c r="F36" s="43"/>
      <c r="G36" s="786" t="str">
        <f>CONCATENATE("Nov 1, ",I1-1," Total Assessed Valuation")</f>
        <v>Nov 1, 2014 Total Assessed Valuation</v>
      </c>
    </row>
    <row r="37" spans="2:7" x14ac:dyDescent="0.2">
      <c r="B37" s="95" t="s">
        <v>94</v>
      </c>
      <c r="C37" s="66"/>
      <c r="D37" s="66"/>
      <c r="E37" s="66"/>
      <c r="F37" s="66"/>
      <c r="G37" s="787"/>
    </row>
    <row r="38" spans="2:7" x14ac:dyDescent="0.2">
      <c r="B38" s="328" t="s">
        <v>1082</v>
      </c>
      <c r="C38" s="66"/>
      <c r="D38" s="43"/>
      <c r="E38" s="271"/>
      <c r="F38" s="66"/>
      <c r="G38" s="66"/>
    </row>
    <row r="39" spans="2:7" x14ac:dyDescent="0.2">
      <c r="B39" s="329"/>
      <c r="C39" s="66"/>
      <c r="D39" s="67" t="s">
        <v>891</v>
      </c>
      <c r="E39" s="271"/>
      <c r="F39" s="66"/>
      <c r="G39" s="66"/>
    </row>
    <row r="40" spans="2:7" x14ac:dyDescent="0.2">
      <c r="B40" s="95" t="s">
        <v>227</v>
      </c>
      <c r="C40" s="43"/>
      <c r="D40" s="65"/>
      <c r="E40" s="271"/>
      <c r="F40" s="66"/>
      <c r="G40" s="66"/>
    </row>
    <row r="41" spans="2:7" x14ac:dyDescent="0.2">
      <c r="B41" s="328" t="s">
        <v>1083</v>
      </c>
      <c r="C41" s="66"/>
      <c r="D41" s="66" t="s">
        <v>892</v>
      </c>
      <c r="E41" s="271"/>
      <c r="F41" s="271"/>
      <c r="G41" s="271"/>
    </row>
    <row r="42" spans="2:7" x14ac:dyDescent="0.2">
      <c r="B42" s="329" t="s">
        <v>1084</v>
      </c>
      <c r="C42" s="156"/>
      <c r="D42" s="66"/>
      <c r="E42" s="66"/>
      <c r="F42" s="669"/>
      <c r="G42" s="669"/>
    </row>
    <row r="43" spans="2:7" x14ac:dyDescent="0.2">
      <c r="B43" s="66" t="s">
        <v>893</v>
      </c>
      <c r="C43" s="156"/>
      <c r="D43" s="66" t="s">
        <v>892</v>
      </c>
      <c r="E43" s="66"/>
      <c r="F43" s="670"/>
      <c r="G43" s="670"/>
    </row>
    <row r="44" spans="2:7" x14ac:dyDescent="0.2">
      <c r="B44" s="329"/>
      <c r="C44" s="157"/>
      <c r="D44" s="66"/>
      <c r="E44" s="66"/>
      <c r="F44" s="88"/>
      <c r="G44" s="88"/>
    </row>
    <row r="45" spans="2:7" x14ac:dyDescent="0.2">
      <c r="B45" s="530" t="s">
        <v>5</v>
      </c>
      <c r="C45" s="158">
        <f>I1-1</f>
        <v>2014</v>
      </c>
      <c r="D45" s="66" t="s">
        <v>892</v>
      </c>
      <c r="E45" s="66"/>
      <c r="F45" s="670"/>
      <c r="G45" s="670"/>
    </row>
    <row r="46" spans="2:7" x14ac:dyDescent="0.2">
      <c r="B46" s="271"/>
      <c r="C46" s="158"/>
      <c r="D46" s="66"/>
      <c r="E46" s="66"/>
      <c r="F46" s="126"/>
      <c r="G46" s="43"/>
    </row>
    <row r="47" spans="2:7" x14ac:dyDescent="0.2">
      <c r="B47" s="531"/>
      <c r="C47" s="43"/>
      <c r="D47" s="66" t="s">
        <v>892</v>
      </c>
      <c r="E47" s="66"/>
      <c r="F47" s="66"/>
      <c r="G47" s="66"/>
    </row>
    <row r="48" spans="2:7" x14ac:dyDescent="0.2">
      <c r="B48" s="125" t="s">
        <v>96</v>
      </c>
      <c r="C48" s="43"/>
      <c r="D48" s="784" t="s">
        <v>95</v>
      </c>
      <c r="E48" s="785"/>
      <c r="F48" s="785"/>
      <c r="G48" s="785"/>
    </row>
    <row r="49" spans="2:7" x14ac:dyDescent="0.2">
      <c r="B49" s="29"/>
    </row>
    <row r="59" spans="2:7" ht="15" x14ac:dyDescent="0.2">
      <c r="B59" s="94"/>
      <c r="C59" s="94"/>
      <c r="D59" s="94"/>
      <c r="E59" s="94"/>
      <c r="F59" s="94"/>
      <c r="G59" s="94"/>
    </row>
    <row r="60" spans="2:7" ht="15" x14ac:dyDescent="0.2">
      <c r="B60" s="94"/>
      <c r="C60" s="94"/>
      <c r="D60" s="94"/>
      <c r="E60" s="94"/>
      <c r="F60" s="94"/>
      <c r="G60" s="94"/>
    </row>
    <row r="61" spans="2:7" ht="15" x14ac:dyDescent="0.2">
      <c r="B61" s="94"/>
      <c r="C61" s="94"/>
      <c r="D61" s="94"/>
      <c r="E61" s="94"/>
      <c r="F61" s="94"/>
      <c r="G61" s="94"/>
    </row>
    <row r="62" spans="2:7" ht="15" x14ac:dyDescent="0.2">
      <c r="B62" s="94"/>
      <c r="C62" s="94"/>
      <c r="D62" s="94"/>
      <c r="E62" s="94"/>
      <c r="F62" s="94"/>
      <c r="G62" s="94"/>
    </row>
    <row r="63" spans="2:7" ht="15" x14ac:dyDescent="0.2">
      <c r="B63" s="94"/>
      <c r="C63" s="94"/>
      <c r="D63" s="94"/>
      <c r="E63" s="94"/>
      <c r="F63" s="94"/>
      <c r="G63" s="94"/>
    </row>
    <row r="64" spans="2:7" ht="15" x14ac:dyDescent="0.2">
      <c r="B64" s="94"/>
      <c r="C64" s="94"/>
      <c r="D64" s="94"/>
      <c r="E64" s="94"/>
      <c r="F64" s="94"/>
      <c r="G64" s="94"/>
    </row>
    <row r="65" spans="2:7" ht="15" x14ac:dyDescent="0.2">
      <c r="B65" s="94"/>
      <c r="C65" s="94"/>
      <c r="D65" s="94"/>
      <c r="E65" s="94"/>
      <c r="F65" s="94"/>
      <c r="G65" s="94"/>
    </row>
    <row r="66" spans="2:7" ht="15" x14ac:dyDescent="0.2">
      <c r="B66" s="94"/>
      <c r="C66" s="94"/>
      <c r="D66" s="94"/>
      <c r="E66" s="94"/>
      <c r="F66" s="94"/>
      <c r="G66" s="94"/>
    </row>
    <row r="67" spans="2:7" ht="15" x14ac:dyDescent="0.2">
      <c r="B67" s="94"/>
      <c r="C67" s="94"/>
      <c r="D67" s="94"/>
      <c r="E67" s="94"/>
      <c r="F67" s="94"/>
      <c r="G67" s="94"/>
    </row>
    <row r="68" spans="2:7" ht="15" x14ac:dyDescent="0.2">
      <c r="B68" s="94"/>
      <c r="C68" s="94"/>
      <c r="D68" s="94"/>
      <c r="E68" s="94"/>
      <c r="F68" s="94"/>
      <c r="G68" s="94"/>
    </row>
    <row r="69" spans="2:7" ht="15" x14ac:dyDescent="0.2">
      <c r="B69" s="94"/>
      <c r="C69" s="94"/>
      <c r="D69" s="94"/>
      <c r="E69" s="94"/>
      <c r="F69" s="94"/>
      <c r="G69" s="94"/>
    </row>
    <row r="70" spans="2:7" ht="15" x14ac:dyDescent="0.2">
      <c r="B70" s="94"/>
      <c r="C70" s="94"/>
      <c r="D70" s="94"/>
      <c r="E70" s="94"/>
      <c r="F70" s="94"/>
      <c r="G70" s="94"/>
    </row>
    <row r="71" spans="2:7" ht="15" x14ac:dyDescent="0.2">
      <c r="B71" s="94"/>
      <c r="C71" s="94"/>
      <c r="D71" s="94"/>
      <c r="E71" s="94"/>
      <c r="F71" s="94"/>
      <c r="G71" s="94"/>
    </row>
    <row r="72" spans="2:7" ht="15" x14ac:dyDescent="0.2">
      <c r="B72" s="94"/>
      <c r="C72" s="94"/>
      <c r="D72" s="94"/>
      <c r="E72" s="94"/>
      <c r="F72" s="94"/>
      <c r="G72" s="94"/>
    </row>
    <row r="73" spans="2:7" ht="15" x14ac:dyDescent="0.2">
      <c r="B73" s="94"/>
      <c r="C73" s="94"/>
      <c r="D73" s="94"/>
      <c r="E73" s="94"/>
      <c r="F73" s="94"/>
      <c r="G73" s="94"/>
    </row>
    <row r="74" spans="2:7" ht="15" x14ac:dyDescent="0.2">
      <c r="B74" s="94"/>
      <c r="C74" s="94"/>
      <c r="D74" s="94"/>
      <c r="E74" s="94"/>
      <c r="F74" s="94"/>
      <c r="G74" s="94"/>
    </row>
    <row r="77" spans="2:7" x14ac:dyDescent="0.2">
      <c r="B77" s="29"/>
      <c r="C77" s="29"/>
      <c r="D77" s="29"/>
      <c r="E77" s="29"/>
      <c r="F77" s="29"/>
      <c r="G77" s="29"/>
    </row>
  </sheetData>
  <mergeCells count="4">
    <mergeCell ref="B4:G4"/>
    <mergeCell ref="B2:G2"/>
    <mergeCell ref="D48:G48"/>
    <mergeCell ref="G36:G37"/>
  </mergeCells>
  <phoneticPr fontId="0" type="noConversion"/>
  <pageMargins left="1" right="0.5" top="0.5" bottom="0.5" header="0.25" footer="0.25"/>
  <pageSetup scale="63" orientation="portrait" blackAndWhite="1" horizontalDpi="120" verticalDpi="144" r:id="rId1"/>
  <headerFooter alignWithMargins="0">
    <oddHeader xml:space="preserve">&amp;RState of Kansas
City
</oddHeader>
    <oddFooter>&amp;C   Page No. 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16" zoomScale="85" workbookViewId="0">
      <selection activeCell="J57" sqref="J57"/>
    </sheetView>
  </sheetViews>
  <sheetFormatPr defaultRowHeight="15.95" customHeight="1" x14ac:dyDescent="0.2"/>
  <cols>
    <col min="1" max="2" width="3.33203125" style="29" customWidth="1"/>
    <col min="3" max="3" width="31.33203125" style="29" customWidth="1"/>
    <col min="4" max="4" width="2.33203125" style="29" customWidth="1"/>
    <col min="5" max="5" width="15.77734375" style="29" customWidth="1"/>
    <col min="6" max="6" width="2" style="29" customWidth="1"/>
    <col min="7" max="7" width="15.77734375" style="29" customWidth="1"/>
    <col min="8" max="8" width="1.88671875" style="29" customWidth="1"/>
    <col min="9" max="9" width="1.77734375" style="29" customWidth="1"/>
    <col min="10" max="10" width="15.77734375" style="29" customWidth="1"/>
    <col min="11" max="16384" width="8.88671875" style="29"/>
  </cols>
  <sheetData>
    <row r="1" spans="1:10" ht="15.95" customHeight="1" x14ac:dyDescent="0.2">
      <c r="A1" s="160"/>
      <c r="B1" s="160"/>
      <c r="C1" s="161" t="str">
        <f>inputPrYr!D2</f>
        <v>City of Frankfort</v>
      </c>
      <c r="D1" s="160"/>
      <c r="E1" s="160"/>
      <c r="F1" s="160"/>
      <c r="G1" s="160"/>
      <c r="H1" s="160"/>
      <c r="I1" s="160"/>
      <c r="J1" s="160">
        <f>inputPrYr!C5</f>
        <v>2015</v>
      </c>
    </row>
    <row r="2" spans="1:10" ht="15.95" customHeight="1" x14ac:dyDescent="0.2">
      <c r="A2" s="160"/>
      <c r="B2" s="160"/>
      <c r="C2" s="160"/>
      <c r="D2" s="160"/>
      <c r="E2" s="160"/>
      <c r="F2" s="160"/>
      <c r="G2" s="160"/>
      <c r="H2" s="160"/>
      <c r="I2" s="160"/>
      <c r="J2" s="160"/>
    </row>
    <row r="3" spans="1:10" ht="15.75" x14ac:dyDescent="0.2">
      <c r="A3" s="789" t="str">
        <f>CONCATENATE("Computation to Determine Limit for ",J1,"")</f>
        <v>Computation to Determine Limit for 2015</v>
      </c>
      <c r="B3" s="790"/>
      <c r="C3" s="790"/>
      <c r="D3" s="790"/>
      <c r="E3" s="790"/>
      <c r="F3" s="790"/>
      <c r="G3" s="790"/>
      <c r="H3" s="790"/>
      <c r="I3" s="790"/>
      <c r="J3" s="790"/>
    </row>
    <row r="4" spans="1:10" ht="15.75" x14ac:dyDescent="0.2">
      <c r="A4" s="160"/>
      <c r="B4" s="160"/>
      <c r="C4" s="160"/>
      <c r="D4" s="160"/>
      <c r="E4" s="790"/>
      <c r="F4" s="790"/>
      <c r="G4" s="790"/>
      <c r="H4" s="162"/>
      <c r="I4" s="160"/>
      <c r="J4" s="163" t="s">
        <v>179</v>
      </c>
    </row>
    <row r="5" spans="1:10" ht="15.75" x14ac:dyDescent="0.2">
      <c r="A5" s="164" t="s">
        <v>180</v>
      </c>
      <c r="B5" s="160" t="str">
        <f>CONCATENATE("Total tax levy amount in ",J1-1," budget")</f>
        <v>Total tax levy amount in 2014 budget</v>
      </c>
      <c r="C5" s="160"/>
      <c r="D5" s="160"/>
      <c r="E5" s="165"/>
      <c r="F5" s="165"/>
      <c r="G5" s="165"/>
      <c r="H5" s="166" t="s">
        <v>181</v>
      </c>
      <c r="I5" s="165" t="s">
        <v>182</v>
      </c>
      <c r="J5" s="167">
        <f>inputPrYr!E31</f>
        <v>241635</v>
      </c>
    </row>
    <row r="6" spans="1:10" ht="15.75" x14ac:dyDescent="0.2">
      <c r="A6" s="164" t="s">
        <v>183</v>
      </c>
      <c r="B6" s="160" t="str">
        <f>CONCATENATE("Debt service levy in ",J1-1," budget")</f>
        <v>Debt service levy in 2014 budget</v>
      </c>
      <c r="C6" s="160"/>
      <c r="D6" s="160"/>
      <c r="E6" s="165"/>
      <c r="F6" s="165"/>
      <c r="G6" s="165"/>
      <c r="H6" s="166" t="s">
        <v>184</v>
      </c>
      <c r="I6" s="165" t="s">
        <v>182</v>
      </c>
      <c r="J6" s="168">
        <f>inputPrYr!E18</f>
        <v>0</v>
      </c>
    </row>
    <row r="7" spans="1:10" ht="15.75" x14ac:dyDescent="0.2">
      <c r="A7" s="164" t="s">
        <v>208</v>
      </c>
      <c r="B7" s="160" t="s">
        <v>960</v>
      </c>
      <c r="C7" s="160"/>
      <c r="D7" s="160"/>
      <c r="E7" s="165"/>
      <c r="F7" s="165"/>
      <c r="G7" s="165"/>
      <c r="H7" s="165"/>
      <c r="I7" s="165" t="s">
        <v>182</v>
      </c>
      <c r="J7" s="169">
        <f>J5-J6</f>
        <v>241635</v>
      </c>
    </row>
    <row r="8" spans="1:10" ht="15.75" x14ac:dyDescent="0.2">
      <c r="A8" s="160"/>
      <c r="B8" s="160"/>
      <c r="C8" s="160"/>
      <c r="D8" s="160"/>
      <c r="E8" s="165"/>
      <c r="F8" s="165"/>
      <c r="G8" s="165"/>
      <c r="H8" s="165"/>
      <c r="I8" s="165"/>
      <c r="J8" s="165"/>
    </row>
    <row r="9" spans="1:10" ht="15.75" x14ac:dyDescent="0.2">
      <c r="A9" s="790" t="str">
        <f>CONCATENATE("",J1-1," Valuation Information for Valuation Adjustments")</f>
        <v>2014 Valuation Information for Valuation Adjustments</v>
      </c>
      <c r="B9" s="773"/>
      <c r="C9" s="773"/>
      <c r="D9" s="773"/>
      <c r="E9" s="773"/>
      <c r="F9" s="773"/>
      <c r="G9" s="773"/>
      <c r="H9" s="773"/>
      <c r="I9" s="773"/>
      <c r="J9" s="773"/>
    </row>
    <row r="10" spans="1:10" ht="15.75" x14ac:dyDescent="0.2">
      <c r="A10" s="160"/>
      <c r="B10" s="160"/>
      <c r="C10" s="160"/>
      <c r="D10" s="160"/>
      <c r="E10" s="165"/>
      <c r="F10" s="165"/>
      <c r="G10" s="165"/>
      <c r="H10" s="165"/>
      <c r="I10" s="165"/>
      <c r="J10" s="165"/>
    </row>
    <row r="11" spans="1:10" ht="15.75" x14ac:dyDescent="0.2">
      <c r="A11" s="164" t="s">
        <v>185</v>
      </c>
      <c r="B11" s="160" t="str">
        <f>CONCATENATE("New improvements for ",J1-1,":")</f>
        <v>New improvements for 2014:</v>
      </c>
      <c r="C11" s="160"/>
      <c r="D11" s="160"/>
      <c r="E11" s="166"/>
      <c r="F11" s="166" t="s">
        <v>181</v>
      </c>
      <c r="G11" s="170">
        <f>inputOth!E8</f>
        <v>53079</v>
      </c>
      <c r="H11" s="171"/>
      <c r="I11" s="165"/>
      <c r="J11" s="165"/>
    </row>
    <row r="12" spans="1:10" ht="15.75" x14ac:dyDescent="0.2">
      <c r="A12" s="164"/>
      <c r="B12" s="172"/>
      <c r="C12" s="160"/>
      <c r="D12" s="160"/>
      <c r="E12" s="166"/>
      <c r="F12" s="166"/>
      <c r="G12" s="171"/>
      <c r="H12" s="171"/>
      <c r="I12" s="165"/>
      <c r="J12" s="165"/>
    </row>
    <row r="13" spans="1:10" ht="15.75" x14ac:dyDescent="0.2">
      <c r="A13" s="164" t="s">
        <v>186</v>
      </c>
      <c r="B13" s="160" t="str">
        <f>CONCATENATE("Increase in personal property for ",J1-1,":")</f>
        <v>Increase in personal property for 2014:</v>
      </c>
      <c r="C13" s="160"/>
      <c r="D13" s="160"/>
      <c r="E13" s="166"/>
      <c r="F13" s="166"/>
      <c r="G13" s="171"/>
      <c r="H13" s="171"/>
      <c r="I13" s="165"/>
      <c r="J13" s="165"/>
    </row>
    <row r="14" spans="1:10" ht="15.75" x14ac:dyDescent="0.2">
      <c r="A14" s="173"/>
      <c r="B14" s="160" t="s">
        <v>187</v>
      </c>
      <c r="C14" s="160" t="str">
        <f>CONCATENATE("Personal property ",J1-1,"")</f>
        <v>Personal property 2014</v>
      </c>
      <c r="D14" s="172" t="s">
        <v>181</v>
      </c>
      <c r="E14" s="170">
        <f>inputOth!E9</f>
        <v>226483</v>
      </c>
      <c r="F14" s="166"/>
      <c r="G14" s="165"/>
      <c r="H14" s="165"/>
      <c r="I14" s="171"/>
      <c r="J14" s="165"/>
    </row>
    <row r="15" spans="1:10" ht="15.75" x14ac:dyDescent="0.2">
      <c r="A15" s="172"/>
      <c r="B15" s="160" t="s">
        <v>188</v>
      </c>
      <c r="C15" s="160" t="str">
        <f>CONCATENATE("Personal property ",J1-2,"")</f>
        <v>Personal property 2013</v>
      </c>
      <c r="D15" s="172" t="s">
        <v>184</v>
      </c>
      <c r="E15" s="174">
        <f>inputOth!E15</f>
        <v>308342</v>
      </c>
      <c r="F15" s="166"/>
      <c r="G15" s="171"/>
      <c r="H15" s="171"/>
      <c r="I15" s="165"/>
      <c r="J15" s="165"/>
    </row>
    <row r="16" spans="1:10" ht="15.75" x14ac:dyDescent="0.2">
      <c r="A16" s="172"/>
      <c r="B16" s="160" t="s">
        <v>189</v>
      </c>
      <c r="C16" s="160" t="s">
        <v>961</v>
      </c>
      <c r="D16" s="160"/>
      <c r="E16" s="165"/>
      <c r="F16" s="165" t="s">
        <v>181</v>
      </c>
      <c r="G16" s="167">
        <f>IF(E14&gt;E15,E14-E15,0)</f>
        <v>0</v>
      </c>
      <c r="H16" s="171"/>
      <c r="I16" s="165"/>
      <c r="J16" s="165"/>
    </row>
    <row r="17" spans="1:10" ht="15.75" x14ac:dyDescent="0.2">
      <c r="A17" s="172"/>
      <c r="B17" s="172"/>
      <c r="C17" s="160"/>
      <c r="D17" s="160"/>
      <c r="E17" s="165"/>
      <c r="F17" s="165"/>
      <c r="G17" s="171" t="s">
        <v>202</v>
      </c>
      <c r="H17" s="171"/>
      <c r="I17" s="165"/>
      <c r="J17" s="165"/>
    </row>
    <row r="18" spans="1:10" ht="15.75" x14ac:dyDescent="0.2">
      <c r="A18" s="172" t="s">
        <v>190</v>
      </c>
      <c r="B18" s="160" t="str">
        <f>CONCATENATE("Valuation of annexed territory for ",J1-1,"")</f>
        <v>Valuation of annexed territory for 2014</v>
      </c>
      <c r="C18" s="160"/>
      <c r="D18" s="160"/>
      <c r="E18" s="171"/>
      <c r="F18" s="165"/>
      <c r="G18" s="165"/>
      <c r="H18" s="165"/>
      <c r="I18" s="165"/>
      <c r="J18" s="165"/>
    </row>
    <row r="19" spans="1:10" ht="15.75" x14ac:dyDescent="0.2">
      <c r="A19" s="172"/>
      <c r="B19" s="160" t="s">
        <v>191</v>
      </c>
      <c r="C19" s="160" t="s">
        <v>962</v>
      </c>
      <c r="D19" s="172" t="s">
        <v>181</v>
      </c>
      <c r="E19" s="170">
        <f>inputOth!E11</f>
        <v>0</v>
      </c>
      <c r="F19" s="165"/>
      <c r="G19" s="165"/>
      <c r="H19" s="165"/>
      <c r="I19" s="165"/>
      <c r="J19" s="165"/>
    </row>
    <row r="20" spans="1:10" ht="15.75" x14ac:dyDescent="0.2">
      <c r="A20" s="172"/>
      <c r="B20" s="160" t="s">
        <v>192</v>
      </c>
      <c r="C20" s="160" t="s">
        <v>963</v>
      </c>
      <c r="D20" s="172" t="s">
        <v>181</v>
      </c>
      <c r="E20" s="170">
        <f>inputOth!E12</f>
        <v>0</v>
      </c>
      <c r="F20" s="165"/>
      <c r="G20" s="171"/>
      <c r="H20" s="171"/>
      <c r="I20" s="165"/>
      <c r="J20" s="165"/>
    </row>
    <row r="21" spans="1:10" ht="15.75" x14ac:dyDescent="0.2">
      <c r="A21" s="172"/>
      <c r="B21" s="160" t="s">
        <v>193</v>
      </c>
      <c r="C21" s="160" t="s">
        <v>964</v>
      </c>
      <c r="D21" s="172" t="s">
        <v>184</v>
      </c>
      <c r="E21" s="170">
        <f>inputOth!E13</f>
        <v>0</v>
      </c>
      <c r="F21" s="165"/>
      <c r="G21" s="171"/>
      <c r="H21" s="171"/>
      <c r="I21" s="165"/>
      <c r="J21" s="165"/>
    </row>
    <row r="22" spans="1:10" ht="15.75" x14ac:dyDescent="0.2">
      <c r="A22" s="172"/>
      <c r="B22" s="160" t="s">
        <v>194</v>
      </c>
      <c r="C22" s="160" t="s">
        <v>965</v>
      </c>
      <c r="D22" s="172"/>
      <c r="E22" s="171"/>
      <c r="F22" s="165" t="s">
        <v>181</v>
      </c>
      <c r="G22" s="167">
        <f>E19+E20-E21</f>
        <v>0</v>
      </c>
      <c r="H22" s="171"/>
      <c r="I22" s="165"/>
      <c r="J22" s="165"/>
    </row>
    <row r="23" spans="1:10" ht="15.75" x14ac:dyDescent="0.2">
      <c r="A23" s="172"/>
      <c r="B23" s="172"/>
      <c r="C23" s="160"/>
      <c r="D23" s="172"/>
      <c r="E23" s="171"/>
      <c r="F23" s="165"/>
      <c r="G23" s="171"/>
      <c r="H23" s="171"/>
      <c r="I23" s="165"/>
      <c r="J23" s="165"/>
    </row>
    <row r="24" spans="1:10" ht="15.75" x14ac:dyDescent="0.2">
      <c r="A24" s="172" t="s">
        <v>195</v>
      </c>
      <c r="B24" s="160" t="str">
        <f>CONCATENATE("Valuation of property that has changed in use during ",J1-1,"")</f>
        <v>Valuation of property that has changed in use during 2014</v>
      </c>
      <c r="C24" s="160"/>
      <c r="D24" s="160"/>
      <c r="E24" s="165"/>
      <c r="F24" s="165"/>
      <c r="G24" s="87">
        <f>inputOth!E14</f>
        <v>1246</v>
      </c>
      <c r="H24" s="165"/>
      <c r="I24" s="165"/>
      <c r="J24" s="165"/>
    </row>
    <row r="25" spans="1:10" ht="15.75" x14ac:dyDescent="0.2">
      <c r="A25" s="160" t="s">
        <v>81</v>
      </c>
      <c r="B25" s="160"/>
      <c r="C25" s="160"/>
      <c r="D25" s="172"/>
      <c r="E25" s="171"/>
      <c r="F25" s="165"/>
      <c r="G25" s="175"/>
      <c r="H25" s="171"/>
      <c r="I25" s="165"/>
      <c r="J25" s="165"/>
    </row>
    <row r="26" spans="1:10" ht="15.75" x14ac:dyDescent="0.2">
      <c r="A26" s="172" t="s">
        <v>196</v>
      </c>
      <c r="B26" s="160" t="s">
        <v>966</v>
      </c>
      <c r="C26" s="160"/>
      <c r="D26" s="160"/>
      <c r="E26" s="165"/>
      <c r="F26" s="165"/>
      <c r="G26" s="167">
        <f>G11+G16+G22+G24</f>
        <v>54325</v>
      </c>
      <c r="H26" s="171"/>
      <c r="I26" s="165"/>
      <c r="J26" s="165"/>
    </row>
    <row r="27" spans="1:10" ht="15.75" x14ac:dyDescent="0.2">
      <c r="A27" s="172"/>
      <c r="B27" s="172"/>
      <c r="C27" s="160"/>
      <c r="D27" s="160"/>
      <c r="E27" s="165"/>
      <c r="F27" s="165"/>
      <c r="G27" s="171"/>
      <c r="H27" s="171"/>
      <c r="I27" s="165"/>
      <c r="J27" s="165"/>
    </row>
    <row r="28" spans="1:10" ht="15.75" x14ac:dyDescent="0.2">
      <c r="A28" s="172" t="s">
        <v>197</v>
      </c>
      <c r="B28" s="160" t="str">
        <f>CONCATENATE("Total estimated valuation July 1,",J1-1,"")</f>
        <v>Total estimated valuation July 1,2014</v>
      </c>
      <c r="C28" s="160"/>
      <c r="D28" s="160"/>
      <c r="E28" s="167">
        <f>inputOth!E7</f>
        <v>3443957</v>
      </c>
      <c r="F28" s="165"/>
      <c r="G28" s="165"/>
      <c r="H28" s="165"/>
      <c r="I28" s="166"/>
      <c r="J28" s="165"/>
    </row>
    <row r="29" spans="1:10" ht="15.75" x14ac:dyDescent="0.2">
      <c r="A29" s="172"/>
      <c r="B29" s="172"/>
      <c r="C29" s="160"/>
      <c r="D29" s="160"/>
      <c r="E29" s="171"/>
      <c r="F29" s="165"/>
      <c r="G29" s="165"/>
      <c r="H29" s="165"/>
      <c r="I29" s="166"/>
      <c r="J29" s="165"/>
    </row>
    <row r="30" spans="1:10" ht="15.75" x14ac:dyDescent="0.2">
      <c r="A30" s="172" t="s">
        <v>198</v>
      </c>
      <c r="B30" s="160" t="s">
        <v>967</v>
      </c>
      <c r="C30" s="160"/>
      <c r="D30" s="160"/>
      <c r="E30" s="165"/>
      <c r="F30" s="165"/>
      <c r="G30" s="167">
        <f>E28-G26</f>
        <v>3389632</v>
      </c>
      <c r="H30" s="171"/>
      <c r="I30" s="166"/>
      <c r="J30" s="165"/>
    </row>
    <row r="31" spans="1:10" ht="15.75" x14ac:dyDescent="0.2">
      <c r="A31" s="172"/>
      <c r="B31" s="172"/>
      <c r="C31" s="160"/>
      <c r="D31" s="160"/>
      <c r="E31" s="160"/>
      <c r="F31" s="160"/>
      <c r="G31" s="176"/>
      <c r="H31" s="177"/>
      <c r="I31" s="172"/>
      <c r="J31" s="160"/>
    </row>
    <row r="32" spans="1:10" ht="15.75" x14ac:dyDescent="0.2">
      <c r="A32" s="172" t="s">
        <v>199</v>
      </c>
      <c r="B32" s="160" t="s">
        <v>968</v>
      </c>
      <c r="C32" s="160"/>
      <c r="D32" s="160"/>
      <c r="E32" s="160"/>
      <c r="F32" s="160"/>
      <c r="G32" s="178">
        <f>IF(G30&gt;0,G26/G30,0)</f>
        <v>1.6026813530200329E-2</v>
      </c>
      <c r="H32" s="177"/>
      <c r="I32" s="160"/>
      <c r="J32" s="160"/>
    </row>
    <row r="33" spans="1:10" ht="15.75" x14ac:dyDescent="0.2">
      <c r="A33" s="172"/>
      <c r="B33" s="172"/>
      <c r="C33" s="160"/>
      <c r="D33" s="160"/>
      <c r="E33" s="160"/>
      <c r="F33" s="160"/>
      <c r="G33" s="177"/>
      <c r="H33" s="177"/>
      <c r="I33" s="160"/>
      <c r="J33" s="160"/>
    </row>
    <row r="34" spans="1:10" ht="15.75" x14ac:dyDescent="0.2">
      <c r="A34" s="172" t="s">
        <v>200</v>
      </c>
      <c r="B34" s="160" t="s">
        <v>969</v>
      </c>
      <c r="C34" s="160"/>
      <c r="D34" s="160"/>
      <c r="E34" s="160"/>
      <c r="F34" s="160"/>
      <c r="G34" s="177"/>
      <c r="H34" s="179" t="s">
        <v>181</v>
      </c>
      <c r="I34" s="160" t="s">
        <v>182</v>
      </c>
      <c r="J34" s="167">
        <f>ROUND(G32*J7,0)</f>
        <v>3873</v>
      </c>
    </row>
    <row r="35" spans="1:10" ht="15.75" x14ac:dyDescent="0.2">
      <c r="A35" s="172"/>
      <c r="B35" s="172"/>
      <c r="C35" s="160"/>
      <c r="D35" s="160"/>
      <c r="E35" s="160"/>
      <c r="F35" s="160"/>
      <c r="G35" s="177"/>
      <c r="H35" s="179"/>
      <c r="I35" s="160"/>
      <c r="J35" s="171"/>
    </row>
    <row r="36" spans="1:10" ht="16.5" thickBot="1" x14ac:dyDescent="0.25">
      <c r="A36" s="172" t="s">
        <v>201</v>
      </c>
      <c r="B36" s="160" t="str">
        <f>CONCATENATE(J1," budget tax levy, excluding debt service, prior to CPI adjustment (3 plus 12)")</f>
        <v>2015 budget tax levy, excluding debt service, prior to CPI adjustment (3 plus 12)</v>
      </c>
      <c r="C36" s="160"/>
      <c r="D36" s="160"/>
      <c r="E36" s="160"/>
      <c r="F36" s="160"/>
      <c r="G36" s="160"/>
      <c r="H36" s="160"/>
      <c r="I36" s="160" t="s">
        <v>182</v>
      </c>
      <c r="J36" s="180">
        <f>J7+J34</f>
        <v>245508</v>
      </c>
    </row>
    <row r="37" spans="1:10" ht="16.5" thickTop="1" x14ac:dyDescent="0.2">
      <c r="A37" s="160"/>
      <c r="B37" s="160"/>
      <c r="C37" s="160"/>
      <c r="D37" s="160"/>
      <c r="E37" s="160"/>
      <c r="F37" s="160"/>
      <c r="G37" s="160"/>
      <c r="H37" s="160"/>
      <c r="I37" s="160"/>
      <c r="J37" s="160"/>
    </row>
    <row r="38" spans="1:10" ht="15.75" x14ac:dyDescent="0.2">
      <c r="A38" s="172" t="s">
        <v>212</v>
      </c>
      <c r="B38" s="160" t="str">
        <f>CONCATENATE("Debt service levy in this ",J1," budget")</f>
        <v>Debt service levy in this 2015 budget</v>
      </c>
      <c r="C38" s="160"/>
      <c r="D38" s="160"/>
      <c r="E38" s="160"/>
      <c r="F38" s="160"/>
      <c r="G38" s="160"/>
      <c r="H38" s="160"/>
      <c r="I38" s="160"/>
      <c r="J38" s="181">
        <f>'DebtSvs-library'!E40</f>
        <v>0</v>
      </c>
    </row>
    <row r="39" spans="1:10" ht="15.75" x14ac:dyDescent="0.2">
      <c r="A39" s="172"/>
      <c r="B39" s="160"/>
      <c r="C39" s="160"/>
      <c r="D39" s="160"/>
      <c r="E39" s="160"/>
      <c r="F39" s="160"/>
      <c r="G39" s="160"/>
      <c r="H39" s="160"/>
      <c r="I39" s="160"/>
      <c r="J39" s="177"/>
    </row>
    <row r="40" spans="1:10" ht="16.5" thickBot="1" x14ac:dyDescent="0.25">
      <c r="A40" s="172" t="s">
        <v>213</v>
      </c>
      <c r="B40" s="160" t="str">
        <f>CONCATENATE(J1," budget tax levy, including debt service, prior to CPI adjustment (13 plus 14)")</f>
        <v>2015 budget tax levy, including debt service, prior to CPI adjustment (13 plus 14)</v>
      </c>
      <c r="C40" s="160"/>
      <c r="D40" s="160"/>
      <c r="E40" s="160"/>
      <c r="F40" s="160"/>
      <c r="G40" s="160"/>
      <c r="H40" s="160"/>
      <c r="I40" s="160"/>
      <c r="J40" s="180">
        <f>J36+J38</f>
        <v>245508</v>
      </c>
    </row>
    <row r="41" spans="1:10" ht="16.5" thickTop="1" x14ac:dyDescent="0.2">
      <c r="A41" s="720"/>
      <c r="B41" s="719"/>
      <c r="C41" s="719"/>
      <c r="D41" s="719"/>
      <c r="E41" s="719"/>
      <c r="F41" s="719"/>
      <c r="G41" s="719"/>
      <c r="H41" s="719"/>
      <c r="I41" s="719"/>
      <c r="J41" s="717"/>
    </row>
    <row r="42" spans="1:10" ht="15.75" x14ac:dyDescent="0.2">
      <c r="A42" s="722" t="s">
        <v>953</v>
      </c>
      <c r="B42" s="719" t="str">
        <f>CONCATENATE("Consumer Price Index for all urban consumers for calendar year ",J1-2)</f>
        <v>Consumer Price Index for all urban consumers for calendar year 2013</v>
      </c>
      <c r="C42" s="719"/>
      <c r="D42" s="719"/>
      <c r="E42" s="719"/>
      <c r="F42" s="719"/>
      <c r="G42" s="719"/>
      <c r="H42" s="719"/>
      <c r="I42" s="719"/>
      <c r="J42" s="723">
        <v>1.4999999999999999E-2</v>
      </c>
    </row>
    <row r="43" spans="1:10" ht="15.75" x14ac:dyDescent="0.2">
      <c r="A43" s="722"/>
      <c r="B43" s="719"/>
      <c r="C43" s="719"/>
      <c r="D43" s="719"/>
      <c r="E43" s="719"/>
      <c r="F43" s="719"/>
      <c r="G43" s="719"/>
      <c r="H43" s="719"/>
      <c r="I43" s="719"/>
      <c r="J43" s="724"/>
    </row>
    <row r="44" spans="1:10" ht="15.75" x14ac:dyDescent="0.2">
      <c r="A44" s="722" t="s">
        <v>954</v>
      </c>
      <c r="B44" s="719" t="s">
        <v>955</v>
      </c>
      <c r="C44" s="719"/>
      <c r="D44" s="719"/>
      <c r="E44" s="719"/>
      <c r="F44" s="719"/>
      <c r="G44" s="719"/>
      <c r="H44" s="719"/>
      <c r="I44" s="718" t="s">
        <v>182</v>
      </c>
      <c r="J44" s="716">
        <f>J7*J42</f>
        <v>3624.5250000000001</v>
      </c>
    </row>
    <row r="45" spans="1:10" ht="15.75" x14ac:dyDescent="0.2">
      <c r="A45" s="720"/>
      <c r="B45" s="719"/>
      <c r="C45" s="719"/>
      <c r="D45" s="719"/>
      <c r="E45" s="719"/>
      <c r="F45" s="719"/>
      <c r="G45" s="719"/>
      <c r="H45" s="719"/>
      <c r="I45" s="719"/>
      <c r="J45" s="717"/>
    </row>
    <row r="46" spans="1:10" ht="15.75" x14ac:dyDescent="0.2">
      <c r="A46" s="720" t="s">
        <v>956</v>
      </c>
      <c r="B46" s="719" t="str">
        <f>CONCATENATE("Maximum levy for budget year ",J1,", including debt service, not requiring 'notice of vote publication.'")</f>
        <v>Maximum levy for budget year 2015, including debt service, not requiring 'notice of vote publication.'</v>
      </c>
      <c r="C46" s="719"/>
      <c r="D46" s="719"/>
      <c r="E46" s="719"/>
      <c r="F46" s="719"/>
      <c r="G46" s="719"/>
      <c r="H46" s="719"/>
      <c r="I46" s="719"/>
      <c r="J46" s="715"/>
    </row>
    <row r="47" spans="1:10" ht="19.5" thickBot="1" x14ac:dyDescent="0.25">
      <c r="A47" s="714"/>
      <c r="B47" s="718" t="s">
        <v>957</v>
      </c>
      <c r="C47" s="714"/>
      <c r="D47" s="714"/>
      <c r="E47" s="714"/>
      <c r="F47" s="714"/>
      <c r="G47" s="714"/>
      <c r="H47" s="714"/>
      <c r="I47" s="718" t="s">
        <v>182</v>
      </c>
      <c r="J47" s="721">
        <f>J40+J44</f>
        <v>249132.52499999999</v>
      </c>
    </row>
    <row r="48" spans="1:10" ht="19.5" thickTop="1" x14ac:dyDescent="0.2">
      <c r="A48" s="714"/>
      <c r="B48" s="725"/>
      <c r="C48" s="714"/>
      <c r="D48" s="714"/>
      <c r="E48" s="714"/>
      <c r="F48" s="714"/>
      <c r="G48" s="714"/>
      <c r="H48" s="714"/>
      <c r="I48" s="718"/>
      <c r="J48" s="717"/>
    </row>
    <row r="49" spans="1:10" ht="18.75" x14ac:dyDescent="0.2">
      <c r="A49" s="714"/>
      <c r="B49" s="725"/>
      <c r="C49" s="714"/>
      <c r="D49" s="714"/>
      <c r="E49" s="714"/>
      <c r="F49" s="714"/>
      <c r="G49" s="714"/>
      <c r="H49" s="714"/>
      <c r="I49" s="718"/>
      <c r="J49" s="717"/>
    </row>
    <row r="50" spans="1:10" ht="18.75" x14ac:dyDescent="0.2">
      <c r="A50" s="791" t="str">
        <f>CONCATENATE("If the ",J1," adopted budget includes a total property tax levy exceeding the dollar amount in line 18")</f>
        <v>If the 2015 adopted budget includes a total property tax levy exceeding the dollar amount in line 18</v>
      </c>
      <c r="B50" s="791"/>
      <c r="C50" s="791"/>
      <c r="D50" s="791"/>
      <c r="E50" s="791"/>
      <c r="F50" s="791"/>
      <c r="G50" s="791"/>
      <c r="H50" s="791"/>
      <c r="I50" s="791"/>
      <c r="J50" s="791"/>
    </row>
    <row r="51" spans="1:10" ht="18.75" x14ac:dyDescent="0.2">
      <c r="A51" s="791" t="s">
        <v>958</v>
      </c>
      <c r="B51" s="791"/>
      <c r="C51" s="791"/>
      <c r="D51" s="791"/>
      <c r="E51" s="791"/>
      <c r="F51" s="791"/>
      <c r="G51" s="791"/>
      <c r="H51" s="791"/>
      <c r="I51" s="791"/>
      <c r="J51" s="791"/>
    </row>
    <row r="52" spans="1:10" ht="15.75" x14ac:dyDescent="0.2">
      <c r="A52" s="788" t="s">
        <v>959</v>
      </c>
      <c r="B52" s="788"/>
      <c r="C52" s="788"/>
      <c r="D52" s="788"/>
      <c r="E52" s="788"/>
      <c r="F52" s="788"/>
      <c r="G52" s="788"/>
      <c r="H52" s="788"/>
      <c r="I52" s="788"/>
      <c r="J52" s="788"/>
    </row>
    <row r="53" spans="1:10" ht="15.95" customHeight="1" x14ac:dyDescent="0.2">
      <c r="A53" s="788" t="s">
        <v>1005</v>
      </c>
      <c r="B53" s="788"/>
      <c r="C53" s="788"/>
      <c r="D53" s="788"/>
      <c r="E53" s="788"/>
      <c r="F53" s="788"/>
      <c r="G53" s="788"/>
      <c r="H53" s="788"/>
      <c r="I53" s="788"/>
      <c r="J53" s="788"/>
    </row>
  </sheetData>
  <mergeCells count="7">
    <mergeCell ref="A53:J53"/>
    <mergeCell ref="A52:J52"/>
    <mergeCell ref="A3:J3"/>
    <mergeCell ref="E4:G4"/>
    <mergeCell ref="A51:J51"/>
    <mergeCell ref="A50:J50"/>
    <mergeCell ref="A9:J9"/>
  </mergeCells>
  <phoneticPr fontId="0" type="noConversion"/>
  <pageMargins left="0.5" right="0.5" top="1" bottom="0.5" header="0.5" footer="0.5"/>
  <pageSetup scale="78" orientation="portrait" blackAndWhite="1" r:id="rId1"/>
  <headerFooter alignWithMargins="0">
    <oddHeader xml:space="preserve">&amp;RState of Kansas
City
</oddHeader>
    <oddFooter>&amp;CPage No. 2</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workbookViewId="0">
      <selection activeCell="F20" sqref="F20"/>
    </sheetView>
  </sheetViews>
  <sheetFormatPr defaultRowHeight="15.75" x14ac:dyDescent="0.2"/>
  <cols>
    <col min="1" max="1" width="8.88671875" style="41"/>
    <col min="2" max="2" width="17.88671875" style="41" customWidth="1"/>
    <col min="3" max="3" width="16.109375" style="41" customWidth="1"/>
    <col min="4" max="6" width="12.77734375" style="41" customWidth="1"/>
    <col min="7" max="7" width="10.21875" style="41" customWidth="1"/>
    <col min="8" max="16384" width="8.88671875" style="41"/>
  </cols>
  <sheetData>
    <row r="1" spans="1:8" x14ac:dyDescent="0.2">
      <c r="A1" s="668"/>
      <c r="B1" s="182" t="str">
        <f>inputPrYr!D2</f>
        <v>City of Frankfort</v>
      </c>
      <c r="C1" s="182"/>
      <c r="D1" s="43"/>
      <c r="E1" s="43"/>
      <c r="F1" s="43"/>
      <c r="G1" s="43">
        <f>inputPrYr!C5</f>
        <v>2015</v>
      </c>
    </row>
    <row r="2" spans="1:8" x14ac:dyDescent="0.2">
      <c r="A2" s="668"/>
      <c r="B2" s="43"/>
      <c r="C2" s="43"/>
      <c r="D2" s="43"/>
      <c r="E2" s="43"/>
      <c r="F2" s="43"/>
      <c r="G2" s="43"/>
    </row>
    <row r="3" spans="1:8" x14ac:dyDescent="0.2">
      <c r="A3" s="668"/>
      <c r="B3" s="792" t="s">
        <v>8</v>
      </c>
      <c r="C3" s="792"/>
      <c r="D3" s="792"/>
      <c r="E3" s="792"/>
      <c r="F3" s="792"/>
      <c r="G3" s="43"/>
    </row>
    <row r="4" spans="1:8" x14ac:dyDescent="0.2">
      <c r="A4" s="668"/>
      <c r="B4" s="43"/>
      <c r="C4" s="183"/>
      <c r="D4" s="183"/>
      <c r="E4" s="183"/>
      <c r="F4" s="43"/>
      <c r="G4" s="66"/>
    </row>
    <row r="5" spans="1:8" ht="21" customHeight="1" x14ac:dyDescent="0.2">
      <c r="A5" s="668"/>
      <c r="B5" s="184" t="s">
        <v>267</v>
      </c>
      <c r="C5" s="132" t="s">
        <v>895</v>
      </c>
      <c r="D5" s="793" t="str">
        <f>CONCATENATE("Allocation for Year ",G1,"")</f>
        <v>Allocation for Year 2015</v>
      </c>
      <c r="E5" s="794"/>
      <c r="F5" s="795"/>
      <c r="G5" s="43"/>
      <c r="H5" s="592"/>
    </row>
    <row r="6" spans="1:8" x14ac:dyDescent="0.2">
      <c r="A6" s="668"/>
      <c r="B6" s="185" t="str">
        <f>CONCATENATE("for ",G1-1,"")</f>
        <v>for 2014</v>
      </c>
      <c r="C6" s="185" t="str">
        <f>CONCATENATE("Amount for ",G1-2,"")</f>
        <v>Amount for 2013</v>
      </c>
      <c r="D6" s="136" t="s">
        <v>175</v>
      </c>
      <c r="E6" s="136" t="s">
        <v>176</v>
      </c>
      <c r="F6" s="136" t="s">
        <v>174</v>
      </c>
      <c r="G6" s="667"/>
    </row>
    <row r="7" spans="1:8" x14ac:dyDescent="0.2">
      <c r="A7" s="668"/>
      <c r="B7" s="77" t="str">
        <f>(inputPrYr!B17)</f>
        <v>General</v>
      </c>
      <c r="C7" s="139">
        <f>(inputPrYr!E17)</f>
        <v>203586</v>
      </c>
      <c r="D7" s="139">
        <f>IF(inputPrYr!E17=0,0,D22-SUM(D8:D19))</f>
        <v>44197</v>
      </c>
      <c r="E7" s="139">
        <f>IF(inputPrYr!E17=0,0,E23-SUM(E8:E19))</f>
        <v>684</v>
      </c>
      <c r="F7" s="139">
        <f>IF(inputPrYr!E17=0,0,F24-SUM(F8:F19))</f>
        <v>2608</v>
      </c>
      <c r="G7" s="668"/>
    </row>
    <row r="8" spans="1:8" x14ac:dyDescent="0.2">
      <c r="A8" s="668"/>
      <c r="B8" s="77" t="str">
        <f>IF(inputPrYr!$B18&gt;"  ",(inputPrYr!$B18),"  ")</f>
        <v>Debt Service</v>
      </c>
      <c r="C8" s="139" t="str">
        <f>IF(inputPrYr!$E18&gt;0,(inputPrYr!$E18),"  ")</f>
        <v xml:space="preserve">  </v>
      </c>
      <c r="D8" s="139" t="str">
        <f>IF(inputPrYr!E18&gt;0,ROUND(C8*$D$26,0),"  ")</f>
        <v xml:space="preserve">  </v>
      </c>
      <c r="E8" s="139" t="str">
        <f>IF(inputPrYr!E18&gt;0,ROUND(+C8*E$27,0)," ")</f>
        <v xml:space="preserve"> </v>
      </c>
      <c r="F8" s="139" t="str">
        <f>IF(inputPrYr!E18&gt;0,ROUND(C8*F$28,0)," ")</f>
        <v xml:space="preserve"> </v>
      </c>
      <c r="G8" s="668"/>
    </row>
    <row r="9" spans="1:8" x14ac:dyDescent="0.2">
      <c r="A9" s="668"/>
      <c r="B9" s="77" t="str">
        <f>IF(inputPrYr!$B19&gt;"  ",(inputPrYr!$B19),"  ")</f>
        <v>Library</v>
      </c>
      <c r="C9" s="139">
        <f>IF(inputPrYr!$E19&gt;0,(inputPrYr!$E19),"  ")</f>
        <v>38049</v>
      </c>
      <c r="D9" s="139">
        <f>IF(inputPrYr!E19&gt;0,ROUND(C9*$D$26,0),"  ")</f>
        <v>8260</v>
      </c>
      <c r="E9" s="139">
        <f>IF(inputPrYr!E19&gt;0,ROUND(+C9*E$27,0)," ")</f>
        <v>128</v>
      </c>
      <c r="F9" s="139">
        <f>IF(inputPrYr!E19&gt;0,ROUND(+C9*F$28,0)," ")</f>
        <v>488</v>
      </c>
      <c r="G9" s="668"/>
    </row>
    <row r="10" spans="1:8" x14ac:dyDescent="0.2">
      <c r="A10" s="668"/>
      <c r="B10" s="77" t="str">
        <f>IF(inputPrYr!$B21&gt;"  ",(inputPrYr!$B21),"  ")</f>
        <v xml:space="preserve">  </v>
      </c>
      <c r="C10" s="139" t="str">
        <f>IF(inputPrYr!$E21&gt;0,(inputPrYr!$E21),"  ")</f>
        <v xml:space="preserve">  </v>
      </c>
      <c r="D10" s="139" t="str">
        <f>IF(inputPrYr!E21&gt;0,ROUND(C10*$D$26,0),"  ")</f>
        <v xml:space="preserve">  </v>
      </c>
      <c r="E10" s="139" t="str">
        <f>IF(inputPrYr!E21&gt;0,ROUND(+C10*E$27,0)," ")</f>
        <v xml:space="preserve"> </v>
      </c>
      <c r="F10" s="139" t="str">
        <f>IF(inputPrYr!E21&gt;0,ROUND(+C10*F$28,0)," ")</f>
        <v xml:space="preserve"> </v>
      </c>
      <c r="G10" s="668"/>
    </row>
    <row r="11" spans="1:8" x14ac:dyDescent="0.2">
      <c r="A11" s="668"/>
      <c r="B11" s="77" t="str">
        <f>IF(inputPrYr!$B22&gt;"  ",(inputPrYr!$B22),"  ")</f>
        <v xml:space="preserve">  </v>
      </c>
      <c r="C11" s="139" t="str">
        <f>IF(inputPrYr!$E22&gt;0,(inputPrYr!$E22),"  ")</f>
        <v xml:space="preserve">  </v>
      </c>
      <c r="D11" s="139" t="str">
        <f>IF(inputPrYr!E22&gt;0,ROUND(C11*$D$26,0),"  ")</f>
        <v xml:space="preserve">  </v>
      </c>
      <c r="E11" s="139" t="str">
        <f>IF(inputPrYr!E22&gt;0,ROUND(+C11*E$27,0)," ")</f>
        <v xml:space="preserve"> </v>
      </c>
      <c r="F11" s="139" t="str">
        <f>IF(inputPrYr!E22&gt;0,ROUND(+C11*F$28,0)," ")</f>
        <v xml:space="preserve"> </v>
      </c>
      <c r="G11" s="668"/>
    </row>
    <row r="12" spans="1:8" x14ac:dyDescent="0.2">
      <c r="A12" s="668"/>
      <c r="B12" s="77" t="str">
        <f>IF(inputPrYr!$B23&gt;"  ",(inputPrYr!$B23),"  ")</f>
        <v xml:space="preserve">  </v>
      </c>
      <c r="C12" s="139" t="str">
        <f>IF(inputPrYr!$E23&gt;0,(inputPrYr!$E23),"  ")</f>
        <v xml:space="preserve">  </v>
      </c>
      <c r="D12" s="139" t="str">
        <f>IF(inputPrYr!E23&gt;0,ROUND(C12*$D$26,0),"  ")</f>
        <v xml:space="preserve">  </v>
      </c>
      <c r="E12" s="139" t="str">
        <f>IF(inputPrYr!E23&gt;0,ROUND(+C12*E$27,0)," ")</f>
        <v xml:space="preserve"> </v>
      </c>
      <c r="F12" s="139" t="str">
        <f>IF(inputPrYr!E23&gt;0,ROUND(+C12*F$28,0)," ")</f>
        <v xml:space="preserve"> </v>
      </c>
      <c r="G12" s="668"/>
    </row>
    <row r="13" spans="1:8" x14ac:dyDescent="0.2">
      <c r="A13" s="668"/>
      <c r="B13" s="77" t="str">
        <f>IF(inputPrYr!$B24&gt;"  ",(inputPrYr!$B24),"  ")</f>
        <v xml:space="preserve">  </v>
      </c>
      <c r="C13" s="139" t="str">
        <f>IF(inputPrYr!$E24&gt;0,(inputPrYr!$E24),"  ")</f>
        <v xml:space="preserve">  </v>
      </c>
      <c r="D13" s="139" t="str">
        <f>IF(inputPrYr!E24&gt;0,ROUND(C13*$D$26,0),"  ")</f>
        <v xml:space="preserve">  </v>
      </c>
      <c r="E13" s="139" t="str">
        <f>IF(inputPrYr!E24&gt;0,ROUND(+C13*E$27,0)," ")</f>
        <v xml:space="preserve"> </v>
      </c>
      <c r="F13" s="139" t="str">
        <f>IF(inputPrYr!E24&gt;0,ROUND(+C13*F$28,0)," ")</f>
        <v xml:space="preserve"> </v>
      </c>
      <c r="G13" s="668"/>
    </row>
    <row r="14" spans="1:8" x14ac:dyDescent="0.2">
      <c r="A14" s="668"/>
      <c r="B14" s="77" t="str">
        <f>IF(inputPrYr!$B25&gt;"  ",(inputPrYr!$B25),"  ")</f>
        <v xml:space="preserve">  </v>
      </c>
      <c r="C14" s="139" t="str">
        <f>IF(inputPrYr!$E25&gt;0,(inputPrYr!$E25),"  ")</f>
        <v xml:space="preserve">  </v>
      </c>
      <c r="D14" s="139" t="str">
        <f>IF(inputPrYr!E25&gt;0,ROUND(C14*$D$26,0),"  ")</f>
        <v xml:space="preserve">  </v>
      </c>
      <c r="E14" s="139" t="str">
        <f>IF(inputPrYr!E25&gt;0,ROUND(+C14*E$27,0)," ")</f>
        <v xml:space="preserve"> </v>
      </c>
      <c r="F14" s="139" t="str">
        <f>IF(inputPrYr!E25&gt;0,ROUND(+C14*F$28,0)," ")</f>
        <v xml:space="preserve"> </v>
      </c>
      <c r="G14" s="668"/>
    </row>
    <row r="15" spans="1:8" x14ac:dyDescent="0.2">
      <c r="A15" s="668"/>
      <c r="B15" s="77" t="str">
        <f>IF(inputPrYr!$B26&gt;"  ",(inputPrYr!$B26),"  ")</f>
        <v xml:space="preserve">  </v>
      </c>
      <c r="C15" s="139" t="str">
        <f>IF(inputPrYr!$E26&gt;0,(inputPrYr!$E26),"  ")</f>
        <v xml:space="preserve">  </v>
      </c>
      <c r="D15" s="139" t="str">
        <f>IF(inputPrYr!E26&gt;0,ROUND(C15*$D$26,0),"  ")</f>
        <v xml:space="preserve">  </v>
      </c>
      <c r="E15" s="139" t="str">
        <f>IF(inputPrYr!E26&gt;0,ROUND(+C15*E$27,0)," ")</f>
        <v xml:space="preserve"> </v>
      </c>
      <c r="F15" s="139" t="str">
        <f>IF(inputPrYr!E26&gt;0,ROUND(+C15*F$28,0)," ")</f>
        <v xml:space="preserve"> </v>
      </c>
      <c r="G15" s="668"/>
    </row>
    <row r="16" spans="1:8" x14ac:dyDescent="0.2">
      <c r="A16" s="668"/>
      <c r="B16" s="77" t="str">
        <f>IF(inputPrYr!$B27&gt;"  ",(inputPrYr!$B27),"  ")</f>
        <v xml:space="preserve">  </v>
      </c>
      <c r="C16" s="139" t="str">
        <f>IF(inputPrYr!$E27&gt;0,(inputPrYr!$E27),"  ")</f>
        <v xml:space="preserve">  </v>
      </c>
      <c r="D16" s="139" t="str">
        <f>IF(inputPrYr!E27&gt;0,ROUND(C16*$D$26,0),"  ")</f>
        <v xml:space="preserve">  </v>
      </c>
      <c r="E16" s="139" t="str">
        <f>IF(inputPrYr!E27&gt;0,ROUND(+C16*E$27,0)," ")</f>
        <v xml:space="preserve"> </v>
      </c>
      <c r="F16" s="139" t="str">
        <f>IF(inputPrYr!E27&gt;0,ROUND(+C16*F$28,0)," ")</f>
        <v xml:space="preserve"> </v>
      </c>
      <c r="G16" s="668"/>
    </row>
    <row r="17" spans="1:7" x14ac:dyDescent="0.2">
      <c r="A17" s="668"/>
      <c r="B17" s="77" t="str">
        <f>IF(inputPrYr!$B28&gt;"  ",(inputPrYr!$B28),"  ")</f>
        <v xml:space="preserve">  </v>
      </c>
      <c r="C17" s="139" t="str">
        <f>IF(inputPrYr!$E28&gt;0,(inputPrYr!$E28),"  ")</f>
        <v xml:space="preserve">  </v>
      </c>
      <c r="D17" s="139" t="str">
        <f>IF(inputPrYr!E28&gt;0,ROUND(C17*$D$26,0),"  ")</f>
        <v xml:space="preserve">  </v>
      </c>
      <c r="E17" s="139" t="str">
        <f>IF(inputPrYr!E28&gt;0,ROUND(+C17*E$27,0)," ")</f>
        <v xml:space="preserve"> </v>
      </c>
      <c r="F17" s="139" t="str">
        <f>IF(inputPrYr!E28&gt;0,ROUND(+C17*F$28,0)," ")</f>
        <v xml:space="preserve"> </v>
      </c>
      <c r="G17" s="668"/>
    </row>
    <row r="18" spans="1:7" x14ac:dyDescent="0.2">
      <c r="A18" s="668"/>
      <c r="B18" s="77" t="str">
        <f>IF(inputPrYr!$B29&gt;"  ",(inputPrYr!$B29),"  ")</f>
        <v xml:space="preserve">  </v>
      </c>
      <c r="C18" s="139" t="str">
        <f>IF(inputPrYr!$E29&gt;0,(inputPrYr!$E29),"  ")</f>
        <v xml:space="preserve">  </v>
      </c>
      <c r="D18" s="139" t="str">
        <f>IF(inputPrYr!E29&gt;0,ROUND(C18*$D$26,0),"  ")</f>
        <v xml:space="preserve">  </v>
      </c>
      <c r="E18" s="139" t="str">
        <f>IF(inputPrYr!E29&gt;0,ROUND(+C18*E$27,0)," ")</f>
        <v xml:space="preserve"> </v>
      </c>
      <c r="F18" s="139" t="str">
        <f>IF(inputPrYr!E29&gt;0,ROUND(+C18*F$28,0)," ")</f>
        <v xml:space="preserve"> </v>
      </c>
      <c r="G18" s="668"/>
    </row>
    <row r="19" spans="1:7" x14ac:dyDescent="0.2">
      <c r="A19" s="668"/>
      <c r="B19" s="77" t="str">
        <f>IF(inputPrYr!B30&gt;"  ",(inputPrYr!B30),"  ")</f>
        <v xml:space="preserve">  </v>
      </c>
      <c r="C19" s="139" t="str">
        <f>IF(inputPrYr!E30&gt;0,(inputPrYr!E30),"  ")</f>
        <v xml:space="preserve">  </v>
      </c>
      <c r="D19" s="139" t="str">
        <f>IF(inputPrYr!E30&gt;0,ROUND(C19*$D$26,0),"  ")</f>
        <v xml:space="preserve">  </v>
      </c>
      <c r="E19" s="139" t="str">
        <f>IF(inputPrYr!E30&gt;0,ROUND(+C19*E$27,0)," ")</f>
        <v xml:space="preserve"> </v>
      </c>
      <c r="F19" s="139" t="str">
        <f>IF(inputPrYr!E30&gt;0,ROUND(+C19*F$28,0)," ")</f>
        <v xml:space="preserve"> </v>
      </c>
      <c r="G19" s="668"/>
    </row>
    <row r="20" spans="1:7" x14ac:dyDescent="0.2">
      <c r="A20" s="668"/>
      <c r="B20" s="43" t="s">
        <v>99</v>
      </c>
      <c r="C20" s="146">
        <f>SUM(C7:C19)</f>
        <v>241635</v>
      </c>
      <c r="D20" s="146">
        <f>SUM(D7:D19)</f>
        <v>52457</v>
      </c>
      <c r="E20" s="146">
        <f>SUM(E7:E19)</f>
        <v>812</v>
      </c>
      <c r="F20" s="146">
        <f>SUM(F7:F19)</f>
        <v>3096</v>
      </c>
      <c r="G20" s="43"/>
    </row>
    <row r="21" spans="1:7" x14ac:dyDescent="0.2">
      <c r="A21" s="668"/>
      <c r="B21" s="43"/>
      <c r="C21" s="67"/>
      <c r="D21" s="67"/>
      <c r="E21" s="67"/>
      <c r="F21" s="67"/>
      <c r="G21" s="43"/>
    </row>
    <row r="22" spans="1:7" x14ac:dyDescent="0.2">
      <c r="A22" s="668"/>
      <c r="B22" s="44" t="s">
        <v>100</v>
      </c>
      <c r="C22" s="186"/>
      <c r="D22" s="187">
        <f>(inputOth!E39)</f>
        <v>52457</v>
      </c>
      <c r="E22" s="186"/>
      <c r="F22" s="43"/>
      <c r="G22" s="43"/>
    </row>
    <row r="23" spans="1:7" x14ac:dyDescent="0.2">
      <c r="A23" s="668"/>
      <c r="B23" s="44" t="s">
        <v>101</v>
      </c>
      <c r="C23" s="43"/>
      <c r="D23" s="43"/>
      <c r="E23" s="187">
        <f>(inputOth!E40)</f>
        <v>812</v>
      </c>
      <c r="F23" s="43"/>
      <c r="G23" s="43"/>
    </row>
    <row r="24" spans="1:7" x14ac:dyDescent="0.2">
      <c r="A24" s="668"/>
      <c r="B24" s="44" t="s">
        <v>177</v>
      </c>
      <c r="C24" s="43"/>
      <c r="D24" s="43"/>
      <c r="E24" s="43"/>
      <c r="F24" s="187">
        <f>inputOth!E41</f>
        <v>3096</v>
      </c>
      <c r="G24" s="43"/>
    </row>
    <row r="25" spans="1:7" x14ac:dyDescent="0.2">
      <c r="A25" s="668"/>
      <c r="B25" s="44"/>
      <c r="C25" s="43"/>
      <c r="D25" s="43"/>
      <c r="E25" s="43"/>
      <c r="F25" s="67"/>
      <c r="G25" s="354"/>
    </row>
    <row r="26" spans="1:7" x14ac:dyDescent="0.2">
      <c r="A26" s="668"/>
      <c r="B26" s="44" t="s">
        <v>102</v>
      </c>
      <c r="C26" s="43"/>
      <c r="D26" s="188">
        <f>IF(C20=0,0,D22/C20)</f>
        <v>0.21709189480000829</v>
      </c>
      <c r="E26" s="43"/>
      <c r="F26" s="43"/>
      <c r="G26" s="43"/>
    </row>
    <row r="27" spans="1:7" x14ac:dyDescent="0.2">
      <c r="A27" s="668"/>
      <c r="B27" s="43"/>
      <c r="C27" s="44" t="s">
        <v>103</v>
      </c>
      <c r="D27" s="43"/>
      <c r="E27" s="188">
        <f>IF(C20=0,0,E23/C20)</f>
        <v>3.3604403335609494E-3</v>
      </c>
      <c r="F27" s="43"/>
      <c r="G27" s="43"/>
    </row>
    <row r="28" spans="1:7" x14ac:dyDescent="0.2">
      <c r="A28" s="668"/>
      <c r="B28" s="43"/>
      <c r="C28" s="43"/>
      <c r="D28" s="44" t="s">
        <v>178</v>
      </c>
      <c r="E28" s="43"/>
      <c r="F28" s="188">
        <f>IF(C20=0,0,F24/C20)</f>
        <v>1.2812713390030418E-2</v>
      </c>
      <c r="G28" s="43"/>
    </row>
    <row r="29" spans="1:7" x14ac:dyDescent="0.2">
      <c r="A29" s="668"/>
      <c r="B29" s="43"/>
      <c r="C29" s="43"/>
      <c r="D29" s="43"/>
      <c r="E29" s="43"/>
      <c r="F29" s="43"/>
      <c r="G29" s="43"/>
    </row>
    <row r="30" spans="1:7" x14ac:dyDescent="0.2">
      <c r="A30" s="668"/>
      <c r="B30" s="58"/>
      <c r="C30" s="58"/>
      <c r="D30" s="58"/>
      <c r="E30" s="58"/>
      <c r="F30" s="58"/>
      <c r="G30" s="58"/>
    </row>
  </sheetData>
  <mergeCells count="2">
    <mergeCell ref="B3:F3"/>
    <mergeCell ref="D5:F5"/>
  </mergeCells>
  <phoneticPr fontId="0" type="noConversion"/>
  <pageMargins left="0.5" right="0.5" top="1" bottom="0.5" header="0.5" footer="0.5"/>
  <pageSetup scale="87" orientation="portrait" blackAndWhite="1" horizontalDpi="120" verticalDpi="144" r:id="rId1"/>
  <headerFooter alignWithMargins="0">
    <oddHeader xml:space="preserve">&amp;RState of Kansas
City
</oddHeader>
    <oddFooter>&amp;CPage No. 3</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32"/>
  <sheetViews>
    <sheetView workbookViewId="0">
      <selection activeCell="F9" sqref="F9"/>
    </sheetView>
  </sheetViews>
  <sheetFormatPr defaultRowHeight="15.75" x14ac:dyDescent="0.2"/>
  <cols>
    <col min="1" max="1" width="4.21875" style="29" customWidth="1"/>
    <col min="2" max="3" width="17.77734375" style="29" customWidth="1"/>
    <col min="4" max="7" width="12.77734375" style="29" customWidth="1"/>
    <col min="8" max="16384" width="8.88671875" style="29"/>
  </cols>
  <sheetData>
    <row r="1" spans="2:7" x14ac:dyDescent="0.2">
      <c r="B1" s="161" t="str">
        <f>inputPrYr!D2</f>
        <v>City of Frankfort</v>
      </c>
      <c r="C1" s="161"/>
      <c r="D1" s="160"/>
      <c r="E1" s="160"/>
      <c r="F1" s="160"/>
      <c r="G1" s="160">
        <f>inputPrYr!$C$5</f>
        <v>2015</v>
      </c>
    </row>
    <row r="2" spans="2:7" x14ac:dyDescent="0.2">
      <c r="B2" s="160"/>
      <c r="C2" s="160"/>
      <c r="D2" s="160"/>
      <c r="E2" s="160"/>
      <c r="F2" s="160"/>
      <c r="G2" s="160"/>
    </row>
    <row r="3" spans="2:7" x14ac:dyDescent="0.2">
      <c r="B3" s="796" t="s">
        <v>219</v>
      </c>
      <c r="C3" s="796"/>
      <c r="D3" s="796"/>
      <c r="E3" s="796"/>
      <c r="F3" s="796"/>
      <c r="G3" s="796"/>
    </row>
    <row r="4" spans="2:7" x14ac:dyDescent="0.2">
      <c r="B4" s="189"/>
      <c r="C4" s="189"/>
      <c r="D4" s="189"/>
      <c r="E4" s="189"/>
      <c r="F4" s="189"/>
      <c r="G4" s="189"/>
    </row>
    <row r="5" spans="2:7" x14ac:dyDescent="0.2">
      <c r="B5" s="190" t="s">
        <v>614</v>
      </c>
      <c r="C5" s="190" t="s">
        <v>615</v>
      </c>
      <c r="D5" s="190" t="s">
        <v>126</v>
      </c>
      <c r="E5" s="190" t="s">
        <v>224</v>
      </c>
      <c r="F5" s="190" t="s">
        <v>225</v>
      </c>
      <c r="G5" s="190" t="s">
        <v>259</v>
      </c>
    </row>
    <row r="6" spans="2:7" x14ac:dyDescent="0.2">
      <c r="B6" s="191" t="s">
        <v>616</v>
      </c>
      <c r="C6" s="191" t="s">
        <v>617</v>
      </c>
      <c r="D6" s="191" t="s">
        <v>260</v>
      </c>
      <c r="E6" s="191" t="s">
        <v>260</v>
      </c>
      <c r="F6" s="191" t="s">
        <v>260</v>
      </c>
      <c r="G6" s="191" t="s">
        <v>261</v>
      </c>
    </row>
    <row r="7" spans="2:7" ht="15" customHeight="1" x14ac:dyDescent="0.2">
      <c r="B7" s="192" t="s">
        <v>262</v>
      </c>
      <c r="C7" s="192" t="s">
        <v>263</v>
      </c>
      <c r="D7" s="193">
        <f>G1-2</f>
        <v>2013</v>
      </c>
      <c r="E7" s="193">
        <f>G1-1</f>
        <v>2014</v>
      </c>
      <c r="F7" s="193">
        <f>G1</f>
        <v>2015</v>
      </c>
      <c r="G7" s="192" t="s">
        <v>264</v>
      </c>
    </row>
    <row r="8" spans="2:7" ht="14.25" customHeight="1" x14ac:dyDescent="0.2">
      <c r="B8" s="194" t="s">
        <v>74</v>
      </c>
      <c r="C8" s="194" t="s">
        <v>1015</v>
      </c>
      <c r="D8" s="195">
        <v>17500</v>
      </c>
      <c r="E8" s="195">
        <v>18500</v>
      </c>
      <c r="F8" s="195">
        <v>9000</v>
      </c>
      <c r="G8" s="758" t="s">
        <v>1016</v>
      </c>
    </row>
    <row r="9" spans="2:7" ht="15" customHeight="1" x14ac:dyDescent="0.2">
      <c r="B9" s="197"/>
      <c r="C9" s="197"/>
      <c r="D9" s="198"/>
      <c r="E9" s="198"/>
      <c r="F9" s="198"/>
      <c r="G9" s="196"/>
    </row>
    <row r="10" spans="2:7" ht="15" customHeight="1" x14ac:dyDescent="0.2">
      <c r="B10" s="197"/>
      <c r="C10" s="197"/>
      <c r="D10" s="198"/>
      <c r="E10" s="198"/>
      <c r="F10" s="198"/>
      <c r="G10" s="196"/>
    </row>
    <row r="11" spans="2:7" ht="15" customHeight="1" x14ac:dyDescent="0.2">
      <c r="B11" s="197"/>
      <c r="C11" s="197"/>
      <c r="D11" s="198"/>
      <c r="E11" s="198"/>
      <c r="F11" s="198"/>
      <c r="G11" s="196"/>
    </row>
    <row r="12" spans="2:7" ht="15" customHeight="1" x14ac:dyDescent="0.2">
      <c r="B12" s="197"/>
      <c r="C12" s="197"/>
      <c r="D12" s="198"/>
      <c r="E12" s="198"/>
      <c r="F12" s="198"/>
      <c r="G12" s="196"/>
    </row>
    <row r="13" spans="2:7" ht="15" customHeight="1" x14ac:dyDescent="0.2">
      <c r="B13" s="197"/>
      <c r="C13" s="197"/>
      <c r="D13" s="198"/>
      <c r="E13" s="198"/>
      <c r="F13" s="198"/>
      <c r="G13" s="196"/>
    </row>
    <row r="14" spans="2:7" ht="15" customHeight="1" x14ac:dyDescent="0.2">
      <c r="B14" s="197"/>
      <c r="C14" s="197"/>
      <c r="D14" s="198"/>
      <c r="E14" s="198"/>
      <c r="F14" s="198"/>
      <c r="G14" s="196"/>
    </row>
    <row r="15" spans="2:7" ht="15" customHeight="1" x14ac:dyDescent="0.2">
      <c r="B15" s="197"/>
      <c r="C15" s="197"/>
      <c r="D15" s="198"/>
      <c r="E15" s="198"/>
      <c r="F15" s="198"/>
      <c r="G15" s="196"/>
    </row>
    <row r="16" spans="2:7" ht="15" customHeight="1" x14ac:dyDescent="0.2">
      <c r="B16" s="197"/>
      <c r="C16" s="197"/>
      <c r="D16" s="198"/>
      <c r="E16" s="198"/>
      <c r="F16" s="198"/>
      <c r="G16" s="196"/>
    </row>
    <row r="17" spans="2:7" ht="15" customHeight="1" x14ac:dyDescent="0.2">
      <c r="B17" s="197"/>
      <c r="C17" s="197"/>
      <c r="D17" s="198"/>
      <c r="E17" s="198"/>
      <c r="F17" s="198"/>
      <c r="G17" s="196"/>
    </row>
    <row r="18" spans="2:7" ht="15" customHeight="1" x14ac:dyDescent="0.2">
      <c r="B18" s="197"/>
      <c r="C18" s="197"/>
      <c r="D18" s="198"/>
      <c r="E18" s="198"/>
      <c r="F18" s="198"/>
      <c r="G18" s="196"/>
    </row>
    <row r="19" spans="2:7" ht="15" customHeight="1" x14ac:dyDescent="0.2">
      <c r="B19" s="197"/>
      <c r="C19" s="197"/>
      <c r="D19" s="198"/>
      <c r="E19" s="198"/>
      <c r="F19" s="198"/>
      <c r="G19" s="196"/>
    </row>
    <row r="20" spans="2:7" ht="15" customHeight="1" x14ac:dyDescent="0.2">
      <c r="B20" s="197"/>
      <c r="C20" s="197"/>
      <c r="D20" s="198"/>
      <c r="E20" s="198"/>
      <c r="F20" s="198"/>
      <c r="G20" s="196"/>
    </row>
    <row r="21" spans="2:7" ht="15" customHeight="1" x14ac:dyDescent="0.2">
      <c r="B21" s="197"/>
      <c r="C21" s="197"/>
      <c r="D21" s="198"/>
      <c r="E21" s="198"/>
      <c r="F21" s="198"/>
      <c r="G21" s="196"/>
    </row>
    <row r="22" spans="2:7" ht="15" customHeight="1" x14ac:dyDescent="0.2">
      <c r="B22" s="197"/>
      <c r="C22" s="197"/>
      <c r="D22" s="198"/>
      <c r="E22" s="198"/>
      <c r="F22" s="198"/>
      <c r="G22" s="196"/>
    </row>
    <row r="23" spans="2:7" ht="15" customHeight="1" x14ac:dyDescent="0.2">
      <c r="B23" s="197"/>
      <c r="C23" s="197"/>
      <c r="D23" s="198"/>
      <c r="E23" s="198"/>
      <c r="F23" s="198"/>
      <c r="G23" s="196"/>
    </row>
    <row r="24" spans="2:7" ht="15" customHeight="1" x14ac:dyDescent="0.2">
      <c r="B24" s="197"/>
      <c r="C24" s="197"/>
      <c r="D24" s="198"/>
      <c r="E24" s="198"/>
      <c r="F24" s="198"/>
      <c r="G24" s="196"/>
    </row>
    <row r="25" spans="2:7" ht="15" customHeight="1" x14ac:dyDescent="0.2">
      <c r="B25" s="197"/>
      <c r="C25" s="197"/>
      <c r="D25" s="198"/>
      <c r="E25" s="198"/>
      <c r="F25" s="198"/>
      <c r="G25" s="196"/>
    </row>
    <row r="26" spans="2:7" ht="15" customHeight="1" x14ac:dyDescent="0.2">
      <c r="B26" s="88"/>
      <c r="C26" s="199" t="s">
        <v>92</v>
      </c>
      <c r="D26" s="200">
        <f>SUM(D8:D25)</f>
        <v>17500</v>
      </c>
      <c r="E26" s="200">
        <f>SUM(E8:E25)</f>
        <v>18500</v>
      </c>
      <c r="F26" s="200">
        <f>SUM(F8:F25)</f>
        <v>9000</v>
      </c>
      <c r="G26" s="201"/>
    </row>
    <row r="27" spans="2:7" ht="15" customHeight="1" x14ac:dyDescent="0.2">
      <c r="B27" s="88"/>
      <c r="C27" s="202" t="s">
        <v>265</v>
      </c>
      <c r="D27" s="144"/>
      <c r="E27" s="203"/>
      <c r="F27" s="203"/>
      <c r="G27" s="201"/>
    </row>
    <row r="28" spans="2:7" ht="15" customHeight="1" x14ac:dyDescent="0.2">
      <c r="B28" s="88"/>
      <c r="C28" s="199" t="s">
        <v>266</v>
      </c>
      <c r="D28" s="200">
        <f>D26</f>
        <v>17500</v>
      </c>
      <c r="E28" s="200">
        <f>SUM(E26-E27)</f>
        <v>18500</v>
      </c>
      <c r="F28" s="200">
        <f>SUM(F26-F27)</f>
        <v>9000</v>
      </c>
      <c r="G28" s="201"/>
    </row>
    <row r="29" spans="2:7" ht="15" customHeight="1" x14ac:dyDescent="0.2">
      <c r="B29" s="88"/>
      <c r="C29" s="88"/>
      <c r="D29" s="88"/>
      <c r="E29" s="88"/>
      <c r="F29" s="88"/>
      <c r="G29" s="88"/>
    </row>
    <row r="30" spans="2:7" ht="15" customHeight="1" x14ac:dyDescent="0.2">
      <c r="B30" s="88"/>
      <c r="C30" s="88"/>
      <c r="D30" s="88"/>
      <c r="E30" s="88"/>
      <c r="F30" s="88"/>
      <c r="G30" s="88"/>
    </row>
    <row r="31" spans="2:7" ht="15" customHeight="1" x14ac:dyDescent="0.2">
      <c r="B31" s="349" t="s">
        <v>613</v>
      </c>
      <c r="C31" s="350" t="str">
        <f>CONCATENATE("Adjustments are required only if the transfer is being made in ",E7," and/or ",F7," from a non-budgeted fund.")</f>
        <v>Adjustments are required only if the transfer is being made in 2014 and/or 2015 from a non-budgeted fund.</v>
      </c>
      <c r="D31" s="88"/>
      <c r="E31" s="88"/>
      <c r="F31" s="88"/>
      <c r="G31" s="88"/>
    </row>
    <row r="32" spans="2:7" ht="15" customHeight="1" x14ac:dyDescent="0.2"/>
  </sheetData>
  <mergeCells count="1">
    <mergeCell ref="B3:G3"/>
  </mergeCells>
  <phoneticPr fontId="9" type="noConversion"/>
  <pageMargins left="0.75" right="0.75" top="1" bottom="1" header="0.5" footer="0.5"/>
  <pageSetup orientation="landscape" blackAndWhite="1" r:id="rId1"/>
  <headerFooter alignWithMargins="0">
    <oddHeader>&amp;RState of Kansas
City</oddHeader>
    <oddFooter>&amp;CPage No. 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workbookViewId="0">
      <selection activeCell="A16" sqref="A16"/>
    </sheetView>
  </sheetViews>
  <sheetFormatPr defaultRowHeight="15" x14ac:dyDescent="0.2"/>
  <cols>
    <col min="1" max="1" width="70.5546875" style="466" customWidth="1"/>
    <col min="2" max="16384" width="8.88671875" style="466"/>
  </cols>
  <sheetData>
    <row r="1" spans="1:1" ht="18.75" x14ac:dyDescent="0.2">
      <c r="A1" s="467" t="s">
        <v>342</v>
      </c>
    </row>
    <row r="2" spans="1:1" ht="18.75" x14ac:dyDescent="0.2">
      <c r="A2" s="467"/>
    </row>
    <row r="3" spans="1:1" ht="18.75" x14ac:dyDescent="0.2">
      <c r="A3" s="467"/>
    </row>
    <row r="4" spans="1:1" ht="51.75" customHeight="1" x14ac:dyDescent="0.25">
      <c r="A4" s="477" t="s">
        <v>709</v>
      </c>
    </row>
    <row r="5" spans="1:1" ht="18.75" x14ac:dyDescent="0.2">
      <c r="A5" s="467"/>
    </row>
    <row r="6" spans="1:1" ht="15.75" x14ac:dyDescent="0.2">
      <c r="A6" s="468"/>
    </row>
    <row r="7" spans="1:1" ht="47.25" x14ac:dyDescent="0.2">
      <c r="A7" s="469" t="s">
        <v>343</v>
      </c>
    </row>
    <row r="8" spans="1:1" ht="15.75" x14ac:dyDescent="0.2">
      <c r="A8" s="468"/>
    </row>
    <row r="9" spans="1:1" ht="15.75" x14ac:dyDescent="0.2">
      <c r="A9" s="468"/>
    </row>
    <row r="10" spans="1:1" ht="63" x14ac:dyDescent="0.2">
      <c r="A10" s="469" t="s">
        <v>344</v>
      </c>
    </row>
    <row r="11" spans="1:1" ht="15.75" x14ac:dyDescent="0.2">
      <c r="A11" s="470"/>
    </row>
    <row r="12" spans="1:1" ht="15.75" x14ac:dyDescent="0.2">
      <c r="A12" s="468"/>
    </row>
    <row r="13" spans="1:1" ht="47.25" x14ac:dyDescent="0.2">
      <c r="A13" s="469" t="s">
        <v>345</v>
      </c>
    </row>
    <row r="14" spans="1:1" ht="15.75" x14ac:dyDescent="0.2">
      <c r="A14" s="470"/>
    </row>
    <row r="15" spans="1:1" ht="15.75" x14ac:dyDescent="0.2">
      <c r="A15" s="468"/>
    </row>
    <row r="16" spans="1:1" ht="47.25" x14ac:dyDescent="0.2">
      <c r="A16" s="469" t="s">
        <v>346</v>
      </c>
    </row>
    <row r="17" spans="1:1" ht="15.75" x14ac:dyDescent="0.2">
      <c r="A17" s="470"/>
    </row>
    <row r="18" spans="1:1" ht="15.75" x14ac:dyDescent="0.2">
      <c r="A18" s="470"/>
    </row>
    <row r="19" spans="1:1" ht="47.25" x14ac:dyDescent="0.2">
      <c r="A19" s="469" t="s">
        <v>347</v>
      </c>
    </row>
    <row r="20" spans="1:1" ht="15.75" x14ac:dyDescent="0.2">
      <c r="A20" s="470"/>
    </row>
    <row r="21" spans="1:1" ht="15.75" x14ac:dyDescent="0.2">
      <c r="A21" s="470"/>
    </row>
    <row r="22" spans="1:1" ht="47.25" x14ac:dyDescent="0.2">
      <c r="A22" s="469" t="s">
        <v>348</v>
      </c>
    </row>
    <row r="23" spans="1:1" ht="15.75" x14ac:dyDescent="0.2">
      <c r="A23" s="470"/>
    </row>
    <row r="24" spans="1:1" ht="15.75" x14ac:dyDescent="0.2">
      <c r="A24" s="470"/>
    </row>
    <row r="25" spans="1:1" ht="31.5" x14ac:dyDescent="0.2">
      <c r="A25" s="469" t="s">
        <v>349</v>
      </c>
    </row>
    <row r="26" spans="1:1" ht="15.75" x14ac:dyDescent="0.2">
      <c r="A26" s="468"/>
    </row>
    <row r="27" spans="1:1" ht="15.75" x14ac:dyDescent="0.2">
      <c r="A27" s="468"/>
    </row>
    <row r="28" spans="1:1" ht="60" x14ac:dyDescent="0.2">
      <c r="A28" s="471" t="s">
        <v>350</v>
      </c>
    </row>
    <row r="29" spans="1:1" x14ac:dyDescent="0.2">
      <c r="A29" s="472"/>
    </row>
    <row r="30" spans="1:1" x14ac:dyDescent="0.2">
      <c r="A30" s="472"/>
    </row>
    <row r="31" spans="1:1" ht="47.25" x14ac:dyDescent="0.2">
      <c r="A31" s="469" t="s">
        <v>351</v>
      </c>
    </row>
    <row r="32" spans="1:1" ht="15.75" x14ac:dyDescent="0.2">
      <c r="A32" s="468"/>
    </row>
    <row r="33" spans="1:1" ht="15.75" x14ac:dyDescent="0.2">
      <c r="A33" s="468"/>
    </row>
    <row r="34" spans="1:1" ht="66.75" customHeight="1" x14ac:dyDescent="0.25">
      <c r="A34" s="476" t="s">
        <v>710</v>
      </c>
    </row>
    <row r="35" spans="1:1" ht="15.75" x14ac:dyDescent="0.2">
      <c r="A35" s="468"/>
    </row>
    <row r="36" spans="1:1" ht="15.75" x14ac:dyDescent="0.2">
      <c r="A36" s="468"/>
    </row>
    <row r="37" spans="1:1" ht="63" x14ac:dyDescent="0.2">
      <c r="A37" s="473" t="s">
        <v>352</v>
      </c>
    </row>
    <row r="38" spans="1:1" ht="15.75" x14ac:dyDescent="0.2">
      <c r="A38" s="470"/>
    </row>
    <row r="39" spans="1:1" ht="15.75" x14ac:dyDescent="0.2">
      <c r="A39" s="468"/>
    </row>
    <row r="40" spans="1:1" ht="63" x14ac:dyDescent="0.2">
      <c r="A40" s="469" t="s">
        <v>353</v>
      </c>
    </row>
    <row r="41" spans="1:1" ht="15.75" x14ac:dyDescent="0.2">
      <c r="A41" s="470"/>
    </row>
    <row r="42" spans="1:1" ht="15.75" x14ac:dyDescent="0.2">
      <c r="A42" s="470"/>
    </row>
    <row r="43" spans="1:1" ht="82.5" customHeight="1" x14ac:dyDescent="0.25">
      <c r="A43" s="465" t="s">
        <v>711</v>
      </c>
    </row>
    <row r="44" spans="1:1" ht="15.75" x14ac:dyDescent="0.2">
      <c r="A44" s="470"/>
    </row>
    <row r="45" spans="1:1" ht="15.75" x14ac:dyDescent="0.2">
      <c r="A45" s="470"/>
    </row>
    <row r="46" spans="1:1" ht="69" customHeight="1" x14ac:dyDescent="0.25">
      <c r="A46" s="465" t="s">
        <v>712</v>
      </c>
    </row>
    <row r="47" spans="1:1" ht="15.75" x14ac:dyDescent="0.2">
      <c r="A47" s="470"/>
    </row>
    <row r="48" spans="1:1" ht="15.75" x14ac:dyDescent="0.2">
      <c r="A48" s="470"/>
    </row>
    <row r="49" spans="1:1" ht="69" customHeight="1" x14ac:dyDescent="0.25">
      <c r="A49" s="465" t="s">
        <v>713</v>
      </c>
    </row>
    <row r="50" spans="1:1" ht="15.75" x14ac:dyDescent="0.2">
      <c r="A50" s="470"/>
    </row>
    <row r="51" spans="1:1" ht="15.75" x14ac:dyDescent="0.2">
      <c r="A51" s="470"/>
    </row>
    <row r="52" spans="1:1" ht="53.25" customHeight="1" x14ac:dyDescent="0.25">
      <c r="A52" s="465" t="s">
        <v>771</v>
      </c>
    </row>
    <row r="53" spans="1:1" ht="15.75" x14ac:dyDescent="0.2">
      <c r="A53" s="470"/>
    </row>
    <row r="54" spans="1:1" ht="15.75" x14ac:dyDescent="0.2">
      <c r="A54" s="470"/>
    </row>
    <row r="55" spans="1:1" ht="63" x14ac:dyDescent="0.2">
      <c r="A55" s="469" t="s">
        <v>354</v>
      </c>
    </row>
    <row r="56" spans="1:1" ht="15.75" x14ac:dyDescent="0.2">
      <c r="A56" s="470"/>
    </row>
    <row r="57" spans="1:1" ht="15.75" x14ac:dyDescent="0.2">
      <c r="A57" s="470"/>
    </row>
    <row r="58" spans="1:1" ht="63" x14ac:dyDescent="0.2">
      <c r="A58" s="469" t="s">
        <v>355</v>
      </c>
    </row>
    <row r="59" spans="1:1" ht="15.75" x14ac:dyDescent="0.2">
      <c r="A59" s="470"/>
    </row>
    <row r="60" spans="1:1" ht="15.75" x14ac:dyDescent="0.2">
      <c r="A60" s="470"/>
    </row>
    <row r="61" spans="1:1" ht="47.25" x14ac:dyDescent="0.2">
      <c r="A61" s="469" t="s">
        <v>356</v>
      </c>
    </row>
    <row r="62" spans="1:1" ht="15.75" x14ac:dyDescent="0.2">
      <c r="A62" s="470"/>
    </row>
    <row r="63" spans="1:1" ht="15.75" x14ac:dyDescent="0.2">
      <c r="A63" s="470"/>
    </row>
    <row r="64" spans="1:1" ht="47.25" x14ac:dyDescent="0.2">
      <c r="A64" s="469" t="s">
        <v>357</v>
      </c>
    </row>
    <row r="65" spans="1:1" ht="15.75" x14ac:dyDescent="0.2">
      <c r="A65" s="470"/>
    </row>
    <row r="66" spans="1:1" ht="15.75" x14ac:dyDescent="0.2">
      <c r="A66" s="470"/>
    </row>
    <row r="67" spans="1:1" ht="78.75" x14ac:dyDescent="0.2">
      <c r="A67" s="469" t="s">
        <v>358</v>
      </c>
    </row>
    <row r="68" spans="1:1" x14ac:dyDescent="0.2">
      <c r="A68" s="474"/>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33</vt:i4>
      </vt:variant>
      <vt:variant>
        <vt:lpstr>Named Ranges</vt:lpstr>
      </vt:variant>
      <vt:variant>
        <vt:i4>6</vt:i4>
      </vt:variant>
    </vt:vector>
  </HeadingPairs>
  <TitlesOfParts>
    <vt:vector size="39" baseType="lpstr">
      <vt:lpstr>Instructions</vt:lpstr>
      <vt:lpstr>inputPrYr</vt:lpstr>
      <vt:lpstr>inputOth</vt:lpstr>
      <vt:lpstr>inputBudSum</vt:lpstr>
      <vt:lpstr>cert</vt:lpstr>
      <vt:lpstr>computation</vt:lpstr>
      <vt:lpstr>mvalloc</vt:lpstr>
      <vt:lpstr>transfers</vt:lpstr>
      <vt:lpstr>TransferStatutes</vt:lpstr>
      <vt:lpstr>debt</vt:lpstr>
      <vt:lpstr>lpform</vt:lpstr>
      <vt:lpstr>Library Grant</vt:lpstr>
      <vt:lpstr>general</vt:lpstr>
      <vt:lpstr>GenDetail</vt:lpstr>
      <vt:lpstr>DebtSvs-library</vt:lpstr>
      <vt:lpstr>Sp Hiway</vt:lpstr>
      <vt:lpstr>Ambul-Water</vt:lpstr>
      <vt:lpstr>Sewer</vt:lpstr>
      <vt:lpstr>no levy page17</vt:lpstr>
      <vt:lpstr>Capital Improv</vt:lpstr>
      <vt:lpstr>NonBudFunds</vt:lpstr>
      <vt:lpstr>summ</vt:lpstr>
      <vt:lpstr>nhood</vt:lpstr>
      <vt:lpstr>Pub. Notice Option 1</vt:lpstr>
      <vt:lpstr>Pub. Notice Option 2</vt:lpstr>
      <vt:lpstr>Tab A</vt:lpstr>
      <vt:lpstr>Tab B</vt:lpstr>
      <vt:lpstr>Tab C</vt:lpstr>
      <vt:lpstr>Tab D</vt:lpstr>
      <vt:lpstr>Tab E</vt:lpstr>
      <vt:lpstr>Mill Rate Computation</vt:lpstr>
      <vt:lpstr>Helpful Links</vt:lpstr>
      <vt:lpstr>legend</vt:lpstr>
      <vt:lpstr>'DebtSvs-library'!Print_Area</vt:lpstr>
      <vt:lpstr>general!Print_Area</vt:lpstr>
      <vt:lpstr>inputPrYr!Print_Area</vt:lpstr>
      <vt:lpstr>'Library Grant'!Print_Area</vt:lpstr>
      <vt:lpstr>lpform!Print_Area</vt:lpstr>
      <vt:lpstr>summ!Print_Area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City Budget Form - Short</dc:title>
  <dc:creator>Barbara Butts</dc:creator>
  <cp:lastModifiedBy>Rbasinge</cp:lastModifiedBy>
  <cp:lastPrinted>2014-05-08T20:51:39Z</cp:lastPrinted>
  <dcterms:created xsi:type="dcterms:W3CDTF">1999-08-03T13:11:47Z</dcterms:created>
  <dcterms:modified xsi:type="dcterms:W3CDTF">2015-01-01T17:49:04Z</dcterms:modified>
</cp:coreProperties>
</file>