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7545"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SpecHwy-Sewer" sheetId="12" r:id="rId12"/>
    <sheet name="ParkRec" sheetId="13" r:id="rId13"/>
    <sheet name="Reserves" sheetId="14" r:id="rId14"/>
    <sheet name="summ" sheetId="15" r:id="rId15"/>
    <sheet name="Pub Notice OPtion 1" sheetId="16" r:id="rId16"/>
    <sheet name="Pub Notice Option 2" sheetId="17" r:id="rId17"/>
    <sheet name="Nhood" sheetId="18" r:id="rId18"/>
    <sheet name="ordinance" sheetId="19" state="hidden" r:id="rId19"/>
    <sheet name="Tab A" sheetId="20" r:id="rId20"/>
    <sheet name="Tab B" sheetId="21" r:id="rId21"/>
    <sheet name="Tab C" sheetId="22" r:id="rId22"/>
    <sheet name="Tab D" sheetId="23" r:id="rId23"/>
    <sheet name="Tab E" sheetId="24" r:id="rId24"/>
    <sheet name="Mill Rate Computation" sheetId="25" r:id="rId25"/>
    <sheet name="TransferStatutes" sheetId="26" r:id="rId26"/>
    <sheet name="NonBudFunds" sheetId="27" r:id="rId27"/>
    <sheet name="Library Grant" sheetId="28" r:id="rId28"/>
    <sheet name="general-detail" sheetId="29" r:id="rId29"/>
    <sheet name="DebtSvs-Library" sheetId="30" r:id="rId30"/>
    <sheet name="levy page9" sheetId="31" r:id="rId31"/>
    <sheet name="levy page10" sheetId="32" r:id="rId32"/>
    <sheet name="no levy page13" sheetId="33" r:id="rId33"/>
    <sheet name="Sinnolevy14" sheetId="34" r:id="rId34"/>
    <sheet name="Helpful Links" sheetId="35" r:id="rId35"/>
    <sheet name="Legend" sheetId="36" r:id="rId36"/>
  </sheets>
  <definedNames>
    <definedName name="_xlnm.Print_Area" localSheetId="29">'DebtSvs-Library'!$B$1:$F$83</definedName>
    <definedName name="_xlnm.Print_Area" localSheetId="10">'general'!$B$1:$E$66</definedName>
    <definedName name="_xlnm.Print_Area" localSheetId="1">'inputPrYr'!$A$1:$E$58</definedName>
    <definedName name="_xlnm.Print_Area" localSheetId="31">'levy page10'!$A$1:$F$83</definedName>
    <definedName name="_xlnm.Print_Area" localSheetId="30">'levy page9'!$A$1:$F$83</definedName>
    <definedName name="_xlnm.Print_Area" localSheetId="27">'Library Grant'!$A$1:$J$40</definedName>
    <definedName name="_xlnm.Print_Area" localSheetId="9">'lpform'!$B$1:$I$22</definedName>
    <definedName name="_xlnm.Print_Area" localSheetId="24">'Mill Rate Computation'!$B$4:$K$150</definedName>
    <definedName name="_xlnm.Print_Area" localSheetId="14">'summ'!$A$1:$H$38</definedName>
  </definedNames>
  <calcPr fullCalcOnLoad="1"/>
</workbook>
</file>

<file path=xl/sharedStrings.xml><?xml version="1.0" encoding="utf-8"?>
<sst xmlns="http://schemas.openxmlformats.org/spreadsheetml/2006/main" count="1705" uniqueCount="1062">
  <si>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</si>
  <si>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</si>
  <si>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</si>
  <si>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</si>
  <si>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</si>
  <si>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</si>
  <si>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</si>
  <si>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</si>
  <si>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</si>
  <si>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</si>
  <si>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</si>
  <si>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</si>
  <si>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</si>
  <si>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</si>
  <si>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</si>
  <si>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</si>
  <si>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</si>
  <si>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</si>
  <si>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</si>
  <si>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</si>
  <si>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</si>
  <si>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</si>
  <si>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</si>
  <si>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</si>
  <si>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</si>
  <si>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</si>
  <si>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</si>
  <si>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</si>
  <si>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</si>
  <si>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</si>
  <si>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</si>
  <si>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</si>
  <si>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</si>
  <si>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</si>
  <si>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</si>
  <si>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</si>
  <si>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</si>
  <si>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</si>
  <si>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</si>
  <si>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</si>
  <si>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</si>
  <si>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</si>
  <si>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</si>
  <si>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</si>
  <si>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</si>
  <si>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</si>
  <si>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</si>
  <si>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</si>
  <si>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</si>
  <si>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</si>
  <si>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</si>
  <si>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</si>
  <si>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</si>
  <si>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</si>
  <si>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</si>
  <si>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</si>
  <si>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</si>
  <si>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</si>
  <si>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</si>
  <si>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</si>
  <si>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</si>
  <si>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</si>
  <si>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</si>
  <si>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</si>
  <si>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</si>
  <si>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</si>
  <si>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</si>
  <si>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</si>
  <si>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</si>
  <si>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</si>
  <si>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</si>
  <si>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</si>
  <si>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</si>
  <si>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</si>
  <si>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</si>
  <si>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</si>
  <si>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</si>
  <si>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</si>
  <si>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</si>
  <si>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</si>
  <si>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</si>
  <si>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</si>
  <si>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</si>
  <si>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</si>
  <si>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</si>
  <si>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</si>
  <si>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</si>
  <si>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</si>
  <si>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</si>
  <si>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</si>
  <si>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</si>
  <si>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</si>
  <si>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</si>
  <si>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</si>
  <si>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</si>
  <si>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</si>
  <si>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</si>
  <si>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</si>
  <si>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</si>
  <si>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</si>
  <si>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</si>
  <si>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</si>
  <si>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</si>
  <si>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</si>
  <si>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</si>
  <si>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</si>
  <si>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</si>
  <si>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</si>
  <si>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</si>
  <si>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</si>
  <si>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</si>
  <si>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</si>
  <si>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</si>
  <si>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</si>
  <si>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</si>
  <si>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</si>
  <si>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</si>
  <si>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</si>
  <si>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</si>
  <si>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</si>
  <si>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</si>
  <si>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</si>
  <si>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</si>
  <si>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</si>
  <si>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</si>
  <si>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</si>
  <si>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</si>
  <si>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</si>
  <si>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</si>
  <si>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</si>
  <si>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</si>
  <si>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</si>
  <si>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</si>
  <si>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</si>
  <si>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</si>
  <si>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</si>
  <si>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</si>
  <si>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</si>
  <si>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</si>
  <si>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</si>
  <si>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</si>
  <si>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</si>
  <si>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</si>
  <si>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</si>
  <si>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</si>
  <si>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</si>
  <si>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</si>
  <si>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</si>
  <si>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</si>
  <si>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</si>
  <si>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</si>
  <si>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</si>
  <si>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</si>
  <si>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</si>
  <si>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</si>
  <si>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</si>
  <si>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</si>
  <si>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</si>
  <si>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</si>
  <si>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</si>
  <si>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</si>
  <si>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</si>
  <si>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</si>
  <si>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</si>
  <si>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</si>
  <si>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</si>
  <si>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</si>
  <si>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</si>
  <si>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</si>
  <si>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</si>
  <si>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</si>
  <si>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</si>
  <si>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</si>
  <si>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</si>
  <si>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</si>
  <si>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</si>
  <si>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</si>
  <si>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</si>
  <si>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</si>
  <si>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</si>
  <si>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</si>
  <si>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</si>
  <si>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</si>
  <si>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</si>
  <si>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</si>
  <si>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</si>
  <si>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</si>
  <si>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</si>
  <si>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</si>
  <si>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</si>
  <si>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</si>
  <si>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</si>
  <si>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</si>
  <si>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</si>
  <si>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</si>
  <si>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</si>
  <si>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</si>
  <si>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</si>
  <si>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</si>
  <si>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</si>
  <si>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</si>
  <si>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</si>
  <si>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</si>
  <si>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</si>
  <si>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</si>
  <si>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</si>
  <si>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</si>
  <si>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</si>
  <si>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</si>
  <si>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</si>
  <si>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</si>
  <si>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</si>
  <si>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</si>
  <si>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</si>
  <si>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</si>
  <si>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</si>
  <si>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</si>
  <si>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</si>
  <si>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</si>
  <si>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</si>
  <si>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</si>
  <si>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</si>
  <si>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</si>
  <si>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</si>
  <si>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</si>
  <si>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</si>
  <si>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</si>
  <si>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</si>
  <si>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</si>
  <si>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</si>
  <si>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</si>
  <si>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</si>
  <si>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</si>
  <si>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</si>
  <si>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</si>
  <si>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</si>
  <si>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</si>
  <si>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</si>
  <si>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</si>
  <si>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</si>
  <si>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</si>
  <si>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</si>
  <si>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</si>
  <si>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</si>
  <si>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</si>
  <si>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</si>
  <si>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</si>
  <si>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</si>
  <si>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</si>
  <si>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</si>
  <si>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</si>
  <si>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</si>
  <si>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</si>
  <si>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</si>
  <si>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</si>
  <si>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</si>
  <si>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</si>
  <si>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</si>
  <si>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</si>
  <si>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</si>
  <si>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</si>
  <si>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</si>
  <si>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</si>
  <si>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</si>
  <si>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</si>
  <si>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</si>
  <si>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</si>
  <si>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</si>
  <si>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</si>
  <si>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</si>
  <si>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</si>
  <si>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</si>
  <si>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</si>
  <si>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</si>
  <si>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</si>
  <si>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</si>
  <si>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</si>
  <si>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</si>
  <si>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</si>
  <si>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</si>
  <si>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</si>
  <si>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</si>
  <si>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</si>
  <si>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</si>
  <si>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</si>
  <si>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</si>
  <si>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</si>
  <si>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</si>
  <si>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</si>
  <si>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</si>
  <si>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</si>
  <si>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</si>
  <si>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</si>
  <si>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</si>
  <si>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</si>
  <si>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</si>
  <si>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</si>
  <si>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</si>
  <si>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</si>
  <si>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</si>
  <si>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</si>
  <si>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</si>
  <si>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</si>
  <si>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</si>
  <si>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</si>
  <si>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</si>
  <si>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</si>
  <si>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</si>
  <si>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</si>
  <si>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</si>
  <si>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</si>
  <si>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</si>
  <si>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</si>
  <si>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</si>
  <si>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</si>
  <si>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</si>
  <si>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</si>
  <si>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</si>
  <si>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</si>
  <si>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</si>
  <si>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</si>
  <si>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</si>
  <si>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</si>
  <si>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</si>
  <si>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</si>
  <si>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</si>
  <si>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</si>
  <si>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</si>
  <si>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</si>
  <si>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</si>
  <si>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</si>
  <si>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</si>
  <si>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</si>
  <si>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</si>
  <si>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</si>
  <si>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</si>
  <si>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</si>
  <si>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</si>
  <si>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</si>
  <si>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</si>
  <si>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</si>
  <si>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</si>
  <si>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</si>
  <si>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</si>
  <si>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</si>
  <si>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</si>
  <si>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</si>
  <si>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</si>
  <si>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</si>
  <si>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</si>
  <si>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</si>
  <si>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</si>
  <si>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</si>
  <si>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</si>
  <si>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</si>
  <si>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</si>
  <si>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</si>
  <si>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</si>
  <si>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</si>
  <si>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</si>
  <si>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</si>
  <si>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</si>
  <si>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</si>
  <si>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</si>
  <si>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</si>
  <si>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</si>
  <si>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</si>
  <si>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</si>
  <si>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</si>
  <si>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</si>
  <si>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</si>
  <si>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</si>
  <si>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</si>
  <si>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</si>
  <si>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</si>
  <si>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</si>
  <si>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</si>
  <si>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</si>
  <si>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</si>
  <si>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</si>
  <si>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</si>
  <si>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</si>
  <si>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</si>
  <si>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</si>
  <si>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</si>
  <si>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</si>
  <si>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</si>
  <si>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</si>
  <si>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</si>
  <si>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</si>
  <si>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</si>
  <si>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</si>
  <si>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</si>
  <si>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</si>
  <si>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</si>
  <si>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</si>
  <si>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</si>
  <si>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</si>
  <si>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</si>
  <si>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</si>
  <si>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</si>
  <si>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</si>
  <si>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</si>
  <si>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</si>
  <si>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</si>
  <si>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</si>
  <si>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</si>
  <si>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</si>
  <si>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</si>
  <si>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</si>
  <si>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</si>
  <si>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</si>
  <si>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</si>
  <si>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</si>
  <si>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</si>
  <si>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</si>
  <si>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</si>
  <si>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</si>
  <si>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</si>
  <si>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</si>
  <si>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</si>
  <si>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</si>
  <si>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</si>
  <si>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</si>
  <si>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</si>
  <si>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</si>
  <si>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</si>
  <si>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</si>
  <si>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</si>
  <si>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</si>
  <si>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</si>
  <si>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</si>
  <si>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</si>
  <si>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</si>
  <si>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</si>
  <si>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</si>
  <si>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</si>
  <si>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</si>
  <si>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</si>
  <si>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</si>
  <si>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</si>
  <si>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</si>
  <si>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</si>
  <si>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</si>
  <si>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</si>
  <si>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</si>
  <si>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</si>
  <si>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</si>
  <si>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</si>
  <si>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</si>
  <si>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</si>
  <si>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</si>
  <si>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</si>
  <si>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</si>
  <si>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</si>
  <si>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</si>
  <si>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</si>
  <si>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</si>
  <si>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</si>
  <si>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</si>
  <si>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</si>
  <si>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</si>
  <si>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</si>
  <si>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</si>
  <si>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</si>
  <si>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</si>
  <si>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</si>
  <si>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</si>
  <si>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</si>
  <si>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</si>
  <si>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</si>
  <si>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</si>
  <si>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</si>
  <si>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</si>
  <si>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</si>
  <si>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</si>
  <si>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</si>
  <si>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</si>
  <si>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</si>
  <si>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</si>
  <si>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</si>
  <si>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</si>
  <si>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</si>
  <si>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</si>
  <si>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</si>
  <si>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</si>
  <si>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</si>
  <si>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</si>
  <si>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</si>
  <si>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</si>
  <si>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</si>
  <si>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</si>
  <si>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</si>
  <si>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</si>
  <si>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</si>
  <si>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</si>
  <si>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</si>
  <si>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</si>
  <si>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</si>
  <si>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</si>
  <si>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</si>
  <si>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</si>
  <si>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</si>
  <si>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</si>
  <si>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</si>
  <si>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</si>
  <si>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</si>
  <si>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</si>
  <si>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</si>
  <si>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</si>
  <si>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</si>
  <si>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</si>
  <si>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</si>
  <si>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</si>
  <si>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</si>
  <si>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</si>
  <si>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</si>
  <si>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</si>
  <si>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</si>
  <si>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</si>
  <si>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</si>
  <si>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</si>
  <si>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</si>
  <si>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</si>
  <si>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</si>
  <si>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</si>
  <si>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</si>
  <si>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</si>
  <si>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</si>
  <si>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</si>
  <si>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</si>
  <si>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</si>
  <si>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</si>
  <si>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</si>
  <si>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</si>
  <si>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</si>
  <si>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</si>
  <si>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</si>
  <si>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</si>
  <si>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</si>
  <si>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</si>
  <si>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</si>
  <si>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</si>
  <si>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</si>
  <si>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</si>
  <si>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</si>
  <si>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</si>
  <si>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</si>
  <si>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</si>
  <si>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</si>
  <si>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</si>
  <si>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</si>
  <si>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</si>
  <si>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</si>
  <si>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</si>
  <si>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</si>
  <si>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</si>
  <si>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</si>
  <si>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</si>
  <si>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</si>
  <si>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</si>
  <si>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</si>
  <si>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</si>
  <si>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</si>
  <si>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</si>
  <si>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</si>
  <si>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</si>
  <si>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</si>
  <si>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</si>
  <si>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</si>
  <si>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</si>
  <si>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</si>
  <si>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</si>
  <si>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</si>
  <si>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</si>
  <si>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</si>
  <si>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</si>
  <si>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</si>
  <si>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</si>
  <si>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</si>
  <si>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</si>
  <si>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</si>
  <si>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</si>
  <si>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</si>
  <si>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</si>
  <si>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</si>
  <si>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</si>
  <si>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</si>
  <si>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</si>
  <si>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</si>
  <si>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</si>
  <si>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</si>
  <si>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</si>
  <si>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</si>
  <si>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</si>
  <si>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</si>
  <si>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</si>
  <si>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</si>
  <si>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</si>
  <si>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</si>
  <si>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</si>
  <si>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</si>
  <si>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</si>
  <si>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</si>
  <si>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</si>
  <si>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</si>
  <si>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</si>
  <si>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</si>
  <si>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</si>
  <si>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</si>
  <si>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</si>
  <si>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</si>
  <si>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</si>
  <si>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</si>
  <si>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</si>
  <si>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</si>
  <si>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</si>
  <si>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</si>
  <si>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</si>
  <si>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</si>
  <si>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</si>
  <si>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</si>
  <si>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</si>
  <si>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</si>
  <si>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</si>
  <si>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</si>
  <si>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</si>
  <si>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</si>
  <si>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</si>
  <si>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</si>
  <si>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</si>
  <si>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</si>
  <si>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</si>
  <si>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</si>
  <si>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</si>
  <si>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</si>
  <si>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</si>
  <si>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</si>
  <si>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</si>
  <si>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</si>
  <si>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</si>
  <si>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</si>
  <si>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</si>
  <si>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</si>
  <si>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</si>
  <si>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</si>
  <si>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</si>
  <si>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</si>
  <si>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</si>
  <si>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</si>
  <si>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</si>
  <si>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</si>
  <si>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</si>
  <si>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</si>
  <si>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</si>
  <si>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</si>
  <si>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</si>
  <si>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</si>
  <si>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</si>
  <si>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</si>
  <si>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</si>
  <si>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</si>
  <si>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</si>
  <si>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</si>
  <si>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</si>
  <si>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</si>
  <si>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</si>
  <si>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</si>
  <si>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</si>
  <si>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</si>
  <si>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</si>
  <si>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</si>
  <si>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</si>
  <si>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</si>
  <si>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</si>
  <si>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</si>
  <si>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</si>
  <si>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</si>
  <si>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</si>
  <si>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</si>
  <si>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</si>
  <si>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</si>
  <si>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</si>
  <si>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</si>
  <si>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</si>
  <si>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</si>
  <si>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</si>
  <si>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</si>
  <si>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</si>
  <si>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</si>
  <si>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</si>
  <si>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</si>
  <si>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</si>
  <si>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</si>
  <si>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</si>
  <si>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</si>
  <si>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</si>
  <si>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</si>
  <si>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</si>
  <si>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</si>
  <si>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</si>
  <si>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</si>
  <si>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</si>
  <si>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</si>
  <si>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</si>
  <si>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</si>
  <si>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</si>
  <si>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</si>
  <si>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</si>
  <si>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</si>
  <si>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</si>
  <si>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</si>
  <si>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</si>
  <si>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</si>
  <si>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</si>
  <si>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</si>
  <si>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</si>
  <si>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</si>
  <si>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</si>
  <si>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</si>
  <si>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</si>
  <si>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</si>
  <si>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</si>
  <si>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</si>
  <si>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</si>
  <si>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</si>
  <si>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</si>
  <si>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</si>
  <si>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</si>
  <si>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</si>
  <si>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</si>
  <si>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</si>
  <si>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</si>
  <si>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</si>
  <si>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</si>
  <si>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</si>
  <si>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</si>
  <si>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</si>
  <si>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</si>
  <si>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</si>
  <si>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</si>
  <si>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</si>
  <si>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</si>
  <si>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</si>
  <si>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</si>
  <si>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</si>
  <si>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</si>
  <si>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</si>
  <si>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</si>
  <si>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</si>
  <si>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</si>
  <si>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</si>
  <si>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</si>
  <si>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</si>
  <si>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</si>
  <si>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</si>
  <si>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</si>
  <si>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</si>
  <si>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</si>
  <si>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</si>
  <si>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</si>
  <si>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</si>
  <si>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</si>
  <si>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</si>
  <si>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</si>
  <si>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</si>
  <si>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</si>
  <si>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</si>
  <si>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</si>
  <si>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</si>
  <si>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</si>
  <si>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</si>
  <si>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</si>
  <si>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</si>
  <si>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</si>
  <si>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</si>
  <si>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</si>
  <si>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</si>
  <si>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</si>
  <si>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</si>
  <si>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</si>
  <si>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</si>
  <si>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</si>
  <si>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</si>
  <si>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</si>
  <si>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</si>
  <si>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</si>
  <si>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</si>
  <si>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</si>
  <si>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</si>
  <si>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</si>
  <si>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</si>
  <si>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</si>
  <si>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</si>
  <si>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</si>
  <si>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</si>
  <si>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</si>
  <si>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</si>
  <si>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</si>
  <si>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</si>
  <si>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</si>
  <si>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</si>
  <si>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</si>
  <si>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</si>
  <si>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</si>
  <si>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</si>
  <si>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</si>
  <si>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</si>
  <si>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</si>
  <si>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</si>
  <si>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</si>
  <si>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</si>
  <si>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</si>
  <si>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</si>
  <si>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</si>
  <si>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</si>
  <si>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</si>
  <si>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</si>
  <si>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</si>
  <si>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</si>
  <si>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</si>
  <si>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</si>
  <si>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</si>
  <si>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</si>
  <si>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</si>
  <si>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</si>
  <si>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</si>
  <si>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</si>
  <si>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</si>
  <si>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</si>
  <si>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</si>
  <si>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</si>
  <si>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</si>
  <si>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</si>
  <si>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</si>
  <si>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</si>
  <si>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</si>
  <si>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</si>
  <si>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</si>
  <si>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</si>
  <si>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</si>
  <si>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</si>
  <si>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</si>
  <si>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</si>
  <si>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</si>
  <si>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</si>
  <si>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</si>
  <si>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</si>
  <si>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</si>
  <si>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</si>
  <si>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</si>
  <si>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</si>
  <si>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</si>
  <si>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</si>
  <si>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</si>
  <si>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</si>
  <si>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</si>
  <si>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</si>
  <si>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</si>
  <si>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</si>
  <si>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</si>
  <si>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</si>
  <si>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</si>
  <si>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</si>
  <si>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</si>
  <si>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</si>
  <si>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</si>
  <si>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</si>
  <si>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</si>
  <si>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</si>
  <si>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</si>
  <si>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</si>
  <si>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</si>
  <si>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</si>
  <si>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</si>
  <si>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</si>
  <si>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</si>
  <si>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</si>
  <si>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</si>
  <si>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</si>
  <si>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</si>
  <si>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</si>
  <si>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</si>
  <si>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</si>
  <si>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</si>
  <si>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</si>
  <si>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</si>
  <si>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</si>
  <si>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</si>
  <si>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</si>
  <si>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</si>
  <si>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</si>
  <si>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</si>
  <si>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</si>
  <si>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</si>
  <si>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</si>
  <si>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</si>
  <si>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</si>
  <si>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</si>
  <si>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</si>
  <si>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</si>
  <si>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</si>
  <si>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</si>
  <si>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</si>
  <si>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</si>
  <si>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</si>
  <si>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</si>
  <si>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</si>
  <si>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</si>
  <si>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</si>
  <si>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</si>
  <si>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</si>
  <si>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</si>
  <si>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</si>
  <si>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</si>
  <si>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</si>
  <si>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</si>
  <si>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</si>
  <si>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</si>
  <si>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</si>
  <si>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</si>
  <si>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</si>
  <si>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</si>
  <si>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</si>
  <si>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</si>
  <si>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</si>
  <si>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</si>
  <si>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</si>
  <si>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</si>
  <si>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</si>
  <si>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</si>
  <si>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</si>
  <si>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</si>
  <si>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</si>
  <si>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</si>
  <si>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</si>
  <si>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</si>
  <si>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</si>
  <si>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</si>
  <si>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</si>
  <si>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</si>
  <si>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</si>
  <si>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</si>
  <si>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</si>
  <si>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</si>
  <si>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</si>
  <si>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</si>
  <si>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</si>
  <si>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</si>
  <si>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</si>
  <si>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</si>
  <si>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</si>
  <si>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</si>
  <si>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</si>
  <si>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</si>
  <si>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</si>
  <si>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</si>
  <si>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</si>
  <si>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</si>
  <si>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</si>
  <si>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</si>
  <si>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</si>
  <si>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Is an ordinance required?</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</si>
  <si>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</si>
  <si>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</si>
  <si>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</si>
  <si>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</si>
  <si>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</si>
  <si>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</si>
  <si>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The following were changed to this workbook on 4/2/14</t>
  </si>
  <si>
    <t>The following were changed to this workbook on 1/13/14</t>
  </si>
  <si>
    <t>The following were changed to this workbook on 3/21/13</t>
  </si>
  <si>
    <t>The following were changed to this workbook on 1/31/13</t>
  </si>
  <si>
    <t>The following were changed to this workbook on 10/8/12</t>
  </si>
  <si>
    <t>The following were changed to this workbook on 4/10/12</t>
  </si>
  <si>
    <t>The following were changed to this workbook on 3/22/12</t>
  </si>
  <si>
    <t>The following were changed to this workbook on 2/22/12</t>
  </si>
  <si>
    <t>The following were changed to this workbook on 8/16/11</t>
  </si>
  <si>
    <t>The following were changed to this workbook on 6/30/11</t>
  </si>
  <si>
    <t>The following were changed to this workbook on 6/17/11</t>
  </si>
  <si>
    <t>The following were changed to this workbook on 5/26/11</t>
  </si>
  <si>
    <t>The following were changed to this workbook on 5/6/11</t>
  </si>
  <si>
    <t>The following were changed to this workbook on 4/19/11</t>
  </si>
  <si>
    <t>The following were changed to this workbook on 3/16/11</t>
  </si>
  <si>
    <t>The following were changed to this workbook on 8/20/10</t>
  </si>
  <si>
    <t>The following were changed to this workbook on 1/05/10</t>
  </si>
  <si>
    <t>The following were changed to this workbook on 12/28/09</t>
  </si>
  <si>
    <t>The following were changed to this workbook on 12/08/09</t>
  </si>
  <si>
    <t>The following were changed to this workbook on 10/2/09</t>
  </si>
  <si>
    <t>The following were changed to this workbook on 7/16/09</t>
  </si>
  <si>
    <t>The following were changed to this workbook on 4/24/09</t>
  </si>
  <si>
    <t>16.</t>
  </si>
  <si>
    <t>Consumer Price Index Adjustment per HB2047</t>
  </si>
  <si>
    <t>Maximum Tax Levy, excluding debt service (3 plus 12)</t>
  </si>
  <si>
    <t>Maximum levy, including debt service, without an Notice of Vote (13 plus 14 plus 15)</t>
  </si>
  <si>
    <t xml:space="preserve">adopt a Notice of Vote to exceed this limit, publish the Notice of Vote, and </t>
  </si>
  <si>
    <t>provide the County Clerk with a copy of the published Notice of Vote to this budget.</t>
  </si>
  <si>
    <t>Is a Notice of Vote required  to be passed, published, and attached to the budget?</t>
  </si>
  <si>
    <t>Carolyn Brock</t>
  </si>
  <si>
    <t>612 SW Terrace Ave</t>
  </si>
  <si>
    <t>Topeka, KS 66611-1212</t>
  </si>
  <si>
    <t>brockck@sbcglobal.net</t>
  </si>
  <si>
    <t>Brown County</t>
  </si>
  <si>
    <t>City of Fairview</t>
  </si>
  <si>
    <t>Capital Improvements</t>
  </si>
  <si>
    <t>Special Projects</t>
  </si>
  <si>
    <t>Sewer</t>
  </si>
  <si>
    <t>Special Parks &amp; Recreation</t>
  </si>
  <si>
    <t>Nov</t>
  </si>
  <si>
    <t>None</t>
  </si>
  <si>
    <t>Interest on CDs</t>
  </si>
  <si>
    <t>General Administration</t>
  </si>
  <si>
    <t>Street Lights</t>
  </si>
  <si>
    <t>Water</t>
  </si>
  <si>
    <t>Trash</t>
  </si>
  <si>
    <t>Fire Department-Walnut Township</t>
  </si>
  <si>
    <t>Fire Station-Land/Building</t>
  </si>
  <si>
    <t>Brown County Sheriff Dept</t>
  </si>
  <si>
    <t>Parks</t>
  </si>
  <si>
    <t>Liability Insurance</t>
  </si>
  <si>
    <t>City-Wide Improvements</t>
  </si>
  <si>
    <t>Capital Outlay</t>
  </si>
  <si>
    <t>Animal Control</t>
  </si>
  <si>
    <t>Legal Fees</t>
  </si>
  <si>
    <t>Street Maintenance</t>
  </si>
  <si>
    <t>Snow Removal</t>
  </si>
  <si>
    <t>Equipment</t>
  </si>
  <si>
    <t>Transfer to Special Highway</t>
  </si>
  <si>
    <t>Transfer from General</t>
  </si>
  <si>
    <t>Operations</t>
  </si>
  <si>
    <t>Inspection Fees</t>
  </si>
  <si>
    <t>Sewer Repairs</t>
  </si>
  <si>
    <t>Maintenance</t>
  </si>
  <si>
    <t>Consulting Services</t>
  </si>
  <si>
    <t>Loan Payments</t>
  </si>
  <si>
    <t>Capial Improvements</t>
  </si>
  <si>
    <t>Lagoon Update</t>
  </si>
  <si>
    <t>Reserves</t>
  </si>
  <si>
    <t>Alcoholic Liquor Tax</t>
  </si>
  <si>
    <t>Brown County Distribution</t>
  </si>
  <si>
    <t>Donations</t>
  </si>
  <si>
    <t xml:space="preserve">Sample Notice of Vote Publication </t>
  </si>
  <si>
    <t>Sample Notice of Vote Publication</t>
  </si>
  <si>
    <t>Pursuant to K.S.A. 79-2925b, as amended by 2014 House Bill 2047</t>
  </si>
  <si>
    <t>Total Property Tax Levied</t>
  </si>
  <si>
    <t xml:space="preserve">Approved (vote) </t>
  </si>
  <si>
    <t>to</t>
  </si>
  <si>
    <t>Camping Fees</t>
  </si>
  <si>
    <t>Restrooms</t>
  </si>
  <si>
    <t>Bond for Firestation</t>
  </si>
  <si>
    <t>Fire/Emergency Fund</t>
  </si>
  <si>
    <t>Fire Barn Project</t>
  </si>
  <si>
    <t>Bonds</t>
  </si>
  <si>
    <t>Construction</t>
  </si>
  <si>
    <t>Court Fines</t>
  </si>
  <si>
    <t>Telephone--Communications</t>
  </si>
  <si>
    <t>August 7, 2014</t>
  </si>
  <si>
    <t>7:00 PM</t>
  </si>
  <si>
    <t>Fairview Commuinity Center</t>
  </si>
  <si>
    <t>Joe Rettele</t>
  </si>
  <si>
    <t>Mayor</t>
  </si>
  <si>
    <t>12-1,118</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</si>
</sst>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 numFmtId="211" formatCode="[$-409]h:mm:ss\ AM/PM"/>
  </numFmts>
  <fonts count="90">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4"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4" borderId="0" applyNumberFormat="0" applyBorder="0" applyAlignment="0" applyProtection="0"/>
    <xf numFmtId="0" fontId="68" fillId="7"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3" borderId="0" applyNumberFormat="0" applyBorder="0" applyAlignment="0" applyProtection="0"/>
    <xf numFmtId="0" fontId="68" fillId="13"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9" fillId="17" borderId="0" applyNumberFormat="0" applyBorder="0" applyAlignment="0" applyProtection="0"/>
    <xf numFmtId="0" fontId="52" fillId="18" borderId="1" applyNumberFormat="0" applyAlignment="0" applyProtection="0"/>
    <xf numFmtId="0" fontId="70"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3"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4"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91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21"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vertical="center"/>
      <protection/>
    </xf>
    <xf numFmtId="0" fontId="6" fillId="4" borderId="2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21" xfId="0" applyNumberFormat="1" applyFont="1" applyFill="1" applyBorder="1" applyAlignment="1" applyProtection="1">
      <alignment horizontal="left" vertical="center"/>
      <protection/>
    </xf>
    <xf numFmtId="0" fontId="6" fillId="22" borderId="21"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8" fillId="26" borderId="19"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21" xfId="0" applyFont="1" applyFill="1" applyBorder="1" applyAlignment="1" applyProtection="1">
      <alignment vertical="center"/>
      <protection locked="0"/>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9" xfId="0" applyFont="1" applyFill="1" applyBorder="1" applyAlignment="1">
      <alignment vertical="center"/>
    </xf>
    <xf numFmtId="0" fontId="17" fillId="4" borderId="11" xfId="0" applyFont="1" applyFill="1" applyBorder="1" applyAlignment="1">
      <alignment vertical="center"/>
    </xf>
    <xf numFmtId="0" fontId="17" fillId="4" borderId="19"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8" xfId="0" applyNumberFormat="1" applyFont="1" applyFill="1" applyBorder="1" applyAlignment="1" applyProtection="1">
      <alignment horizontal="center"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5" xfId="0" applyNumberFormat="1" applyFont="1" applyFill="1" applyBorder="1" applyAlignment="1" applyProtection="1">
      <alignment horizontal="center" vertical="center"/>
      <protection locked="0"/>
    </xf>
    <xf numFmtId="0" fontId="17" fillId="22" borderId="15"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37" fontId="6" fillId="22" borderId="21" xfId="0" applyNumberFormat="1" applyFont="1" applyFill="1" applyBorder="1" applyAlignment="1" applyProtection="1">
      <alignment horizontal="left" vertical="center"/>
      <protection locked="0"/>
    </xf>
    <xf numFmtId="3" fontId="18" fillId="27" borderId="19"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21"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2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21" xfId="170" applyFont="1" applyFill="1" applyBorder="1" applyProtection="1">
      <alignment/>
      <protection locked="0"/>
    </xf>
    <xf numFmtId="0" fontId="6" fillId="22" borderId="21" xfId="405" applyFont="1" applyFill="1" applyBorder="1" applyProtection="1">
      <alignment/>
      <protection locked="0"/>
    </xf>
    <xf numFmtId="0" fontId="6" fillId="22" borderId="21"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21"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21" xfId="0" applyNumberFormat="1" applyFont="1" applyFill="1" applyBorder="1" applyAlignment="1" applyProtection="1">
      <alignment horizontal="right" vertical="center"/>
      <protection/>
    </xf>
    <xf numFmtId="3" fontId="18" fillId="26" borderId="21"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21" xfId="0" applyNumberFormat="1" applyFont="1" applyFill="1" applyBorder="1" applyAlignment="1" applyProtection="1">
      <alignment horizontal="right" vertical="center"/>
      <protection/>
    </xf>
    <xf numFmtId="3" fontId="6" fillId="22" borderId="21" xfId="0" applyNumberFormat="1" applyFont="1" applyFill="1" applyBorder="1" applyAlignment="1" applyProtection="1">
      <alignment horizontal="right" vertical="center"/>
      <protection locked="0"/>
    </xf>
    <xf numFmtId="3" fontId="6" fillId="4" borderId="2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7"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2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2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21"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21" xfId="0" applyNumberFormat="1" applyFont="1" applyFill="1" applyBorder="1" applyAlignment="1" applyProtection="1">
      <alignment horizontal="right" vertical="center"/>
      <protection locked="0"/>
    </xf>
    <xf numFmtId="3" fontId="18" fillId="27"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37" fontId="6" fillId="22" borderId="21" xfId="0" applyNumberFormat="1" applyFont="1" applyFill="1" applyBorder="1" applyAlignment="1" applyProtection="1">
      <alignment vertical="center"/>
      <protection locked="0"/>
    </xf>
    <xf numFmtId="3" fontId="6" fillId="22" borderId="21" xfId="0" applyNumberFormat="1" applyFont="1" applyFill="1" applyBorder="1" applyAlignment="1" applyProtection="1">
      <alignment vertical="center"/>
      <protection locked="0"/>
    </xf>
    <xf numFmtId="3" fontId="5" fillId="4" borderId="21"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18" fillId="27" borderId="21"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7" fillId="4" borderId="0" xfId="0" applyFont="1" applyFill="1" applyAlignment="1" applyProtection="1">
      <alignment horizontal="center" vertical="center"/>
      <protection/>
    </xf>
    <xf numFmtId="0" fontId="77" fillId="0" borderId="0" xfId="119" applyFont="1" applyAlignment="1" applyProtection="1">
      <alignment vertical="center"/>
      <protection locked="0"/>
    </xf>
    <xf numFmtId="0" fontId="77" fillId="0" borderId="0" xfId="0" applyFont="1" applyAlignment="1" applyProtection="1">
      <alignment horizontal="center" vertical="center"/>
      <protection locked="0"/>
    </xf>
    <xf numFmtId="0" fontId="77" fillId="0" borderId="0" xfId="0" applyFont="1" applyFill="1" applyBorder="1" applyAlignment="1" applyProtection="1">
      <alignment horizontal="center" vertical="center"/>
      <protection locked="0"/>
    </xf>
    <xf numFmtId="3" fontId="77"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7"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2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8"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9" fillId="29" borderId="0" xfId="0" applyFont="1" applyFill="1" applyAlignment="1">
      <alignment/>
    </xf>
    <xf numFmtId="0" fontId="79" fillId="29" borderId="28" xfId="0" applyFont="1" applyFill="1" applyBorder="1" applyAlignment="1">
      <alignment/>
    </xf>
    <xf numFmtId="0" fontId="80" fillId="0" borderId="0" xfId="0" applyFont="1" applyBorder="1" applyAlignment="1">
      <alignment/>
    </xf>
    <xf numFmtId="0" fontId="79" fillId="0" borderId="0" xfId="0" applyFont="1" applyBorder="1" applyAlignment="1">
      <alignment horizontal="centerContinuous"/>
    </xf>
    <xf numFmtId="0" fontId="79"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0"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7"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9"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9" fillId="29" borderId="0" xfId="0" applyFont="1" applyFill="1" applyAlignment="1">
      <alignment horizontal="center" wrapText="1"/>
    </xf>
    <xf numFmtId="0" fontId="79"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0" xfId="0" applyFont="1" applyFill="1" applyBorder="1" applyAlignment="1">
      <alignment horizontal="center"/>
    </xf>
    <xf numFmtId="0" fontId="79" fillId="29" borderId="36" xfId="0" applyFont="1" applyFill="1" applyBorder="1" applyAlignment="1">
      <alignment horizontal="centerContinuous" vertical="center"/>
    </xf>
    <xf numFmtId="197" fontId="79" fillId="29" borderId="0" xfId="0" applyNumberFormat="1" applyFont="1" applyFill="1" applyBorder="1" applyAlignment="1">
      <alignment horizontal="centerContinuous" vertical="center"/>
    </xf>
    <xf numFmtId="0" fontId="79" fillId="29" borderId="0" xfId="0" applyFont="1" applyFill="1" applyBorder="1" applyAlignment="1">
      <alignment horizontal="centerContinuous" vertical="center"/>
    </xf>
    <xf numFmtId="179" fontId="79" fillId="29" borderId="0" xfId="0" applyNumberFormat="1" applyFont="1" applyFill="1" applyBorder="1" applyAlignment="1" applyProtection="1">
      <alignment horizontal="centerContinuous" vertical="center"/>
      <protection locked="0"/>
    </xf>
    <xf numFmtId="200" fontId="79" fillId="29" borderId="0" xfId="0" applyNumberFormat="1" applyFont="1" applyFill="1" applyBorder="1" applyAlignment="1">
      <alignment horizontal="centerContinuous" vertical="center"/>
    </xf>
    <xf numFmtId="0" fontId="79" fillId="29" borderId="32" xfId="0" applyFont="1" applyFill="1" applyBorder="1" applyAlignment="1">
      <alignment horizontal="centerContinuous" vertical="center"/>
    </xf>
    <xf numFmtId="0" fontId="79" fillId="29" borderId="36" xfId="0" applyFont="1" applyFill="1" applyBorder="1" applyAlignment="1">
      <alignment horizontal="centerContinuous"/>
    </xf>
    <xf numFmtId="197" fontId="79" fillId="29" borderId="0" xfId="0" applyNumberFormat="1" applyFont="1" applyFill="1" applyBorder="1" applyAlignment="1">
      <alignment horizontal="centerContinuous"/>
    </xf>
    <xf numFmtId="0" fontId="79" fillId="29" borderId="0" xfId="0" applyFont="1" applyFill="1" applyBorder="1" applyAlignment="1">
      <alignment horizontal="centerContinuous"/>
    </xf>
    <xf numFmtId="179" fontId="79" fillId="29" borderId="0" xfId="0" applyNumberFormat="1" applyFont="1" applyFill="1" applyBorder="1" applyAlignment="1" applyProtection="1">
      <alignment horizontal="centerContinuous"/>
      <protection locked="0"/>
    </xf>
    <xf numFmtId="200" fontId="79" fillId="29" borderId="0" xfId="0" applyNumberFormat="1" applyFont="1" applyFill="1" applyBorder="1" applyAlignment="1">
      <alignment horizontal="centerContinuous"/>
    </xf>
    <xf numFmtId="0" fontId="79"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0" fontId="6" fillId="22" borderId="21" xfId="119" applyFont="1" applyFill="1" applyBorder="1" applyProtection="1">
      <alignment/>
      <protection locked="0"/>
    </xf>
    <xf numFmtId="0" fontId="6" fillId="0" borderId="0" xfId="468" applyFont="1" applyAlignment="1">
      <alignment horizontal="left" vertical="center"/>
      <protection/>
    </xf>
    <xf numFmtId="0" fontId="6" fillId="22" borderId="21" xfId="161" applyFont="1" applyFill="1" applyBorder="1" applyProtection="1">
      <alignment/>
      <protection locked="0"/>
    </xf>
    <xf numFmtId="3" fontId="6" fillId="22" borderId="19"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81" fillId="0" borderId="0" xfId="0" applyFont="1" applyAlignment="1">
      <alignment/>
    </xf>
    <xf numFmtId="0" fontId="82" fillId="0" borderId="0" xfId="468" applyFont="1">
      <alignment/>
      <protection/>
    </xf>
    <xf numFmtId="189" fontId="83" fillId="0" borderId="0" xfId="468" applyNumberFormat="1" applyFont="1" applyAlignment="1">
      <alignment horizontal="left" vertical="center"/>
      <protection/>
    </xf>
    <xf numFmtId="0" fontId="83" fillId="0" borderId="0" xfId="468" applyNumberFormat="1" applyFont="1" applyAlignment="1">
      <alignment horizontal="left" vertical="center"/>
      <protection/>
    </xf>
    <xf numFmtId="1" fontId="83" fillId="0" borderId="0" xfId="468" applyNumberFormat="1" applyFont="1" applyAlignment="1">
      <alignment horizontal="left" vertical="center"/>
      <protection/>
    </xf>
    <xf numFmtId="0" fontId="84"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19"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19" xfId="0" applyFont="1" applyFill="1" applyBorder="1" applyAlignment="1" applyProtection="1">
      <alignment horizontal="center" vertical="center"/>
      <protection/>
    </xf>
    <xf numFmtId="0" fontId="40" fillId="28" borderId="17" xfId="0" applyFont="1" applyFill="1" applyBorder="1" applyAlignment="1" applyProtection="1">
      <alignment vertical="center"/>
      <protection/>
    </xf>
    <xf numFmtId="197" fontId="40"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0"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5" fillId="28" borderId="0" xfId="106" applyFont="1" applyFill="1" applyAlignment="1">
      <alignment vertical="center"/>
      <protection/>
    </xf>
    <xf numFmtId="0" fontId="85" fillId="29" borderId="0" xfId="106" applyFont="1" applyFill="1" applyAlignment="1">
      <alignment horizontal="center" vertical="center"/>
      <protection/>
    </xf>
    <xf numFmtId="0" fontId="85"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5" fillId="29" borderId="0" xfId="106" applyNumberFormat="1" applyFont="1" applyFill="1" applyAlignment="1">
      <alignment horizontal="center" vertical="center"/>
      <protection/>
    </xf>
    <xf numFmtId="0" fontId="86"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right" vertical="center"/>
      <protection/>
    </xf>
    <xf numFmtId="179" fontId="40" fillId="29" borderId="19"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21"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21" xfId="0" applyNumberFormat="1" applyFont="1" applyFill="1" applyBorder="1" applyAlignment="1" applyProtection="1">
      <alignment horizontal="center" vertical="center"/>
      <protection/>
    </xf>
    <xf numFmtId="0" fontId="6" fillId="29" borderId="15"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Continuous" vertical="center"/>
      <protection/>
    </xf>
    <xf numFmtId="37" fontId="6" fillId="4" borderId="21"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7" fontId="6" fillId="28" borderId="18" xfId="0" applyNumberFormat="1" applyFont="1" applyFill="1" applyBorder="1" applyAlignment="1" applyProtection="1">
      <alignment horizontal="right" vertical="center"/>
      <protection/>
    </xf>
    <xf numFmtId="0" fontId="6" fillId="28" borderId="18" xfId="0" applyFont="1" applyFill="1" applyBorder="1" applyAlignment="1" applyProtection="1">
      <alignment/>
      <protection locked="0"/>
    </xf>
    <xf numFmtId="0" fontId="6" fillId="29" borderId="15" xfId="0" applyFont="1" applyFill="1" applyBorder="1" applyAlignment="1" applyProtection="1">
      <alignment vertical="center"/>
      <protection locked="0"/>
    </xf>
    <xf numFmtId="0" fontId="4" fillId="4" borderId="15"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7" fillId="21" borderId="0" xfId="422" applyFill="1">
      <alignment/>
      <protection/>
    </xf>
    <xf numFmtId="0" fontId="6" fillId="0" borderId="0" xfId="180" applyFont="1" applyAlignment="1">
      <alignment vertical="center"/>
      <protection/>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0" fontId="88"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0" fontId="40" fillId="29" borderId="21"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5" fillId="4" borderId="0" xfId="0" applyNumberFormat="1" applyFont="1" applyFill="1" applyBorder="1" applyAlignment="1" applyProtection="1">
      <alignment horizontal="center" vertical="center"/>
      <protection/>
    </xf>
    <xf numFmtId="49" fontId="6" fillId="22" borderId="21" xfId="467" applyNumberFormat="1" applyFont="1" applyFill="1" applyBorder="1" applyAlignment="1" applyProtection="1">
      <alignment horizontal="left" vertical="center"/>
      <protection locked="0"/>
    </xf>
    <xf numFmtId="49" fontId="6" fillId="22" borderId="19" xfId="468" applyNumberFormat="1" applyFont="1" applyFill="1" applyBorder="1" applyAlignment="1" applyProtection="1">
      <alignment horizontal="left" vertical="center"/>
      <protection locked="0"/>
    </xf>
    <xf numFmtId="49" fontId="6" fillId="22" borderId="10" xfId="467" applyNumberFormat="1" applyFont="1" applyFill="1" applyBorder="1" applyAlignment="1" applyProtection="1">
      <alignment horizontal="left" vertical="center"/>
      <protection locked="0"/>
    </xf>
    <xf numFmtId="49" fontId="6" fillId="22" borderId="10" xfId="468" applyNumberFormat="1" applyFont="1" applyFill="1" applyBorder="1" applyAlignment="1" applyProtection="1">
      <alignment horizontal="left" vertical="center"/>
      <protection locked="0"/>
    </xf>
    <xf numFmtId="0" fontId="6" fillId="22" borderId="21" xfId="468" applyFont="1" applyFill="1" applyBorder="1" applyAlignment="1" applyProtection="1">
      <alignment horizontal="left" vertical="center"/>
      <protection locked="0"/>
    </xf>
    <xf numFmtId="0" fontId="6" fillId="22" borderId="16" xfId="467" applyFont="1" applyFill="1" applyBorder="1" applyAlignment="1" applyProtection="1">
      <alignment horizontal="left" vertical="center"/>
      <protection locked="0"/>
    </xf>
    <xf numFmtId="0" fontId="26" fillId="22" borderId="19" xfId="467" applyFill="1" applyBorder="1" applyAlignment="1" applyProtection="1">
      <alignment horizontal="left" vertical="center"/>
      <protection locked="0"/>
    </xf>
    <xf numFmtId="37" fontId="6" fillId="22" borderId="21" xfId="119" applyNumberFormat="1" applyFont="1" applyFill="1" applyBorder="1" applyAlignment="1" applyProtection="1">
      <alignment horizontal="left"/>
      <protection locked="0"/>
    </xf>
    <xf numFmtId="0" fontId="6" fillId="22" borderId="19" xfId="0" applyFont="1" applyFill="1" applyBorder="1" applyAlignment="1" applyProtection="1">
      <alignment vertical="center"/>
      <protection/>
    </xf>
    <xf numFmtId="10" fontId="6" fillId="4" borderId="0" xfId="0" applyNumberFormat="1" applyFont="1" applyFill="1" applyAlignment="1" applyProtection="1">
      <alignment vertical="center"/>
      <protection/>
    </xf>
    <xf numFmtId="0" fontId="11" fillId="22" borderId="16" xfId="75" applyFill="1" applyBorder="1" applyAlignment="1" applyProtection="1">
      <alignment vertical="center"/>
      <protection locked="0"/>
    </xf>
    <xf numFmtId="0" fontId="0" fillId="0" borderId="0" xfId="101">
      <alignment/>
      <protection/>
    </xf>
    <xf numFmtId="0" fontId="48" fillId="0" borderId="0" xfId="101" applyFont="1">
      <alignment/>
      <protection/>
    </xf>
    <xf numFmtId="0" fontId="67" fillId="31" borderId="0" xfId="409" applyFill="1" applyBorder="1">
      <alignment/>
      <protection/>
    </xf>
    <xf numFmtId="0" fontId="67" fillId="31" borderId="0" xfId="409" applyFill="1" applyBorder="1" applyAlignment="1">
      <alignment horizontal="left" vertical="center"/>
      <protection/>
    </xf>
    <xf numFmtId="0" fontId="67" fillId="31" borderId="0" xfId="409" applyFill="1" applyBorder="1" applyAlignment="1">
      <alignment horizontal="center" vertical="center"/>
      <protection/>
    </xf>
    <xf numFmtId="0" fontId="67" fillId="31" borderId="0" xfId="409" applyFill="1">
      <alignment/>
      <protection/>
    </xf>
    <xf numFmtId="0" fontId="75" fillId="31" borderId="36" xfId="409" applyFont="1" applyFill="1" applyBorder="1">
      <alignment/>
      <protection/>
    </xf>
    <xf numFmtId="0" fontId="75" fillId="31" borderId="0" xfId="409" applyFont="1" applyFill="1" applyBorder="1" applyAlignment="1">
      <alignment horizontal="right"/>
      <protection/>
    </xf>
    <xf numFmtId="3" fontId="75" fillId="31" borderId="13" xfId="409" applyNumberFormat="1" applyFont="1" applyFill="1" applyBorder="1">
      <alignment/>
      <protection/>
    </xf>
    <xf numFmtId="0" fontId="75" fillId="31" borderId="0" xfId="409" applyFont="1" applyFill="1" applyBorder="1">
      <alignment/>
      <protection/>
    </xf>
    <xf numFmtId="0" fontId="75" fillId="31" borderId="32" xfId="409" applyFont="1" applyFill="1" applyBorder="1">
      <alignment/>
      <protection/>
    </xf>
    <xf numFmtId="3" fontId="75" fillId="31" borderId="16" xfId="409" applyNumberFormat="1" applyFont="1" applyFill="1" applyBorder="1">
      <alignment/>
      <protection/>
    </xf>
    <xf numFmtId="0" fontId="75" fillId="31" borderId="13" xfId="409" applyFont="1" applyFill="1" applyBorder="1" applyAlignment="1" applyProtection="1">
      <alignment horizontal="center"/>
      <protection locked="0"/>
    </xf>
    <xf numFmtId="0" fontId="75" fillId="31" borderId="0" xfId="409" applyFont="1" applyFill="1" applyBorder="1" applyAlignment="1">
      <alignment horizontal="center"/>
      <protection/>
    </xf>
    <xf numFmtId="0" fontId="75" fillId="31" borderId="40" xfId="409" applyFont="1" applyFill="1" applyBorder="1" applyAlignment="1" applyProtection="1">
      <alignment horizontal="center"/>
      <protection locked="0"/>
    </xf>
    <xf numFmtId="0" fontId="75" fillId="31" borderId="33" xfId="409" applyFont="1" applyFill="1" applyBorder="1">
      <alignment/>
      <protection/>
    </xf>
    <xf numFmtId="0" fontId="75" fillId="31" borderId="34" xfId="409" applyFont="1" applyFill="1" applyBorder="1">
      <alignment/>
      <protection/>
    </xf>
    <xf numFmtId="0" fontId="75" fillId="31" borderId="35" xfId="409" applyFont="1" applyFill="1" applyBorder="1">
      <alignment/>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0" fontId="46"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5"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0" xfId="0" applyFont="1" applyBorder="1" applyAlignment="1">
      <alignment/>
    </xf>
    <xf numFmtId="0" fontId="16" fillId="0" borderId="23" xfId="0" applyFont="1" applyBorder="1" applyAlignment="1">
      <alignment/>
    </xf>
    <xf numFmtId="0" fontId="5" fillId="4" borderId="21" xfId="0" applyFont="1" applyFill="1" applyBorder="1" applyAlignment="1">
      <alignment vertical="center"/>
    </xf>
    <xf numFmtId="0" fontId="5" fillId="4" borderId="19"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3" xfId="0" applyBorder="1" applyAlignment="1" applyProtection="1">
      <alignment horizontal="center"/>
      <protection/>
    </xf>
    <xf numFmtId="0" fontId="14" fillId="29" borderId="20"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0" xfId="0" applyBorder="1" applyAlignment="1">
      <alignment horizontal="center"/>
    </xf>
    <xf numFmtId="0" fontId="0" fillId="0" borderId="23" xfId="0" applyBorder="1" applyAlignment="1">
      <alignment horizontal="center"/>
    </xf>
    <xf numFmtId="0" fontId="89" fillId="31" borderId="41" xfId="409" applyFont="1" applyFill="1" applyBorder="1" applyAlignment="1">
      <alignment horizontal="center"/>
      <protection/>
    </xf>
    <xf numFmtId="0" fontId="67" fillId="31" borderId="42" xfId="409" applyFill="1" applyBorder="1" applyAlignment="1">
      <alignment horizontal="center"/>
      <protection/>
    </xf>
    <xf numFmtId="0" fontId="67" fillId="31" borderId="43" xfId="409" applyFill="1" applyBorder="1" applyAlignment="1">
      <alignment horizontal="center"/>
      <protection/>
    </xf>
    <xf numFmtId="0" fontId="75" fillId="31" borderId="28" xfId="409" applyFont="1" applyFill="1" applyBorder="1" applyAlignment="1">
      <alignment horizontal="center"/>
      <protection/>
    </xf>
    <xf numFmtId="0" fontId="75" fillId="31" borderId="29" xfId="409" applyFont="1" applyFill="1" applyBorder="1" applyAlignment="1">
      <alignment horizontal="center"/>
      <protection/>
    </xf>
    <xf numFmtId="0" fontId="75" fillId="31" borderId="30" xfId="409" applyFont="1" applyFill="1" applyBorder="1" applyAlignment="1">
      <alignment horizontal="center"/>
      <protection/>
    </xf>
    <xf numFmtId="0" fontId="75" fillId="31" borderId="33" xfId="409" applyFont="1" applyFill="1" applyBorder="1" applyAlignment="1">
      <alignment horizontal="left" vertical="top" wrapText="1"/>
      <protection/>
    </xf>
    <xf numFmtId="0" fontId="75" fillId="31" borderId="34" xfId="409" applyFont="1" applyFill="1" applyBorder="1" applyAlignment="1">
      <alignment horizontal="left" vertical="top" wrapText="1"/>
      <protection/>
    </xf>
    <xf numFmtId="0" fontId="75" fillId="31" borderId="35" xfId="409" applyFont="1" applyFill="1" applyBorder="1" applyAlignment="1">
      <alignment horizontal="left" vertical="top" wrapText="1"/>
      <protection/>
    </xf>
    <xf numFmtId="0" fontId="89" fillId="0" borderId="41" xfId="409" applyFont="1" applyBorder="1" applyAlignment="1">
      <alignment horizontal="center"/>
      <protection/>
    </xf>
    <xf numFmtId="0" fontId="89" fillId="0" borderId="42" xfId="409" applyFont="1" applyBorder="1" applyAlignment="1">
      <alignment horizontal="center"/>
      <protection/>
    </xf>
    <xf numFmtId="0" fontId="89" fillId="0" borderId="43" xfId="409" applyFont="1" applyBorder="1" applyAlignment="1">
      <alignment horizontal="center"/>
      <protection/>
    </xf>
    <xf numFmtId="0" fontId="75" fillId="31" borderId="36" xfId="409" applyFont="1" applyFill="1" applyBorder="1" applyAlignment="1">
      <alignment horizontal="center"/>
      <protection/>
    </xf>
    <xf numFmtId="0" fontId="75" fillId="31" borderId="0" xfId="409" applyFont="1" applyFill="1" applyBorder="1" applyAlignment="1">
      <alignment horizontal="center"/>
      <protection/>
    </xf>
    <xf numFmtId="0" fontId="75" fillId="31" borderId="32" xfId="409" applyFont="1" applyFill="1" applyBorder="1" applyAlignment="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9" fillId="29" borderId="0" xfId="0" applyFont="1" applyFill="1" applyAlignment="1">
      <alignment horizontal="center" wrapText="1"/>
    </xf>
    <xf numFmtId="0" fontId="43" fillId="29" borderId="2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9" fillId="29" borderId="0" xfId="0" applyFont="1" applyFill="1" applyBorder="1" applyAlignment="1">
      <alignment horizontal="center" wrapText="1"/>
    </xf>
    <xf numFmtId="0" fontId="79" fillId="0" borderId="0" xfId="0" applyFont="1" applyAlignment="1">
      <alignment horizontal="center" wrapText="1"/>
    </xf>
    <xf numFmtId="0" fontId="79" fillId="29" borderId="29" xfId="0" applyFont="1" applyFill="1" applyBorder="1" applyAlignment="1">
      <alignment horizontal="center" vertical="center"/>
    </xf>
    <xf numFmtId="0" fontId="43" fillId="0" borderId="0" xfId="0" applyFont="1" applyAlignment="1">
      <alignment wrapText="1"/>
    </xf>
    <xf numFmtId="0" fontId="79" fillId="29" borderId="0" xfId="0" applyFont="1" applyFill="1" applyAlignment="1">
      <alignment horizontal="center"/>
    </xf>
    <xf numFmtId="0" fontId="43" fillId="0" borderId="0" xfId="0" applyFont="1" applyAlignment="1">
      <alignment horizontal="center" wrapText="1"/>
    </xf>
    <xf numFmtId="0" fontId="79" fillId="29" borderId="0" xfId="0" applyFont="1" applyFill="1" applyAlignment="1">
      <alignment horizontal="center" vertical="center"/>
    </xf>
    <xf numFmtId="0" fontId="79"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46" fillId="0" borderId="20" xfId="0" applyFont="1" applyBorder="1" applyAlignment="1">
      <alignment horizontal="center" vertical="center"/>
    </xf>
    <xf numFmtId="0" fontId="0" fillId="0" borderId="23" xfId="0" applyBorder="1" applyAlignment="1">
      <alignment/>
    </xf>
    <xf numFmtId="0" fontId="0" fillId="0" borderId="20"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27" sqref="Q27"/>
    </sheetView>
  </sheetViews>
  <sheetFormatPr defaultColWidth="8.796875" defaultRowHeight="15"/>
  <cols>
    <col min="1" max="1" width="76.3984375" style="49" customWidth="1"/>
    <col min="2" max="16384" width="8.8984375" style="49" customWidth="1"/>
  </cols>
  <sheetData>
    <row r="1" ht="15.75">
      <c r="A1" s="48" t="s">
        <v>122</v>
      </c>
    </row>
    <row r="3" ht="34.5" customHeight="1">
      <c r="A3" s="563" t="s">
        <v>965</v>
      </c>
    </row>
    <row r="4" ht="15.75">
      <c r="A4" s="50"/>
    </row>
    <row r="5" ht="85.5" customHeight="1">
      <c r="A5" s="51" t="s">
        <v>45</v>
      </c>
    </row>
    <row r="6" ht="15.75">
      <c r="A6" s="51"/>
    </row>
    <row r="7" ht="53.25" customHeight="1">
      <c r="A7" s="51" t="s">
        <v>944</v>
      </c>
    </row>
    <row r="9" ht="15.75">
      <c r="A9" s="48" t="s">
        <v>59</v>
      </c>
    </row>
    <row r="10" ht="15.75">
      <c r="A10" s="48"/>
    </row>
    <row r="11" ht="27" customHeight="1">
      <c r="A11" s="50" t="s">
        <v>60</v>
      </c>
    </row>
    <row r="12" ht="51.75" customHeight="1" hidden="1"/>
    <row r="13" ht="12" customHeight="1"/>
    <row r="14" ht="42.75" customHeight="1">
      <c r="A14" s="52" t="s">
        <v>651</v>
      </c>
    </row>
    <row r="15" ht="14.25" customHeight="1">
      <c r="A15" s="52"/>
    </row>
    <row r="18" ht="15.75">
      <c r="A18" s="48" t="s">
        <v>123</v>
      </c>
    </row>
    <row r="20" ht="34.5" customHeight="1">
      <c r="A20" s="51" t="s">
        <v>10</v>
      </c>
    </row>
    <row r="21" ht="18" customHeight="1">
      <c r="A21" s="51"/>
    </row>
    <row r="22" ht="23.25" customHeight="1">
      <c r="A22" s="53" t="s">
        <v>11</v>
      </c>
    </row>
    <row r="23" ht="23.25" customHeight="1">
      <c r="A23" s="54"/>
    </row>
    <row r="24" ht="15.75">
      <c r="A24" s="55" t="s">
        <v>15</v>
      </c>
    </row>
    <row r="25" ht="15.75">
      <c r="A25" s="56"/>
    </row>
    <row r="26" ht="85.5" customHeight="1">
      <c r="A26" s="57" t="s">
        <v>36</v>
      </c>
    </row>
    <row r="27" ht="19.5" customHeight="1">
      <c r="A27" s="51"/>
    </row>
    <row r="28" ht="19.5" customHeight="1">
      <c r="A28" s="58" t="s">
        <v>16</v>
      </c>
    </row>
    <row r="30" ht="15.75">
      <c r="A30" s="59" t="s">
        <v>61</v>
      </c>
    </row>
    <row r="32" ht="15.75">
      <c r="A32" s="51" t="s">
        <v>62</v>
      </c>
    </row>
    <row r="34" ht="15.75">
      <c r="A34" s="48" t="s">
        <v>124</v>
      </c>
    </row>
    <row r="36" ht="81" customHeight="1">
      <c r="A36" s="51" t="s">
        <v>741</v>
      </c>
    </row>
    <row r="37" ht="38.25" customHeight="1">
      <c r="A37" s="51" t="s">
        <v>37</v>
      </c>
    </row>
    <row r="38" ht="57" customHeight="1">
      <c r="A38" s="60" t="s">
        <v>12</v>
      </c>
    </row>
    <row r="39" ht="114.75" customHeight="1">
      <c r="A39" s="60" t="s">
        <v>901</v>
      </c>
    </row>
    <row r="40" ht="11.25" customHeight="1"/>
    <row r="41" ht="81" customHeight="1">
      <c r="A41" s="51" t="s">
        <v>650</v>
      </c>
    </row>
    <row r="42" ht="66" customHeight="1">
      <c r="A42" s="51" t="s">
        <v>94</v>
      </c>
    </row>
    <row r="43" ht="105" customHeight="1">
      <c r="A43" s="51" t="s">
        <v>98</v>
      </c>
    </row>
    <row r="44" ht="12.75" customHeight="1"/>
    <row r="45" ht="73.5" customHeight="1">
      <c r="A45" s="384" t="s">
        <v>883</v>
      </c>
    </row>
    <row r="46" ht="69.75" customHeight="1">
      <c r="A46" s="385" t="s">
        <v>607</v>
      </c>
    </row>
    <row r="47" ht="69.75" customHeight="1">
      <c r="A47" s="385" t="s">
        <v>884</v>
      </c>
    </row>
    <row r="48" ht="12.75" customHeight="1"/>
    <row r="49" ht="67.5" customHeight="1">
      <c r="A49" s="51" t="s">
        <v>608</v>
      </c>
    </row>
    <row r="50" ht="37.5" customHeight="1">
      <c r="A50" s="51" t="s">
        <v>609</v>
      </c>
    </row>
    <row r="51" ht="13.5" customHeight="1">
      <c r="A51" s="51"/>
    </row>
    <row r="52" ht="69.75" customHeight="1">
      <c r="A52" s="51" t="s">
        <v>610</v>
      </c>
    </row>
    <row r="53" ht="103.5" customHeight="1">
      <c r="A53" s="51" t="s">
        <v>956</v>
      </c>
    </row>
    <row r="54" ht="13.5" customHeight="1">
      <c r="A54" s="51"/>
    </row>
    <row r="55" ht="70.5" customHeight="1">
      <c r="A55" s="51" t="s">
        <v>742</v>
      </c>
    </row>
    <row r="56" ht="117.75" customHeight="1">
      <c r="A56" s="51" t="s">
        <v>611</v>
      </c>
    </row>
    <row r="57" ht="35.25" customHeight="1">
      <c r="A57" s="51" t="s">
        <v>612</v>
      </c>
    </row>
    <row r="58" ht="15.75">
      <c r="A58" s="51"/>
    </row>
    <row r="59" ht="82.5" customHeight="1">
      <c r="A59" s="51" t="s">
        <v>873</v>
      </c>
    </row>
    <row r="61" ht="64.5" customHeight="1">
      <c r="A61" s="51" t="s">
        <v>613</v>
      </c>
    </row>
    <row r="62" ht="42.75" customHeight="1">
      <c r="A62" s="51" t="s">
        <v>630</v>
      </c>
    </row>
    <row r="63" ht="88.5" customHeight="1">
      <c r="A63" s="51" t="s">
        <v>652</v>
      </c>
    </row>
    <row r="64" ht="39" customHeight="1">
      <c r="A64" s="352" t="s">
        <v>631</v>
      </c>
    </row>
    <row r="66" s="51" customFormat="1" ht="58.5" customHeight="1">
      <c r="A66" s="51" t="s">
        <v>614</v>
      </c>
    </row>
    <row r="68" ht="69" customHeight="1">
      <c r="A68" s="51" t="s">
        <v>615</v>
      </c>
    </row>
    <row r="69" ht="11.25" customHeight="1"/>
    <row r="70" ht="147" customHeight="1">
      <c r="A70" s="51" t="s">
        <v>933</v>
      </c>
    </row>
    <row r="71" ht="11.25" customHeight="1"/>
    <row r="72" ht="85.5" customHeight="1">
      <c r="A72" s="51" t="s">
        <v>945</v>
      </c>
    </row>
    <row r="73" ht="85.5" customHeight="1">
      <c r="A73" s="51" t="s">
        <v>885</v>
      </c>
    </row>
    <row r="74" ht="104.25" customHeight="1">
      <c r="A74" s="482" t="s">
        <v>932</v>
      </c>
    </row>
    <row r="75" ht="73.5" customHeight="1">
      <c r="A75" s="482" t="s">
        <v>931</v>
      </c>
    </row>
    <row r="76" ht="73.5" customHeight="1">
      <c r="A76" s="482" t="s">
        <v>937</v>
      </c>
    </row>
    <row r="77" ht="136.5" customHeight="1">
      <c r="A77" s="51" t="s">
        <v>886</v>
      </c>
    </row>
    <row r="78" ht="85.5" customHeight="1">
      <c r="A78" s="51" t="s">
        <v>887</v>
      </c>
    </row>
    <row r="79" ht="116.25" customHeight="1">
      <c r="A79" s="51" t="s">
        <v>888</v>
      </c>
    </row>
    <row r="80" ht="140.25" customHeight="1">
      <c r="A80" s="51" t="s">
        <v>946</v>
      </c>
    </row>
    <row r="81" ht="63" customHeight="1">
      <c r="A81" s="51" t="s">
        <v>889</v>
      </c>
    </row>
    <row r="82" ht="128.25" customHeight="1">
      <c r="A82" s="51" t="s">
        <v>890</v>
      </c>
    </row>
    <row r="83" ht="52.5" customHeight="1">
      <c r="A83" s="51" t="s">
        <v>891</v>
      </c>
    </row>
    <row r="84" ht="81" customHeight="1">
      <c r="A84" s="51" t="s">
        <v>892</v>
      </c>
    </row>
    <row r="85" ht="129" customHeight="1">
      <c r="A85" s="353" t="s">
        <v>893</v>
      </c>
    </row>
    <row r="86" ht="130.5" customHeight="1">
      <c r="A86" s="354" t="s">
        <v>894</v>
      </c>
    </row>
    <row r="87" ht="70.5" customHeight="1">
      <c r="A87" s="355" t="s">
        <v>895</v>
      </c>
    </row>
    <row r="88" ht="12" customHeight="1"/>
    <row r="89" ht="54" customHeight="1">
      <c r="A89" s="51" t="s">
        <v>874</v>
      </c>
    </row>
    <row r="90" ht="72" customHeight="1">
      <c r="A90" s="721" t="s">
        <v>949</v>
      </c>
    </row>
    <row r="91" ht="38.25" customHeight="1">
      <c r="A91" s="386" t="s">
        <v>950</v>
      </c>
    </row>
    <row r="92" ht="36.75" customHeight="1">
      <c r="A92" s="482" t="s">
        <v>951</v>
      </c>
    </row>
    <row r="93" ht="131.25" customHeight="1">
      <c r="A93" s="482" t="s">
        <v>952</v>
      </c>
    </row>
    <row r="94" ht="153.75" customHeight="1">
      <c r="A94" s="482" t="s">
        <v>953</v>
      </c>
    </row>
    <row r="95" ht="92.25" customHeight="1">
      <c r="A95" s="387" t="s">
        <v>954</v>
      </c>
    </row>
    <row r="96" ht="89.25" customHeight="1">
      <c r="A96" s="388" t="s">
        <v>955</v>
      </c>
    </row>
    <row r="97" ht="12" customHeight="1"/>
    <row r="98" ht="127.5" customHeight="1">
      <c r="A98" s="51" t="s">
        <v>875</v>
      </c>
    </row>
    <row r="99" ht="117" customHeight="1">
      <c r="A99" s="51" t="s">
        <v>876</v>
      </c>
    </row>
    <row r="100" ht="56.25" customHeight="1">
      <c r="A100" s="51" t="s">
        <v>877</v>
      </c>
    </row>
    <row r="101" ht="26.25" customHeight="1">
      <c r="A101" s="51" t="s">
        <v>878</v>
      </c>
    </row>
    <row r="102" ht="14.25" customHeight="1">
      <c r="A102" s="51"/>
    </row>
    <row r="103" ht="68.25" customHeight="1">
      <c r="A103" s="51" t="s">
        <v>879</v>
      </c>
    </row>
    <row r="105" ht="63.75" customHeight="1">
      <c r="A105" s="482" t="s">
        <v>880</v>
      </c>
    </row>
    <row r="106" ht="105.75" customHeight="1">
      <c r="A106" s="482" t="s">
        <v>881</v>
      </c>
    </row>
    <row r="107" ht="130.5" customHeight="1">
      <c r="A107" s="482" t="s">
        <v>882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1" sqref="B11"/>
    </sheetView>
  </sheetViews>
  <sheetFormatPr defaultColWidth="8.796875" defaultRowHeight="15"/>
  <cols>
    <col min="1" max="1" width="10.796875" style="63" customWidth="1"/>
    <col min="2" max="2" width="25.796875" style="63" customWidth="1"/>
    <col min="3" max="3" width="11.796875" style="63" customWidth="1"/>
    <col min="4" max="5" width="9.796875" style="63" customWidth="1"/>
    <col min="6" max="6" width="17.09765625" style="63" customWidth="1"/>
    <col min="7" max="9" width="15.796875" style="63" customWidth="1"/>
    <col min="10" max="11" width="9.796875" style="63" customWidth="1"/>
    <col min="12" max="16384" width="8.8984375" style="63" customWidth="1"/>
  </cols>
  <sheetData>
    <row r="1" spans="2:11" ht="15.75">
      <c r="B1" s="197" t="str">
        <f>inputPrYr!$D$2</f>
        <v>City of Fairview</v>
      </c>
      <c r="C1" s="62"/>
      <c r="D1" s="62"/>
      <c r="E1" s="62"/>
      <c r="F1" s="62"/>
      <c r="G1" s="62"/>
      <c r="H1" s="62"/>
      <c r="I1" s="157">
        <f>inputPrYr!$C$5</f>
        <v>2015</v>
      </c>
      <c r="J1" s="49"/>
      <c r="K1" s="262"/>
    </row>
    <row r="2" spans="2:11" ht="15.75">
      <c r="B2" s="197"/>
      <c r="C2" s="62"/>
      <c r="D2" s="62"/>
      <c r="E2" s="62"/>
      <c r="F2" s="62"/>
      <c r="G2" s="62"/>
      <c r="H2" s="62"/>
      <c r="I2" s="62"/>
      <c r="J2" s="49"/>
      <c r="K2" s="262"/>
    </row>
    <row r="3" spans="2:11" ht="15.75">
      <c r="B3" s="235" t="s">
        <v>257</v>
      </c>
      <c r="C3" s="69"/>
      <c r="D3" s="69"/>
      <c r="E3" s="69"/>
      <c r="F3" s="69"/>
      <c r="G3" s="69"/>
      <c r="H3" s="69"/>
      <c r="I3" s="69"/>
      <c r="J3" s="263"/>
      <c r="K3" s="263"/>
    </row>
    <row r="4" spans="2:11" ht="15.75">
      <c r="B4" s="62"/>
      <c r="C4" s="236"/>
      <c r="D4" s="236"/>
      <c r="E4" s="236"/>
      <c r="F4" s="236"/>
      <c r="G4" s="236"/>
      <c r="H4" s="236"/>
      <c r="I4" s="236"/>
      <c r="J4" s="264"/>
      <c r="K4" s="264"/>
    </row>
    <row r="5" spans="2:11" ht="15.75">
      <c r="B5" s="189"/>
      <c r="C5" s="189"/>
      <c r="D5" s="189"/>
      <c r="E5" s="189"/>
      <c r="F5" s="215" t="s">
        <v>132</v>
      </c>
      <c r="G5" s="189"/>
      <c r="H5" s="189"/>
      <c r="I5" s="189"/>
      <c r="J5" s="265"/>
      <c r="K5" s="160"/>
    </row>
    <row r="6" spans="2:9" ht="15.75">
      <c r="B6" s="178"/>
      <c r="C6" s="239"/>
      <c r="D6" s="239" t="s">
        <v>206</v>
      </c>
      <c r="E6" s="239" t="s">
        <v>207</v>
      </c>
      <c r="F6" s="239" t="s">
        <v>154</v>
      </c>
      <c r="G6" s="239" t="s">
        <v>307</v>
      </c>
      <c r="H6" s="239" t="s">
        <v>209</v>
      </c>
      <c r="I6" s="239" t="s">
        <v>209</v>
      </c>
    </row>
    <row r="7" spans="2:9" ht="15.75">
      <c r="B7" s="239" t="s">
        <v>898</v>
      </c>
      <c r="C7" s="239" t="s">
        <v>210</v>
      </c>
      <c r="D7" s="239" t="s">
        <v>211</v>
      </c>
      <c r="E7" s="239" t="s">
        <v>196</v>
      </c>
      <c r="F7" s="239" t="s">
        <v>212</v>
      </c>
      <c r="G7" s="239" t="s">
        <v>308</v>
      </c>
      <c r="H7" s="239" t="s">
        <v>213</v>
      </c>
      <c r="I7" s="239" t="s">
        <v>213</v>
      </c>
    </row>
    <row r="8" spans="2:9" ht="15.75">
      <c r="B8" s="242" t="s">
        <v>899</v>
      </c>
      <c r="C8" s="242" t="s">
        <v>193</v>
      </c>
      <c r="D8" s="266" t="s">
        <v>214</v>
      </c>
      <c r="E8" s="242" t="s">
        <v>174</v>
      </c>
      <c r="F8" s="266" t="s">
        <v>283</v>
      </c>
      <c r="G8" s="242">
        <f>inputPrYr!C5-1</f>
        <v>2014</v>
      </c>
      <c r="H8" s="242">
        <f>inputPrYr!C5-1</f>
        <v>2014</v>
      </c>
      <c r="I8" s="225">
        <f>inputPrYr!$C$5</f>
        <v>2015</v>
      </c>
    </row>
    <row r="9" spans="2:9" ht="15.75">
      <c r="B9" s="244"/>
      <c r="C9" s="267"/>
      <c r="D9" s="267"/>
      <c r="E9" s="245"/>
      <c r="F9" s="246"/>
      <c r="G9" s="246"/>
      <c r="H9" s="246"/>
      <c r="I9" s="246"/>
    </row>
    <row r="10" spans="2:9" ht="15.75">
      <c r="B10" s="244" t="s">
        <v>1009</v>
      </c>
      <c r="C10" s="267"/>
      <c r="D10" s="267"/>
      <c r="E10" s="245"/>
      <c r="F10" s="246"/>
      <c r="G10" s="246"/>
      <c r="H10" s="246"/>
      <c r="I10" s="246"/>
    </row>
    <row r="11" spans="2:9" ht="15.75">
      <c r="B11" s="244"/>
      <c r="C11" s="244"/>
      <c r="D11" s="267"/>
      <c r="E11" s="245"/>
      <c r="F11" s="246"/>
      <c r="G11" s="246"/>
      <c r="H11" s="246"/>
      <c r="I11" s="246"/>
    </row>
    <row r="12" spans="2:9" ht="15.75">
      <c r="B12" s="244"/>
      <c r="C12" s="244"/>
      <c r="D12" s="267"/>
      <c r="E12" s="245"/>
      <c r="F12" s="246"/>
      <c r="G12" s="246"/>
      <c r="H12" s="246"/>
      <c r="I12" s="246"/>
    </row>
    <row r="13" spans="2:9" ht="15.75">
      <c r="B13" s="244"/>
      <c r="C13" s="244"/>
      <c r="D13" s="267"/>
      <c r="E13" s="245"/>
      <c r="F13" s="246"/>
      <c r="G13" s="246"/>
      <c r="H13" s="246"/>
      <c r="I13" s="246"/>
    </row>
    <row r="14" spans="2:9" ht="15.75">
      <c r="B14" s="244"/>
      <c r="C14" s="267"/>
      <c r="D14" s="267"/>
      <c r="E14" s="245"/>
      <c r="F14" s="246"/>
      <c r="G14" s="246"/>
      <c r="H14" s="246"/>
      <c r="I14" s="246"/>
    </row>
    <row r="15" spans="2:9" ht="15.75">
      <c r="B15" s="244"/>
      <c r="C15" s="244"/>
      <c r="D15" s="267"/>
      <c r="E15" s="245"/>
      <c r="F15" s="246"/>
      <c r="G15" s="246"/>
      <c r="H15" s="246"/>
      <c r="I15" s="246"/>
    </row>
    <row r="16" spans="2:9" ht="15.75">
      <c r="B16" s="244"/>
      <c r="C16" s="244"/>
      <c r="D16" s="267"/>
      <c r="E16" s="245"/>
      <c r="F16" s="246"/>
      <c r="G16" s="246"/>
      <c r="H16" s="246"/>
      <c r="I16" s="246"/>
    </row>
    <row r="17" spans="2:9" ht="15.75">
      <c r="B17" s="244"/>
      <c r="C17" s="244"/>
      <c r="D17" s="267"/>
      <c r="E17" s="245"/>
      <c r="F17" s="246"/>
      <c r="G17" s="246"/>
      <c r="H17" s="246"/>
      <c r="I17" s="246"/>
    </row>
    <row r="18" spans="2:9" ht="15.75">
      <c r="B18" s="244"/>
      <c r="C18" s="244"/>
      <c r="D18" s="267"/>
      <c r="E18" s="245"/>
      <c r="F18" s="246"/>
      <c r="G18" s="246"/>
      <c r="H18" s="246"/>
      <c r="I18" s="246"/>
    </row>
    <row r="19" spans="2:9" ht="15.75">
      <c r="B19" s="244"/>
      <c r="C19" s="244"/>
      <c r="D19" s="267"/>
      <c r="E19" s="245"/>
      <c r="F19" s="246"/>
      <c r="G19" s="246"/>
      <c r="H19" s="246"/>
      <c r="I19" s="246"/>
    </row>
    <row r="20" spans="2:9" ht="16.5" thickBot="1">
      <c r="B20" s="198"/>
      <c r="C20" s="198"/>
      <c r="D20" s="198"/>
      <c r="E20" s="198"/>
      <c r="F20" s="198" t="s">
        <v>161</v>
      </c>
      <c r="G20" s="268">
        <f>SUM(G9:G19)</f>
        <v>0</v>
      </c>
      <c r="H20" s="268">
        <f>SUM(H9:H19)</f>
        <v>0</v>
      </c>
      <c r="I20" s="269">
        <f>SUM(I9:I19)</f>
        <v>0</v>
      </c>
    </row>
    <row r="21" spans="2:11" ht="16.5" thickTop="1">
      <c r="B21" s="62"/>
      <c r="C21" s="62"/>
      <c r="D21" s="62"/>
      <c r="E21" s="62"/>
      <c r="F21" s="62"/>
      <c r="G21" s="62"/>
      <c r="H21" s="62"/>
      <c r="I21" s="62"/>
      <c r="J21" s="260"/>
      <c r="K21" s="260"/>
    </row>
    <row r="22" spans="2:11" ht="15.75">
      <c r="B22" s="270" t="s">
        <v>73</v>
      </c>
      <c r="C22" s="271"/>
      <c r="D22" s="271"/>
      <c r="E22" s="271"/>
      <c r="F22" s="271"/>
      <c r="G22" s="271"/>
      <c r="H22" s="62"/>
      <c r="I22" s="62"/>
      <c r="J22" s="260"/>
      <c r="K22" s="260"/>
    </row>
    <row r="31" ht="15.75">
      <c r="D31" s="261"/>
    </row>
  </sheetData>
  <sheetProtection sheet="1"/>
  <printOptions/>
  <pageMargins left="0.47"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P74"/>
  <sheetViews>
    <sheetView zoomScalePageLayoutView="0" workbookViewId="0" topLeftCell="A10">
      <selection activeCell="B46" sqref="B46"/>
    </sheetView>
  </sheetViews>
  <sheetFormatPr defaultColWidth="8.796875" defaultRowHeight="15"/>
  <cols>
    <col min="1" max="1" width="2.3984375" style="63" customWidth="1"/>
    <col min="2" max="2" width="31.09765625" style="63" customWidth="1"/>
    <col min="3" max="4" width="15.796875" style="63" customWidth="1"/>
    <col min="5" max="5" width="16.19921875" style="63" customWidth="1"/>
    <col min="6" max="6" width="7.19921875" style="63" customWidth="1"/>
    <col min="7" max="7" width="10.19921875" style="63" customWidth="1"/>
    <col min="8" max="8" width="8.8984375" style="63" customWidth="1"/>
    <col min="9" max="9" width="5" style="63" customWidth="1"/>
    <col min="10" max="10" width="10" style="63" customWidth="1"/>
    <col min="11" max="16384" width="8.8984375" style="63" customWidth="1"/>
  </cols>
  <sheetData>
    <row r="1" spans="2:5" ht="15.75">
      <c r="B1" s="197" t="str">
        <f>(inputPrYr!D2)</f>
        <v>City of Fairview</v>
      </c>
      <c r="C1" s="62"/>
      <c r="D1" s="62"/>
      <c r="E1" s="157">
        <f>inputPrYr!$C$5</f>
        <v>2015</v>
      </c>
    </row>
    <row r="2" spans="2:5" ht="15.75">
      <c r="B2" s="62"/>
      <c r="C2" s="62"/>
      <c r="D2" s="62"/>
      <c r="E2" s="214"/>
    </row>
    <row r="3" spans="2:5" ht="15.75">
      <c r="B3" s="77"/>
      <c r="C3" s="219"/>
      <c r="D3" s="219"/>
      <c r="E3" s="159"/>
    </row>
    <row r="4" spans="2:5" ht="15.75">
      <c r="B4" s="77" t="s">
        <v>219</v>
      </c>
      <c r="C4" s="272"/>
      <c r="D4" s="272"/>
      <c r="E4" s="272"/>
    </row>
    <row r="5" spans="2:5" ht="15.75">
      <c r="B5" s="65" t="s">
        <v>162</v>
      </c>
      <c r="C5" s="695" t="s">
        <v>815</v>
      </c>
      <c r="D5" s="696" t="s">
        <v>816</v>
      </c>
      <c r="E5" s="170" t="s">
        <v>817</v>
      </c>
    </row>
    <row r="6" spans="2:5" ht="15.75">
      <c r="B6" s="446" t="str">
        <f>+(inputPrYr!B17)</f>
        <v>General</v>
      </c>
      <c r="C6" s="328" t="str">
        <f>CONCATENATE("Actual for ",$E$1-2,"")</f>
        <v>Actual for 2013</v>
      </c>
      <c r="D6" s="407" t="str">
        <f>CONCATENATE("Estimate for ",$E$1-1,"")</f>
        <v>Estimate for 2014</v>
      </c>
      <c r="E6" s="225" t="str">
        <f>CONCATENATE("Year for ",$E$1,"")</f>
        <v>Year for 2015</v>
      </c>
    </row>
    <row r="7" spans="2:5" ht="15.75">
      <c r="B7" s="174" t="s">
        <v>275</v>
      </c>
      <c r="C7" s="415">
        <v>134539</v>
      </c>
      <c r="D7" s="433">
        <f>C58</f>
        <v>114497</v>
      </c>
      <c r="E7" s="273">
        <f>D58</f>
        <v>22939</v>
      </c>
    </row>
    <row r="8" spans="2:5" ht="15.75">
      <c r="B8" s="274" t="s">
        <v>277</v>
      </c>
      <c r="C8" s="416"/>
      <c r="D8" s="433"/>
      <c r="E8" s="275"/>
    </row>
    <row r="9" spans="2:5" ht="15.75">
      <c r="B9" s="174" t="s">
        <v>163</v>
      </c>
      <c r="C9" s="415">
        <v>31017</v>
      </c>
      <c r="D9" s="433">
        <f>IF(inputPrYr!H16&gt;0,inputPrYr!G17,inputPrYr!E17)</f>
        <v>19150</v>
      </c>
      <c r="E9" s="276" t="s">
        <v>150</v>
      </c>
    </row>
    <row r="10" spans="2:5" ht="15.75">
      <c r="B10" s="174" t="s">
        <v>164</v>
      </c>
      <c r="C10" s="415"/>
      <c r="D10" s="417"/>
      <c r="E10" s="277"/>
    </row>
    <row r="11" spans="2:5" ht="15.75">
      <c r="B11" s="174" t="s">
        <v>165</v>
      </c>
      <c r="C11" s="415"/>
      <c r="D11" s="417">
        <v>3203</v>
      </c>
      <c r="E11" s="278">
        <f>Mvalloc!D9</f>
        <v>3012</v>
      </c>
    </row>
    <row r="12" spans="2:5" ht="15.75">
      <c r="B12" s="174" t="s">
        <v>166</v>
      </c>
      <c r="C12" s="415"/>
      <c r="D12" s="417">
        <v>45</v>
      </c>
      <c r="E12" s="278">
        <f>Mvalloc!E9</f>
        <v>79</v>
      </c>
    </row>
    <row r="13" spans="2:5" ht="15.75">
      <c r="B13" s="279" t="s">
        <v>215</v>
      </c>
      <c r="C13" s="415"/>
      <c r="D13" s="417">
        <v>58</v>
      </c>
      <c r="E13" s="278">
        <f>Mvalloc!F9</f>
        <v>42</v>
      </c>
    </row>
    <row r="14" spans="2:5" ht="15.75">
      <c r="B14" s="279" t="s">
        <v>258</v>
      </c>
      <c r="C14" s="415"/>
      <c r="D14" s="417"/>
      <c r="E14" s="278">
        <f>inputOth!E16</f>
        <v>0</v>
      </c>
    </row>
    <row r="15" spans="2:5" ht="15.75">
      <c r="B15" s="279" t="s">
        <v>118</v>
      </c>
      <c r="C15" s="415"/>
      <c r="D15" s="417"/>
      <c r="E15" s="278">
        <f>inputOth!E36</f>
        <v>0</v>
      </c>
    </row>
    <row r="16" spans="2:5" ht="15.75">
      <c r="B16" s="279" t="s">
        <v>120</v>
      </c>
      <c r="C16" s="415"/>
      <c r="D16" s="417"/>
      <c r="E16" s="278">
        <f>inputOth!E37</f>
        <v>0</v>
      </c>
    </row>
    <row r="17" spans="2:5" ht="15.75">
      <c r="B17" s="417"/>
      <c r="C17" s="415"/>
      <c r="D17" s="417"/>
      <c r="E17" s="277"/>
    </row>
    <row r="18" spans="2:5" ht="15.75">
      <c r="B18" s="280" t="s">
        <v>167</v>
      </c>
      <c r="C18" s="415">
        <v>636</v>
      </c>
      <c r="D18" s="417">
        <v>755</v>
      </c>
      <c r="E18" s="277">
        <v>608</v>
      </c>
    </row>
    <row r="19" spans="2:5" ht="15.75">
      <c r="B19" s="434" t="s">
        <v>641</v>
      </c>
      <c r="C19" s="415">
        <v>3014</v>
      </c>
      <c r="D19" s="417">
        <v>3100</v>
      </c>
      <c r="E19" s="277">
        <v>3100</v>
      </c>
    </row>
    <row r="20" spans="2:5" ht="15.75">
      <c r="B20" s="280" t="s">
        <v>252</v>
      </c>
      <c r="C20" s="415">
        <v>17164</v>
      </c>
      <c r="D20" s="417">
        <v>18000</v>
      </c>
      <c r="E20" s="281">
        <v>18000</v>
      </c>
    </row>
    <row r="21" spans="2:7" ht="15.75">
      <c r="B21" s="280" t="s">
        <v>253</v>
      </c>
      <c r="C21" s="415">
        <f>80974-51992</f>
        <v>28982</v>
      </c>
      <c r="D21" s="417">
        <v>32000</v>
      </c>
      <c r="E21" s="277">
        <v>32000</v>
      </c>
      <c r="G21" s="63">
        <f>112375-637-20000-10764</f>
        <v>80974</v>
      </c>
    </row>
    <row r="22" spans="2:5" ht="15.75">
      <c r="B22" s="280" t="s">
        <v>254</v>
      </c>
      <c r="C22" s="415"/>
      <c r="D22" s="417"/>
      <c r="E22" s="277"/>
    </row>
    <row r="23" spans="2:5" ht="15.75">
      <c r="B23" s="280" t="s">
        <v>1054</v>
      </c>
      <c r="C23" s="415"/>
      <c r="D23" s="417"/>
      <c r="E23" s="277"/>
    </row>
    <row r="24" spans="2:5" ht="15.75">
      <c r="B24" s="280" t="s">
        <v>1010</v>
      </c>
      <c r="C24" s="413"/>
      <c r="D24" s="417">
        <v>150</v>
      </c>
      <c r="E24" s="277"/>
    </row>
    <row r="25" spans="2:5" ht="15.75">
      <c r="B25" s="282" t="s">
        <v>168</v>
      </c>
      <c r="C25" s="415">
        <f>7+17+18+7+8+10+25+8+12+13+2+4+25+5</f>
        <v>161</v>
      </c>
      <c r="D25" s="417">
        <v>150</v>
      </c>
      <c r="E25" s="277">
        <v>150</v>
      </c>
    </row>
    <row r="26" spans="2:5" ht="15.75">
      <c r="B26" s="187" t="s">
        <v>255</v>
      </c>
      <c r="C26" s="413"/>
      <c r="D26" s="417">
        <v>100</v>
      </c>
      <c r="E26" s="283"/>
    </row>
    <row r="27" spans="2:5" ht="15.75">
      <c r="B27" s="187" t="s">
        <v>640</v>
      </c>
      <c r="C27" s="406">
        <f>IF(C28*0.1&lt;C26,"Exceed 10% Rule","")</f>
      </c>
      <c r="D27" s="418">
        <f>IF(D28*0.1&lt;D26,"Exceed 10% Rule","")</f>
      </c>
      <c r="E27" s="284">
        <f>IF(E28*0.1+E64&lt;E26,"Exceed 10% Rule","")</f>
      </c>
    </row>
    <row r="28" spans="2:5" ht="15.75">
      <c r="B28" s="285" t="s">
        <v>169</v>
      </c>
      <c r="C28" s="412">
        <f>SUM(C9:C26)</f>
        <v>80974</v>
      </c>
      <c r="D28" s="419">
        <f>SUM(D9:D26)</f>
        <v>76711</v>
      </c>
      <c r="E28" s="286">
        <f>SUM(E9:E26)</f>
        <v>56991</v>
      </c>
    </row>
    <row r="29" spans="2:5" ht="15.75">
      <c r="B29" s="285" t="s">
        <v>170</v>
      </c>
      <c r="C29" s="412">
        <f>C7+C28</f>
        <v>215513</v>
      </c>
      <c r="D29" s="419">
        <f>D7+D28</f>
        <v>191208</v>
      </c>
      <c r="E29" s="287">
        <f>E7+E28</f>
        <v>79930</v>
      </c>
    </row>
    <row r="30" spans="2:5" ht="15.75">
      <c r="B30" s="274" t="s">
        <v>171</v>
      </c>
      <c r="C30" s="414"/>
      <c r="D30" s="420"/>
      <c r="E30" s="278"/>
    </row>
    <row r="31" spans="2:5" ht="15.75">
      <c r="B31" s="288"/>
      <c r="C31" s="413"/>
      <c r="D31" s="417"/>
      <c r="E31" s="431"/>
    </row>
    <row r="32" spans="2:5" ht="15.75">
      <c r="B32" s="288" t="s">
        <v>286</v>
      </c>
      <c r="C32" s="413">
        <f>560+566+150+95+566+150+132+235+333+549+1311</f>
        <v>4647</v>
      </c>
      <c r="D32" s="606">
        <v>6000</v>
      </c>
      <c r="E32" s="610">
        <v>6000</v>
      </c>
    </row>
    <row r="33" spans="2:5" ht="15.75">
      <c r="B33" s="288" t="s">
        <v>289</v>
      </c>
      <c r="C33" s="413">
        <f>227+549+264+192+1552+7+117+65+166</f>
        <v>3139</v>
      </c>
      <c r="D33" s="606">
        <v>2500</v>
      </c>
      <c r="E33" s="610">
        <v>2500</v>
      </c>
    </row>
    <row r="34" spans="2:5" ht="15.75">
      <c r="B34" s="607" t="s">
        <v>1011</v>
      </c>
      <c r="C34" s="413">
        <f>101016-80605</f>
        <v>20411</v>
      </c>
      <c r="D34" s="606">
        <v>5000</v>
      </c>
      <c r="E34" s="610">
        <v>5000</v>
      </c>
    </row>
    <row r="35" spans="2:5" ht="15.75">
      <c r="B35" s="607" t="s">
        <v>1012</v>
      </c>
      <c r="C35" s="413">
        <f>198+8+474+237+9+485+140+9+485+131+9+486+126+9+481+9+4814+1588+9+126+481+356+197+197+9+478+126+476+9+117+129+9+148+136+476+137+9+475+142+10+475</f>
        <v>14425</v>
      </c>
      <c r="D35" s="606">
        <v>7500</v>
      </c>
      <c r="E35" s="610">
        <v>7500</v>
      </c>
    </row>
    <row r="36" spans="2:5" ht="15.75">
      <c r="B36" s="607" t="s">
        <v>1013</v>
      </c>
      <c r="C36" s="413"/>
      <c r="D36" s="606">
        <v>600</v>
      </c>
      <c r="E36" s="610">
        <v>600</v>
      </c>
    </row>
    <row r="37" spans="2:5" ht="15.75">
      <c r="B37" s="607" t="s">
        <v>1014</v>
      </c>
      <c r="C37" s="413"/>
      <c r="D37" s="606">
        <v>300</v>
      </c>
      <c r="E37" s="610">
        <v>300</v>
      </c>
    </row>
    <row r="38" spans="2:5" ht="15.75">
      <c r="B38" s="607" t="s">
        <v>1055</v>
      </c>
      <c r="C38" s="413"/>
      <c r="D38" s="606">
        <v>150</v>
      </c>
      <c r="E38" s="610">
        <v>150</v>
      </c>
    </row>
    <row r="39" spans="2:5" ht="15.75">
      <c r="B39" s="607" t="s">
        <v>1015</v>
      </c>
      <c r="C39" s="413">
        <v>3906</v>
      </c>
      <c r="D39" s="606">
        <v>17000</v>
      </c>
      <c r="E39" s="610">
        <v>17000</v>
      </c>
    </row>
    <row r="40" spans="2:5" ht="15.75">
      <c r="B40" s="607" t="s">
        <v>1016</v>
      </c>
      <c r="C40" s="413"/>
      <c r="D40" s="606"/>
      <c r="E40" s="610"/>
    </row>
    <row r="41" spans="2:5" ht="15.75">
      <c r="B41" s="607" t="s">
        <v>1017</v>
      </c>
      <c r="C41" s="413"/>
      <c r="D41" s="606">
        <v>1000</v>
      </c>
      <c r="E41" s="610">
        <v>1000</v>
      </c>
    </row>
    <row r="42" spans="2:7" ht="15.75">
      <c r="B42" s="607" t="s">
        <v>1018</v>
      </c>
      <c r="C42" s="413"/>
      <c r="D42" s="606">
        <v>2500</v>
      </c>
      <c r="E42" s="610">
        <v>2500</v>
      </c>
      <c r="G42" s="63">
        <f>87110+3906+35000-25000</f>
        <v>101016</v>
      </c>
    </row>
    <row r="43" spans="2:10" ht="15.75">
      <c r="B43" s="607" t="s">
        <v>1019</v>
      </c>
      <c r="C43" s="413">
        <v>3273</v>
      </c>
      <c r="D43" s="606">
        <v>3500</v>
      </c>
      <c r="E43" s="610">
        <v>3500</v>
      </c>
      <c r="G43" s="812"/>
      <c r="H43" s="813"/>
      <c r="I43" s="813"/>
      <c r="J43" s="813"/>
    </row>
    <row r="44" spans="2:5" ht="15.75">
      <c r="B44" s="609" t="s">
        <v>1020</v>
      </c>
      <c r="C44" s="413">
        <v>9000</v>
      </c>
      <c r="D44" s="417">
        <v>7500</v>
      </c>
      <c r="E44" s="277">
        <v>750</v>
      </c>
    </row>
    <row r="45" spans="2:5" ht="15.75">
      <c r="B45" s="609" t="s">
        <v>1021</v>
      </c>
      <c r="C45" s="413"/>
      <c r="D45" s="417">
        <v>52919</v>
      </c>
      <c r="E45" s="277"/>
    </row>
    <row r="46" spans="2:5" ht="15.75">
      <c r="B46" s="609" t="s">
        <v>138</v>
      </c>
      <c r="C46" s="413">
        <f>175*12</f>
        <v>2100</v>
      </c>
      <c r="D46" s="417">
        <v>3000</v>
      </c>
      <c r="E46" s="277">
        <v>3000</v>
      </c>
    </row>
    <row r="47" spans="2:10" ht="15.75">
      <c r="B47" s="609" t="s">
        <v>1022</v>
      </c>
      <c r="C47" s="413"/>
      <c r="D47" s="417">
        <v>800</v>
      </c>
      <c r="E47" s="277">
        <v>800</v>
      </c>
      <c r="G47" s="814" t="str">
        <f>CONCATENATE("Desired Carryover Into ",E1+1,"")</f>
        <v>Desired Carryover Into 2016</v>
      </c>
      <c r="H47" s="815"/>
      <c r="I47" s="815"/>
      <c r="J47" s="816"/>
    </row>
    <row r="48" spans="2:10" ht="15.75">
      <c r="B48" s="288" t="s">
        <v>1023</v>
      </c>
      <c r="C48" s="413"/>
      <c r="D48" s="417">
        <v>8000</v>
      </c>
      <c r="E48" s="277">
        <v>8000</v>
      </c>
      <c r="G48" s="551"/>
      <c r="H48" s="455"/>
      <c r="I48" s="471"/>
      <c r="J48" s="552"/>
    </row>
    <row r="49" spans="2:10" ht="15" customHeight="1">
      <c r="B49" s="288" t="s">
        <v>1024</v>
      </c>
      <c r="C49" s="413">
        <f>619+3765+650</f>
        <v>5034</v>
      </c>
      <c r="D49" s="417">
        <v>35000</v>
      </c>
      <c r="E49" s="277">
        <v>35000</v>
      </c>
      <c r="G49" s="477" t="s">
        <v>649</v>
      </c>
      <c r="H49" s="471"/>
      <c r="I49" s="471"/>
      <c r="J49" s="465">
        <v>0</v>
      </c>
    </row>
    <row r="50" spans="2:10" ht="15" customHeight="1">
      <c r="B50" s="288" t="s">
        <v>1025</v>
      </c>
      <c r="C50" s="413">
        <v>81</v>
      </c>
      <c r="D50" s="417">
        <v>3000</v>
      </c>
      <c r="E50" s="277">
        <v>3000</v>
      </c>
      <c r="G50" s="551" t="s">
        <v>648</v>
      </c>
      <c r="H50" s="455"/>
      <c r="I50" s="455"/>
      <c r="J50" s="641">
        <f>IF(J49=0,"",ROUND((J49+E64-G63)/inputOth!E7*1000,3)-G68)</f>
      </c>
    </row>
    <row r="51" spans="2:10" ht="15" customHeight="1">
      <c r="B51" s="288" t="s">
        <v>1026</v>
      </c>
      <c r="C51" s="413"/>
      <c r="D51" s="417">
        <v>12000</v>
      </c>
      <c r="E51" s="277">
        <f>21714-16670</f>
        <v>5044</v>
      </c>
      <c r="G51" s="551"/>
      <c r="H51" s="455"/>
      <c r="I51" s="455"/>
      <c r="J51" s="641"/>
    </row>
    <row r="52" spans="2:10" ht="15" customHeight="1">
      <c r="B52" s="288" t="s">
        <v>1027</v>
      </c>
      <c r="C52" s="413">
        <v>35000</v>
      </c>
      <c r="D52" s="417"/>
      <c r="E52" s="277"/>
      <c r="G52" s="642" t="str">
        <f>CONCATENATE("",E1," Tot Exp/Non-Appr Must Be:")</f>
        <v>2015 Tot Exp/Non-Appr Must Be:</v>
      </c>
      <c r="H52" s="639"/>
      <c r="I52" s="640"/>
      <c r="J52" s="636">
        <f>IF(J49&gt;0,IF(E61&lt;E29,IF(J49=G63,E61,((J49-G63)*(1-D63))+E29),E61+(J49-G63)),0)</f>
        <v>0</v>
      </c>
    </row>
    <row r="53" spans="2:10" ht="15.75">
      <c r="B53" s="288"/>
      <c r="C53" s="413"/>
      <c r="D53" s="417"/>
      <c r="E53" s="277"/>
      <c r="G53" s="674" t="s">
        <v>819</v>
      </c>
      <c r="H53" s="679"/>
      <c r="I53" s="679"/>
      <c r="J53" s="643">
        <f>IF(J49&gt;0,J52-E61,0)</f>
        <v>0</v>
      </c>
    </row>
    <row r="54" spans="2:5" ht="15.75">
      <c r="B54" s="187" t="s">
        <v>50</v>
      </c>
      <c r="C54" s="413"/>
      <c r="D54" s="417"/>
      <c r="E54" s="278">
        <f>Nhood!E7</f>
      </c>
    </row>
    <row r="55" spans="2:10" ht="15.75">
      <c r="B55" s="187" t="s">
        <v>255</v>
      </c>
      <c r="C55" s="413"/>
      <c r="D55" s="417"/>
      <c r="E55" s="277"/>
      <c r="G55" s="814" t="str">
        <f>CONCATENATE("Projected Carryover Into ",E1+1,"")</f>
        <v>Projected Carryover Into 2016</v>
      </c>
      <c r="H55" s="815"/>
      <c r="I55" s="815"/>
      <c r="J55" s="816"/>
    </row>
    <row r="56" spans="2:10" ht="15.75">
      <c r="B56" s="187" t="s">
        <v>639</v>
      </c>
      <c r="C56" s="406">
        <f>IF(C57*0.1&lt;C55,"Exceed 10% Rule","")</f>
      </c>
      <c r="D56" s="418">
        <f>IF(D57*0.1&lt;D55,"Exceed 10% Rule","")</f>
      </c>
      <c r="E56" s="284">
        <f>IF(E57*0.1&lt;E55,"Exceed 10% Rule","")</f>
      </c>
      <c r="G56" s="466"/>
      <c r="H56" s="455"/>
      <c r="I56" s="455"/>
      <c r="J56" s="467"/>
    </row>
    <row r="57" spans="2:10" ht="15.75">
      <c r="B57" s="285" t="s">
        <v>172</v>
      </c>
      <c r="C57" s="412">
        <f>SUM(C31:C55)</f>
        <v>101016</v>
      </c>
      <c r="D57" s="419">
        <f>SUM(D31:D55)</f>
        <v>168269</v>
      </c>
      <c r="E57" s="286">
        <f>SUM(E31:E55)</f>
        <v>101644</v>
      </c>
      <c r="G57" s="468">
        <f>D58</f>
        <v>22939</v>
      </c>
      <c r="H57" s="469" t="str">
        <f>CONCATENATE("",E1-1," Ending Cash Balance (est.)")</f>
        <v>2014 Ending Cash Balance (est.)</v>
      </c>
      <c r="I57" s="470"/>
      <c r="J57" s="467"/>
    </row>
    <row r="58" spans="2:10" ht="15.75">
      <c r="B58" s="174" t="s">
        <v>276</v>
      </c>
      <c r="C58" s="405">
        <f>C29-C57</f>
        <v>114497</v>
      </c>
      <c r="D58" s="231">
        <f>D29-D57</f>
        <v>22939</v>
      </c>
      <c r="E58" s="276" t="s">
        <v>150</v>
      </c>
      <c r="G58" s="468">
        <f>E28</f>
        <v>56991</v>
      </c>
      <c r="H58" s="471" t="str">
        <f>CONCATENATE("",E1," Non-AV Receipts (est.)")</f>
        <v>2015 Non-AV Receipts (est.)</v>
      </c>
      <c r="I58" s="470"/>
      <c r="J58" s="467"/>
    </row>
    <row r="59" spans="2:11" ht="15.75">
      <c r="B59" s="344" t="str">
        <f>CONCATENATE("",E1-2,"/",E1-1,"/",E1," Budget Authority Amount:")</f>
        <v>2013/2014/2015 Budget Authority Amount:</v>
      </c>
      <c r="C59" s="420">
        <f>inputOth!B55</f>
        <v>128350</v>
      </c>
      <c r="D59" s="420">
        <f>inputPrYr!D17</f>
        <v>168269</v>
      </c>
      <c r="E59" s="137">
        <f>E57</f>
        <v>101644</v>
      </c>
      <c r="F59" s="289"/>
      <c r="G59" s="472">
        <f>IF(E63&gt;0,E62,E64)</f>
        <v>21714</v>
      </c>
      <c r="H59" s="471" t="str">
        <f>CONCATENATE("",E1," Ad Valorem Tax (est.)")</f>
        <v>2015 Ad Valorem Tax (est.)</v>
      </c>
      <c r="I59" s="470"/>
      <c r="J59" s="467"/>
      <c r="K59" s="681">
        <f>IF(G59=E64,"","Note: Does not include Delinquent Taxes")</f>
      </c>
    </row>
    <row r="60" spans="2:10" ht="15.75">
      <c r="B60" s="206"/>
      <c r="C60" s="822" t="s">
        <v>642</v>
      </c>
      <c r="D60" s="823"/>
      <c r="E60" s="83"/>
      <c r="F60" s="461">
        <f>IF(E57/0.95-E57&lt;E60,"Exceeds 5%","")</f>
      </c>
      <c r="G60" s="468">
        <f>SUM(G57:G59)</f>
        <v>101644</v>
      </c>
      <c r="H60" s="471" t="str">
        <f>CONCATENATE("Total ",E1," Resources Available")</f>
        <v>Total 2015 Resources Available</v>
      </c>
      <c r="I60" s="470"/>
      <c r="J60" s="467"/>
    </row>
    <row r="61" spans="2:10" ht="15.75">
      <c r="B61" s="421" t="str">
        <f>CONCATENATE(C73,"     ",D73)</f>
        <v>     </v>
      </c>
      <c r="C61" s="824" t="s">
        <v>643</v>
      </c>
      <c r="D61" s="825"/>
      <c r="E61" s="185">
        <f>E57+E60</f>
        <v>101644</v>
      </c>
      <c r="G61" s="473"/>
      <c r="H61" s="471"/>
      <c r="I61" s="471"/>
      <c r="J61" s="467"/>
    </row>
    <row r="62" spans="2:10" ht="15.75">
      <c r="B62" s="421" t="str">
        <f>CONCATENATE(C74,"     ",D74)</f>
        <v>     </v>
      </c>
      <c r="C62" s="290"/>
      <c r="D62" s="214" t="s">
        <v>173</v>
      </c>
      <c r="E62" s="624">
        <f>IF(E61-E29&gt;0,E61-E29,0)</f>
        <v>21714</v>
      </c>
      <c r="G62" s="472">
        <f>ROUND(C57*0.05+C57,0)</f>
        <v>106067</v>
      </c>
      <c r="H62" s="471" t="str">
        <f>CONCATENATE("Less ",E1-2," Expenditures + 5%")</f>
        <v>Less 2013 Expenditures + 5%</v>
      </c>
      <c r="I62" s="470"/>
      <c r="J62" s="467"/>
    </row>
    <row r="63" spans="2:10" ht="15.75">
      <c r="B63" s="291"/>
      <c r="C63" s="435" t="s">
        <v>644</v>
      </c>
      <c r="D63" s="685">
        <f>inputOth!E41</f>
        <v>0</v>
      </c>
      <c r="E63" s="185">
        <f>ROUND(IF(inputOth!E41&gt;0,(E62*inputOth!E41),0),0)</f>
        <v>0</v>
      </c>
      <c r="G63" s="478">
        <f>G60-G62</f>
        <v>-4423</v>
      </c>
      <c r="H63" s="474" t="str">
        <f>CONCATENATE("Projected ",E1+1," Carryover (est.)")</f>
        <v>Projected 2016 Carryover (est.)</v>
      </c>
      <c r="I63" s="475"/>
      <c r="J63" s="476"/>
    </row>
    <row r="64" spans="2:5" ht="16.5" thickBot="1">
      <c r="B64" s="62"/>
      <c r="C64" s="817" t="str">
        <f>CONCATENATE("Amount of  ",E1-1," Ad Valorem Tax")</f>
        <v>Amount of  2014 Ad Valorem Tax</v>
      </c>
      <c r="D64" s="818"/>
      <c r="E64" s="686">
        <f>E62+E63</f>
        <v>21714</v>
      </c>
    </row>
    <row r="65" spans="2:10" ht="16.5" thickTop="1">
      <c r="B65" s="214"/>
      <c r="C65" s="817"/>
      <c r="D65" s="818"/>
      <c r="E65" s="62"/>
      <c r="G65" s="826" t="s">
        <v>936</v>
      </c>
      <c r="H65" s="827"/>
      <c r="I65" s="827"/>
      <c r="J65" s="828"/>
    </row>
    <row r="66" spans="2:16" ht="15.75">
      <c r="B66" s="206"/>
      <c r="C66" s="214"/>
      <c r="D66" s="456"/>
      <c r="E66" s="62"/>
      <c r="G66" s="687"/>
      <c r="H66" s="469"/>
      <c r="I66" s="637"/>
      <c r="J66" s="638"/>
      <c r="M66" s="812"/>
      <c r="N66" s="812"/>
      <c r="O66" s="812"/>
      <c r="P66" s="821"/>
    </row>
    <row r="67" spans="2:16" ht="15.75">
      <c r="B67" s="206" t="s">
        <v>175</v>
      </c>
      <c r="C67" s="65">
        <f>IF(inputPrYr!D19&gt;0,8,7)</f>
        <v>7</v>
      </c>
      <c r="D67" s="214"/>
      <c r="E67" s="214"/>
      <c r="G67" s="689">
        <f>summ!H16</f>
        <v>10.12</v>
      </c>
      <c r="H67" s="469" t="str">
        <f>CONCATENATE("",E1," Fund Mill Rate")</f>
        <v>2015 Fund Mill Rate</v>
      </c>
      <c r="I67" s="637"/>
      <c r="J67" s="638"/>
      <c r="M67" s="486"/>
      <c r="N67" s="486"/>
      <c r="O67" s="486"/>
      <c r="P67" s="486"/>
    </row>
    <row r="68" spans="3:16" ht="15.75">
      <c r="C68" s="409"/>
      <c r="D68" s="409"/>
      <c r="E68" s="462"/>
      <c r="F68" s="453"/>
      <c r="G68" s="688">
        <f>summ!E16</f>
        <v>8.875</v>
      </c>
      <c r="H68" s="469" t="str">
        <f>CONCATENATE("",E1-1," Fund Mill Rate")</f>
        <v>2014 Fund Mill Rate</v>
      </c>
      <c r="I68" s="637"/>
      <c r="J68" s="638"/>
      <c r="L68" s="491"/>
      <c r="M68" s="487"/>
      <c r="N68" s="488"/>
      <c r="O68" s="488"/>
      <c r="P68" s="489"/>
    </row>
    <row r="69" spans="3:16" ht="15.75">
      <c r="C69" s="463"/>
      <c r="D69" s="647"/>
      <c r="E69" s="648"/>
      <c r="F69" s="411"/>
      <c r="G69" s="690">
        <f>summ!H21</f>
        <v>10.12</v>
      </c>
      <c r="H69" s="469" t="str">
        <f>CONCATENATE("Total ",E1," Mill Rate")</f>
        <v>Total 2015 Mill Rate</v>
      </c>
      <c r="I69" s="637"/>
      <c r="J69" s="638"/>
      <c r="M69" s="463"/>
      <c r="N69" s="411"/>
      <c r="O69" s="463"/>
      <c r="P69" s="489"/>
    </row>
    <row r="70" spans="3:16" ht="15.75">
      <c r="C70" s="464"/>
      <c r="D70" s="411"/>
      <c r="E70" s="411"/>
      <c r="F70" s="411"/>
      <c r="G70" s="688">
        <f>summ!E21</f>
        <v>8.875</v>
      </c>
      <c r="H70" s="625" t="str">
        <f>CONCATENATE("Total ",E1-1," Mill Rate")</f>
        <v>Total 2014 Mill Rate</v>
      </c>
      <c r="I70" s="626"/>
      <c r="J70" s="627"/>
      <c r="M70" s="463"/>
      <c r="N70" s="411"/>
      <c r="O70" s="463"/>
      <c r="P70" s="490"/>
    </row>
    <row r="71" spans="3:6" ht="14.25" customHeight="1">
      <c r="C71" s="410"/>
      <c r="D71" s="646"/>
      <c r="E71" s="489"/>
      <c r="F71" s="411"/>
    </row>
    <row r="72" spans="3:9" ht="15.75">
      <c r="C72" s="410"/>
      <c r="D72" s="411"/>
      <c r="E72" s="411"/>
      <c r="F72" s="411"/>
      <c r="G72" s="727" t="s">
        <v>962</v>
      </c>
      <c r="H72" s="726"/>
      <c r="I72" s="725" t="str">
        <f>cert!E38</f>
        <v>Yes</v>
      </c>
    </row>
    <row r="73" spans="3:6" ht="15.75" customHeight="1" hidden="1">
      <c r="C73" s="452">
        <f>IF(C57&gt;C59,"See Tab A","")</f>
      </c>
      <c r="D73" s="451">
        <f>IF(D57&gt;D59,"See Tab C","")</f>
      </c>
      <c r="E73" s="411"/>
      <c r="F73" s="411"/>
    </row>
    <row r="74" spans="3:10" ht="15.75" customHeight="1" hidden="1">
      <c r="C74" s="450">
        <f>IF(C58&lt;0,"See Tab B","")</f>
      </c>
      <c r="D74" s="450">
        <f>IF(D58&lt;0,"See Tab D","")</f>
      </c>
      <c r="G74" s="819" t="s">
        <v>818</v>
      </c>
      <c r="H74" s="820"/>
      <c r="I74" s="820"/>
      <c r="J74" s="636">
        <f>IF(J48&gt;0,J50-E61,0)</f>
        <v>0</v>
      </c>
    </row>
  </sheetData>
  <sheetProtection/>
  <mergeCells count="10">
    <mergeCell ref="G43:J43"/>
    <mergeCell ref="G55:J55"/>
    <mergeCell ref="G47:J47"/>
    <mergeCell ref="C65:D65"/>
    <mergeCell ref="G74:I74"/>
    <mergeCell ref="M66:P66"/>
    <mergeCell ref="C64:D64"/>
    <mergeCell ref="C60:D60"/>
    <mergeCell ref="C61:D61"/>
    <mergeCell ref="G65:J65"/>
  </mergeCells>
  <conditionalFormatting sqref="E55">
    <cfRule type="cellIs" priority="3" dxfId="136" operator="greaterThan" stopIfTrue="1">
      <formula>$E$57*0.1</formula>
    </cfRule>
  </conditionalFormatting>
  <conditionalFormatting sqref="E60">
    <cfRule type="cellIs" priority="4" dxfId="136" operator="greaterThan" stopIfTrue="1">
      <formula>$E$57/0.95-$E$57</formula>
    </cfRule>
  </conditionalFormatting>
  <conditionalFormatting sqref="C58">
    <cfRule type="cellIs" priority="5" dxfId="1" operator="lessThan" stopIfTrue="1">
      <formula>0</formula>
    </cfRule>
  </conditionalFormatting>
  <conditionalFormatting sqref="D57">
    <cfRule type="cellIs" priority="6" dxfId="1" operator="greaterThan" stopIfTrue="1">
      <formula>$D$59</formula>
    </cfRule>
  </conditionalFormatting>
  <conditionalFormatting sqref="C55">
    <cfRule type="cellIs" priority="8" dxfId="1" operator="greaterThan" stopIfTrue="1">
      <formula>$C$57*0.1</formula>
    </cfRule>
  </conditionalFormatting>
  <conditionalFormatting sqref="D55">
    <cfRule type="cellIs" priority="9" dxfId="1" operator="greaterThan" stopIfTrue="1">
      <formula>$D$57*0.1</formula>
    </cfRule>
  </conditionalFormatting>
  <conditionalFormatting sqref="C26">
    <cfRule type="cellIs" priority="10" dxfId="1" operator="greaterThan" stopIfTrue="1">
      <formula>$C$28*0.1</formula>
    </cfRule>
  </conditionalFormatting>
  <conditionalFormatting sqref="D26">
    <cfRule type="cellIs" priority="11" dxfId="1" operator="greaterThan" stopIfTrue="1">
      <formula>$D$28*0.1</formula>
    </cfRule>
  </conditionalFormatting>
  <conditionalFormatting sqref="E26">
    <cfRule type="cellIs" priority="12" dxfId="136" operator="greaterThan" stopIfTrue="1">
      <formula>$E$28*0.1+E64</formula>
    </cfRule>
  </conditionalFormatting>
  <conditionalFormatting sqref="D58">
    <cfRule type="cellIs" priority="2" dxfId="0" operator="lessThan" stopIfTrue="1">
      <formula>0</formula>
    </cfRule>
  </conditionalFormatting>
  <conditionalFormatting sqref="C57">
    <cfRule type="cellIs" priority="1" dxfId="0" operator="greaterThan" stopIfTrue="1">
      <formula>$C$59</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6">
      <selection activeCell="E52" sqref="E52"/>
    </sheetView>
  </sheetViews>
  <sheetFormatPr defaultColWidth="8.796875" defaultRowHeight="15"/>
  <cols>
    <col min="1" max="1" width="2.3984375" style="63" customWidth="1"/>
    <col min="2" max="2" width="31.09765625" style="63" customWidth="1"/>
    <col min="3" max="4" width="15.796875" style="63" customWidth="1"/>
    <col min="5" max="5" width="16.09765625" style="63" customWidth="1"/>
    <col min="6" max="16384" width="8.8984375" style="63" customWidth="1"/>
  </cols>
  <sheetData>
    <row r="1" spans="2:5" ht="15.75">
      <c r="B1" s="197" t="str">
        <f>(inputPrYr!D2)</f>
        <v>City of Fairview</v>
      </c>
      <c r="C1" s="62"/>
      <c r="D1" s="62"/>
      <c r="E1" s="157">
        <f>inputPrYr!$C$5</f>
        <v>2015</v>
      </c>
    </row>
    <row r="2" spans="2:5" ht="15.75">
      <c r="B2" s="62"/>
      <c r="C2" s="62"/>
      <c r="D2" s="62"/>
      <c r="E2" s="214"/>
    </row>
    <row r="3" spans="2:5" ht="15.75">
      <c r="B3" s="77" t="s">
        <v>220</v>
      </c>
      <c r="C3" s="326"/>
      <c r="D3" s="326"/>
      <c r="E3" s="327"/>
    </row>
    <row r="4" spans="2:5" ht="15.75">
      <c r="B4" s="65" t="s">
        <v>162</v>
      </c>
      <c r="C4" s="695" t="s">
        <v>815</v>
      </c>
      <c r="D4" s="696" t="s">
        <v>816</v>
      </c>
      <c r="E4" s="170" t="s">
        <v>817</v>
      </c>
    </row>
    <row r="5" spans="2:5" ht="15.75">
      <c r="B5" s="446" t="str">
        <f>(inputPrYr!B28)</f>
        <v>Special Highway</v>
      </c>
      <c r="C5" s="328" t="str">
        <f>CONCATENATE("Actual for ",$E$1-2,"")</f>
        <v>Actual for 2013</v>
      </c>
      <c r="D5" s="407" t="str">
        <f>CONCATENATE("Estimate for ",$E$1-1,"")</f>
        <v>Estimate for 2014</v>
      </c>
      <c r="E5" s="225" t="str">
        <f>CONCATENATE("Year for ",$E$1,"")</f>
        <v>Year for 2015</v>
      </c>
    </row>
    <row r="6" spans="2:5" ht="15.75">
      <c r="B6" s="174" t="s">
        <v>275</v>
      </c>
      <c r="C6" s="83">
        <v>-30288</v>
      </c>
      <c r="D6" s="185">
        <f>C25</f>
        <v>101</v>
      </c>
      <c r="E6" s="185">
        <f>D25</f>
        <v>0</v>
      </c>
    </row>
    <row r="7" spans="2:5" ht="15.75">
      <c r="B7" s="274" t="s">
        <v>277</v>
      </c>
      <c r="C7" s="185"/>
      <c r="D7" s="185"/>
      <c r="E7" s="185"/>
    </row>
    <row r="8" spans="2:5" ht="15.75">
      <c r="B8" s="338" t="s">
        <v>177</v>
      </c>
      <c r="C8" s="83">
        <v>6486</v>
      </c>
      <c r="D8" s="185">
        <f>inputOth!E47</f>
        <v>6500</v>
      </c>
      <c r="E8" s="185">
        <f>inputOth!E45</f>
        <v>6560</v>
      </c>
    </row>
    <row r="9" spans="2:5" ht="15.75">
      <c r="B9" s="338" t="s">
        <v>319</v>
      </c>
      <c r="C9" s="83"/>
      <c r="D9" s="185">
        <f>inputOth!E48</f>
        <v>0</v>
      </c>
      <c r="E9" s="185">
        <f>inputOth!E46</f>
        <v>0</v>
      </c>
    </row>
    <row r="10" spans="2:5" ht="15.75">
      <c r="B10" s="288" t="s">
        <v>1028</v>
      </c>
      <c r="C10" s="83">
        <v>35000</v>
      </c>
      <c r="D10" s="83"/>
      <c r="E10" s="83"/>
    </row>
    <row r="11" spans="2:5" ht="15.75">
      <c r="B11" s="288"/>
      <c r="C11" s="83"/>
      <c r="D11" s="83"/>
      <c r="E11" s="83"/>
    </row>
    <row r="12" spans="2:5" ht="15.75">
      <c r="B12" s="332" t="s">
        <v>168</v>
      </c>
      <c r="C12" s="83"/>
      <c r="D12" s="83"/>
      <c r="E12" s="83"/>
    </row>
    <row r="13" spans="2:5" ht="15.75">
      <c r="B13" s="336" t="s">
        <v>255</v>
      </c>
      <c r="C13" s="83"/>
      <c r="D13" s="83"/>
      <c r="E13" s="83"/>
    </row>
    <row r="14" spans="2:5" ht="15.75">
      <c r="B14" s="336" t="s">
        <v>640</v>
      </c>
      <c r="C14" s="447">
        <f>IF(C15*0.1&lt;C13,"Exceed 10% Rule","")</f>
      </c>
      <c r="D14" s="333">
        <f>IF(D15*0.1&lt;D13,"Exceed 10% Rule","")</f>
      </c>
      <c r="E14" s="333">
        <f>IF(E15*0.1&lt;E13,"Exceed 10% Rule","")</f>
      </c>
    </row>
    <row r="15" spans="2:5" ht="15.75">
      <c r="B15" s="285" t="s">
        <v>169</v>
      </c>
      <c r="C15" s="335">
        <f>SUM(C8:C13)</f>
        <v>41486</v>
      </c>
      <c r="D15" s="335">
        <f>SUM(D8:D13)</f>
        <v>6500</v>
      </c>
      <c r="E15" s="335">
        <f>SUM(E8:E13)</f>
        <v>6560</v>
      </c>
    </row>
    <row r="16" spans="2:5" ht="15.75">
      <c r="B16" s="285" t="s">
        <v>170</v>
      </c>
      <c r="C16" s="335">
        <f>C6+C15</f>
        <v>11198</v>
      </c>
      <c r="D16" s="335">
        <f>D6+D15</f>
        <v>6601</v>
      </c>
      <c r="E16" s="335">
        <f>E6+E15</f>
        <v>6560</v>
      </c>
    </row>
    <row r="17" spans="2:5" ht="15.75">
      <c r="B17" s="174" t="s">
        <v>171</v>
      </c>
      <c r="C17" s="185"/>
      <c r="D17" s="185"/>
      <c r="E17" s="185"/>
    </row>
    <row r="18" spans="2:5" ht="15.75">
      <c r="B18" s="288" t="s">
        <v>178</v>
      </c>
      <c r="C18" s="83">
        <v>11097</v>
      </c>
      <c r="D18" s="83">
        <v>6601</v>
      </c>
      <c r="E18" s="83">
        <v>6560</v>
      </c>
    </row>
    <row r="19" spans="2:5" ht="15.75">
      <c r="B19" s="398"/>
      <c r="C19" s="83"/>
      <c r="D19" s="83"/>
      <c r="E19" s="83"/>
    </row>
    <row r="20" spans="2:5" ht="15.75">
      <c r="B20" s="288"/>
      <c r="C20" s="83"/>
      <c r="D20" s="83"/>
      <c r="E20" s="83"/>
    </row>
    <row r="21" spans="2:5" ht="15.75">
      <c r="B21" s="288"/>
      <c r="C21" s="83"/>
      <c r="D21" s="83"/>
      <c r="E21" s="83"/>
    </row>
    <row r="22" spans="2:5" ht="15.75">
      <c r="B22" s="187" t="s">
        <v>255</v>
      </c>
      <c r="C22" s="83"/>
      <c r="D22" s="83"/>
      <c r="E22" s="83"/>
    </row>
    <row r="23" spans="2:5" ht="15.75">
      <c r="B23" s="82" t="s">
        <v>639</v>
      </c>
      <c r="C23" s="447">
        <f>IF(C24*0.1&lt;C22,"Exceed 10% Rule","")</f>
      </c>
      <c r="D23" s="333">
        <f>IF(D24*0.1&lt;D22,"Exceed 10% Rule","")</f>
      </c>
      <c r="E23" s="333">
        <f>IF(E24*0.1&lt;E22,"Exceed 10% Rule","")</f>
      </c>
    </row>
    <row r="24" spans="2:5" ht="15.75">
      <c r="B24" s="285" t="s">
        <v>172</v>
      </c>
      <c r="C24" s="335">
        <f>SUM(C18:C22)</f>
        <v>11097</v>
      </c>
      <c r="D24" s="335">
        <f>SUM(D18:D22)</f>
        <v>6601</v>
      </c>
      <c r="E24" s="335">
        <f>SUM(E18:E22)</f>
        <v>6560</v>
      </c>
    </row>
    <row r="25" spans="2:5" ht="15.75">
      <c r="B25" s="174" t="s">
        <v>276</v>
      </c>
      <c r="C25" s="90">
        <f>C16-C24</f>
        <v>101</v>
      </c>
      <c r="D25" s="90">
        <f>D16-D24</f>
        <v>0</v>
      </c>
      <c r="E25" s="90">
        <f>E16-E24</f>
        <v>0</v>
      </c>
    </row>
    <row r="26" spans="2:5" ht="15.75">
      <c r="B26" s="344" t="str">
        <f>CONCATENATE("",E1-2,"/",E1-1,"/",E1," Budget Authority Amount:")</f>
        <v>2013/2014/2015 Budget Authority Amount:</v>
      </c>
      <c r="C26" s="420">
        <f>inputOth!B62</f>
        <v>6252</v>
      </c>
      <c r="D26" s="420">
        <f>inputPrYr!D28</f>
        <v>6770</v>
      </c>
      <c r="E26" s="420">
        <f>E24</f>
        <v>6560</v>
      </c>
    </row>
    <row r="27" spans="2:5" ht="15.75">
      <c r="B27" s="206"/>
      <c r="C27" s="290" t="str">
        <f>IF(C24&gt;C26,"See Tab A","")</f>
        <v>See Tab A</v>
      </c>
      <c r="D27" s="290">
        <f>IF(D24&gt;D26,"See Tab C","")</f>
      </c>
      <c r="E27" s="747">
        <f>IF(E25&lt;0,"See Tab E","")</f>
      </c>
    </row>
    <row r="28" spans="2:5" ht="15.75">
      <c r="B28" s="206"/>
      <c r="C28" s="290">
        <f>IF(C25&lt;0,"See Tab B","")</f>
      </c>
      <c r="D28" s="290">
        <f>IF(D25&lt;0,"See Tab D","")</f>
      </c>
      <c r="E28" s="204"/>
    </row>
    <row r="29" spans="2:5" ht="15.75">
      <c r="B29" s="62"/>
      <c r="C29" s="204"/>
      <c r="D29" s="204"/>
      <c r="E29" s="204"/>
    </row>
    <row r="30" spans="2:5" ht="15.75">
      <c r="B30" s="65" t="s">
        <v>162</v>
      </c>
      <c r="C30" s="695" t="s">
        <v>815</v>
      </c>
      <c r="D30" s="696" t="s">
        <v>816</v>
      </c>
      <c r="E30" s="170" t="s">
        <v>817</v>
      </c>
    </row>
    <row r="31" spans="2:5" ht="15.75">
      <c r="B31" s="445" t="str">
        <f>(inputPrYr!B29)</f>
        <v>Sewer</v>
      </c>
      <c r="C31" s="328" t="str">
        <f>CONCATENATE("Actual for ",$E$1-2,"")</f>
        <v>Actual for 2013</v>
      </c>
      <c r="D31" s="407" t="str">
        <f>CONCATENATE("Estimate for ",$E$1-1,"")</f>
        <v>Estimate for 2014</v>
      </c>
      <c r="E31" s="225" t="str">
        <f>CONCATENATE("Year for ",$E$1,"")</f>
        <v>Year for 2015</v>
      </c>
    </row>
    <row r="32" spans="2:5" ht="15.75">
      <c r="B32" s="174" t="s">
        <v>275</v>
      </c>
      <c r="C32" s="83">
        <v>27151</v>
      </c>
      <c r="D32" s="185">
        <f>C61</f>
        <v>13153</v>
      </c>
      <c r="E32" s="185">
        <f>D61</f>
        <v>2557</v>
      </c>
    </row>
    <row r="33" spans="2:5" ht="15.75">
      <c r="B33" s="174" t="s">
        <v>277</v>
      </c>
      <c r="C33" s="185"/>
      <c r="D33" s="185"/>
      <c r="E33" s="185"/>
    </row>
    <row r="34" spans="2:5" ht="15.75">
      <c r="B34" s="288"/>
      <c r="C34" s="83"/>
      <c r="D34" s="83"/>
      <c r="E34" s="83"/>
    </row>
    <row r="35" spans="2:5" ht="15.75">
      <c r="B35" s="288" t="s">
        <v>179</v>
      </c>
      <c r="C35" s="83">
        <f>17956-299</f>
        <v>17657</v>
      </c>
      <c r="D35" s="83">
        <v>18000</v>
      </c>
      <c r="E35" s="83">
        <v>18000</v>
      </c>
    </row>
    <row r="36" spans="2:5" ht="15.75">
      <c r="B36" s="288"/>
      <c r="C36" s="83"/>
      <c r="D36" s="83"/>
      <c r="E36" s="83"/>
    </row>
    <row r="37" spans="2:5" ht="15.75">
      <c r="B37" s="288"/>
      <c r="C37" s="83"/>
      <c r="D37" s="83"/>
      <c r="E37" s="83"/>
    </row>
    <row r="38" spans="2:5" ht="15.75">
      <c r="B38" s="288"/>
      <c r="C38" s="83"/>
      <c r="D38" s="83"/>
      <c r="E38" s="83"/>
    </row>
    <row r="39" spans="2:5" ht="15.75">
      <c r="B39" s="288"/>
      <c r="C39" s="83"/>
      <c r="D39" s="83"/>
      <c r="E39" s="83"/>
    </row>
    <row r="40" spans="2:5" ht="15.75">
      <c r="B40" s="332" t="s">
        <v>168</v>
      </c>
      <c r="C40" s="83">
        <f>12+9+8+10+5+4+4+3+4+240</f>
        <v>299</v>
      </c>
      <c r="D40" s="83">
        <v>200</v>
      </c>
      <c r="E40" s="83">
        <v>300</v>
      </c>
    </row>
    <row r="41" spans="2:5" ht="15.75">
      <c r="B41" s="336" t="s">
        <v>255</v>
      </c>
      <c r="C41" s="83"/>
      <c r="D41" s="83"/>
      <c r="E41" s="83"/>
    </row>
    <row r="42" spans="2:5" ht="15.75">
      <c r="B42" s="336" t="s">
        <v>51</v>
      </c>
      <c r="C42" s="447">
        <f>IF(C43*0.1&lt;C41,"Exceed 10% Rule","")</f>
      </c>
      <c r="D42" s="333">
        <f>IF(D43*0.1&lt;D41,"Exceed 10% Rule","")</f>
      </c>
      <c r="E42" s="333">
        <f>IF(E43*0.1&lt;E41,"Exceed 10% Rule","")</f>
      </c>
    </row>
    <row r="43" spans="2:5" ht="15.75">
      <c r="B43" s="285" t="s">
        <v>169</v>
      </c>
      <c r="C43" s="335">
        <f>SUM(C34:C41)</f>
        <v>17956</v>
      </c>
      <c r="D43" s="335">
        <f>SUM(D34:D41)</f>
        <v>18200</v>
      </c>
      <c r="E43" s="335">
        <f>SUM(E34:E41)</f>
        <v>18300</v>
      </c>
    </row>
    <row r="44" spans="2:5" ht="15.75">
      <c r="B44" s="285" t="s">
        <v>170</v>
      </c>
      <c r="C44" s="335">
        <f>C32+C43</f>
        <v>45107</v>
      </c>
      <c r="D44" s="335">
        <f>D32+D43</f>
        <v>31353</v>
      </c>
      <c r="E44" s="335">
        <f>E32+E43</f>
        <v>20857</v>
      </c>
    </row>
    <row r="45" spans="2:5" ht="15.75">
      <c r="B45" s="174" t="s">
        <v>171</v>
      </c>
      <c r="C45" s="185"/>
      <c r="D45" s="185"/>
      <c r="E45" s="185"/>
    </row>
    <row r="46" spans="2:5" ht="15.75">
      <c r="B46" s="288"/>
      <c r="C46" s="83"/>
      <c r="D46" s="83"/>
      <c r="E46" s="83"/>
    </row>
    <row r="47" spans="2:5" ht="15.75">
      <c r="B47" s="607" t="s">
        <v>286</v>
      </c>
      <c r="C47" s="83">
        <f>549+543</f>
        <v>1092</v>
      </c>
      <c r="D47" s="83">
        <v>1500</v>
      </c>
      <c r="E47" s="83">
        <v>1500</v>
      </c>
    </row>
    <row r="48" spans="2:5" ht="15.75">
      <c r="B48" s="607" t="s">
        <v>289</v>
      </c>
      <c r="C48" s="83"/>
      <c r="D48" s="83">
        <v>250</v>
      </c>
      <c r="E48" s="83">
        <v>250</v>
      </c>
    </row>
    <row r="49" spans="2:5" ht="15.75">
      <c r="B49" s="607" t="s">
        <v>1029</v>
      </c>
      <c r="C49" s="83"/>
      <c r="D49" s="83">
        <v>600</v>
      </c>
      <c r="E49" s="83">
        <v>600</v>
      </c>
    </row>
    <row r="50" spans="2:5" ht="15.75">
      <c r="B50" s="607" t="s">
        <v>1030</v>
      </c>
      <c r="C50" s="83"/>
      <c r="D50" s="83">
        <v>500</v>
      </c>
      <c r="E50" s="83">
        <v>500</v>
      </c>
    </row>
    <row r="51" spans="2:5" ht="15.75">
      <c r="B51" s="607" t="s">
        <v>1031</v>
      </c>
      <c r="C51" s="83">
        <f>31954-30169</f>
        <v>1785</v>
      </c>
      <c r="D51" s="83">
        <v>1500</v>
      </c>
      <c r="E51" s="83">
        <v>16201</v>
      </c>
    </row>
    <row r="52" spans="2:5" ht="15.75">
      <c r="B52" s="607" t="s">
        <v>1032</v>
      </c>
      <c r="C52" s="83">
        <f>162+175+175</f>
        <v>512</v>
      </c>
      <c r="D52" s="83">
        <v>606</v>
      </c>
      <c r="E52" s="83">
        <v>606</v>
      </c>
    </row>
    <row r="53" spans="2:5" ht="15.75">
      <c r="B53" s="607" t="s">
        <v>1033</v>
      </c>
      <c r="C53" s="83">
        <f>300+300+300+300</f>
        <v>1200</v>
      </c>
      <c r="D53" s="83"/>
      <c r="E53" s="83">
        <v>1200</v>
      </c>
    </row>
    <row r="54" spans="2:5" ht="15.75">
      <c r="B54" s="607" t="s">
        <v>1034</v>
      </c>
      <c r="C54" s="83">
        <f>13780+13585</f>
        <v>27365</v>
      </c>
      <c r="D54" s="83">
        <v>23840</v>
      </c>
      <c r="E54" s="83"/>
    </row>
    <row r="55" spans="2:5" ht="15.75">
      <c r="B55" s="607" t="s">
        <v>1035</v>
      </c>
      <c r="C55" s="83"/>
      <c r="D55" s="83"/>
      <c r="E55" s="83"/>
    </row>
    <row r="56" spans="2:5" ht="15.75">
      <c r="B56" s="607" t="s">
        <v>1036</v>
      </c>
      <c r="C56" s="83"/>
      <c r="D56" s="83"/>
      <c r="E56" s="83"/>
    </row>
    <row r="57" spans="2:5" ht="15.75">
      <c r="B57" s="399"/>
      <c r="C57" s="83"/>
      <c r="D57" s="83"/>
      <c r="E57" s="83"/>
    </row>
    <row r="58" spans="2:5" ht="15.75">
      <c r="B58" s="187" t="s">
        <v>255</v>
      </c>
      <c r="C58" s="83"/>
      <c r="D58" s="83"/>
      <c r="E58" s="83"/>
    </row>
    <row r="59" spans="2:5" ht="15.75">
      <c r="B59" s="187" t="s">
        <v>52</v>
      </c>
      <c r="C59" s="447">
        <f>IF(C60*0.1&lt;C58,"Exceed 10% Rule","")</f>
      </c>
      <c r="D59" s="333">
        <f>IF(D60*0.1&lt;D58,"Exceed 10% Rule","")</f>
      </c>
      <c r="E59" s="333">
        <f>IF(E60*0.1&lt;E58,"Exceed 10% Rule","")</f>
      </c>
    </row>
    <row r="60" spans="2:5" ht="15.75">
      <c r="B60" s="285" t="s">
        <v>172</v>
      </c>
      <c r="C60" s="335">
        <f>SUM(C46:C58)</f>
        <v>31954</v>
      </c>
      <c r="D60" s="335">
        <f>SUM(D46:D58)</f>
        <v>28796</v>
      </c>
      <c r="E60" s="335">
        <f>SUM(E46:E58)</f>
        <v>20857</v>
      </c>
    </row>
    <row r="61" spans="2:5" ht="15.75">
      <c r="B61" s="174" t="s">
        <v>276</v>
      </c>
      <c r="C61" s="90">
        <f>C44-C60</f>
        <v>13153</v>
      </c>
      <c r="D61" s="90">
        <f>D44-D60</f>
        <v>2557</v>
      </c>
      <c r="E61" s="90">
        <f>E44-E60</f>
        <v>0</v>
      </c>
    </row>
    <row r="62" spans="2:5" ht="15.75">
      <c r="B62" s="344" t="str">
        <f>CONCATENATE("",E1-2,"/",E1-1,"/",E1," Budget Authority Amount:")</f>
        <v>2013/2014/2015 Budget Authority Amount:</v>
      </c>
      <c r="C62" s="420">
        <f>inputOth!B63</f>
        <v>34999</v>
      </c>
      <c r="D62" s="420">
        <f>inputPrYr!D29</f>
        <v>28796</v>
      </c>
      <c r="E62" s="185">
        <f>E60</f>
        <v>20857</v>
      </c>
    </row>
    <row r="63" spans="2:5" ht="15.75">
      <c r="B63" s="206"/>
      <c r="C63" s="290">
        <f>IF(C60&gt;C62,"See Tab A","")</f>
      </c>
      <c r="D63" s="290">
        <f>IF(D60&gt;D62,"See Tab C","")</f>
      </c>
      <c r="E63" s="747">
        <f>IF(E61&lt;0,"See Tab E","")</f>
      </c>
    </row>
    <row r="64" spans="2:5" ht="15.75">
      <c r="B64" s="206"/>
      <c r="C64" s="290">
        <f>IF(C61&lt;0,"See Tab B","")</f>
      </c>
      <c r="D64" s="290">
        <f>IF(D61&lt;0,"See Tab D","")</f>
      </c>
      <c r="E64" s="62"/>
    </row>
    <row r="65" spans="2:5" ht="15.75">
      <c r="B65" s="62"/>
      <c r="C65" s="62"/>
      <c r="D65" s="62"/>
      <c r="E65" s="62"/>
    </row>
    <row r="66" spans="2:5" ht="15.75">
      <c r="B66" s="214" t="s">
        <v>175</v>
      </c>
      <c r="C66" s="292">
        <v>8</v>
      </c>
      <c r="D66" s="62"/>
      <c r="E66" s="62"/>
    </row>
  </sheetData>
  <sheetProtection/>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55"/>
  <sheetViews>
    <sheetView zoomScalePageLayoutView="0" workbookViewId="0" topLeftCell="A1">
      <selection activeCell="A20" sqref="A20"/>
    </sheetView>
  </sheetViews>
  <sheetFormatPr defaultColWidth="8.796875" defaultRowHeight="15"/>
  <cols>
    <col min="1" max="1" width="2.3984375" style="63" customWidth="1"/>
    <col min="2" max="2" width="31.09765625" style="63" customWidth="1"/>
    <col min="3" max="4" width="15.796875" style="63" customWidth="1"/>
    <col min="5" max="5" width="16.19921875" style="63" customWidth="1"/>
    <col min="6" max="16384" width="8.8984375" style="63" customWidth="1"/>
  </cols>
  <sheetData>
    <row r="1" spans="2:5" ht="15.75">
      <c r="B1" s="197" t="str">
        <f>(inputPrYr!D2)</f>
        <v>City of Fairview</v>
      </c>
      <c r="C1" s="62"/>
      <c r="D1" s="62"/>
      <c r="E1" s="157">
        <f>inputPrYr!$C$5</f>
        <v>2015</v>
      </c>
    </row>
    <row r="2" spans="2:5" ht="15.75">
      <c r="B2" s="62"/>
      <c r="C2" s="62"/>
      <c r="D2" s="62"/>
      <c r="E2" s="214"/>
    </row>
    <row r="3" spans="2:5" ht="15.75">
      <c r="B3" s="77" t="s">
        <v>220</v>
      </c>
      <c r="C3" s="168"/>
      <c r="D3" s="168"/>
      <c r="E3" s="159"/>
    </row>
    <row r="4" spans="2:5" ht="15.75">
      <c r="B4" s="65" t="s">
        <v>162</v>
      </c>
      <c r="C4" s="695" t="s">
        <v>815</v>
      </c>
      <c r="D4" s="696" t="s">
        <v>816</v>
      </c>
      <c r="E4" s="170" t="s">
        <v>817</v>
      </c>
    </row>
    <row r="5" spans="2:5" ht="15.75">
      <c r="B5" s="446" t="str">
        <f>(inputPrYr!B30)</f>
        <v>Special Parks &amp; Recreation</v>
      </c>
      <c r="C5" s="328" t="str">
        <f>CONCATENATE("Actual for ",$E$1-2,"")</f>
        <v>Actual for 2013</v>
      </c>
      <c r="D5" s="407" t="str">
        <f>CONCATENATE("Estimate for ",$E$1-1,"")</f>
        <v>Estimate for 2014</v>
      </c>
      <c r="E5" s="225" t="str">
        <f>CONCATENATE("Year for ",$E$1,"")</f>
        <v>Year for 2015</v>
      </c>
    </row>
    <row r="6" spans="2:5" ht="15.75">
      <c r="B6" s="174" t="s">
        <v>275</v>
      </c>
      <c r="C6" s="83">
        <v>2896</v>
      </c>
      <c r="D6" s="185">
        <f>C26</f>
        <v>2201</v>
      </c>
      <c r="E6" s="185">
        <f>D26</f>
        <v>2004</v>
      </c>
    </row>
    <row r="7" spans="2:5" ht="15.75">
      <c r="B7" s="274" t="s">
        <v>277</v>
      </c>
      <c r="C7" s="185"/>
      <c r="D7" s="185"/>
      <c r="E7" s="185"/>
    </row>
    <row r="8" spans="2:5" ht="15.75">
      <c r="B8" s="288"/>
      <c r="C8" s="83"/>
      <c r="D8" s="83"/>
      <c r="E8" s="83"/>
    </row>
    <row r="9" spans="2:5" ht="15.75">
      <c r="B9" s="288" t="s">
        <v>1038</v>
      </c>
      <c r="C9" s="83">
        <v>637</v>
      </c>
      <c r="D9" s="83">
        <v>756</v>
      </c>
      <c r="E9" s="83">
        <v>608</v>
      </c>
    </row>
    <row r="10" spans="2:5" ht="15.75">
      <c r="B10" s="288" t="s">
        <v>1039</v>
      </c>
      <c r="C10" s="83">
        <v>900</v>
      </c>
      <c r="D10" s="83">
        <v>800</v>
      </c>
      <c r="E10" s="83">
        <v>800</v>
      </c>
    </row>
    <row r="11" spans="2:5" ht="15.75">
      <c r="B11" s="288" t="s">
        <v>1047</v>
      </c>
      <c r="C11" s="83">
        <f>140+130+250</f>
        <v>520</v>
      </c>
      <c r="D11" s="83"/>
      <c r="E11" s="83"/>
    </row>
    <row r="12" spans="2:5" ht="15.75">
      <c r="B12" s="332" t="s">
        <v>168</v>
      </c>
      <c r="C12" s="83"/>
      <c r="D12" s="83"/>
      <c r="E12" s="83"/>
    </row>
    <row r="13" spans="2:5" ht="15.75">
      <c r="B13" s="336" t="s">
        <v>255</v>
      </c>
      <c r="C13" s="83"/>
      <c r="D13" s="83"/>
      <c r="E13" s="83"/>
    </row>
    <row r="14" spans="2:5" ht="15.75">
      <c r="B14" s="336" t="s">
        <v>640</v>
      </c>
      <c r="C14" s="447">
        <f>IF(C15*0.1&lt;C13,"Exceed 10% Rule","")</f>
      </c>
      <c r="D14" s="333">
        <f>IF(D15*0.1&lt;D13,"Exceed 10% Rule","")</f>
      </c>
      <c r="E14" s="333">
        <f>IF(E15*0.1&lt;E13,"Exceed 10% Rule","")</f>
      </c>
    </row>
    <row r="15" spans="2:5" ht="15.75">
      <c r="B15" s="285" t="s">
        <v>169</v>
      </c>
      <c r="C15" s="335">
        <f>SUM(C8:C13)</f>
        <v>2057</v>
      </c>
      <c r="D15" s="335">
        <f>SUM(D8:D13)</f>
        <v>1556</v>
      </c>
      <c r="E15" s="335">
        <f>SUM(E8:E13)</f>
        <v>1408</v>
      </c>
    </row>
    <row r="16" spans="2:5" ht="15.75">
      <c r="B16" s="285" t="s">
        <v>170</v>
      </c>
      <c r="C16" s="335">
        <f>C6+C15</f>
        <v>4953</v>
      </c>
      <c r="D16" s="335">
        <f>D6+D15</f>
        <v>3757</v>
      </c>
      <c r="E16" s="335">
        <f>E6+E15</f>
        <v>3412</v>
      </c>
    </row>
    <row r="17" spans="2:5" ht="15.75">
      <c r="B17" s="174" t="s">
        <v>171</v>
      </c>
      <c r="C17" s="185"/>
      <c r="D17" s="185"/>
      <c r="E17" s="185"/>
    </row>
    <row r="18" spans="2:5" ht="15.75">
      <c r="B18" s="400"/>
      <c r="C18" s="83"/>
      <c r="D18" s="401"/>
      <c r="E18" s="83"/>
    </row>
    <row r="19" spans="2:5" ht="15.75">
      <c r="B19" s="400" t="s">
        <v>1032</v>
      </c>
      <c r="C19" s="83">
        <v>2752</v>
      </c>
      <c r="D19" s="401">
        <v>1753</v>
      </c>
      <c r="E19" s="83">
        <v>3412</v>
      </c>
    </row>
    <row r="20" spans="2:5" ht="15.75">
      <c r="B20" s="400"/>
      <c r="C20" s="83"/>
      <c r="D20" s="401"/>
      <c r="E20" s="83"/>
    </row>
    <row r="21" spans="2:5" ht="15.75">
      <c r="B21" s="400"/>
      <c r="C21" s="83"/>
      <c r="D21" s="401"/>
      <c r="E21" s="83"/>
    </row>
    <row r="22" spans="2:5" ht="15.75">
      <c r="B22" s="400"/>
      <c r="C22" s="83"/>
      <c r="D22" s="401"/>
      <c r="E22" s="83"/>
    </row>
    <row r="23" spans="2:5" ht="15.75">
      <c r="B23" s="187" t="s">
        <v>255</v>
      </c>
      <c r="C23" s="83"/>
      <c r="D23" s="401"/>
      <c r="E23" s="83"/>
    </row>
    <row r="24" spans="2:5" ht="15.75">
      <c r="B24" s="187" t="s">
        <v>639</v>
      </c>
      <c r="C24" s="447">
        <f>IF(C25*0.1&lt;C23,"Exceed 10% Rule","")</f>
      </c>
      <c r="D24" s="333">
        <f>IF(D25*0.1&lt;D23,"Exceed 10% Rule","")</f>
      </c>
      <c r="E24" s="333">
        <f>IF(E25*0.1&lt;E23,"Exceed 10% Rule","")</f>
      </c>
    </row>
    <row r="25" spans="2:5" ht="15.75">
      <c r="B25" s="285" t="s">
        <v>172</v>
      </c>
      <c r="C25" s="335">
        <f>SUM(C18:C23)</f>
        <v>2752</v>
      </c>
      <c r="D25" s="335">
        <f>SUM(D18:D23)</f>
        <v>1753</v>
      </c>
      <c r="E25" s="335">
        <f>SUM(E18:E23)</f>
        <v>3412</v>
      </c>
    </row>
    <row r="26" spans="2:5" ht="15.75">
      <c r="B26" s="174" t="s">
        <v>276</v>
      </c>
      <c r="C26" s="90">
        <f>C16-C25</f>
        <v>2201</v>
      </c>
      <c r="D26" s="90">
        <f>D16-D25</f>
        <v>2004</v>
      </c>
      <c r="E26" s="90">
        <f>E16-E25</f>
        <v>0</v>
      </c>
    </row>
    <row r="27" spans="2:5" ht="15.75">
      <c r="B27" s="344" t="str">
        <f>CONCATENATE("",E1-2,"/",E1-1,"/",E1," Budget Authority Amount:")</f>
        <v>2013/2014/2015 Budget Authority Amount:</v>
      </c>
      <c r="C27" s="420">
        <f>inputOth!B64</f>
        <v>2752</v>
      </c>
      <c r="D27" s="420">
        <f>inputPrYr!D30</f>
        <v>1753</v>
      </c>
      <c r="E27" s="420">
        <f>E25</f>
        <v>3412</v>
      </c>
    </row>
    <row r="28" spans="2:5" ht="15.75">
      <c r="B28" s="206"/>
      <c r="C28" s="290">
        <f>IF(C25&gt;C27,"See Tab A","")</f>
      </c>
      <c r="D28" s="290">
        <f>IF(D25&gt;D27,"See Tab C","")</f>
      </c>
      <c r="E28" s="747">
        <f>IF(E26&lt;0,"See Tab E","")</f>
      </c>
    </row>
    <row r="29" spans="2:5" ht="15.75">
      <c r="B29" s="206"/>
      <c r="C29" s="290">
        <f>IF(C26&lt;0,"See Tab B","")</f>
      </c>
      <c r="D29" s="290">
        <f>IF(D26&lt;0,"See Tab D","")</f>
      </c>
      <c r="E29" s="337"/>
    </row>
    <row r="30" spans="2:5" ht="15.75">
      <c r="B30" s="62"/>
      <c r="C30" s="337"/>
      <c r="D30" s="337"/>
      <c r="E30" s="337"/>
    </row>
    <row r="31" spans="2:5" ht="15.75">
      <c r="B31" s="62"/>
      <c r="C31" s="337"/>
      <c r="D31" s="337"/>
      <c r="E31" s="337"/>
    </row>
    <row r="32" spans="2:5" ht="15.75">
      <c r="B32" s="65" t="s">
        <v>162</v>
      </c>
      <c r="C32" s="695" t="s">
        <v>815</v>
      </c>
      <c r="D32" s="696" t="s">
        <v>816</v>
      </c>
      <c r="E32" s="170" t="s">
        <v>817</v>
      </c>
    </row>
    <row r="33" spans="2:5" ht="15.75">
      <c r="B33" s="446" t="str">
        <f>(inputPrYr!B31)</f>
        <v>Fire/Emergency Fund</v>
      </c>
      <c r="C33" s="328" t="str">
        <f>CONCATENATE("Actual for ",$E$1-2,"")</f>
        <v>Actual for 2013</v>
      </c>
      <c r="D33" s="407" t="str">
        <f>CONCATENATE("Estimate for ",$E$1-1,"")</f>
        <v>Estimate for 2014</v>
      </c>
      <c r="E33" s="225" t="str">
        <f>CONCATENATE("Year for ",$E$1,"")</f>
        <v>Year for 2015</v>
      </c>
    </row>
    <row r="34" spans="2:5" ht="15.75">
      <c r="B34" s="174" t="s">
        <v>275</v>
      </c>
      <c r="C34" s="83">
        <v>0</v>
      </c>
      <c r="D34" s="185">
        <f>C50</f>
        <v>0</v>
      </c>
      <c r="E34" s="185">
        <f>D50</f>
        <v>0</v>
      </c>
    </row>
    <row r="35" spans="2:5" ht="15.75">
      <c r="B35" s="274" t="s">
        <v>277</v>
      </c>
      <c r="C35" s="185"/>
      <c r="D35" s="185"/>
      <c r="E35" s="185"/>
    </row>
    <row r="36" spans="2:5" ht="15.75">
      <c r="B36" s="288"/>
      <c r="C36" s="83"/>
      <c r="D36" s="83"/>
      <c r="E36" s="83"/>
    </row>
    <row r="37" spans="2:5" ht="15.75">
      <c r="B37" s="288"/>
      <c r="C37" s="83"/>
      <c r="D37" s="83"/>
      <c r="E37" s="83"/>
    </row>
    <row r="38" spans="2:5" ht="15.75">
      <c r="B38" s="332" t="s">
        <v>168</v>
      </c>
      <c r="C38" s="83"/>
      <c r="D38" s="83"/>
      <c r="E38" s="83"/>
    </row>
    <row r="39" spans="2:5" ht="15.75">
      <c r="B39" s="336" t="s">
        <v>255</v>
      </c>
      <c r="C39" s="83"/>
      <c r="D39" s="83"/>
      <c r="E39" s="83"/>
    </row>
    <row r="40" spans="2:5" ht="15.75">
      <c r="B40" s="336" t="s">
        <v>640</v>
      </c>
      <c r="C40" s="447">
        <f>IF(C41*0.1&lt;C39,"Exceed 10% Rule","")</f>
      </c>
      <c r="D40" s="333">
        <f>IF(D41*0.1&lt;D39,"Exceed 10% Rule","")</f>
      </c>
      <c r="E40" s="333">
        <f>IF(E41*0.1&lt;E39,"Exceed 10% Rule","")</f>
      </c>
    </row>
    <row r="41" spans="2:5" ht="15.75">
      <c r="B41" s="285" t="s">
        <v>169</v>
      </c>
      <c r="C41" s="335">
        <f>SUM(C36:C39)</f>
        <v>0</v>
      </c>
      <c r="D41" s="335">
        <f>SUM(D36:D39)</f>
        <v>0</v>
      </c>
      <c r="E41" s="335">
        <f>SUM(E36:E39)</f>
        <v>0</v>
      </c>
    </row>
    <row r="42" spans="2:5" ht="15.75">
      <c r="B42" s="285" t="s">
        <v>170</v>
      </c>
      <c r="C42" s="335">
        <f>C34+C41</f>
        <v>0</v>
      </c>
      <c r="D42" s="335">
        <f>D34+D41</f>
        <v>0</v>
      </c>
      <c r="E42" s="335">
        <f>E34+E41</f>
        <v>0</v>
      </c>
    </row>
    <row r="43" spans="2:5" ht="15.75">
      <c r="B43" s="174" t="s">
        <v>171</v>
      </c>
      <c r="C43" s="185"/>
      <c r="D43" s="185"/>
      <c r="E43" s="185"/>
    </row>
    <row r="44" spans="2:5" ht="15.75">
      <c r="B44" s="402"/>
      <c r="C44" s="83"/>
      <c r="D44" s="83"/>
      <c r="E44" s="83"/>
    </row>
    <row r="45" spans="2:5" ht="15.75">
      <c r="B45" s="402"/>
      <c r="C45" s="83"/>
      <c r="D45" s="403"/>
      <c r="E45" s="83"/>
    </row>
    <row r="46" spans="2:5" ht="15.75">
      <c r="B46" s="288"/>
      <c r="C46" s="83"/>
      <c r="D46" s="83"/>
      <c r="E46" s="83"/>
    </row>
    <row r="47" spans="2:5" ht="15.75">
      <c r="B47" s="187" t="s">
        <v>255</v>
      </c>
      <c r="C47" s="83"/>
      <c r="D47" s="329"/>
      <c r="E47" s="329"/>
    </row>
    <row r="48" spans="2:5" ht="15.75">
      <c r="B48" s="187" t="s">
        <v>639</v>
      </c>
      <c r="C48" s="447">
        <f>IF(C49*0.1&lt;C47,"Exceed 10% Rule","")</f>
      </c>
      <c r="D48" s="333">
        <f>IF(D49*0.1&lt;D47,"Exceed 10% Rule","")</f>
      </c>
      <c r="E48" s="333">
        <f>IF(E49*0.1&lt;E47,"Exceed 10% Rule","")</f>
      </c>
    </row>
    <row r="49" spans="2:5" ht="15.75">
      <c r="B49" s="285" t="s">
        <v>172</v>
      </c>
      <c r="C49" s="335">
        <f>SUM(C44:C47)</f>
        <v>0</v>
      </c>
      <c r="D49" s="335">
        <f>SUM(D44:D47)</f>
        <v>0</v>
      </c>
      <c r="E49" s="335">
        <f>SUM(E44:E47)</f>
        <v>0</v>
      </c>
    </row>
    <row r="50" spans="2:5" ht="15.75">
      <c r="B50" s="174" t="s">
        <v>276</v>
      </c>
      <c r="C50" s="90">
        <f>C42-C49</f>
        <v>0</v>
      </c>
      <c r="D50" s="90">
        <f>D42-D49</f>
        <v>0</v>
      </c>
      <c r="E50" s="90">
        <f>E42-E49</f>
        <v>0</v>
      </c>
    </row>
    <row r="51" spans="2:5" ht="15.75">
      <c r="B51" s="344" t="str">
        <f>CONCATENATE("",E1-2,"/",E1-1,"/",E1," Budget Authority Amount:")</f>
        <v>2013/2014/2015 Budget Authority Amount:</v>
      </c>
      <c r="C51" s="420">
        <f>inputOth!B65</f>
        <v>0</v>
      </c>
      <c r="D51" s="420">
        <f>inputPrYr!D31</f>
        <v>0</v>
      </c>
      <c r="E51" s="420">
        <f>E49</f>
        <v>0</v>
      </c>
    </row>
    <row r="52" spans="2:5" ht="15.75">
      <c r="B52" s="206"/>
      <c r="C52" s="290">
        <f>IF(C49&gt;C51,"See Tab A","")</f>
      </c>
      <c r="D52" s="290">
        <f>IF(D49&gt;D51,"See Tab C","")</f>
      </c>
      <c r="E52" s="747">
        <f>IF(E50&lt;0,"See Tab E","")</f>
      </c>
    </row>
    <row r="53" spans="2:5" ht="15.75">
      <c r="B53" s="206"/>
      <c r="C53" s="290">
        <f>IF(C50&lt;0,"See Tab B","")</f>
      </c>
      <c r="D53" s="290">
        <f>IF(D50&lt;0,"See Tab D","")</f>
      </c>
      <c r="E53" s="62"/>
    </row>
    <row r="54" spans="2:5" ht="15.75">
      <c r="B54" s="62"/>
      <c r="C54" s="62"/>
      <c r="D54" s="62"/>
      <c r="E54" s="62"/>
    </row>
    <row r="55" spans="2:5" ht="15.75">
      <c r="B55" s="214" t="s">
        <v>175</v>
      </c>
      <c r="C55" s="292">
        <v>9</v>
      </c>
      <c r="D55" s="62"/>
      <c r="E55" s="62"/>
    </row>
  </sheetData>
  <sheetProtection/>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39">
    <cfRule type="cellIs" priority="7" dxfId="136" operator="greaterThan" stopIfTrue="1">
      <formula>$C$41*0.1</formula>
    </cfRule>
  </conditionalFormatting>
  <conditionalFormatting sqref="D39">
    <cfRule type="cellIs" priority="8" dxfId="136" operator="greaterThan" stopIfTrue="1">
      <formula>$D$41*0.1</formula>
    </cfRule>
  </conditionalFormatting>
  <conditionalFormatting sqref="E39">
    <cfRule type="cellIs" priority="9" dxfId="136" operator="greaterThan" stopIfTrue="1">
      <formula>$E$41*0.1</formula>
    </cfRule>
  </conditionalFormatting>
  <conditionalFormatting sqref="C47">
    <cfRule type="cellIs" priority="10" dxfId="136" operator="greaterThan" stopIfTrue="1">
      <formula>$C$49*0.1</formula>
    </cfRule>
  </conditionalFormatting>
  <conditionalFormatting sqref="D47">
    <cfRule type="cellIs" priority="11" dxfId="136" operator="greaterThan" stopIfTrue="1">
      <formula>$D$49*0.1</formula>
    </cfRule>
  </conditionalFormatting>
  <conditionalFormatting sqref="E47">
    <cfRule type="cellIs" priority="12" dxfId="136" operator="greaterThan" stopIfTrue="1">
      <formula>$E$49*0.1</formula>
    </cfRule>
  </conditionalFormatting>
  <conditionalFormatting sqref="C23">
    <cfRule type="cellIs" priority="13" dxfId="136" operator="greaterThan" stopIfTrue="1">
      <formula>$C$25*0.1</formula>
    </cfRule>
  </conditionalFormatting>
  <conditionalFormatting sqref="D23">
    <cfRule type="cellIs" priority="14" dxfId="136" operator="greaterThan" stopIfTrue="1">
      <formula>$D$25*0.1</formula>
    </cfRule>
  </conditionalFormatting>
  <conditionalFormatting sqref="E23">
    <cfRule type="cellIs" priority="15" dxfId="136" operator="greaterThan" stopIfTrue="1">
      <formula>$E$25*0.1</formula>
    </cfRule>
  </conditionalFormatting>
  <conditionalFormatting sqref="C26 C50 E26 E50">
    <cfRule type="cellIs" priority="16" dxfId="1" operator="lessThan" stopIfTrue="1">
      <formula>0</formula>
    </cfRule>
  </conditionalFormatting>
  <conditionalFormatting sqref="D25">
    <cfRule type="cellIs" priority="17" dxfId="1" operator="greaterThan" stopIfTrue="1">
      <formula>$D$27</formula>
    </cfRule>
  </conditionalFormatting>
  <conditionalFormatting sqref="C49">
    <cfRule type="cellIs" priority="18" dxfId="1" operator="greaterThan" stopIfTrue="1">
      <formula>$C$51</formula>
    </cfRule>
  </conditionalFormatting>
  <conditionalFormatting sqref="D49">
    <cfRule type="cellIs" priority="19" dxfId="1" operator="greaterThan" stopIfTrue="1">
      <formula>$D$51</formula>
    </cfRule>
  </conditionalFormatting>
  <conditionalFormatting sqref="D26">
    <cfRule type="cellIs" priority="3" dxfId="0" operator="lessThan" stopIfTrue="1">
      <formula>0</formula>
    </cfRule>
  </conditionalFormatting>
  <conditionalFormatting sqref="D50">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1" bottom="0.5" header="0.5" footer="0.5"/>
  <pageSetup blackAndWhite="1" fitToHeight="1" fitToWidth="1" horizontalDpi="300" verticalDpi="300" orientation="portrait" scale="79"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15" sqref="K15"/>
    </sheetView>
  </sheetViews>
  <sheetFormatPr defaultColWidth="8.796875" defaultRowHeight="15"/>
  <cols>
    <col min="1" max="1" width="11.59765625" style="49" customWidth="1"/>
    <col min="2" max="2" width="7.3984375" style="49" customWidth="1"/>
    <col min="3" max="3" width="11.59765625" style="49" customWidth="1"/>
    <col min="4" max="4" width="7.3984375" style="49" customWidth="1"/>
    <col min="5" max="5" width="11.59765625" style="49" customWidth="1"/>
    <col min="6" max="6" width="7.3984375" style="49" customWidth="1"/>
    <col min="7" max="7" width="11.59765625" style="49" customWidth="1"/>
    <col min="8" max="8" width="7.3984375" style="49" customWidth="1"/>
    <col min="9" max="9" width="11.59765625" style="49" customWidth="1"/>
    <col min="10" max="16384" width="8.8984375" style="49" customWidth="1"/>
  </cols>
  <sheetData>
    <row r="1" spans="1:11" ht="15.75">
      <c r="A1" s="123" t="str">
        <f>inputPrYr!$D$2</f>
        <v>City of Fairview</v>
      </c>
      <c r="B1" s="213"/>
      <c r="C1" s="125"/>
      <c r="D1" s="125"/>
      <c r="E1" s="125"/>
      <c r="F1" s="293" t="s">
        <v>32</v>
      </c>
      <c r="G1" s="125"/>
      <c r="H1" s="125"/>
      <c r="I1" s="125"/>
      <c r="J1" s="125"/>
      <c r="K1" s="125">
        <f>inputPrYr!$C$5</f>
        <v>2015</v>
      </c>
    </row>
    <row r="2" spans="1:11" ht="15.75">
      <c r="A2" s="125"/>
      <c r="B2" s="125"/>
      <c r="C2" s="125"/>
      <c r="D2" s="125"/>
      <c r="E2" s="125"/>
      <c r="F2" s="294" t="str">
        <f>CONCATENATE("(Only the actual budget year for ",K1-2," is to be shown)")</f>
        <v>(Only the actual budget year for 2013 is to be shown)</v>
      </c>
      <c r="G2" s="125"/>
      <c r="H2" s="125"/>
      <c r="I2" s="125"/>
      <c r="J2" s="125"/>
      <c r="K2" s="125"/>
    </row>
    <row r="3" spans="1:11" ht="15.75">
      <c r="A3" s="125" t="s">
        <v>31</v>
      </c>
      <c r="B3" s="125"/>
      <c r="C3" s="125"/>
      <c r="D3" s="125"/>
      <c r="E3" s="125"/>
      <c r="F3" s="213"/>
      <c r="G3" s="125"/>
      <c r="H3" s="125"/>
      <c r="I3" s="125"/>
      <c r="J3" s="125"/>
      <c r="K3" s="125"/>
    </row>
    <row r="4" spans="1:11" ht="15.75">
      <c r="A4" s="125" t="s">
        <v>24</v>
      </c>
      <c r="B4" s="125"/>
      <c r="C4" s="125" t="s">
        <v>25</v>
      </c>
      <c r="D4" s="125"/>
      <c r="E4" s="125" t="s">
        <v>26</v>
      </c>
      <c r="F4" s="213"/>
      <c r="G4" s="125" t="s">
        <v>27</v>
      </c>
      <c r="H4" s="125"/>
      <c r="I4" s="125" t="s">
        <v>28</v>
      </c>
      <c r="J4" s="125"/>
      <c r="K4" s="125"/>
    </row>
    <row r="5" spans="1:11" ht="15.75">
      <c r="A5" s="829" t="str">
        <f>inputPrYr!B38</f>
        <v>Capital Improvements</v>
      </c>
      <c r="B5" s="830"/>
      <c r="C5" s="829" t="str">
        <f>inputPrYr!B39</f>
        <v>Special Projects</v>
      </c>
      <c r="D5" s="830"/>
      <c r="E5" s="829" t="str">
        <f>inputPrYr!B40</f>
        <v>Fire Barn Project</v>
      </c>
      <c r="F5" s="830"/>
      <c r="G5" s="829">
        <f>inputPrYr!B41</f>
        <v>0</v>
      </c>
      <c r="H5" s="830"/>
      <c r="I5" s="829">
        <f>inputPrYr!B42</f>
        <v>0</v>
      </c>
      <c r="J5" s="830"/>
      <c r="K5" s="144"/>
    </row>
    <row r="6" spans="1:11" ht="15.75">
      <c r="A6" s="296" t="s">
        <v>29</v>
      </c>
      <c r="B6" s="297"/>
      <c r="C6" s="298" t="s">
        <v>29</v>
      </c>
      <c r="D6" s="299"/>
      <c r="E6" s="298" t="s">
        <v>29</v>
      </c>
      <c r="F6" s="300"/>
      <c r="G6" s="298" t="s">
        <v>29</v>
      </c>
      <c r="H6" s="295"/>
      <c r="I6" s="298" t="s">
        <v>29</v>
      </c>
      <c r="J6" s="125"/>
      <c r="K6" s="301" t="s">
        <v>132</v>
      </c>
    </row>
    <row r="7" spans="1:11" ht="15.75">
      <c r="A7" s="302" t="s">
        <v>72</v>
      </c>
      <c r="B7" s="303">
        <v>21268</v>
      </c>
      <c r="C7" s="304" t="s">
        <v>72</v>
      </c>
      <c r="D7" s="303">
        <v>0</v>
      </c>
      <c r="E7" s="304" t="s">
        <v>72</v>
      </c>
      <c r="F7" s="303">
        <v>0</v>
      </c>
      <c r="G7" s="304" t="s">
        <v>72</v>
      </c>
      <c r="H7" s="303"/>
      <c r="I7" s="304" t="s">
        <v>72</v>
      </c>
      <c r="J7" s="303"/>
      <c r="K7" s="305">
        <f>SUM(B7+D7+F7+H7+J7)</f>
        <v>21268</v>
      </c>
    </row>
    <row r="8" spans="1:11" ht="15.75">
      <c r="A8" s="306" t="s">
        <v>277</v>
      </c>
      <c r="B8" s="307"/>
      <c r="C8" s="306" t="s">
        <v>277</v>
      </c>
      <c r="D8" s="308"/>
      <c r="E8" s="306" t="s">
        <v>277</v>
      </c>
      <c r="F8" s="213"/>
      <c r="G8" s="306" t="s">
        <v>277</v>
      </c>
      <c r="H8" s="125"/>
      <c r="I8" s="306" t="s">
        <v>277</v>
      </c>
      <c r="J8" s="125"/>
      <c r="K8" s="213"/>
    </row>
    <row r="9" spans="1:11" ht="15.75">
      <c r="A9" s="309"/>
      <c r="B9" s="303"/>
      <c r="C9" s="309"/>
      <c r="D9" s="303"/>
      <c r="E9" s="309"/>
      <c r="F9" s="303"/>
      <c r="G9" s="309"/>
      <c r="H9" s="303"/>
      <c r="I9" s="309"/>
      <c r="J9" s="303"/>
      <c r="K9" s="213"/>
    </row>
    <row r="10" spans="1:11" ht="15.75">
      <c r="A10" s="309"/>
      <c r="B10" s="303"/>
      <c r="C10" s="309" t="s">
        <v>1040</v>
      </c>
      <c r="D10" s="303">
        <v>21500</v>
      </c>
      <c r="E10" s="309" t="s">
        <v>1052</v>
      </c>
      <c r="F10" s="303">
        <v>100000</v>
      </c>
      <c r="G10" s="309"/>
      <c r="H10" s="303"/>
      <c r="I10" s="309"/>
      <c r="J10" s="303"/>
      <c r="K10" s="213"/>
    </row>
    <row r="11" spans="1:11" ht="15.75">
      <c r="A11" s="309"/>
      <c r="B11" s="303"/>
      <c r="C11" s="310"/>
      <c r="D11" s="311"/>
      <c r="E11" s="310"/>
      <c r="F11" s="303"/>
      <c r="G11" s="310"/>
      <c r="H11" s="303"/>
      <c r="I11" s="312"/>
      <c r="J11" s="303"/>
      <c r="K11" s="213"/>
    </row>
    <row r="12" spans="1:11" ht="15.75">
      <c r="A12" s="309"/>
      <c r="B12" s="313"/>
      <c r="C12" s="309"/>
      <c r="D12" s="314"/>
      <c r="E12" s="315"/>
      <c r="F12" s="303"/>
      <c r="G12" s="315"/>
      <c r="H12" s="303"/>
      <c r="I12" s="315"/>
      <c r="J12" s="303"/>
      <c r="K12" s="213"/>
    </row>
    <row r="13" spans="1:11" ht="15.75">
      <c r="A13" s="316"/>
      <c r="B13" s="317"/>
      <c r="C13" s="318"/>
      <c r="D13" s="314"/>
      <c r="E13" s="318"/>
      <c r="F13" s="303"/>
      <c r="G13" s="318"/>
      <c r="H13" s="303"/>
      <c r="I13" s="312"/>
      <c r="J13" s="303"/>
      <c r="K13" s="213"/>
    </row>
    <row r="14" spans="1:11" ht="15.75">
      <c r="A14" s="309"/>
      <c r="B14" s="303"/>
      <c r="C14" s="315"/>
      <c r="D14" s="314"/>
      <c r="E14" s="315"/>
      <c r="F14" s="303"/>
      <c r="G14" s="315"/>
      <c r="H14" s="303"/>
      <c r="I14" s="315"/>
      <c r="J14" s="303"/>
      <c r="K14" s="213"/>
    </row>
    <row r="15" spans="1:11" ht="15.75">
      <c r="A15" s="309"/>
      <c r="B15" s="303"/>
      <c r="C15" s="315"/>
      <c r="D15" s="314"/>
      <c r="E15" s="315"/>
      <c r="F15" s="303"/>
      <c r="G15" s="315"/>
      <c r="H15" s="303"/>
      <c r="I15" s="315"/>
      <c r="J15" s="303"/>
      <c r="K15" s="213"/>
    </row>
    <row r="16" spans="1:11" ht="15.75">
      <c r="A16" s="309"/>
      <c r="B16" s="317"/>
      <c r="C16" s="309"/>
      <c r="D16" s="314"/>
      <c r="E16" s="309"/>
      <c r="F16" s="303"/>
      <c r="G16" s="315"/>
      <c r="H16" s="303"/>
      <c r="I16" s="309"/>
      <c r="J16" s="303"/>
      <c r="K16" s="213"/>
    </row>
    <row r="17" spans="1:11" ht="15.75">
      <c r="A17" s="306" t="s">
        <v>169</v>
      </c>
      <c r="B17" s="305">
        <f>SUM(B9:B16)</f>
        <v>0</v>
      </c>
      <c r="C17" s="306" t="s">
        <v>169</v>
      </c>
      <c r="D17" s="305">
        <f>SUM(D9:D16)</f>
        <v>21500</v>
      </c>
      <c r="E17" s="306" t="s">
        <v>169</v>
      </c>
      <c r="F17" s="319">
        <f>SUM(F9:F16)</f>
        <v>100000</v>
      </c>
      <c r="G17" s="306" t="s">
        <v>169</v>
      </c>
      <c r="H17" s="305">
        <f>SUM(H9:H16)</f>
        <v>0</v>
      </c>
      <c r="I17" s="306" t="s">
        <v>169</v>
      </c>
      <c r="J17" s="305">
        <f>SUM(J9:J16)</f>
        <v>0</v>
      </c>
      <c r="K17" s="305">
        <f>SUM(B17+D17+F17+H17+J17)</f>
        <v>121500</v>
      </c>
    </row>
    <row r="18" spans="1:11" ht="15.75">
      <c r="A18" s="306" t="s">
        <v>170</v>
      </c>
      <c r="B18" s="305">
        <f>SUM(B7+B17)</f>
        <v>21268</v>
      </c>
      <c r="C18" s="306" t="s">
        <v>170</v>
      </c>
      <c r="D18" s="305">
        <f>SUM(D7+D17)</f>
        <v>21500</v>
      </c>
      <c r="E18" s="306" t="s">
        <v>170</v>
      </c>
      <c r="F18" s="305">
        <f>SUM(F7+F17)</f>
        <v>100000</v>
      </c>
      <c r="G18" s="306" t="s">
        <v>170</v>
      </c>
      <c r="H18" s="305">
        <f>SUM(H7+H17)</f>
        <v>0</v>
      </c>
      <c r="I18" s="306" t="s">
        <v>170</v>
      </c>
      <c r="J18" s="305">
        <f>SUM(J7+J17)</f>
        <v>0</v>
      </c>
      <c r="K18" s="305">
        <f>SUM(B18+D18+F18+H18+J18)</f>
        <v>142768</v>
      </c>
    </row>
    <row r="19" spans="1:11" ht="15.75">
      <c r="A19" s="306" t="s">
        <v>171</v>
      </c>
      <c r="B19" s="307"/>
      <c r="C19" s="306" t="s">
        <v>171</v>
      </c>
      <c r="D19" s="308"/>
      <c r="E19" s="306" t="s">
        <v>171</v>
      </c>
      <c r="F19" s="213"/>
      <c r="G19" s="306" t="s">
        <v>171</v>
      </c>
      <c r="H19" s="125"/>
      <c r="I19" s="306" t="s">
        <v>171</v>
      </c>
      <c r="J19" s="125"/>
      <c r="K19" s="213"/>
    </row>
    <row r="20" spans="1:11" ht="15.75">
      <c r="A20" s="309"/>
      <c r="B20" s="303"/>
      <c r="C20" s="315"/>
      <c r="D20" s="303"/>
      <c r="E20" s="315"/>
      <c r="F20" s="303"/>
      <c r="G20" s="315"/>
      <c r="H20" s="303"/>
      <c r="I20" s="315"/>
      <c r="J20" s="303"/>
      <c r="K20" s="213"/>
    </row>
    <row r="21" spans="1:11" ht="15.75">
      <c r="A21" s="309" t="s">
        <v>1048</v>
      </c>
      <c r="B21" s="303">
        <v>10381</v>
      </c>
      <c r="C21" s="315" t="s">
        <v>1048</v>
      </c>
      <c r="D21" s="303">
        <v>21500</v>
      </c>
      <c r="E21" s="315" t="s">
        <v>1053</v>
      </c>
      <c r="F21" s="303">
        <v>100000</v>
      </c>
      <c r="G21" s="315"/>
      <c r="H21" s="303"/>
      <c r="I21" s="315"/>
      <c r="J21" s="303"/>
      <c r="K21" s="213"/>
    </row>
    <row r="22" spans="1:11" ht="15.75">
      <c r="A22" s="309"/>
      <c r="B22" s="303"/>
      <c r="C22" s="318"/>
      <c r="D22" s="303"/>
      <c r="E22" s="318"/>
      <c r="F22" s="303"/>
      <c r="G22" s="318"/>
      <c r="H22" s="303"/>
      <c r="I22" s="312"/>
      <c r="J22" s="303"/>
      <c r="K22" s="213"/>
    </row>
    <row r="23" spans="1:11" ht="15.75">
      <c r="A23" s="309"/>
      <c r="B23" s="303"/>
      <c r="C23" s="315"/>
      <c r="D23" s="303"/>
      <c r="E23" s="315"/>
      <c r="F23" s="303"/>
      <c r="G23" s="315"/>
      <c r="H23" s="303"/>
      <c r="I23" s="315"/>
      <c r="J23" s="303"/>
      <c r="K23" s="213"/>
    </row>
    <row r="24" spans="1:11" ht="15.75">
      <c r="A24" s="309"/>
      <c r="B24" s="303"/>
      <c r="C24" s="318"/>
      <c r="D24" s="303"/>
      <c r="E24" s="318"/>
      <c r="F24" s="303"/>
      <c r="G24" s="318"/>
      <c r="H24" s="303"/>
      <c r="I24" s="312"/>
      <c r="J24" s="303"/>
      <c r="K24" s="213"/>
    </row>
    <row r="25" spans="1:11" ht="15.75">
      <c r="A25" s="309"/>
      <c r="B25" s="303"/>
      <c r="C25" s="315"/>
      <c r="D25" s="303"/>
      <c r="E25" s="315"/>
      <c r="F25" s="303"/>
      <c r="G25" s="315"/>
      <c r="H25" s="303"/>
      <c r="I25" s="315"/>
      <c r="J25" s="303"/>
      <c r="K25" s="213"/>
    </row>
    <row r="26" spans="1:11" ht="15.75">
      <c r="A26" s="309"/>
      <c r="B26" s="303"/>
      <c r="C26" s="315"/>
      <c r="D26" s="303"/>
      <c r="E26" s="315"/>
      <c r="F26" s="303"/>
      <c r="G26" s="315"/>
      <c r="H26" s="303"/>
      <c r="I26" s="315"/>
      <c r="J26" s="303"/>
      <c r="K26" s="213"/>
    </row>
    <row r="27" spans="1:11" ht="15.75">
      <c r="A27" s="309"/>
      <c r="B27" s="303"/>
      <c r="C27" s="309"/>
      <c r="D27" s="303"/>
      <c r="E27" s="309"/>
      <c r="F27" s="303"/>
      <c r="G27" s="315"/>
      <c r="H27" s="303"/>
      <c r="I27" s="315"/>
      <c r="J27" s="303"/>
      <c r="K27" s="213"/>
    </row>
    <row r="28" spans="1:11" ht="15.75">
      <c r="A28" s="306" t="s">
        <v>172</v>
      </c>
      <c r="B28" s="305">
        <f>SUM(B20:B27)</f>
        <v>10381</v>
      </c>
      <c r="C28" s="306" t="s">
        <v>172</v>
      </c>
      <c r="D28" s="305">
        <f>SUM(D20:D27)</f>
        <v>21500</v>
      </c>
      <c r="E28" s="306" t="s">
        <v>172</v>
      </c>
      <c r="F28" s="319">
        <f>SUM(F20:F27)</f>
        <v>100000</v>
      </c>
      <c r="G28" s="306" t="s">
        <v>172</v>
      </c>
      <c r="H28" s="319">
        <f>SUM(H20:H27)</f>
        <v>0</v>
      </c>
      <c r="I28" s="306" t="s">
        <v>172</v>
      </c>
      <c r="J28" s="305">
        <f>SUM(J20:J27)</f>
        <v>0</v>
      </c>
      <c r="K28" s="305">
        <f>SUM(B28+D28+F28+H28+J28)</f>
        <v>131881</v>
      </c>
    </row>
    <row r="29" spans="1:12" ht="15.75">
      <c r="A29" s="306" t="s">
        <v>30</v>
      </c>
      <c r="B29" s="305">
        <f>SUM(B18-B28)</f>
        <v>10887</v>
      </c>
      <c r="C29" s="306" t="s">
        <v>30</v>
      </c>
      <c r="D29" s="305">
        <f>SUM(D18-D28)</f>
        <v>0</v>
      </c>
      <c r="E29" s="306" t="s">
        <v>30</v>
      </c>
      <c r="F29" s="305">
        <f>SUM(F18-F28)</f>
        <v>0</v>
      </c>
      <c r="G29" s="306" t="s">
        <v>30</v>
      </c>
      <c r="H29" s="305">
        <f>SUM(H18-H28)</f>
        <v>0</v>
      </c>
      <c r="I29" s="306" t="s">
        <v>30</v>
      </c>
      <c r="J29" s="305">
        <f>SUM(J18-J28)</f>
        <v>0</v>
      </c>
      <c r="K29" s="320">
        <f>SUM(B29+D29+F29+H29+J29)</f>
        <v>10887</v>
      </c>
      <c r="L29" s="49" t="s">
        <v>34</v>
      </c>
    </row>
    <row r="30" spans="1:12" ht="15.75">
      <c r="A30" s="306"/>
      <c r="B30" s="321">
        <f>IF(B29&lt;0,"See Tab B","")</f>
      </c>
      <c r="C30" s="306"/>
      <c r="D30" s="321">
        <f>IF(D29&lt;0,"See Tab B","")</f>
      </c>
      <c r="E30" s="306"/>
      <c r="F30" s="321">
        <f>IF(F29&lt;0,"See Tab B","")</f>
      </c>
      <c r="G30" s="125"/>
      <c r="H30" s="321">
        <f>IF(H29&lt;0,"See Tab B","")</f>
      </c>
      <c r="I30" s="125"/>
      <c r="J30" s="321">
        <f>IF(J29&lt;0,"See Tab B","")</f>
      </c>
      <c r="K30" s="320">
        <f>SUM(K7+K17-K28)</f>
        <v>10887</v>
      </c>
      <c r="L30" s="49" t="s">
        <v>34</v>
      </c>
    </row>
    <row r="31" spans="1:11" ht="15.75">
      <c r="A31" s="125"/>
      <c r="B31" s="322"/>
      <c r="C31" s="125"/>
      <c r="D31" s="213"/>
      <c r="E31" s="125"/>
      <c r="F31" s="125"/>
      <c r="G31" s="59" t="s">
        <v>35</v>
      </c>
      <c r="H31" s="59"/>
      <c r="I31" s="59"/>
      <c r="J31" s="59"/>
      <c r="K31" s="125"/>
    </row>
    <row r="32" spans="1:11" ht="15.75">
      <c r="A32" s="125"/>
      <c r="B32" s="322"/>
      <c r="C32" s="125"/>
      <c r="D32" s="125"/>
      <c r="E32" s="125"/>
      <c r="F32" s="125"/>
      <c r="G32" s="125"/>
      <c r="H32" s="125"/>
      <c r="I32" s="125"/>
      <c r="J32" s="125"/>
      <c r="K32" s="125"/>
    </row>
    <row r="33" spans="1:11" ht="15.75">
      <c r="A33" s="125"/>
      <c r="B33" s="322"/>
      <c r="C33" s="125"/>
      <c r="D33" s="125"/>
      <c r="E33" s="323" t="s">
        <v>175</v>
      </c>
      <c r="F33" s="292">
        <v>10</v>
      </c>
      <c r="G33" s="125"/>
      <c r="H33" s="125"/>
      <c r="I33" s="125"/>
      <c r="J33" s="125"/>
      <c r="K33" s="125"/>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dimension ref="A1:Q156"/>
  <sheetViews>
    <sheetView zoomScale="75" zoomScaleNormal="75" zoomScalePageLayoutView="0" workbookViewId="0" topLeftCell="A1">
      <selection activeCell="A17" sqref="A17:A22"/>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4">
        <f>inputPrYr!$C$5</f>
        <v>2015</v>
      </c>
    </row>
    <row r="2" spans="1:8" ht="15.75">
      <c r="A2" s="834" t="s">
        <v>217</v>
      </c>
      <c r="B2" s="834"/>
      <c r="C2" s="834"/>
      <c r="D2" s="834"/>
      <c r="E2" s="834"/>
      <c r="F2" s="834"/>
      <c r="G2" s="834"/>
      <c r="H2" s="834"/>
    </row>
    <row r="3" spans="1:8" ht="15.75">
      <c r="A3" s="7"/>
      <c r="B3" s="7"/>
      <c r="C3" s="7"/>
      <c r="D3" s="7"/>
      <c r="E3" s="7"/>
      <c r="F3" s="7"/>
      <c r="G3" s="7"/>
      <c r="H3" s="7"/>
    </row>
    <row r="4" spans="1:8" ht="15.75">
      <c r="A4" s="833" t="s">
        <v>180</v>
      </c>
      <c r="B4" s="833"/>
      <c r="C4" s="833"/>
      <c r="D4" s="833"/>
      <c r="E4" s="833"/>
      <c r="F4" s="833"/>
      <c r="G4" s="833"/>
      <c r="H4" s="833"/>
    </row>
    <row r="5" spans="1:8" ht="15.75">
      <c r="A5" s="835" t="str">
        <f>inputPrYr!D2</f>
        <v>City of Fairview</v>
      </c>
      <c r="B5" s="835"/>
      <c r="C5" s="835"/>
      <c r="D5" s="835"/>
      <c r="E5" s="835"/>
      <c r="F5" s="835"/>
      <c r="G5" s="835"/>
      <c r="H5" s="835"/>
    </row>
    <row r="6" spans="1:8" ht="15.75">
      <c r="A6" s="836" t="str">
        <f>CONCATENATE("will meet on ",inputBudSum!B7," at ",inputBudSum!B9," at ",inputBudSum!B11," for the purpose of hearing and")</f>
        <v>will meet on August 7, 2014 at 7:00 PM at Fairview Commuinity Center for the purpose of hearing and</v>
      </c>
      <c r="B6" s="836"/>
      <c r="C6" s="836"/>
      <c r="D6" s="836"/>
      <c r="E6" s="836"/>
      <c r="F6" s="836"/>
      <c r="G6" s="836"/>
      <c r="H6" s="836"/>
    </row>
    <row r="7" spans="1:8" ht="15.75">
      <c r="A7" s="833" t="s">
        <v>619</v>
      </c>
      <c r="B7" s="833"/>
      <c r="C7" s="833"/>
      <c r="D7" s="833"/>
      <c r="E7" s="833"/>
      <c r="F7" s="833"/>
      <c r="G7" s="833"/>
      <c r="H7" s="833"/>
    </row>
    <row r="8" spans="1:8" ht="15.75">
      <c r="A8" s="833" t="str">
        <f>CONCATENATE("Detailed budget information is available at ",inputBudSum!B14," and will be available at this hearing.")</f>
        <v>Detailed budget information is available at Fairview Commuinity Center and will be available at this hearing.</v>
      </c>
      <c r="B8" s="833"/>
      <c r="C8" s="833"/>
      <c r="D8" s="833"/>
      <c r="E8" s="833"/>
      <c r="F8" s="833"/>
      <c r="G8" s="833"/>
      <c r="H8" s="833"/>
    </row>
    <row r="9" spans="1:8" ht="15.75">
      <c r="A9" s="17" t="s">
        <v>218</v>
      </c>
      <c r="B9" s="10"/>
      <c r="C9" s="10"/>
      <c r="D9" s="10"/>
      <c r="E9" s="10"/>
      <c r="F9" s="10"/>
      <c r="G9" s="10"/>
      <c r="H9" s="10"/>
    </row>
    <row r="10" spans="1:8" ht="15.7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75">
      <c r="A11" s="9" t="s">
        <v>284</v>
      </c>
      <c r="B11" s="10"/>
      <c r="C11" s="10"/>
      <c r="D11" s="10"/>
      <c r="E11" s="10"/>
      <c r="F11" s="10"/>
      <c r="G11" s="10"/>
      <c r="H11" s="10"/>
    </row>
    <row r="12" spans="1:8" ht="15.75">
      <c r="A12" s="7"/>
      <c r="B12" s="20"/>
      <c r="C12" s="20"/>
      <c r="D12" s="20"/>
      <c r="E12" s="20"/>
      <c r="F12" s="20"/>
      <c r="G12" s="20"/>
      <c r="H12" s="20"/>
    </row>
    <row r="13" spans="1:8" ht="15.75">
      <c r="A13" s="7"/>
      <c r="B13" s="697" t="str">
        <f>CONCATENATE("Prior Year Actual for ",H1-2,"")</f>
        <v>Prior Year Actual for 2013</v>
      </c>
      <c r="C13" s="167"/>
      <c r="D13" s="697" t="str">
        <f>CONCATENATE("Current Year Estimate for ",H1-1,"")</f>
        <v>Current Year Estimate for 2014</v>
      </c>
      <c r="E13" s="167"/>
      <c r="F13" s="698" t="str">
        <f>CONCATENATE("Proposed Budget for ",H1,"")</f>
        <v>Proposed Budget for 2015</v>
      </c>
      <c r="G13" s="699"/>
      <c r="H13" s="167"/>
    </row>
    <row r="14" spans="1:8" ht="22.5" customHeight="1">
      <c r="A14" s="7"/>
      <c r="B14" s="11"/>
      <c r="C14" s="11" t="s">
        <v>176</v>
      </c>
      <c r="D14" s="11"/>
      <c r="E14" s="11" t="s">
        <v>176</v>
      </c>
      <c r="F14" s="11" t="s">
        <v>48</v>
      </c>
      <c r="G14" s="26" t="str">
        <f>CONCATENATE("Amount of ",H1-1,"")</f>
        <v>Amount of 2014</v>
      </c>
      <c r="H14" s="11" t="s">
        <v>5</v>
      </c>
    </row>
    <row r="15" spans="1:8" ht="17.25" customHeight="1">
      <c r="A15" s="21" t="s">
        <v>181</v>
      </c>
      <c r="B15" s="12" t="s">
        <v>144</v>
      </c>
      <c r="C15" s="12" t="s">
        <v>182</v>
      </c>
      <c r="D15" s="12" t="s">
        <v>3</v>
      </c>
      <c r="E15" s="12" t="s">
        <v>182</v>
      </c>
      <c r="F15" s="12" t="s">
        <v>647</v>
      </c>
      <c r="G15" s="16" t="s">
        <v>163</v>
      </c>
      <c r="H15" s="12" t="s">
        <v>182</v>
      </c>
    </row>
    <row r="16" spans="1:8" ht="15.75">
      <c r="A16" s="81" t="s">
        <v>128</v>
      </c>
      <c r="B16" s="217">
        <f>IF((general!$C$57)&lt;&gt;0,general!$C$57,"  ")</f>
        <v>101016</v>
      </c>
      <c r="C16" s="700">
        <f>IF(inputPrYr!D47&gt;0,inputPrYr!D47,"  ")</f>
        <v>8.956</v>
      </c>
      <c r="D16" s="217">
        <f>IF((general!$D$57)&lt;&gt;0,general!$D$57,"  ")</f>
        <v>168269</v>
      </c>
      <c r="E16" s="700">
        <f>IF(inputOth!D21&gt;0,inputOth!D21,"  ")</f>
        <v>8.875</v>
      </c>
      <c r="F16" s="217">
        <f>IF((general!$E$57)&lt;&gt;0,general!$E$57,"  ")</f>
        <v>101644</v>
      </c>
      <c r="G16" s="217">
        <f>IF((general!$E$64)&lt;&gt;0,(general!$E$64),"  ")</f>
        <v>21714</v>
      </c>
      <c r="H16" s="700">
        <f>IF((general!E64&gt;0),ROUND(G16/$F$25*1000,3),"  ")</f>
        <v>10.12</v>
      </c>
    </row>
    <row r="17" spans="1:8" ht="15.75">
      <c r="A17" s="104" t="str">
        <f>IF((inputPrYr!$B28&gt;"  "),(inputPrYr!$B28),"  ")</f>
        <v>Special Highway</v>
      </c>
      <c r="B17" s="217">
        <f>IF(('SpecHwy-Sewer'!$C$24)&lt;&gt;0,('SpecHwy-Sewer'!$C$24),"  ")</f>
        <v>11097</v>
      </c>
      <c r="C17" s="183"/>
      <c r="D17" s="217">
        <f>IF(('SpecHwy-Sewer'!$D$24)&lt;&gt;0,('SpecHwy-Sewer'!$D$24),"  ")</f>
        <v>6601</v>
      </c>
      <c r="E17" s="183"/>
      <c r="F17" s="217">
        <f>IF(('SpecHwy-Sewer'!$E$24)&lt;&gt;0,('SpecHwy-Sewer'!$E$24),"  ")</f>
        <v>6560</v>
      </c>
      <c r="G17" s="183"/>
      <c r="H17" s="183"/>
    </row>
    <row r="18" spans="1:13" ht="15.75">
      <c r="A18" s="104" t="str">
        <f>IF((inputPrYr!$B29&gt;"  "),(inputPrYr!$B29),"  ")</f>
        <v>Sewer</v>
      </c>
      <c r="B18" s="217">
        <f>IF(('SpecHwy-Sewer'!$C$60)&lt;&gt;0,('SpecHwy-Sewer'!$C$60),"  ")</f>
        <v>31954</v>
      </c>
      <c r="C18" s="183"/>
      <c r="D18" s="217">
        <f>IF(('SpecHwy-Sewer'!$D$60)&lt;&gt;0,('SpecHwy-Sewer'!$D$60),"  ")</f>
        <v>28796</v>
      </c>
      <c r="E18" s="183"/>
      <c r="F18" s="217">
        <f>IF(('SpecHwy-Sewer'!$E$60)&lt;&gt;0,('SpecHwy-Sewer'!$E$60),"  ")</f>
        <v>20857</v>
      </c>
      <c r="G18" s="183"/>
      <c r="H18" s="183"/>
      <c r="J18" s="837" t="str">
        <f>CONCATENATE("Want The Mill Rate The Same As For ",H1-1,"?")</f>
        <v>Want The Mill Rate The Same As For 2014?</v>
      </c>
      <c r="K18" s="842"/>
      <c r="L18" s="842"/>
      <c r="M18" s="843"/>
    </row>
    <row r="19" spans="1:13" ht="15.75">
      <c r="A19" s="104" t="str">
        <f>IF((inputPrYr!$B30&gt;"  "),(inputPrYr!$B30),"  ")</f>
        <v>Special Parks &amp; Recreation</v>
      </c>
      <c r="B19" s="217">
        <f>IF((ParkRec!$C$25)&lt;&gt;0,(ParkRec!$C$25),"")</f>
        <v>2752</v>
      </c>
      <c r="C19" s="183"/>
      <c r="D19" s="217">
        <f>IF((ParkRec!$D$25)&lt;&gt;0,(ParkRec!$D$25),"")</f>
        <v>1753</v>
      </c>
      <c r="E19" s="183"/>
      <c r="F19" s="217">
        <f>IF((ParkRec!$E$25)&lt;&gt;0,(ParkRec!$E$25),"")</f>
        <v>3412</v>
      </c>
      <c r="G19" s="183"/>
      <c r="H19" s="183"/>
      <c r="J19" s="499"/>
      <c r="K19" s="495"/>
      <c r="L19" s="495"/>
      <c r="M19" s="500"/>
    </row>
    <row r="20" spans="1:13" ht="15.75">
      <c r="A20" s="104" t="s">
        <v>1037</v>
      </c>
      <c r="B20" s="701">
        <f>IF((Reserves!$K$28)&lt;&gt;0,(Reserves!$K$28),"  ")</f>
        <v>131881</v>
      </c>
      <c r="C20" s="215"/>
      <c r="D20" s="701"/>
      <c r="E20" s="215"/>
      <c r="F20" s="701"/>
      <c r="G20" s="215"/>
      <c r="H20" s="215"/>
      <c r="J20" s="503"/>
      <c r="K20" s="503"/>
      <c r="L20" s="503"/>
      <c r="M20" s="503"/>
    </row>
    <row r="21" spans="1:13" ht="15.75">
      <c r="A21" s="5" t="s">
        <v>743</v>
      </c>
      <c r="B21" s="702">
        <f>SUM(B16:B20)</f>
        <v>278700</v>
      </c>
      <c r="C21" s="703">
        <f>SUM(C16:C16)</f>
        <v>8.956</v>
      </c>
      <c r="D21" s="702">
        <f>SUM(D16:D20)</f>
        <v>205419</v>
      </c>
      <c r="E21" s="703">
        <f>SUM(E16:E16)</f>
        <v>8.875</v>
      </c>
      <c r="F21" s="702">
        <f>SUM(F16:F20)</f>
        <v>132473</v>
      </c>
      <c r="G21" s="702">
        <f>SUM(G16:G16)</f>
        <v>21714</v>
      </c>
      <c r="H21" s="703">
        <f>SUM(H16:H20)</f>
        <v>10.12</v>
      </c>
      <c r="J21" s="837" t="str">
        <f>CONCATENATE("Impact On Keeping The Same Mill Rate As For ",H1-1,"")</f>
        <v>Impact On Keeping The Same Mill Rate As For 2014</v>
      </c>
      <c r="K21" s="840"/>
      <c r="L21" s="840"/>
      <c r="M21" s="841"/>
    </row>
    <row r="22" spans="1:13" ht="15.75">
      <c r="A22" s="8" t="s">
        <v>183</v>
      </c>
      <c r="B22" s="704">
        <f>Transfers!$C$15</f>
        <v>35000</v>
      </c>
      <c r="C22" s="705"/>
      <c r="D22" s="704">
        <f>Transfers!$D$15</f>
        <v>0</v>
      </c>
      <c r="E22" s="706"/>
      <c r="F22" s="704">
        <f>Transfers!$E$15</f>
        <v>0</v>
      </c>
      <c r="G22" s="623"/>
      <c r="H22" s="707"/>
      <c r="I22" s="454"/>
      <c r="J22" s="499"/>
      <c r="K22" s="495"/>
      <c r="L22" s="495"/>
      <c r="M22" s="500"/>
    </row>
    <row r="23" spans="1:13" ht="16.5" thickBot="1">
      <c r="A23" s="47" t="s">
        <v>184</v>
      </c>
      <c r="B23" s="708">
        <f>B21-B22</f>
        <v>243700</v>
      </c>
      <c r="C23" s="62"/>
      <c r="D23" s="708">
        <f>D21-D22</f>
        <v>205419</v>
      </c>
      <c r="E23" s="62"/>
      <c r="F23" s="708">
        <f>F21-F22</f>
        <v>132473</v>
      </c>
      <c r="G23" s="62"/>
      <c r="H23" s="62"/>
      <c r="J23" s="499" t="str">
        <f>CONCATENATE("",H1," Ad Valorem Tax Revenue:")</f>
        <v>2015 Ad Valorem Tax Revenue:</v>
      </c>
      <c r="K23" s="495"/>
      <c r="L23" s="495"/>
      <c r="M23" s="496">
        <f>G21</f>
        <v>21714</v>
      </c>
    </row>
    <row r="24" spans="1:13" ht="16.5" thickTop="1">
      <c r="A24" s="8" t="s">
        <v>185</v>
      </c>
      <c r="B24" s="704">
        <f>inputPrYr!E56</f>
        <v>18604</v>
      </c>
      <c r="C24" s="709"/>
      <c r="D24" s="704">
        <f>inputPrYr!E25</f>
        <v>19150</v>
      </c>
      <c r="E24" s="710"/>
      <c r="F24" s="711" t="s">
        <v>150</v>
      </c>
      <c r="G24" s="712"/>
      <c r="H24" s="712"/>
      <c r="J24" s="499" t="str">
        <f>CONCATENATE("",H1-1," Ad Valorem Tax Revenue:")</f>
        <v>2014 Ad Valorem Tax Revenue:</v>
      </c>
      <c r="K24" s="495"/>
      <c r="L24" s="495"/>
      <c r="M24" s="504" t="e">
        <f>ROUND(F25*#REF!/1000,0)</f>
        <v>#REF!</v>
      </c>
    </row>
    <row r="25" spans="1:13" ht="15.75">
      <c r="A25" s="8" t="s">
        <v>186</v>
      </c>
      <c r="B25" s="217">
        <f>inputPrYr!E57</f>
        <v>2077202</v>
      </c>
      <c r="C25" s="239"/>
      <c r="D25" s="217">
        <f>inputOth!E30</f>
        <v>2157847</v>
      </c>
      <c r="E25" s="216"/>
      <c r="F25" s="217">
        <f>inputOth!E7</f>
        <v>2145654</v>
      </c>
      <c r="G25" s="712"/>
      <c r="H25" s="712"/>
      <c r="J25" s="501" t="s">
        <v>659</v>
      </c>
      <c r="K25" s="502"/>
      <c r="L25" s="502"/>
      <c r="M25" s="497" t="e">
        <f>M23-M24</f>
        <v>#REF!</v>
      </c>
    </row>
    <row r="26" spans="1:13" ht="15.75">
      <c r="A26" s="572"/>
      <c r="B26" s="623"/>
      <c r="C26" s="622"/>
      <c r="D26" s="623"/>
      <c r="E26" s="622"/>
      <c r="F26" s="337"/>
      <c r="G26" s="622"/>
      <c r="H26" s="713"/>
      <c r="I26" s="493"/>
      <c r="J26" s="498"/>
      <c r="K26" s="498"/>
      <c r="L26" s="498"/>
      <c r="M26" s="503"/>
    </row>
    <row r="27" spans="1:13" ht="15.75">
      <c r="A27" s="8" t="s">
        <v>187</v>
      </c>
      <c r="B27" s="623"/>
      <c r="C27" s="622"/>
      <c r="D27" s="623"/>
      <c r="E27" s="622"/>
      <c r="F27" s="623"/>
      <c r="G27" s="712"/>
      <c r="H27" s="712"/>
      <c r="J27" s="837" t="s">
        <v>719</v>
      </c>
      <c r="K27" s="838"/>
      <c r="L27" s="838"/>
      <c r="M27" s="839"/>
    </row>
    <row r="28" spans="1:13" ht="15.75">
      <c r="A28" s="8" t="s">
        <v>188</v>
      </c>
      <c r="B28" s="714">
        <f>$H$1-3</f>
        <v>2012</v>
      </c>
      <c r="C28" s="62"/>
      <c r="D28" s="714">
        <f>$H$1-2</f>
        <v>2013</v>
      </c>
      <c r="E28" s="62"/>
      <c r="F28" s="714">
        <f>$H$1-1</f>
        <v>2014</v>
      </c>
      <c r="G28" s="62"/>
      <c r="H28" s="62"/>
      <c r="J28" s="499"/>
      <c r="K28" s="495"/>
      <c r="L28" s="495"/>
      <c r="M28" s="500"/>
    </row>
    <row r="29" spans="1:13" ht="15.75">
      <c r="A29" s="8" t="s">
        <v>189</v>
      </c>
      <c r="B29" s="217">
        <f>inputPrYr!D61</f>
        <v>76000</v>
      </c>
      <c r="C29" s="62"/>
      <c r="D29" s="217">
        <f>inputPrYr!E61</f>
        <v>52000</v>
      </c>
      <c r="E29" s="62"/>
      <c r="F29" s="217">
        <f>debt!G22</f>
        <v>26000</v>
      </c>
      <c r="G29" s="62"/>
      <c r="H29" s="62"/>
      <c r="J29" s="499" t="str">
        <f>CONCATENATE("Desired ",H1," Mill Rate:")</f>
        <v>Desired 2015 Mill Rate:</v>
      </c>
      <c r="K29" s="495"/>
      <c r="L29" s="495"/>
      <c r="M29" s="494">
        <v>0</v>
      </c>
    </row>
    <row r="30" spans="1:8" ht="16.5" thickBot="1">
      <c r="A30" s="8" t="s">
        <v>190</v>
      </c>
      <c r="B30" s="708">
        <f>SUM(B29:B29)</f>
        <v>76000</v>
      </c>
      <c r="C30" s="62"/>
      <c r="D30" s="708">
        <f>SUM(D29:D29)</f>
        <v>52000</v>
      </c>
      <c r="E30" s="62"/>
      <c r="F30" s="708">
        <f>SUM(F29:F29)</f>
        <v>26000</v>
      </c>
      <c r="G30" s="62"/>
      <c r="H30" s="62"/>
    </row>
    <row r="31" spans="1:8" ht="16.5" thickTop="1">
      <c r="A31" s="8" t="s">
        <v>191</v>
      </c>
      <c r="B31" s="7"/>
      <c r="C31" s="7"/>
      <c r="D31" s="7"/>
      <c r="E31" s="7"/>
      <c r="F31" s="7"/>
      <c r="G31" s="7"/>
      <c r="H31" s="7"/>
    </row>
    <row r="32" spans="1:8" ht="15.75">
      <c r="A32" s="7"/>
      <c r="B32" s="7"/>
      <c r="C32" s="7"/>
      <c r="D32" s="7"/>
      <c r="E32" s="7"/>
      <c r="F32" s="7"/>
      <c r="G32" s="7"/>
      <c r="H32" s="7"/>
    </row>
    <row r="33" spans="1:8" ht="15.75">
      <c r="A33" s="7"/>
      <c r="B33" s="7"/>
      <c r="C33" s="7"/>
      <c r="D33" s="7"/>
      <c r="E33" s="7"/>
      <c r="F33" s="7"/>
      <c r="G33" s="7"/>
      <c r="H33" s="7"/>
    </row>
    <row r="34" spans="1:8" ht="15.75">
      <c r="A34" s="831" t="str">
        <f>inputBudSum!B3</f>
        <v>Joe Rettele</v>
      </c>
      <c r="B34" s="832"/>
      <c r="C34" s="481"/>
      <c r="D34" s="7"/>
      <c r="E34" s="7"/>
      <c r="F34" s="7"/>
      <c r="G34" s="7"/>
      <c r="H34" s="7"/>
    </row>
    <row r="35" spans="1:8" ht="15.75">
      <c r="A35" s="65" t="str">
        <f>CONCATENATE("City Official Title: ",inputBudSum!B5,"")</f>
        <v>City Official Title: Mayor</v>
      </c>
      <c r="B35" s="480"/>
      <c r="C35" s="479"/>
      <c r="D35" s="7"/>
      <c r="E35" s="7"/>
      <c r="F35" s="7"/>
      <c r="G35" s="7"/>
      <c r="H35" s="7"/>
    </row>
    <row r="36" spans="1:8" ht="15.75">
      <c r="A36" s="14"/>
      <c r="B36" s="34"/>
      <c r="C36" s="35"/>
      <c r="D36" s="7"/>
      <c r="E36" s="7"/>
      <c r="F36" s="7"/>
      <c r="G36" s="7"/>
      <c r="H36" s="7"/>
    </row>
    <row r="37" spans="1:8" ht="15.75">
      <c r="A37" s="7"/>
      <c r="B37" s="7"/>
      <c r="C37" s="7"/>
      <c r="D37" s="7"/>
      <c r="E37" s="7"/>
      <c r="F37" s="7"/>
      <c r="G37" s="7"/>
      <c r="H37" s="7"/>
    </row>
    <row r="38" spans="1:8" ht="15.75">
      <c r="A38" s="7"/>
      <c r="B38" s="7"/>
      <c r="C38" s="206" t="s">
        <v>192</v>
      </c>
      <c r="D38" s="292">
        <v>11</v>
      </c>
      <c r="E38" s="7"/>
      <c r="F38" s="7"/>
      <c r="G38" s="7"/>
      <c r="H38" s="7"/>
    </row>
    <row r="39" spans="1:8" ht="15.75">
      <c r="A39" s="1"/>
      <c r="B39" s="1"/>
      <c r="C39" s="1"/>
      <c r="D39" s="1"/>
      <c r="E39" s="1"/>
      <c r="F39" s="1"/>
      <c r="G39" s="1"/>
      <c r="H39" s="1"/>
    </row>
    <row r="40" spans="9:13" ht="15.75">
      <c r="I40" s="1"/>
      <c r="J40" s="1"/>
      <c r="K40" s="1"/>
      <c r="L40" s="1"/>
      <c r="M40" s="1"/>
    </row>
    <row r="44" ht="15.75">
      <c r="K44" s="680"/>
    </row>
    <row r="79" spans="1:8" ht="15.75">
      <c r="A79" s="1"/>
      <c r="B79" s="1"/>
      <c r="C79" s="1"/>
      <c r="D79" s="1"/>
      <c r="E79" s="1"/>
      <c r="F79" s="1"/>
      <c r="G79" s="1"/>
      <c r="H79" s="1"/>
    </row>
    <row r="80" ht="15.75">
      <c r="I80" s="1"/>
    </row>
    <row r="90" spans="1:8" ht="15.75">
      <c r="A90" s="1"/>
      <c r="B90" s="1"/>
      <c r="C90" s="1"/>
      <c r="D90" s="1"/>
      <c r="E90" s="1"/>
      <c r="F90" s="1"/>
      <c r="G90" s="1"/>
      <c r="H90" s="1"/>
    </row>
    <row r="112" spans="1:15" ht="15.75">
      <c r="A112" s="1"/>
      <c r="B112" s="1"/>
      <c r="C112" s="1"/>
      <c r="D112" s="1"/>
      <c r="E112" s="1"/>
      <c r="F112" s="1"/>
      <c r="G112" s="1"/>
      <c r="H112" s="1"/>
      <c r="I112" s="1"/>
      <c r="J112" s="1"/>
      <c r="K112" s="1"/>
      <c r="L112" s="1"/>
      <c r="M112" s="1"/>
      <c r="N112" s="1"/>
      <c r="O112" s="1"/>
    </row>
    <row r="156" spans="1:17" ht="15.75">
      <c r="A156" s="1"/>
      <c r="B156" s="1"/>
      <c r="C156" s="1"/>
      <c r="D156" s="1"/>
      <c r="E156" s="1"/>
      <c r="F156" s="1"/>
      <c r="G156" s="1"/>
      <c r="H156" s="1"/>
      <c r="I156" s="1"/>
      <c r="J156" s="1"/>
      <c r="K156" s="1"/>
      <c r="L156" s="1"/>
      <c r="M156" s="1"/>
      <c r="N156" s="1"/>
      <c r="O156" s="1"/>
      <c r="P156" s="1"/>
      <c r="Q156" s="1"/>
    </row>
  </sheetData>
  <sheetProtection/>
  <mergeCells count="10">
    <mergeCell ref="J27:M27"/>
    <mergeCell ref="J21:M21"/>
    <mergeCell ref="J18:M18"/>
    <mergeCell ref="A34:B34"/>
    <mergeCell ref="A7:H7"/>
    <mergeCell ref="A8:H8"/>
    <mergeCell ref="A2:H2"/>
    <mergeCell ref="A4:H4"/>
    <mergeCell ref="A5:H5"/>
    <mergeCell ref="A6:H6"/>
  </mergeCells>
  <printOptions/>
  <pageMargins left="0.5" right="0.5" top="1" bottom="0.5" header="0.5" footer="0.5"/>
  <pageSetup blackAndWhite="1" horizontalDpi="300" verticalDpi="300" orientation="portrait" scale="60"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dimension ref="C2:I7"/>
  <sheetViews>
    <sheetView zoomScalePageLayoutView="0" workbookViewId="0" topLeftCell="A1">
      <selection activeCell="A6" sqref="A6"/>
    </sheetView>
  </sheetViews>
  <sheetFormatPr defaultColWidth="8.796875" defaultRowHeight="15"/>
  <sheetData>
    <row r="2" spans="3:9" ht="15.75">
      <c r="C2" s="759"/>
      <c r="D2" s="759"/>
      <c r="E2" s="759"/>
      <c r="F2" s="759"/>
      <c r="G2" s="759"/>
      <c r="H2" s="759"/>
      <c r="I2" s="760">
        <f>inputPrYr!C5</f>
        <v>2015</v>
      </c>
    </row>
    <row r="3" spans="3:9" ht="15.75" thickBot="1">
      <c r="C3" s="759"/>
      <c r="D3" s="759"/>
      <c r="E3" s="759"/>
      <c r="F3" s="759"/>
      <c r="G3" s="759"/>
      <c r="H3" s="759"/>
      <c r="I3" s="759"/>
    </row>
    <row r="4" spans="3:9" ht="19.5" thickBot="1">
      <c r="C4" s="844" t="s">
        <v>1041</v>
      </c>
      <c r="D4" s="845"/>
      <c r="E4" s="845"/>
      <c r="F4" s="845"/>
      <c r="G4" s="845"/>
      <c r="H4" s="845"/>
      <c r="I4" s="846"/>
    </row>
    <row r="5" spans="3:9" ht="16.5" thickBot="1">
      <c r="C5" s="761"/>
      <c r="D5" s="761"/>
      <c r="E5" s="762"/>
      <c r="F5" s="763"/>
      <c r="G5" s="761"/>
      <c r="H5" s="761"/>
      <c r="I5" s="761"/>
    </row>
    <row r="6" spans="3:9" ht="15.75">
      <c r="C6" s="847" t="str">
        <f>CONCATENATE("Notice of Vote - ",inputPrYr!D2)</f>
        <v>Notice of Vote - City of Fairview</v>
      </c>
      <c r="D6" s="848"/>
      <c r="E6" s="848"/>
      <c r="F6" s="848"/>
      <c r="G6" s="848"/>
      <c r="H6" s="848"/>
      <c r="I6" s="849"/>
    </row>
    <row r="7" spans="3:9" ht="60.75" customHeight="1" thickBot="1">
      <c r="C7" s="85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51"/>
      <c r="E7" s="851"/>
      <c r="F7" s="851"/>
      <c r="G7" s="851"/>
      <c r="H7" s="851"/>
      <c r="I7" s="852"/>
    </row>
  </sheetData>
  <sheetProtection/>
  <mergeCells count="3">
    <mergeCell ref="C4:I4"/>
    <mergeCell ref="C6:I6"/>
    <mergeCell ref="C7:I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C2:H12"/>
  <sheetViews>
    <sheetView zoomScalePageLayoutView="0" workbookViewId="0" topLeftCell="A1">
      <selection activeCell="B8" sqref="B8"/>
    </sheetView>
  </sheetViews>
  <sheetFormatPr defaultColWidth="8.796875" defaultRowHeight="15"/>
  <cols>
    <col min="5" max="5" width="12.19921875" style="0" customWidth="1"/>
    <col min="7" max="7" width="3.296875" style="0" customWidth="1"/>
  </cols>
  <sheetData>
    <row r="2" spans="3:8" ht="15.75">
      <c r="C2" s="759"/>
      <c r="D2" s="759"/>
      <c r="E2" s="759"/>
      <c r="F2" s="759"/>
      <c r="G2" s="759"/>
      <c r="H2" s="760">
        <f>inputPrYr!C5</f>
        <v>2015</v>
      </c>
    </row>
    <row r="3" spans="3:8" ht="15.75" thickBot="1">
      <c r="C3" s="759"/>
      <c r="D3" s="759"/>
      <c r="E3" s="759"/>
      <c r="F3" s="759"/>
      <c r="G3" s="759"/>
      <c r="H3" s="759"/>
    </row>
    <row r="4" spans="3:8" ht="19.5" thickBot="1">
      <c r="C4" s="853" t="s">
        <v>1042</v>
      </c>
      <c r="D4" s="854"/>
      <c r="E4" s="854"/>
      <c r="F4" s="854"/>
      <c r="G4" s="854"/>
      <c r="H4" s="855"/>
    </row>
    <row r="5" spans="3:8" ht="16.5" thickBot="1">
      <c r="C5" s="764"/>
      <c r="D5" s="764"/>
      <c r="E5" s="764"/>
      <c r="F5" s="764"/>
      <c r="G5" s="764"/>
      <c r="H5" s="764"/>
    </row>
    <row r="6" spans="3:8" ht="15.75">
      <c r="C6" s="847" t="str">
        <f>CONCATENATE("Notice of Vote - ",inputPrYr!D2)</f>
        <v>Notice of Vote - City of Fairview</v>
      </c>
      <c r="D6" s="848"/>
      <c r="E6" s="848"/>
      <c r="F6" s="848"/>
      <c r="G6" s="848"/>
      <c r="H6" s="849"/>
    </row>
    <row r="7" spans="3:8" ht="15.75">
      <c r="C7" s="856" t="s">
        <v>1043</v>
      </c>
      <c r="D7" s="857"/>
      <c r="E7" s="857"/>
      <c r="F7" s="857"/>
      <c r="G7" s="857"/>
      <c r="H7" s="858"/>
    </row>
    <row r="8" spans="3:8" ht="15.75">
      <c r="C8" s="856" t="s">
        <v>1044</v>
      </c>
      <c r="D8" s="857"/>
      <c r="E8" s="857"/>
      <c r="F8" s="857"/>
      <c r="G8" s="857"/>
      <c r="H8" s="858"/>
    </row>
    <row r="9" spans="3:8" ht="15.75">
      <c r="C9" s="765" t="str">
        <f>CONCATENATE(H2-1," Budget")</f>
        <v>2014 Budget</v>
      </c>
      <c r="D9" s="766" t="s">
        <v>231</v>
      </c>
      <c r="E9" s="767">
        <f>inputPrYr!E25</f>
        <v>19150</v>
      </c>
      <c r="F9" s="768"/>
      <c r="G9" s="768"/>
      <c r="H9" s="769"/>
    </row>
    <row r="10" spans="3:8" ht="15.75">
      <c r="C10" s="765" t="str">
        <f>CONCATENATE(H2," Budget")</f>
        <v>2015 Budget</v>
      </c>
      <c r="D10" s="766" t="s">
        <v>231</v>
      </c>
      <c r="E10" s="770">
        <f>cert!E37</f>
        <v>21714</v>
      </c>
      <c r="F10" s="768"/>
      <c r="G10" s="768"/>
      <c r="H10" s="769"/>
    </row>
    <row r="11" spans="3:8" ht="15.75">
      <c r="C11" s="765"/>
      <c r="D11" s="768"/>
      <c r="E11" s="768" t="s">
        <v>1045</v>
      </c>
      <c r="F11" s="771"/>
      <c r="G11" s="772" t="s">
        <v>1046</v>
      </c>
      <c r="H11" s="773"/>
    </row>
    <row r="12" spans="3:8" ht="16.5" thickBot="1">
      <c r="C12" s="774"/>
      <c r="D12" s="775"/>
      <c r="E12" s="775"/>
      <c r="F12" s="775"/>
      <c r="G12" s="775"/>
      <c r="H12" s="776"/>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0" t="str">
        <f>inputPrYr!D2</f>
        <v>City of Fairview</v>
      </c>
      <c r="B1" s="4"/>
      <c r="C1" s="4"/>
      <c r="D1" s="4"/>
      <c r="E1" s="4"/>
      <c r="F1" s="4">
        <f>inputPrYr!C5</f>
        <v>2015</v>
      </c>
    </row>
    <row r="2" spans="1:6" ht="15.75">
      <c r="A2" s="40"/>
      <c r="B2" s="4"/>
      <c r="C2" s="4"/>
      <c r="D2" s="4"/>
      <c r="E2" s="4"/>
      <c r="F2" s="4"/>
    </row>
    <row r="3" spans="1:6" ht="15.75">
      <c r="A3" s="4"/>
      <c r="B3" s="4"/>
      <c r="C3" s="4"/>
      <c r="D3" s="4"/>
      <c r="E3" s="4"/>
      <c r="F3" s="4"/>
    </row>
    <row r="4" spans="1:6" ht="15.75">
      <c r="A4" s="7"/>
      <c r="B4" s="859" t="str">
        <f>CONCATENATE("",F1," Neighborhood Revitalization Rebate")</f>
        <v>2015 Neighborhood Revitalization Rebate</v>
      </c>
      <c r="C4" s="860"/>
      <c r="D4" s="860"/>
      <c r="E4" s="861"/>
      <c r="F4" s="4"/>
    </row>
    <row r="5" spans="1:6" ht="15.75">
      <c r="A5" s="7"/>
      <c r="B5" s="7"/>
      <c r="C5" s="7"/>
      <c r="D5" s="7"/>
      <c r="E5" s="7"/>
      <c r="F5" s="4"/>
    </row>
    <row r="6" spans="1:6" ht="51.75" customHeight="1">
      <c r="A6" s="7"/>
      <c r="B6" s="392" t="str">
        <f>CONCATENATE("Budgeted Funds                      for ",F1,"")</f>
        <v>Budgeted Funds                      for 2015</v>
      </c>
      <c r="C6" s="392" t="str">
        <f>CONCATENATE("",F1-1," Ad Valorem before Rebate**")</f>
        <v>2014 Ad Valorem before Rebate**</v>
      </c>
      <c r="D6" s="393" t="str">
        <f>CONCATENATE("",F1-1," Mil Rate before Rebate")</f>
        <v>2014 Mil Rate before Rebate</v>
      </c>
      <c r="E6" s="394" t="str">
        <f>CONCATENATE("Estimate ",F1," NR Rebate")</f>
        <v>Estimate 2015 NR Rebate</v>
      </c>
      <c r="F6" s="4"/>
    </row>
    <row r="7" spans="1:6" ht="15.75">
      <c r="A7" s="7"/>
      <c r="B7" s="5" t="s">
        <v>128</v>
      </c>
      <c r="C7" s="46"/>
      <c r="D7" s="38">
        <f aca="true" t="shared" si="0" ref="D7:D12">IF(C7&gt;0,C7/$D$19,"")</f>
      </c>
      <c r="E7" s="27">
        <f aca="true" t="shared" si="1" ref="E7:E12">IF(C7&gt;0,ROUND(D7*$D$23,0),"")</f>
      </c>
      <c r="F7" s="4"/>
    </row>
    <row r="8" spans="1:6" ht="15.75">
      <c r="A8" s="7"/>
      <c r="B8" s="5" t="str">
        <f>inputPrYr!B18</f>
        <v>Debt Service</v>
      </c>
      <c r="C8" s="46"/>
      <c r="D8" s="38">
        <f t="shared" si="0"/>
      </c>
      <c r="E8" s="27">
        <f t="shared" si="1"/>
      </c>
      <c r="F8" s="4"/>
    </row>
    <row r="9" spans="1:6" ht="15.75">
      <c r="A9" s="7"/>
      <c r="B9" s="6" t="str">
        <f>IF((inputPrYr!$B19&gt;"  "),(inputPrYr!$B19),"  ")</f>
        <v>Library</v>
      </c>
      <c r="C9" s="46"/>
      <c r="D9" s="38">
        <f t="shared" si="0"/>
      </c>
      <c r="E9" s="27">
        <f t="shared" si="1"/>
      </c>
      <c r="F9" s="4"/>
    </row>
    <row r="10" spans="1:6" ht="15.75">
      <c r="A10" s="7"/>
      <c r="B10" s="6" t="str">
        <f>IF((inputPrYr!$B21&gt;"  "),(inputPrYr!$B21),"  ")</f>
        <v>  </v>
      </c>
      <c r="C10" s="46"/>
      <c r="D10" s="38">
        <f t="shared" si="0"/>
      </c>
      <c r="E10" s="27">
        <f t="shared" si="1"/>
      </c>
      <c r="F10" s="4"/>
    </row>
    <row r="11" spans="1:6" ht="15.75">
      <c r="A11" s="7"/>
      <c r="B11" s="6" t="str">
        <f>IF((inputPrYr!$B22&gt;"  "),(inputPrYr!$B22),"  ")</f>
        <v>  </v>
      </c>
      <c r="C11" s="46"/>
      <c r="D11" s="38">
        <f t="shared" si="0"/>
      </c>
      <c r="E11" s="27">
        <f t="shared" si="1"/>
      </c>
      <c r="F11" s="4"/>
    </row>
    <row r="12" spans="1:6" ht="15.75">
      <c r="A12" s="7"/>
      <c r="B12" s="6" t="str">
        <f>IF((inputPrYr!$B23&gt;"  "),(inputPrYr!$B23),"  ")</f>
        <v>  </v>
      </c>
      <c r="C12" s="46"/>
      <c r="D12" s="38">
        <f t="shared" si="0"/>
      </c>
      <c r="E12" s="27">
        <f t="shared" si="1"/>
      </c>
      <c r="F12" s="4"/>
    </row>
    <row r="13" spans="1:6" ht="15.75">
      <c r="A13" s="7"/>
      <c r="B13" s="6" t="str">
        <f>IF((inputPrYr!$B24&gt;"  "),(inputPrYr!$B24),"  ")</f>
        <v>  </v>
      </c>
      <c r="C13" s="408"/>
      <c r="D13" s="38">
        <f>IF(C13&gt;0,C13/$D$19,"")</f>
      </c>
      <c r="E13" s="27">
        <f>IF(C13&gt;0,ROUND(D13*$D$23,0),"")</f>
      </c>
      <c r="F13" s="4"/>
    </row>
    <row r="14" spans="1:6" ht="16.5" thickBot="1">
      <c r="A14" s="7"/>
      <c r="B14" s="13" t="s">
        <v>156</v>
      </c>
      <c r="C14" s="28">
        <f>SUM(C7:C13)</f>
        <v>0</v>
      </c>
      <c r="D14" s="39">
        <f>SUM(D7:D13)</f>
        <v>0</v>
      </c>
      <c r="E14" s="28">
        <f>SUM(E7:E13)</f>
        <v>0</v>
      </c>
      <c r="F14" s="4"/>
    </row>
    <row r="15" spans="1:6" ht="16.5" thickTop="1">
      <c r="A15" s="7"/>
      <c r="B15" s="7"/>
      <c r="C15" s="7"/>
      <c r="D15" s="7"/>
      <c r="E15" s="7"/>
      <c r="F15" s="4"/>
    </row>
    <row r="16" spans="1:6" ht="15.75">
      <c r="A16" s="7"/>
      <c r="B16" s="7"/>
      <c r="C16" s="7"/>
      <c r="D16" s="7"/>
      <c r="E16" s="7"/>
      <c r="F16" s="4"/>
    </row>
    <row r="17" spans="1:6" ht="15.75">
      <c r="A17" s="864" t="str">
        <f>CONCATENATE("",F1-1," July 1 Valuation:")</f>
        <v>2014 July 1 Valuation:</v>
      </c>
      <c r="B17" s="863"/>
      <c r="C17" s="864"/>
      <c r="D17" s="36">
        <f>inputOth!E7</f>
        <v>2145654</v>
      </c>
      <c r="E17" s="7"/>
      <c r="F17" s="4"/>
    </row>
    <row r="18" spans="1:6" ht="15.75">
      <c r="A18" s="7"/>
      <c r="B18" s="7"/>
      <c r="C18" s="7"/>
      <c r="D18" s="7"/>
      <c r="E18" s="7"/>
      <c r="F18" s="4"/>
    </row>
    <row r="19" spans="1:6" ht="15.75">
      <c r="A19" s="7"/>
      <c r="B19" s="864" t="s">
        <v>339</v>
      </c>
      <c r="C19" s="864"/>
      <c r="D19" s="41">
        <f>IF(D17&gt;0,(D17*0.001),"")</f>
        <v>2145.654</v>
      </c>
      <c r="E19" s="7"/>
      <c r="F19" s="4"/>
    </row>
    <row r="20" spans="1:6" ht="15.75">
      <c r="A20" s="7"/>
      <c r="B20" s="15"/>
      <c r="C20" s="15"/>
      <c r="D20" s="42"/>
      <c r="E20" s="7"/>
      <c r="F20" s="4"/>
    </row>
    <row r="21" spans="1:6" ht="15.75">
      <c r="A21" s="862" t="s">
        <v>340</v>
      </c>
      <c r="B21" s="861"/>
      <c r="C21" s="861"/>
      <c r="D21" s="43">
        <f>inputOth!E17</f>
        <v>0</v>
      </c>
      <c r="E21" s="25"/>
      <c r="F21" s="25"/>
    </row>
    <row r="22" spans="1:6" ht="15">
      <c r="A22" s="25"/>
      <c r="B22" s="25"/>
      <c r="C22" s="25"/>
      <c r="D22" s="44"/>
      <c r="E22" s="25"/>
      <c r="F22" s="25"/>
    </row>
    <row r="23" spans="1:6" ht="15.75">
      <c r="A23" s="25"/>
      <c r="B23" s="862" t="s">
        <v>341</v>
      </c>
      <c r="C23" s="863"/>
      <c r="D23" s="45">
        <f>IF(D21&gt;0,(D21*0.001),"")</f>
      </c>
      <c r="E23" s="25"/>
      <c r="F23" s="25"/>
    </row>
    <row r="24" spans="1:6" ht="15">
      <c r="A24" s="25"/>
      <c r="B24" s="25"/>
      <c r="C24" s="25"/>
      <c r="D24" s="25"/>
      <c r="E24" s="25"/>
      <c r="F24" s="25"/>
    </row>
    <row r="25" spans="1:6" ht="15">
      <c r="A25" s="25"/>
      <c r="B25" s="25"/>
      <c r="C25" s="25"/>
      <c r="D25" s="25"/>
      <c r="E25" s="25"/>
      <c r="F25" s="25"/>
    </row>
    <row r="26" spans="1:6" ht="15.75">
      <c r="A26" s="391" t="str">
        <f>CONCATENATE("**This information comes from the ",F1," Budget Summary page.  See instructions tab #13 for completing")</f>
        <v>**This information comes from the 2015 Budget Summary page.  See instructions tab #13 for completing</v>
      </c>
      <c r="B26" s="25"/>
      <c r="C26" s="25"/>
      <c r="D26" s="25"/>
      <c r="E26" s="25"/>
      <c r="F26" s="25"/>
    </row>
    <row r="27" spans="1:6" ht="15.75">
      <c r="A27" s="391" t="s">
        <v>621</v>
      </c>
      <c r="B27" s="25"/>
      <c r="C27" s="25"/>
      <c r="D27" s="25"/>
      <c r="E27" s="25"/>
      <c r="F27" s="25"/>
    </row>
    <row r="28" spans="1:6" ht="15.75">
      <c r="A28" s="391"/>
      <c r="B28" s="25"/>
      <c r="C28" s="25"/>
      <c r="D28" s="25"/>
      <c r="E28" s="25"/>
      <c r="F28" s="25"/>
    </row>
    <row r="29" spans="1:6" ht="15.75">
      <c r="A29" s="391"/>
      <c r="B29" s="25"/>
      <c r="C29" s="25"/>
      <c r="D29" s="25"/>
      <c r="E29" s="25"/>
      <c r="F29" s="25"/>
    </row>
    <row r="30" spans="1:6" ht="15">
      <c r="A30" s="25"/>
      <c r="B30" s="25"/>
      <c r="C30" s="25"/>
      <c r="D30" s="25"/>
      <c r="E30" s="25"/>
      <c r="F30" s="44"/>
    </row>
    <row r="31" spans="1:6" ht="15">
      <c r="A31" s="25"/>
      <c r="B31" s="25"/>
      <c r="C31" s="25"/>
      <c r="D31" s="25"/>
      <c r="E31" s="25"/>
      <c r="F31" s="25"/>
    </row>
    <row r="32" spans="1:6" ht="15.75">
      <c r="A32" s="25"/>
      <c r="B32" s="37" t="s">
        <v>175</v>
      </c>
      <c r="C32" s="3"/>
      <c r="D32" s="25"/>
      <c r="E32" s="25"/>
      <c r="F32" s="25"/>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67" t="s">
        <v>290</v>
      </c>
      <c r="B1" s="867"/>
      <c r="C1" s="867"/>
      <c r="D1" s="867"/>
      <c r="E1" s="867"/>
      <c r="F1" s="867"/>
      <c r="G1" s="867"/>
    </row>
    <row r="2" spans="1:7" ht="16.5" customHeight="1">
      <c r="A2" s="867"/>
      <c r="B2" s="867"/>
      <c r="C2" s="867"/>
      <c r="D2" s="867"/>
      <c r="E2" s="867"/>
      <c r="F2" s="867"/>
      <c r="G2" s="867"/>
    </row>
    <row r="3" spans="1:7" ht="16.5" customHeight="1">
      <c r="A3" s="868"/>
      <c r="B3" s="868"/>
      <c r="C3" s="868"/>
      <c r="D3" s="868"/>
      <c r="E3" s="868"/>
      <c r="F3" s="868"/>
      <c r="G3" s="868"/>
    </row>
    <row r="4" spans="1:7" ht="16.5" customHeight="1">
      <c r="A4" s="865" t="str">
        <f>CONCATENATE("AN ORDINANCE ATTESTING TO AN INCREASE IN TAX REVENUES FOR BUDGET YEAR ",(inputPrYr!$C$5)," FOR THE ",(inputPrYr!$D$2))</f>
        <v>AN ORDINANCE ATTESTING TO AN INCREASE IN TAX REVENUES FOR BUDGET YEAR 2015 FOR THE City of Fairview</v>
      </c>
      <c r="B4" s="865"/>
      <c r="C4" s="865"/>
      <c r="D4" s="865"/>
      <c r="E4" s="865"/>
      <c r="F4" s="865"/>
      <c r="G4" s="865"/>
    </row>
    <row r="5" spans="1:7" ht="16.5" customHeight="1">
      <c r="A5" s="865"/>
      <c r="B5" s="865"/>
      <c r="C5" s="865"/>
      <c r="D5" s="865"/>
      <c r="E5" s="865"/>
      <c r="F5" s="865"/>
      <c r="G5" s="865"/>
    </row>
    <row r="6" spans="1:7" ht="16.5" customHeight="1">
      <c r="A6" s="867"/>
      <c r="B6" s="867"/>
      <c r="C6" s="867"/>
      <c r="D6" s="867"/>
      <c r="E6" s="867"/>
      <c r="F6" s="867"/>
      <c r="G6" s="867"/>
    </row>
    <row r="7" spans="1:14" ht="16.5" customHeight="1">
      <c r="A7" s="865" t="str">
        <f>CONCATENATE("WHEREAS, the  ",(inputPrYr!$D$2)," must continue to provide services to protect the health, safety, and welfare of the citizens of this community; and")</f>
        <v>WHEREAS, the  City of Fairview must continue to provide services to protect the health, safety, and welfare of the citizens of this community; and</v>
      </c>
      <c r="B7" s="865"/>
      <c r="C7" s="865"/>
      <c r="D7" s="865"/>
      <c r="E7" s="865"/>
      <c r="F7" s="865"/>
      <c r="G7" s="865"/>
      <c r="H7" s="22"/>
      <c r="I7" s="22"/>
      <c r="J7" s="22"/>
      <c r="K7" s="22"/>
      <c r="L7" s="22"/>
      <c r="M7" s="22"/>
      <c r="N7" s="22"/>
    </row>
    <row r="8" spans="1:14" ht="16.5" customHeight="1">
      <c r="A8" s="865"/>
      <c r="B8" s="865"/>
      <c r="C8" s="865"/>
      <c r="D8" s="865"/>
      <c r="E8" s="865"/>
      <c r="F8" s="865"/>
      <c r="G8" s="865"/>
      <c r="H8" s="22"/>
      <c r="I8" s="22"/>
      <c r="J8" s="22"/>
      <c r="K8" s="22"/>
      <c r="L8" s="22"/>
      <c r="M8" s="22"/>
      <c r="N8" s="22"/>
    </row>
    <row r="9" spans="1:7" ht="16.5" customHeight="1">
      <c r="A9" s="30"/>
      <c r="B9" s="30"/>
      <c r="C9" s="30"/>
      <c r="D9" s="30"/>
      <c r="E9" s="30"/>
      <c r="F9" s="30"/>
      <c r="G9" s="30"/>
    </row>
    <row r="10" spans="1:7" ht="16.5" customHeight="1">
      <c r="A10" s="865" t="s">
        <v>291</v>
      </c>
      <c r="B10" s="865"/>
      <c r="C10" s="865"/>
      <c r="D10" s="865"/>
      <c r="E10" s="865"/>
      <c r="F10" s="865"/>
      <c r="G10" s="865"/>
    </row>
    <row r="11" spans="1:7" ht="16.5" customHeight="1">
      <c r="A11" s="865"/>
      <c r="B11" s="865"/>
      <c r="C11" s="865"/>
      <c r="D11" s="865"/>
      <c r="E11" s="865"/>
      <c r="F11" s="865"/>
      <c r="G11" s="865"/>
    </row>
    <row r="12" spans="1:7" ht="16.5" customHeight="1">
      <c r="A12" s="30"/>
      <c r="B12" s="30"/>
      <c r="C12" s="30"/>
      <c r="D12" s="30"/>
      <c r="E12" s="30"/>
      <c r="F12" s="30"/>
      <c r="G12" s="30"/>
    </row>
    <row r="13" spans="1:14" ht="16.5" customHeight="1">
      <c r="A13" s="865" t="str">
        <f>CONCATENATE("NOW THEREFORE, be it ordained by the Governing Body of the ",(inputPrYr!$D$2),":")</f>
        <v>NOW THEREFORE, be it ordained by the Governing Body of the City of Fairview:</v>
      </c>
      <c r="B13" s="865"/>
      <c r="C13" s="865"/>
      <c r="D13" s="865"/>
      <c r="E13" s="865"/>
      <c r="F13" s="865"/>
      <c r="G13" s="865"/>
      <c r="H13" s="22"/>
      <c r="I13" s="22"/>
      <c r="J13" s="22"/>
      <c r="K13" s="22"/>
      <c r="L13" s="22"/>
      <c r="M13" s="22"/>
      <c r="N13" s="22"/>
    </row>
    <row r="14" spans="1:14" ht="16.5" customHeight="1">
      <c r="A14" s="865"/>
      <c r="B14" s="865"/>
      <c r="C14" s="865"/>
      <c r="D14" s="865"/>
      <c r="E14" s="865"/>
      <c r="F14" s="865"/>
      <c r="G14" s="865"/>
      <c r="H14" s="22"/>
      <c r="I14" s="22"/>
      <c r="J14" s="22"/>
      <c r="K14" s="22"/>
      <c r="L14" s="22"/>
      <c r="M14" s="22"/>
      <c r="N14" s="22"/>
    </row>
    <row r="15" spans="1:14" ht="16.5" customHeight="1">
      <c r="A15" s="86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Fairview  has scheduled a public hearing and has prepared the proposed budget necessary to fund city services from January 1, 2015 until December 31, 2015.</v>
      </c>
      <c r="B15" s="865"/>
      <c r="C15" s="865"/>
      <c r="D15" s="865"/>
      <c r="E15" s="865"/>
      <c r="F15" s="865"/>
      <c r="G15" s="865"/>
      <c r="H15" s="22"/>
      <c r="I15" s="22"/>
      <c r="J15" s="22"/>
      <c r="K15" s="22"/>
      <c r="L15" s="22"/>
      <c r="M15" s="22"/>
      <c r="N15" s="22"/>
    </row>
    <row r="16" spans="1:14" ht="16.5" customHeight="1">
      <c r="A16" s="865"/>
      <c r="B16" s="865"/>
      <c r="C16" s="865"/>
      <c r="D16" s="865"/>
      <c r="E16" s="865"/>
      <c r="F16" s="865"/>
      <c r="G16" s="865"/>
      <c r="H16" s="22"/>
      <c r="I16" s="22"/>
      <c r="J16" s="22"/>
      <c r="K16" s="22"/>
      <c r="L16" s="22"/>
      <c r="M16" s="22"/>
      <c r="N16" s="22"/>
    </row>
    <row r="17" spans="1:14" ht="16.5" customHeight="1">
      <c r="A17" s="865"/>
      <c r="B17" s="865"/>
      <c r="C17" s="865"/>
      <c r="D17" s="865"/>
      <c r="E17" s="865"/>
      <c r="F17" s="865"/>
      <c r="G17" s="865"/>
      <c r="H17" s="23"/>
      <c r="I17" s="23"/>
      <c r="J17" s="23"/>
      <c r="K17" s="23"/>
      <c r="L17" s="23"/>
      <c r="M17" s="23"/>
      <c r="N17" s="23"/>
    </row>
    <row r="18" spans="1:7" ht="16.5" customHeight="1">
      <c r="A18" s="31"/>
      <c r="B18" s="31"/>
      <c r="C18" s="31"/>
      <c r="D18" s="31"/>
      <c r="E18" s="31"/>
      <c r="F18" s="31"/>
      <c r="G18" s="31"/>
    </row>
    <row r="19" spans="1:7" ht="16.5" customHeight="1">
      <c r="A19" s="32" t="s">
        <v>115</v>
      </c>
      <c r="B19" s="32"/>
      <c r="C19" s="32"/>
      <c r="D19" s="32"/>
      <c r="E19" s="32"/>
      <c r="F19" s="32"/>
      <c r="G19" s="32"/>
    </row>
    <row r="20" spans="1:7" ht="16.5" customHeight="1">
      <c r="A20" s="32" t="s">
        <v>116</v>
      </c>
      <c r="B20" s="32"/>
      <c r="C20" s="32"/>
      <c r="D20" s="32"/>
      <c r="E20" s="32"/>
      <c r="F20" s="32"/>
      <c r="G20" s="32"/>
    </row>
    <row r="21" spans="1:7" ht="16.5" customHeight="1">
      <c r="A21" s="29" t="str">
        <f>CONCATENATE("necessary to budget property tax revenues in an amount exceeding the levy in the ",inputPrYr!$C$5-1,"")</f>
        <v>necessary to budget property tax revenues in an amount exceeding the levy in the 2014</v>
      </c>
      <c r="B21" s="29"/>
      <c r="C21" s="29"/>
      <c r="D21" s="29"/>
      <c r="E21" s="29"/>
      <c r="F21" s="29"/>
      <c r="G21" s="29"/>
    </row>
    <row r="22" spans="1:7" ht="16.5" customHeight="1">
      <c r="A22" s="29" t="s">
        <v>117</v>
      </c>
      <c r="B22" s="29"/>
      <c r="C22" s="29"/>
      <c r="D22" s="29"/>
      <c r="E22" s="29"/>
      <c r="F22" s="29"/>
      <c r="G22" s="29"/>
    </row>
    <row r="23" spans="1:7" ht="16.5" customHeight="1">
      <c r="A23" s="31"/>
      <c r="B23" s="31"/>
      <c r="C23" s="31"/>
      <c r="D23" s="31"/>
      <c r="E23" s="31"/>
      <c r="F23" s="31"/>
      <c r="G23" s="31"/>
    </row>
    <row r="24" spans="1:7" ht="16.5" customHeight="1">
      <c r="A24" s="865" t="s">
        <v>292</v>
      </c>
      <c r="B24" s="865"/>
      <c r="C24" s="865"/>
      <c r="D24" s="865"/>
      <c r="E24" s="865"/>
      <c r="F24" s="865"/>
      <c r="G24" s="865"/>
    </row>
    <row r="25" spans="1:7" ht="16.5" customHeight="1">
      <c r="A25" s="865"/>
      <c r="B25" s="865"/>
      <c r="C25" s="865"/>
      <c r="D25" s="865"/>
      <c r="E25" s="865"/>
      <c r="F25" s="865"/>
      <c r="G25" s="865"/>
    </row>
    <row r="26" spans="1:7" ht="16.5" customHeight="1">
      <c r="A26" s="31"/>
      <c r="B26" s="31"/>
      <c r="C26" s="31"/>
      <c r="D26" s="31"/>
      <c r="E26" s="31"/>
      <c r="F26" s="31"/>
      <c r="G26" s="31"/>
    </row>
    <row r="27" spans="1:7" ht="16.5" customHeight="1">
      <c r="A27" s="865" t="str">
        <f>CONCATENATE("Passed and approved by the Governing Body on this ______ day of __________, ",(inputPrYr!$C$5-1),".")</f>
        <v>Passed and approved by the Governing Body on this ______ day of __________, 2014.</v>
      </c>
      <c r="B27" s="865"/>
      <c r="C27" s="865"/>
      <c r="D27" s="865"/>
      <c r="E27" s="865"/>
      <c r="F27" s="865"/>
      <c r="G27" s="865"/>
    </row>
    <row r="28" spans="1:7" ht="16.5" customHeight="1">
      <c r="A28" s="865"/>
      <c r="B28" s="865"/>
      <c r="C28" s="865"/>
      <c r="D28" s="865"/>
      <c r="E28" s="865"/>
      <c r="F28" s="865"/>
      <c r="G28" s="865"/>
    </row>
    <row r="29" spans="1:7" ht="16.5" customHeight="1">
      <c r="A29" s="33"/>
      <c r="B29" s="1"/>
      <c r="C29" s="1"/>
      <c r="D29" s="1"/>
      <c r="E29" s="1"/>
      <c r="F29" s="1"/>
      <c r="G29" s="1"/>
    </row>
    <row r="30" spans="1:7" ht="16.5" customHeight="1">
      <c r="A30" s="866" t="s">
        <v>293</v>
      </c>
      <c r="B30" s="866"/>
      <c r="C30" s="866"/>
      <c r="D30" s="866"/>
      <c r="E30" s="866"/>
      <c r="F30" s="866"/>
      <c r="G30" s="866"/>
    </row>
    <row r="31" spans="1:7" ht="16.5" customHeight="1">
      <c r="A31" s="866" t="s">
        <v>294</v>
      </c>
      <c r="B31" s="866"/>
      <c r="C31" s="866"/>
      <c r="D31" s="866"/>
      <c r="E31" s="866"/>
      <c r="F31" s="866"/>
      <c r="G31" s="866"/>
    </row>
    <row r="32" spans="1:7" ht="16.5" customHeight="1">
      <c r="A32" s="33" t="s">
        <v>295</v>
      </c>
      <c r="B32" s="1"/>
      <c r="C32" s="1"/>
      <c r="D32" s="1"/>
      <c r="E32" s="1"/>
      <c r="F32" s="1"/>
      <c r="G32" s="1"/>
    </row>
    <row r="33" spans="1:7" ht="16.5" customHeight="1">
      <c r="A33" s="1"/>
      <c r="B33" s="33" t="s">
        <v>296</v>
      </c>
      <c r="C33" s="1"/>
      <c r="D33" s="1"/>
      <c r="E33" s="1"/>
      <c r="F33" s="1"/>
      <c r="G33" s="1"/>
    </row>
    <row r="34" spans="1:7" ht="16.5" customHeight="1">
      <c r="A34" s="33"/>
      <c r="B34" s="1"/>
      <c r="C34" s="1"/>
      <c r="D34" s="1"/>
      <c r="E34" s="1"/>
      <c r="F34" s="1"/>
      <c r="G34" s="1"/>
    </row>
    <row r="35" spans="1:7" ht="16.5" customHeight="1">
      <c r="A35" s="33"/>
      <c r="B35" s="1"/>
      <c r="C35" s="1"/>
      <c r="D35" s="1"/>
      <c r="E35" s="1"/>
      <c r="F35" s="1"/>
      <c r="G35" s="1"/>
    </row>
    <row r="36" spans="1:7" ht="16.5" customHeight="1">
      <c r="A36" s="33" t="s">
        <v>297</v>
      </c>
      <c r="B36" s="1"/>
      <c r="C36" s="1"/>
      <c r="D36" s="1"/>
      <c r="E36" s="1"/>
      <c r="F36" s="1"/>
      <c r="G36" s="1"/>
    </row>
    <row r="37" spans="1:7" ht="16.5" customHeight="1">
      <c r="A37" s="33"/>
      <c r="B37" s="1"/>
      <c r="C37" s="1"/>
      <c r="D37" s="1"/>
      <c r="E37" s="1"/>
      <c r="F37" s="1"/>
      <c r="G37" s="1"/>
    </row>
    <row r="38" spans="1:7" ht="16.5" customHeight="1">
      <c r="A38" s="33"/>
      <c r="B38" s="1"/>
      <c r="C38" s="1"/>
      <c r="D38" s="1"/>
      <c r="E38" s="1"/>
      <c r="F38" s="1"/>
      <c r="G38" s="1"/>
    </row>
    <row r="39" spans="1:7" ht="16.5" customHeight="1">
      <c r="A39" s="33"/>
      <c r="B39" s="1"/>
      <c r="C39" s="1"/>
      <c r="D39" s="1"/>
      <c r="E39" s="1"/>
      <c r="F39" s="1"/>
      <c r="G39" s="1"/>
    </row>
    <row r="40" spans="1:7" ht="16.5" customHeight="1">
      <c r="A40" s="33" t="s">
        <v>298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B23">
      <selection activeCell="D39" sqref="D39"/>
    </sheetView>
  </sheetViews>
  <sheetFormatPr defaultColWidth="8.796875" defaultRowHeight="15"/>
  <cols>
    <col min="1" max="1" width="15.796875" style="63" customWidth="1"/>
    <col min="2" max="2" width="20.796875" style="63" customWidth="1"/>
    <col min="3" max="3" width="9.796875" style="63" customWidth="1"/>
    <col min="4" max="4" width="15.09765625" style="63" customWidth="1"/>
    <col min="5" max="5" width="15.796875" style="63" customWidth="1"/>
    <col min="6" max="6" width="1.796875" style="63" customWidth="1"/>
    <col min="7" max="7" width="18.69921875" style="63" customWidth="1"/>
    <col min="8" max="16384" width="8.8984375" style="63" customWidth="1"/>
  </cols>
  <sheetData>
    <row r="1" spans="1:5" ht="15.75">
      <c r="A1" s="61" t="s">
        <v>125</v>
      </c>
      <c r="B1" s="62"/>
      <c r="C1" s="62"/>
      <c r="D1" s="62"/>
      <c r="E1" s="62"/>
    </row>
    <row r="2" spans="1:5" ht="15.75">
      <c r="A2" s="64" t="s">
        <v>70</v>
      </c>
      <c r="B2" s="62"/>
      <c r="C2" s="62"/>
      <c r="D2" s="755" t="s">
        <v>1003</v>
      </c>
      <c r="E2" s="756"/>
    </row>
    <row r="3" spans="1:5" ht="15.75">
      <c r="A3" s="64" t="s">
        <v>71</v>
      </c>
      <c r="B3" s="62"/>
      <c r="C3" s="62"/>
      <c r="D3" s="755" t="s">
        <v>1002</v>
      </c>
      <c r="E3" s="756"/>
    </row>
    <row r="4" spans="1:5" ht="15.75">
      <c r="A4" s="65"/>
      <c r="B4" s="62"/>
      <c r="C4" s="62"/>
      <c r="D4" s="66"/>
      <c r="E4" s="62"/>
    </row>
    <row r="5" spans="1:5" ht="15.75">
      <c r="A5" s="64" t="s">
        <v>304</v>
      </c>
      <c r="B5" s="62"/>
      <c r="C5" s="67">
        <v>2015</v>
      </c>
      <c r="D5" s="66"/>
      <c r="E5" s="62"/>
    </row>
    <row r="6" spans="1:5" ht="15.75">
      <c r="A6" s="62"/>
      <c r="B6" s="62"/>
      <c r="C6" s="62"/>
      <c r="D6" s="62"/>
      <c r="E6" s="62"/>
    </row>
    <row r="7" spans="1:5" ht="15.75">
      <c r="A7" s="68" t="s">
        <v>338</v>
      </c>
      <c r="B7" s="69"/>
      <c r="C7" s="69"/>
      <c r="D7" s="69"/>
      <c r="E7" s="69"/>
    </row>
    <row r="8" spans="1:8" ht="15.75">
      <c r="A8" s="68" t="s">
        <v>337</v>
      </c>
      <c r="B8" s="69"/>
      <c r="C8" s="69"/>
      <c r="D8" s="69"/>
      <c r="E8" s="69"/>
      <c r="F8" s="62"/>
      <c r="G8" s="779" t="s">
        <v>900</v>
      </c>
      <c r="H8" s="780"/>
    </row>
    <row r="9" spans="1:8" ht="15.75" customHeight="1">
      <c r="A9" s="70"/>
      <c r="B9" s="69"/>
      <c r="C9" s="69"/>
      <c r="D9" s="69"/>
      <c r="E9" s="69"/>
      <c r="F9" s="62"/>
      <c r="G9" s="781"/>
      <c r="H9" s="780"/>
    </row>
    <row r="10" spans="1:8" ht="15.75">
      <c r="A10" s="777" t="s">
        <v>20</v>
      </c>
      <c r="B10" s="778"/>
      <c r="C10" s="778"/>
      <c r="D10" s="778"/>
      <c r="E10" s="778"/>
      <c r="F10" s="62"/>
      <c r="G10" s="781"/>
      <c r="H10" s="780"/>
    </row>
    <row r="11" spans="1:8" ht="15.75">
      <c r="A11" s="70"/>
      <c r="B11" s="69"/>
      <c r="C11" s="69"/>
      <c r="D11" s="69"/>
      <c r="E11" s="69"/>
      <c r="F11" s="62"/>
      <c r="G11" s="781"/>
      <c r="H11" s="780"/>
    </row>
    <row r="12" spans="1:8" ht="15.75">
      <c r="A12" s="72" t="s">
        <v>21</v>
      </c>
      <c r="B12" s="73"/>
      <c r="C12" s="62"/>
      <c r="D12" s="62"/>
      <c r="E12" s="62"/>
      <c r="F12" s="62"/>
      <c r="G12" s="781"/>
      <c r="H12" s="780"/>
    </row>
    <row r="13" spans="1:8" ht="15.75">
      <c r="A13" s="74" t="str">
        <f>CONCATENATE("the ",C5-1," Budget, Certificate Page:")</f>
        <v>the 2014 Budget, Certificate Page:</v>
      </c>
      <c r="B13" s="75"/>
      <c r="C13" s="76"/>
      <c r="D13" s="62"/>
      <c r="E13" s="62"/>
      <c r="F13" s="62"/>
      <c r="G13" s="781"/>
      <c r="H13" s="780"/>
    </row>
    <row r="14" spans="1:8" ht="15.75">
      <c r="A14" s="74" t="s">
        <v>336</v>
      </c>
      <c r="B14" s="75"/>
      <c r="C14" s="76"/>
      <c r="D14" s="62"/>
      <c r="E14" s="62"/>
      <c r="F14" s="62"/>
      <c r="G14" s="92"/>
      <c r="H14" s="683"/>
    </row>
    <row r="15" spans="1:8" ht="15.75">
      <c r="A15" s="77"/>
      <c r="B15" s="62"/>
      <c r="C15" s="62"/>
      <c r="D15" s="78">
        <f>$C$5-1</f>
        <v>2014</v>
      </c>
      <c r="E15" s="78">
        <f>$C$5-2</f>
        <v>2013</v>
      </c>
      <c r="G15" s="215" t="s">
        <v>804</v>
      </c>
      <c r="H15" s="183" t="s">
        <v>174</v>
      </c>
    </row>
    <row r="16" spans="1:8" ht="15.75">
      <c r="A16" s="65" t="s">
        <v>126</v>
      </c>
      <c r="B16" s="62"/>
      <c r="C16" s="79" t="s">
        <v>127</v>
      </c>
      <c r="D16" s="80" t="s">
        <v>335</v>
      </c>
      <c r="E16" s="80" t="s">
        <v>110</v>
      </c>
      <c r="G16" s="242" t="str">
        <f>CONCATENATE("",E15," Ad Valorem Tax")</f>
        <v>2013 Ad Valorem Tax</v>
      </c>
      <c r="H16" s="682">
        <v>0</v>
      </c>
    </row>
    <row r="17" spans="1:7" ht="15.75">
      <c r="A17" s="62"/>
      <c r="B17" s="81" t="s">
        <v>128</v>
      </c>
      <c r="C17" s="183" t="s">
        <v>280</v>
      </c>
      <c r="D17" s="83">
        <v>168269</v>
      </c>
      <c r="E17" s="83">
        <v>19150</v>
      </c>
      <c r="G17" s="185">
        <f>IF(H16&gt;0,ROUND(E17-(E17*H16),0),0)</f>
        <v>0</v>
      </c>
    </row>
    <row r="18" spans="1:7" ht="15.75">
      <c r="A18" s="62"/>
      <c r="B18" s="81" t="s">
        <v>105</v>
      </c>
      <c r="C18" s="183" t="s">
        <v>305</v>
      </c>
      <c r="D18" s="83"/>
      <c r="E18" s="83"/>
      <c r="G18" s="185">
        <f>IF(H16&gt;0,ROUND(E18-(E18*H16),0),0)</f>
        <v>0</v>
      </c>
    </row>
    <row r="19" spans="1:7" ht="15.75">
      <c r="A19" s="62"/>
      <c r="B19" s="81" t="s">
        <v>821</v>
      </c>
      <c r="C19" s="183" t="s">
        <v>822</v>
      </c>
      <c r="D19" s="83"/>
      <c r="E19" s="83"/>
      <c r="G19" s="185">
        <f>IF(H16&gt;0,ROUND(E19-(E19*H16),0),0)</f>
        <v>0</v>
      </c>
    </row>
    <row r="20" spans="1:5" ht="15.75">
      <c r="A20" s="65" t="s">
        <v>129</v>
      </c>
      <c r="B20" s="62"/>
      <c r="C20" s="62"/>
      <c r="D20" s="84"/>
      <c r="E20" s="84"/>
    </row>
    <row r="21" spans="1:7" ht="15.75">
      <c r="A21" s="62"/>
      <c r="B21" s="85"/>
      <c r="C21" s="569"/>
      <c r="D21" s="83"/>
      <c r="E21" s="83"/>
      <c r="G21" s="185">
        <f>IF(H16&gt;0,ROUND(E21-(E21*H16),0),0)</f>
        <v>0</v>
      </c>
    </row>
    <row r="22" spans="1:7" ht="15.75">
      <c r="A22" s="62"/>
      <c r="B22" s="86"/>
      <c r="C22" s="570"/>
      <c r="D22" s="83"/>
      <c r="E22" s="83"/>
      <c r="G22" s="185">
        <f>IF(H16&gt;0,ROUND(E22-(E22*H16),0),0)</f>
        <v>0</v>
      </c>
    </row>
    <row r="23" spans="1:7" ht="15.75">
      <c r="A23" s="62"/>
      <c r="B23" s="86"/>
      <c r="C23" s="569"/>
      <c r="D23" s="83"/>
      <c r="E23" s="83"/>
      <c r="G23" s="185">
        <f>IF(H16&gt;0,ROUND(E23-(E23*H16),0),0)</f>
        <v>0</v>
      </c>
    </row>
    <row r="24" spans="1:7" ht="15.75">
      <c r="A24" s="62"/>
      <c r="B24" s="86"/>
      <c r="C24" s="569"/>
      <c r="D24" s="83"/>
      <c r="E24" s="83"/>
      <c r="G24" s="185">
        <f>IF(H16&gt;0,ROUND(E24-(E24*H16),0),0)</f>
        <v>0</v>
      </c>
    </row>
    <row r="25" spans="1:5" ht="15.75">
      <c r="A25" s="87" t="str">
        <f>CONCATENATE("Total Ad Valorem Tax Levy Funds for ",C5-1," Budgeted Year")</f>
        <v>Total Ad Valorem Tax Levy Funds for 2014 Budgeted Year</v>
      </c>
      <c r="B25" s="88"/>
      <c r="C25" s="88"/>
      <c r="D25" s="89"/>
      <c r="E25" s="90">
        <f>SUM(E17:E24)</f>
        <v>19150</v>
      </c>
    </row>
    <row r="26" spans="1:5" ht="15.75">
      <c r="A26" s="95"/>
      <c r="B26" s="92"/>
      <c r="C26" s="92"/>
      <c r="D26" s="204"/>
      <c r="E26" s="92"/>
    </row>
    <row r="27" spans="1:5" ht="15.75">
      <c r="A27" s="65" t="s">
        <v>130</v>
      </c>
      <c r="B27" s="62"/>
      <c r="C27" s="62"/>
      <c r="D27" s="62"/>
      <c r="E27" s="62"/>
    </row>
    <row r="28" spans="1:5" ht="15.75">
      <c r="A28" s="62"/>
      <c r="B28" s="91" t="s">
        <v>131</v>
      </c>
      <c r="C28" s="92"/>
      <c r="D28" s="83">
        <v>6770</v>
      </c>
      <c r="E28" s="92"/>
    </row>
    <row r="29" spans="1:5" ht="15.75">
      <c r="A29" s="62"/>
      <c r="B29" s="404" t="s">
        <v>1006</v>
      </c>
      <c r="C29" s="92"/>
      <c r="D29" s="83">
        <v>28796</v>
      </c>
      <c r="E29" s="92"/>
    </row>
    <row r="30" spans="1:5" ht="15.75">
      <c r="A30" s="62"/>
      <c r="B30" s="404" t="s">
        <v>1007</v>
      </c>
      <c r="C30" s="92"/>
      <c r="D30" s="83">
        <v>1753</v>
      </c>
      <c r="E30" s="92"/>
    </row>
    <row r="31" spans="1:5" ht="15.75">
      <c r="A31" s="62"/>
      <c r="B31" s="404" t="s">
        <v>1050</v>
      </c>
      <c r="C31" s="92"/>
      <c r="D31" s="83">
        <v>0</v>
      </c>
      <c r="E31" s="92"/>
    </row>
    <row r="32" spans="1:5" ht="15.75">
      <c r="A32" s="62"/>
      <c r="B32" s="93"/>
      <c r="C32" s="92"/>
      <c r="D32" s="83"/>
      <c r="E32" s="92"/>
    </row>
    <row r="33" spans="1:5" ht="15.75">
      <c r="A33" s="62"/>
      <c r="B33" s="93"/>
      <c r="C33" s="92"/>
      <c r="D33" s="83"/>
      <c r="E33" s="92"/>
    </row>
    <row r="34" spans="1:5" ht="15.75">
      <c r="A34" s="62" t="s">
        <v>101</v>
      </c>
      <c r="B34" s="94"/>
      <c r="C34" s="92"/>
      <c r="D34" s="92"/>
      <c r="E34" s="92"/>
    </row>
    <row r="35" spans="1:5" ht="15.75">
      <c r="A35" s="95"/>
      <c r="B35" s="85"/>
      <c r="C35" s="96"/>
      <c r="D35" s="83"/>
      <c r="E35" s="97"/>
    </row>
    <row r="36" spans="1:5" ht="15.75">
      <c r="A36" s="87" t="str">
        <f>CONCATENATE("Total Expenditures for ",C5-1," Budgeted Year")</f>
        <v>Total Expenditures for 2014 Budgeted Year</v>
      </c>
      <c r="B36" s="98"/>
      <c r="C36" s="99"/>
      <c r="D36" s="90">
        <f>SUM(D17:D19,D21:D24,D28:D33,D35)</f>
        <v>205588</v>
      </c>
      <c r="E36" s="97"/>
    </row>
    <row r="37" spans="1:5" ht="15.75">
      <c r="A37" s="95" t="s">
        <v>33</v>
      </c>
      <c r="B37" s="92"/>
      <c r="C37" s="92"/>
      <c r="D37" s="92"/>
      <c r="E37" s="62"/>
    </row>
    <row r="38" spans="1:5" ht="15.75">
      <c r="A38" s="100">
        <v>1</v>
      </c>
      <c r="B38" s="85" t="s">
        <v>1004</v>
      </c>
      <c r="C38" s="92"/>
      <c r="D38" s="92"/>
      <c r="E38" s="62"/>
    </row>
    <row r="39" spans="1:5" ht="15.75">
      <c r="A39" s="100">
        <v>2</v>
      </c>
      <c r="B39" s="85" t="s">
        <v>1005</v>
      </c>
      <c r="C39" s="92"/>
      <c r="D39" s="92"/>
      <c r="E39" s="62"/>
    </row>
    <row r="40" spans="1:5" ht="15.75">
      <c r="A40" s="100">
        <v>3</v>
      </c>
      <c r="B40" s="85" t="s">
        <v>1051</v>
      </c>
      <c r="C40" s="92"/>
      <c r="D40" s="92"/>
      <c r="E40" s="62"/>
    </row>
    <row r="41" spans="1:5" ht="15.75">
      <c r="A41" s="100">
        <v>4</v>
      </c>
      <c r="B41" s="85"/>
      <c r="C41" s="92"/>
      <c r="D41" s="92"/>
      <c r="E41" s="62"/>
    </row>
    <row r="42" spans="1:5" ht="15.75">
      <c r="A42" s="100">
        <v>5</v>
      </c>
      <c r="B42" s="85"/>
      <c r="C42" s="92"/>
      <c r="D42" s="92"/>
      <c r="E42" s="62"/>
    </row>
    <row r="43" spans="1:5" ht="15.75">
      <c r="A43" s="101"/>
      <c r="B43" s="92"/>
      <c r="C43" s="92"/>
      <c r="D43" s="92"/>
      <c r="E43" s="62"/>
    </row>
    <row r="44" spans="1:5" ht="18" customHeight="1">
      <c r="A44" s="62"/>
      <c r="B44" s="62"/>
      <c r="C44" s="62"/>
      <c r="D44" s="62"/>
      <c r="E44" s="62"/>
    </row>
    <row r="45" spans="1:5" ht="15.75">
      <c r="A45" s="72" t="s">
        <v>21</v>
      </c>
      <c r="B45" s="73"/>
      <c r="C45" s="62"/>
      <c r="D45" s="102" t="str">
        <f>CONCATENATE("",C5-3," Tax Rate")</f>
        <v>2012 Tax Rate</v>
      </c>
      <c r="E45" s="62"/>
    </row>
    <row r="46" spans="1:5" ht="15.75">
      <c r="A46" s="74" t="str">
        <f>CONCATENATE("the ",C5-1," Budget, Budget Summary Page")</f>
        <v>the 2014 Budget, Budget Summary Page</v>
      </c>
      <c r="B46" s="75"/>
      <c r="C46" s="62"/>
      <c r="D46" s="103" t="str">
        <f>CONCATENATE("(",C5-2," Column)")</f>
        <v>(2013 Column)</v>
      </c>
      <c r="E46" s="62"/>
    </row>
    <row r="47" spans="1:5" ht="15.75">
      <c r="A47" s="62"/>
      <c r="B47" s="104" t="str">
        <f>B17</f>
        <v>General</v>
      </c>
      <c r="C47" s="105"/>
      <c r="D47" s="106">
        <v>8.956</v>
      </c>
      <c r="E47" s="62"/>
    </row>
    <row r="48" spans="1:5" ht="15.75">
      <c r="A48" s="62"/>
      <c r="B48" s="104" t="str">
        <f>B18</f>
        <v>Debt Service</v>
      </c>
      <c r="C48" s="105"/>
      <c r="D48" s="106"/>
      <c r="E48" s="62"/>
    </row>
    <row r="49" spans="1:5" ht="15.75">
      <c r="A49" s="62"/>
      <c r="B49" s="104" t="str">
        <f>B19</f>
        <v>Library</v>
      </c>
      <c r="C49" s="105"/>
      <c r="D49" s="106"/>
      <c r="E49" s="62"/>
    </row>
    <row r="50" spans="1:5" ht="15.75">
      <c r="A50" s="62"/>
      <c r="B50" s="104">
        <f>B21</f>
        <v>0</v>
      </c>
      <c r="C50" s="82"/>
      <c r="D50" s="106"/>
      <c r="E50" s="62"/>
    </row>
    <row r="51" spans="1:5" ht="15.75">
      <c r="A51" s="62"/>
      <c r="B51" s="104">
        <f>B22</f>
        <v>0</v>
      </c>
      <c r="C51" s="82"/>
      <c r="D51" s="106"/>
      <c r="E51" s="62"/>
    </row>
    <row r="52" spans="1:5" ht="15.75">
      <c r="A52" s="62"/>
      <c r="B52" s="104">
        <f>B23</f>
        <v>0</v>
      </c>
      <c r="C52" s="82"/>
      <c r="D52" s="106"/>
      <c r="E52" s="62"/>
    </row>
    <row r="53" spans="1:5" ht="15.75">
      <c r="A53" s="62"/>
      <c r="B53" s="104">
        <f>B24</f>
        <v>0</v>
      </c>
      <c r="C53" s="82"/>
      <c r="D53" s="106"/>
      <c r="E53" s="62"/>
    </row>
    <row r="54" spans="1:5" ht="15.75">
      <c r="A54" s="87" t="s">
        <v>132</v>
      </c>
      <c r="B54" s="88"/>
      <c r="C54" s="99"/>
      <c r="D54" s="107">
        <f>SUM(D47:D53)</f>
        <v>8.956</v>
      </c>
      <c r="E54" s="62"/>
    </row>
    <row r="55" spans="1:5" ht="15.75">
      <c r="A55" s="62"/>
      <c r="B55" s="62"/>
      <c r="C55" s="62"/>
      <c r="D55" s="62"/>
      <c r="E55" s="62"/>
    </row>
    <row r="56" spans="1:5" ht="15.75">
      <c r="A56" s="108" t="str">
        <f>CONCATENATE("Total Tax Levied (",C5-2," budget column)")</f>
        <v>Total Tax Levied (2013 budget column)</v>
      </c>
      <c r="B56" s="109"/>
      <c r="C56" s="88"/>
      <c r="D56" s="99"/>
      <c r="E56" s="83">
        <v>18604</v>
      </c>
    </row>
    <row r="57" spans="1:5" ht="15.75">
      <c r="A57" s="108" t="str">
        <f>CONCATENATE("Assessed Valuation  (",C5-2," budget column)")</f>
        <v>Assessed Valuation  (2013 budget column)</v>
      </c>
      <c r="B57" s="110"/>
      <c r="C57" s="111"/>
      <c r="D57" s="112"/>
      <c r="E57" s="83">
        <v>2077202</v>
      </c>
    </row>
    <row r="58" spans="1:5" ht="15.75">
      <c r="A58" s="62"/>
      <c r="B58" s="62"/>
      <c r="C58" s="62"/>
      <c r="D58" s="76"/>
      <c r="E58" s="84"/>
    </row>
    <row r="59" spans="1:5" ht="15.75">
      <c r="A59" s="113" t="s">
        <v>42</v>
      </c>
      <c r="B59" s="113"/>
      <c r="C59" s="114"/>
      <c r="D59" s="115">
        <f>C5-3</f>
        <v>2012</v>
      </c>
      <c r="E59" s="116">
        <f>C5-2</f>
        <v>2013</v>
      </c>
    </row>
    <row r="60" spans="1:5" ht="15.75">
      <c r="A60" s="117" t="s">
        <v>315</v>
      </c>
      <c r="B60" s="117"/>
      <c r="C60" s="118"/>
      <c r="D60" s="119"/>
      <c r="E60" s="119"/>
    </row>
    <row r="61" spans="1:5" ht="15.75">
      <c r="A61" s="120" t="s">
        <v>316</v>
      </c>
      <c r="B61" s="120"/>
      <c r="C61" s="121"/>
      <c r="D61" s="119">
        <v>76000</v>
      </c>
      <c r="E61" s="119">
        <v>52000</v>
      </c>
    </row>
    <row r="62" spans="1:5" ht="15.75">
      <c r="A62" s="120" t="s">
        <v>317</v>
      </c>
      <c r="B62" s="120"/>
      <c r="C62" s="121"/>
      <c r="D62" s="119"/>
      <c r="E62" s="119"/>
    </row>
    <row r="63" spans="1:5" ht="15.75">
      <c r="A63" s="120" t="s">
        <v>318</v>
      </c>
      <c r="B63" s="120"/>
      <c r="C63" s="121"/>
      <c r="D63" s="119"/>
      <c r="E63" s="119"/>
    </row>
    <row r="70" spans="1:6" s="122" customFormat="1" ht="15.75">
      <c r="A70" s="63"/>
      <c r="B70" s="63"/>
      <c r="C70" s="63"/>
      <c r="D70" s="63"/>
      <c r="E70" s="63"/>
      <c r="F70" s="621"/>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7" t="s">
        <v>456</v>
      </c>
      <c r="B3" s="377"/>
      <c r="C3" s="377"/>
      <c r="D3" s="377"/>
      <c r="E3" s="377"/>
      <c r="F3" s="377"/>
      <c r="G3" s="377"/>
      <c r="H3" s="377"/>
      <c r="I3" s="377"/>
      <c r="J3" s="377"/>
      <c r="K3" s="377"/>
      <c r="L3" s="377"/>
    </row>
    <row r="5" ht="15">
      <c r="A5" s="376" t="s">
        <v>457</v>
      </c>
    </row>
    <row r="6" ht="15">
      <c r="A6" s="376" t="str">
        <f>CONCATENATE(inputPrYr!C5-2," 'total expenditures' exceed your ",inputPrYr!C5-2," 'budget authority.'")</f>
        <v>2013 'total expenditures' exceed your 2013 'budget authority.'</v>
      </c>
    </row>
    <row r="7" ht="15">
      <c r="A7" s="376"/>
    </row>
    <row r="8" ht="15">
      <c r="A8" s="376" t="s">
        <v>458</v>
      </c>
    </row>
    <row r="9" ht="15">
      <c r="A9" s="376" t="s">
        <v>459</v>
      </c>
    </row>
    <row r="10" ht="15">
      <c r="A10" s="376" t="s">
        <v>460</v>
      </c>
    </row>
    <row r="11" ht="15">
      <c r="A11" s="376"/>
    </row>
    <row r="12" ht="15">
      <c r="A12" s="376"/>
    </row>
    <row r="13" ht="15">
      <c r="A13" s="375" t="s">
        <v>461</v>
      </c>
    </row>
    <row r="15" ht="15">
      <c r="A15" s="376" t="s">
        <v>462</v>
      </c>
    </row>
    <row r="16" ht="15">
      <c r="A16" s="376" t="str">
        <f>CONCATENATE("(i.e. an audit has not been completed, or the ",inputPrYr!C5," adopted")</f>
        <v>(i.e. an audit has not been completed, or the 2015 adopted</v>
      </c>
    </row>
    <row r="17" ht="15">
      <c r="A17" s="376" t="s">
        <v>463</v>
      </c>
    </row>
    <row r="18" ht="15">
      <c r="A18" s="376" t="s">
        <v>464</v>
      </c>
    </row>
    <row r="19" ht="15">
      <c r="A19" s="376" t="s">
        <v>465</v>
      </c>
    </row>
    <row r="21" ht="15">
      <c r="A21" s="375" t="s">
        <v>466</v>
      </c>
    </row>
    <row r="22" ht="15">
      <c r="A22" s="375"/>
    </row>
    <row r="23" ht="15">
      <c r="A23" s="376" t="s">
        <v>467</v>
      </c>
    </row>
    <row r="24" ht="15">
      <c r="A24" s="376" t="s">
        <v>468</v>
      </c>
    </row>
    <row r="25" ht="15">
      <c r="A25" s="376" t="str">
        <f>CONCATENATE("particular fund.  If your ",inputPrYr!C5-2," budget was amended, did you")</f>
        <v>particular fund.  If your 2013 budget was amended, did you</v>
      </c>
    </row>
    <row r="26" ht="15">
      <c r="A26" s="376" t="s">
        <v>469</v>
      </c>
    </row>
    <row r="27" ht="15">
      <c r="A27" s="376"/>
    </row>
    <row r="28" ht="15">
      <c r="A28" s="376" t="str">
        <f>CONCATENATE("Next, look to see if any of your ",inputPrYr!C5-2," expenditures can be")</f>
        <v>Next, look to see if any of your 2013 expenditures can be</v>
      </c>
    </row>
    <row r="29" ht="15">
      <c r="A29" s="376" t="s">
        <v>470</v>
      </c>
    </row>
    <row r="30" ht="15">
      <c r="A30" s="376" t="s">
        <v>471</v>
      </c>
    </row>
    <row r="31" ht="15">
      <c r="A31" s="376" t="s">
        <v>472</v>
      </c>
    </row>
    <row r="32" ht="15">
      <c r="A32" s="376"/>
    </row>
    <row r="33" ht="15">
      <c r="A33" s="376" t="str">
        <f>CONCATENATE("Additionally, do your ",inputPrYr!C5-2," receipts contain a reimbursement")</f>
        <v>Additionally, do your 2013 receipts contain a reimbursement</v>
      </c>
    </row>
    <row r="34" ht="15">
      <c r="A34" s="376" t="s">
        <v>473</v>
      </c>
    </row>
    <row r="35" ht="15">
      <c r="A35" s="376" t="s">
        <v>474</v>
      </c>
    </row>
    <row r="36" ht="15">
      <c r="A36" s="376"/>
    </row>
    <row r="37" ht="15">
      <c r="A37" s="376" t="s">
        <v>475</v>
      </c>
    </row>
    <row r="38" ht="15">
      <c r="A38" s="376" t="s">
        <v>476</v>
      </c>
    </row>
    <row r="39" ht="15">
      <c r="A39" s="376" t="s">
        <v>477</v>
      </c>
    </row>
    <row r="40" ht="15">
      <c r="A40" s="376" t="s">
        <v>478</v>
      </c>
    </row>
    <row r="41" ht="15">
      <c r="A41" s="376" t="s">
        <v>479</v>
      </c>
    </row>
    <row r="42" ht="15">
      <c r="A42" s="376" t="s">
        <v>480</v>
      </c>
    </row>
    <row r="43" ht="15">
      <c r="A43" s="376" t="s">
        <v>481</v>
      </c>
    </row>
    <row r="44" ht="15">
      <c r="A44" s="376" t="s">
        <v>482</v>
      </c>
    </row>
    <row r="45" ht="15">
      <c r="A45" s="376"/>
    </row>
    <row r="46" ht="15">
      <c r="A46" s="376" t="s">
        <v>483</v>
      </c>
    </row>
    <row r="47" ht="15">
      <c r="A47" s="376" t="s">
        <v>484</v>
      </c>
    </row>
    <row r="48" ht="15">
      <c r="A48" s="376" t="s">
        <v>485</v>
      </c>
    </row>
    <row r="49" ht="15">
      <c r="A49" s="376"/>
    </row>
    <row r="50" ht="15">
      <c r="A50" s="376" t="s">
        <v>486</v>
      </c>
    </row>
    <row r="51" ht="15">
      <c r="A51" s="376" t="s">
        <v>487</v>
      </c>
    </row>
    <row r="52" ht="15">
      <c r="A52" s="376" t="s">
        <v>488</v>
      </c>
    </row>
    <row r="53" ht="15">
      <c r="A53" s="376"/>
    </row>
    <row r="54" ht="15">
      <c r="A54" s="375" t="s">
        <v>489</v>
      </c>
    </row>
    <row r="55" ht="15">
      <c r="A55" s="376"/>
    </row>
    <row r="56" ht="15">
      <c r="A56" s="376" t="s">
        <v>490</v>
      </c>
    </row>
    <row r="57" ht="15">
      <c r="A57" s="376" t="s">
        <v>491</v>
      </c>
    </row>
    <row r="58" ht="15">
      <c r="A58" s="376" t="s">
        <v>492</v>
      </c>
    </row>
    <row r="59" ht="15">
      <c r="A59" s="376" t="s">
        <v>493</v>
      </c>
    </row>
    <row r="60" ht="15">
      <c r="A60" s="376" t="s">
        <v>494</v>
      </c>
    </row>
    <row r="61" ht="15">
      <c r="A61" s="376" t="s">
        <v>495</v>
      </c>
    </row>
    <row r="62" ht="15">
      <c r="A62" s="376" t="s">
        <v>496</v>
      </c>
    </row>
    <row r="63" ht="15">
      <c r="A63" s="376" t="s">
        <v>497</v>
      </c>
    </row>
    <row r="64" ht="15">
      <c r="A64" s="376" t="s">
        <v>498</v>
      </c>
    </row>
    <row r="65" ht="15">
      <c r="A65" s="376" t="s">
        <v>499</v>
      </c>
    </row>
    <row r="66" ht="15">
      <c r="A66" s="376" t="s">
        <v>500</v>
      </c>
    </row>
    <row r="67" ht="15">
      <c r="A67" s="376" t="s">
        <v>501</v>
      </c>
    </row>
    <row r="68" ht="15">
      <c r="A68" s="376" t="s">
        <v>502</v>
      </c>
    </row>
    <row r="69" ht="15">
      <c r="A69" s="376"/>
    </row>
    <row r="70" ht="15">
      <c r="A70" s="376" t="s">
        <v>503</v>
      </c>
    </row>
    <row r="71" ht="15">
      <c r="A71" s="376" t="s">
        <v>504</v>
      </c>
    </row>
    <row r="72" ht="15">
      <c r="A72" s="376" t="s">
        <v>505</v>
      </c>
    </row>
    <row r="73" ht="15">
      <c r="A73" s="376"/>
    </row>
    <row r="74" ht="15">
      <c r="A74" s="375" t="str">
        <f>CONCATENATE("What if the ",inputPrYr!C5-2," financial records have been closed?")</f>
        <v>What if the 2013 financial records have been closed?</v>
      </c>
    </row>
    <row r="76" ht="15">
      <c r="A76" s="376" t="s">
        <v>506</v>
      </c>
    </row>
    <row r="77" ht="15">
      <c r="A77" s="376" t="str">
        <f>CONCATENATE("(i.e. an audit for ",inputPrYr!C5-2," has been completed, or the ",inputPrYr!C5)</f>
        <v>(i.e. an audit for 2013 has been completed, or the 2015</v>
      </c>
    </row>
    <row r="78" ht="15">
      <c r="A78" s="376" t="s">
        <v>507</v>
      </c>
    </row>
    <row r="79" ht="15">
      <c r="A79" s="376" t="s">
        <v>508</v>
      </c>
    </row>
    <row r="80" ht="15">
      <c r="A80" s="376"/>
    </row>
    <row r="81" ht="15">
      <c r="A81" s="376" t="s">
        <v>509</v>
      </c>
    </row>
    <row r="82" ht="15">
      <c r="A82" s="376" t="s">
        <v>510</v>
      </c>
    </row>
    <row r="83" ht="15">
      <c r="A83" s="376" t="s">
        <v>511</v>
      </c>
    </row>
    <row r="84" ht="15">
      <c r="A84" s="376"/>
    </row>
    <row r="85" ht="15">
      <c r="A85" s="376" t="s">
        <v>455</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7" t="s">
        <v>400</v>
      </c>
      <c r="B3" s="377"/>
      <c r="C3" s="377"/>
      <c r="D3" s="377"/>
      <c r="E3" s="377"/>
      <c r="F3" s="377"/>
      <c r="G3" s="377"/>
      <c r="H3" s="378"/>
      <c r="I3" s="378"/>
      <c r="J3" s="378"/>
    </row>
    <row r="5" ht="15">
      <c r="A5" s="376" t="s">
        <v>401</v>
      </c>
    </row>
    <row r="6" ht="15">
      <c r="A6" t="str">
        <f>CONCATENATE(inputPrYr!C5-2," expenditures show that you finished the year with a ")</f>
        <v>2013 expenditures show that you finished the year with a </v>
      </c>
    </row>
    <row r="7" ht="15">
      <c r="A7" t="s">
        <v>402</v>
      </c>
    </row>
    <row r="9" ht="15">
      <c r="A9" t="s">
        <v>403</v>
      </c>
    </row>
    <row r="10" ht="15">
      <c r="A10" t="s">
        <v>404</v>
      </c>
    </row>
    <row r="11" ht="15">
      <c r="A11" t="s">
        <v>405</v>
      </c>
    </row>
    <row r="13" ht="15">
      <c r="A13" s="375" t="s">
        <v>406</v>
      </c>
    </row>
    <row r="14" ht="15">
      <c r="A14" s="375"/>
    </row>
    <row r="15" ht="15">
      <c r="A15" s="376" t="s">
        <v>407</v>
      </c>
    </row>
    <row r="16" ht="15">
      <c r="A16" s="376" t="s">
        <v>408</v>
      </c>
    </row>
    <row r="17" ht="15">
      <c r="A17" s="376" t="s">
        <v>409</v>
      </c>
    </row>
    <row r="18" ht="15">
      <c r="A18" s="376"/>
    </row>
    <row r="19" ht="15">
      <c r="A19" s="375" t="s">
        <v>410</v>
      </c>
    </row>
    <row r="20" ht="15">
      <c r="A20" s="375"/>
    </row>
    <row r="21" ht="15">
      <c r="A21" s="376" t="s">
        <v>411</v>
      </c>
    </row>
    <row r="22" ht="15">
      <c r="A22" s="376" t="s">
        <v>412</v>
      </c>
    </row>
    <row r="23" ht="15">
      <c r="A23" s="376" t="s">
        <v>413</v>
      </c>
    </row>
    <row r="24" ht="15">
      <c r="A24" s="376"/>
    </row>
    <row r="25" ht="15">
      <c r="A25" s="375" t="s">
        <v>414</v>
      </c>
    </row>
    <row r="26" ht="15">
      <c r="A26" s="375"/>
    </row>
    <row r="27" ht="15">
      <c r="A27" s="376" t="s">
        <v>415</v>
      </c>
    </row>
    <row r="28" ht="15">
      <c r="A28" s="376" t="s">
        <v>416</v>
      </c>
    </row>
    <row r="29" ht="15">
      <c r="A29" s="376" t="s">
        <v>417</v>
      </c>
    </row>
    <row r="30" ht="15">
      <c r="A30" s="376"/>
    </row>
    <row r="31" ht="15">
      <c r="A31" s="375" t="s">
        <v>418</v>
      </c>
    </row>
    <row r="32" ht="15">
      <c r="A32" s="375"/>
    </row>
    <row r="33" spans="1:8" ht="15">
      <c r="A33" s="376" t="str">
        <f>CONCATENATE("If your financial records for ",inputPrYr!C5-2," are not closed")</f>
        <v>If your financial records for 2013 are not closed</v>
      </c>
      <c r="B33" s="376"/>
      <c r="C33" s="376"/>
      <c r="D33" s="376"/>
      <c r="E33" s="376"/>
      <c r="F33" s="376"/>
      <c r="G33" s="376"/>
      <c r="H33" s="376"/>
    </row>
    <row r="34" spans="1:8" ht="15">
      <c r="A34" s="376" t="str">
        <f>CONCATENATE("(i.e. an audit has not been completed, or the ",inputPrYr!C5," adopted ")</f>
        <v>(i.e. an audit has not been completed, or the 2015 adopted </v>
      </c>
      <c r="B34" s="376"/>
      <c r="C34" s="376"/>
      <c r="D34" s="376"/>
      <c r="E34" s="376"/>
      <c r="F34" s="376"/>
      <c r="G34" s="376"/>
      <c r="H34" s="376"/>
    </row>
    <row r="35" spans="1:8" ht="15">
      <c r="A35" s="376" t="s">
        <v>419</v>
      </c>
      <c r="B35" s="376"/>
      <c r="C35" s="376"/>
      <c r="D35" s="376"/>
      <c r="E35" s="376"/>
      <c r="F35" s="376"/>
      <c r="G35" s="376"/>
      <c r="H35" s="376"/>
    </row>
    <row r="36" spans="1:8" ht="15">
      <c r="A36" s="376" t="s">
        <v>420</v>
      </c>
      <c r="B36" s="376"/>
      <c r="C36" s="376"/>
      <c r="D36" s="376"/>
      <c r="E36" s="376"/>
      <c r="F36" s="376"/>
      <c r="G36" s="376"/>
      <c r="H36" s="376"/>
    </row>
    <row r="37" spans="1:8" ht="15">
      <c r="A37" s="376" t="s">
        <v>421</v>
      </c>
      <c r="B37" s="376"/>
      <c r="C37" s="376"/>
      <c r="D37" s="376"/>
      <c r="E37" s="376"/>
      <c r="F37" s="376"/>
      <c r="G37" s="376"/>
      <c r="H37" s="376"/>
    </row>
    <row r="38" spans="1:8" ht="15">
      <c r="A38" s="376" t="s">
        <v>422</v>
      </c>
      <c r="B38" s="376"/>
      <c r="C38" s="376"/>
      <c r="D38" s="376"/>
      <c r="E38" s="376"/>
      <c r="F38" s="376"/>
      <c r="G38" s="376"/>
      <c r="H38" s="376"/>
    </row>
    <row r="39" spans="1:8" ht="15">
      <c r="A39" s="376" t="s">
        <v>423</v>
      </c>
      <c r="B39" s="376"/>
      <c r="C39" s="376"/>
      <c r="D39" s="376"/>
      <c r="E39" s="376"/>
      <c r="F39" s="376"/>
      <c r="G39" s="376"/>
      <c r="H39" s="376"/>
    </row>
    <row r="40" spans="1:8" ht="15">
      <c r="A40" s="376"/>
      <c r="B40" s="376"/>
      <c r="C40" s="376"/>
      <c r="D40" s="376"/>
      <c r="E40" s="376"/>
      <c r="F40" s="376"/>
      <c r="G40" s="376"/>
      <c r="H40" s="376"/>
    </row>
    <row r="41" spans="1:8" ht="15">
      <c r="A41" s="376" t="s">
        <v>424</v>
      </c>
      <c r="B41" s="376"/>
      <c r="C41" s="376"/>
      <c r="D41" s="376"/>
      <c r="E41" s="376"/>
      <c r="F41" s="376"/>
      <c r="G41" s="376"/>
      <c r="H41" s="376"/>
    </row>
    <row r="42" spans="1:8" ht="15">
      <c r="A42" s="376" t="s">
        <v>425</v>
      </c>
      <c r="B42" s="376"/>
      <c r="C42" s="376"/>
      <c r="D42" s="376"/>
      <c r="E42" s="376"/>
      <c r="F42" s="376"/>
      <c r="G42" s="376"/>
      <c r="H42" s="376"/>
    </row>
    <row r="43" spans="1:8" ht="15">
      <c r="A43" s="376" t="s">
        <v>426</v>
      </c>
      <c r="B43" s="376"/>
      <c r="C43" s="376"/>
      <c r="D43" s="376"/>
      <c r="E43" s="376"/>
      <c r="F43" s="376"/>
      <c r="G43" s="376"/>
      <c r="H43" s="376"/>
    </row>
    <row r="44" spans="1:8" ht="15">
      <c r="A44" s="376" t="s">
        <v>427</v>
      </c>
      <c r="B44" s="376"/>
      <c r="C44" s="376"/>
      <c r="D44" s="376"/>
      <c r="E44" s="376"/>
      <c r="F44" s="376"/>
      <c r="G44" s="376"/>
      <c r="H44" s="376"/>
    </row>
    <row r="45" spans="1:8" ht="15">
      <c r="A45" s="376"/>
      <c r="B45" s="376"/>
      <c r="C45" s="376"/>
      <c r="D45" s="376"/>
      <c r="E45" s="376"/>
      <c r="F45" s="376"/>
      <c r="G45" s="376"/>
      <c r="H45" s="376"/>
    </row>
    <row r="46" spans="1:8" ht="15">
      <c r="A46" s="376" t="s">
        <v>428</v>
      </c>
      <c r="B46" s="376"/>
      <c r="C46" s="376"/>
      <c r="D46" s="376"/>
      <c r="E46" s="376"/>
      <c r="F46" s="376"/>
      <c r="G46" s="376"/>
      <c r="H46" s="376"/>
    </row>
    <row r="47" spans="1:8" ht="15">
      <c r="A47" s="376" t="s">
        <v>429</v>
      </c>
      <c r="B47" s="376"/>
      <c r="C47" s="376"/>
      <c r="D47" s="376"/>
      <c r="E47" s="376"/>
      <c r="F47" s="376"/>
      <c r="G47" s="376"/>
      <c r="H47" s="376"/>
    </row>
    <row r="48" spans="1:8" ht="15">
      <c r="A48" s="376" t="s">
        <v>430</v>
      </c>
      <c r="B48" s="376"/>
      <c r="C48" s="376"/>
      <c r="D48" s="376"/>
      <c r="E48" s="376"/>
      <c r="F48" s="376"/>
      <c r="G48" s="376"/>
      <c r="H48" s="376"/>
    </row>
    <row r="49" spans="1:8" ht="15">
      <c r="A49" s="376" t="s">
        <v>431</v>
      </c>
      <c r="B49" s="376"/>
      <c r="C49" s="376"/>
      <c r="D49" s="376"/>
      <c r="E49" s="376"/>
      <c r="F49" s="376"/>
      <c r="G49" s="376"/>
      <c r="H49" s="376"/>
    </row>
    <row r="50" spans="1:8" ht="15">
      <c r="A50" s="376" t="s">
        <v>432</v>
      </c>
      <c r="B50" s="376"/>
      <c r="C50" s="376"/>
      <c r="D50" s="376"/>
      <c r="E50" s="376"/>
      <c r="F50" s="376"/>
      <c r="G50" s="376"/>
      <c r="H50" s="376"/>
    </row>
    <row r="51" spans="1:8" ht="15">
      <c r="A51" s="376"/>
      <c r="B51" s="376"/>
      <c r="C51" s="376"/>
      <c r="D51" s="376"/>
      <c r="E51" s="376"/>
      <c r="F51" s="376"/>
      <c r="G51" s="376"/>
      <c r="H51" s="376"/>
    </row>
    <row r="52" spans="1:8" ht="15">
      <c r="A52" s="375" t="s">
        <v>433</v>
      </c>
      <c r="B52" s="375"/>
      <c r="C52" s="375"/>
      <c r="D52" s="375"/>
      <c r="E52" s="375"/>
      <c r="F52" s="375"/>
      <c r="G52" s="375"/>
      <c r="H52" s="376"/>
    </row>
    <row r="53" spans="1:8" ht="15">
      <c r="A53" s="375" t="s">
        <v>434</v>
      </c>
      <c r="B53" s="375"/>
      <c r="C53" s="375"/>
      <c r="D53" s="375"/>
      <c r="E53" s="375"/>
      <c r="F53" s="375"/>
      <c r="G53" s="375"/>
      <c r="H53" s="376"/>
    </row>
    <row r="54" spans="1:8" ht="15">
      <c r="A54" s="376"/>
      <c r="B54" s="376"/>
      <c r="C54" s="376"/>
      <c r="D54" s="376"/>
      <c r="E54" s="376"/>
      <c r="F54" s="376"/>
      <c r="G54" s="376"/>
      <c r="H54" s="376"/>
    </row>
    <row r="55" spans="1:8" ht="15">
      <c r="A55" s="376" t="s">
        <v>435</v>
      </c>
      <c r="B55" s="376"/>
      <c r="C55" s="376"/>
      <c r="D55" s="376"/>
      <c r="E55" s="376"/>
      <c r="F55" s="376"/>
      <c r="G55" s="376"/>
      <c r="H55" s="376"/>
    </row>
    <row r="56" spans="1:8" ht="15">
      <c r="A56" s="376" t="s">
        <v>436</v>
      </c>
      <c r="B56" s="376"/>
      <c r="C56" s="376"/>
      <c r="D56" s="376"/>
      <c r="E56" s="376"/>
      <c r="F56" s="376"/>
      <c r="G56" s="376"/>
      <c r="H56" s="376"/>
    </row>
    <row r="57" spans="1:8" ht="15">
      <c r="A57" s="376" t="s">
        <v>437</v>
      </c>
      <c r="B57" s="376"/>
      <c r="C57" s="376"/>
      <c r="D57" s="376"/>
      <c r="E57" s="376"/>
      <c r="F57" s="376"/>
      <c r="G57" s="376"/>
      <c r="H57" s="376"/>
    </row>
    <row r="58" spans="1:8" ht="15">
      <c r="A58" s="376" t="s">
        <v>438</v>
      </c>
      <c r="B58" s="376"/>
      <c r="C58" s="376"/>
      <c r="D58" s="376"/>
      <c r="E58" s="376"/>
      <c r="F58" s="376"/>
      <c r="G58" s="376"/>
      <c r="H58" s="376"/>
    </row>
    <row r="59" spans="1:8" ht="15">
      <c r="A59" s="376"/>
      <c r="B59" s="376"/>
      <c r="C59" s="376"/>
      <c r="D59" s="376"/>
      <c r="E59" s="376"/>
      <c r="F59" s="376"/>
      <c r="G59" s="376"/>
      <c r="H59" s="376"/>
    </row>
    <row r="60" spans="1:8" ht="15">
      <c r="A60" s="376" t="s">
        <v>439</v>
      </c>
      <c r="B60" s="376"/>
      <c r="C60" s="376"/>
      <c r="D60" s="376"/>
      <c r="E60" s="376"/>
      <c r="F60" s="376"/>
      <c r="G60" s="376"/>
      <c r="H60" s="376"/>
    </row>
    <row r="61" spans="1:8" ht="15">
      <c r="A61" s="376" t="s">
        <v>440</v>
      </c>
      <c r="B61" s="376"/>
      <c r="C61" s="376"/>
      <c r="D61" s="376"/>
      <c r="E61" s="376"/>
      <c r="F61" s="376"/>
      <c r="G61" s="376"/>
      <c r="H61" s="376"/>
    </row>
    <row r="62" spans="1:8" ht="15">
      <c r="A62" s="376" t="s">
        <v>441</v>
      </c>
      <c r="B62" s="376"/>
      <c r="C62" s="376"/>
      <c r="D62" s="376"/>
      <c r="E62" s="376"/>
      <c r="F62" s="376"/>
      <c r="G62" s="376"/>
      <c r="H62" s="376"/>
    </row>
    <row r="63" spans="1:8" ht="15">
      <c r="A63" s="376" t="s">
        <v>442</v>
      </c>
      <c r="B63" s="376"/>
      <c r="C63" s="376"/>
      <c r="D63" s="376"/>
      <c r="E63" s="376"/>
      <c r="F63" s="376"/>
      <c r="G63" s="376"/>
      <c r="H63" s="376"/>
    </row>
    <row r="64" spans="1:8" ht="15">
      <c r="A64" s="376" t="s">
        <v>443</v>
      </c>
      <c r="B64" s="376"/>
      <c r="C64" s="376"/>
      <c r="D64" s="376"/>
      <c r="E64" s="376"/>
      <c r="F64" s="376"/>
      <c r="G64" s="376"/>
      <c r="H64" s="376"/>
    </row>
    <row r="65" spans="1:8" ht="15">
      <c r="A65" s="376" t="s">
        <v>444</v>
      </c>
      <c r="B65" s="376"/>
      <c r="C65" s="376"/>
      <c r="D65" s="376"/>
      <c r="E65" s="376"/>
      <c r="F65" s="376"/>
      <c r="G65" s="376"/>
      <c r="H65" s="376"/>
    </row>
    <row r="66" spans="1:8" ht="15">
      <c r="A66" s="376"/>
      <c r="B66" s="376"/>
      <c r="C66" s="376"/>
      <c r="D66" s="376"/>
      <c r="E66" s="376"/>
      <c r="F66" s="376"/>
      <c r="G66" s="376"/>
      <c r="H66" s="376"/>
    </row>
    <row r="67" spans="1:8" ht="15">
      <c r="A67" s="376" t="s">
        <v>445</v>
      </c>
      <c r="B67" s="376"/>
      <c r="C67" s="376"/>
      <c r="D67" s="376"/>
      <c r="E67" s="376"/>
      <c r="F67" s="376"/>
      <c r="G67" s="376"/>
      <c r="H67" s="376"/>
    </row>
    <row r="68" spans="1:8" ht="15">
      <c r="A68" s="376" t="s">
        <v>446</v>
      </c>
      <c r="B68" s="376"/>
      <c r="C68" s="376"/>
      <c r="D68" s="376"/>
      <c r="E68" s="376"/>
      <c r="F68" s="376"/>
      <c r="G68" s="376"/>
      <c r="H68" s="376"/>
    </row>
    <row r="69" spans="1:8" ht="15">
      <c r="A69" s="376" t="s">
        <v>447</v>
      </c>
      <c r="B69" s="376"/>
      <c r="C69" s="376"/>
      <c r="D69" s="376"/>
      <c r="E69" s="376"/>
      <c r="F69" s="376"/>
      <c r="G69" s="376"/>
      <c r="H69" s="376"/>
    </row>
    <row r="70" spans="1:8" ht="15">
      <c r="A70" s="376" t="s">
        <v>448</v>
      </c>
      <c r="B70" s="376"/>
      <c r="C70" s="376"/>
      <c r="D70" s="376"/>
      <c r="E70" s="376"/>
      <c r="F70" s="376"/>
      <c r="G70" s="376"/>
      <c r="H70" s="376"/>
    </row>
    <row r="71" spans="1:8" ht="15">
      <c r="A71" s="376" t="s">
        <v>449</v>
      </c>
      <c r="B71" s="376"/>
      <c r="C71" s="376"/>
      <c r="D71" s="376"/>
      <c r="E71" s="376"/>
      <c r="F71" s="376"/>
      <c r="G71" s="376"/>
      <c r="H71" s="376"/>
    </row>
    <row r="72" spans="1:8" ht="15">
      <c r="A72" s="376" t="s">
        <v>450</v>
      </c>
      <c r="B72" s="376"/>
      <c r="C72" s="376"/>
      <c r="D72" s="376"/>
      <c r="E72" s="376"/>
      <c r="F72" s="376"/>
      <c r="G72" s="376"/>
      <c r="H72" s="376"/>
    </row>
    <row r="73" spans="1:8" ht="15">
      <c r="A73" s="376" t="s">
        <v>451</v>
      </c>
      <c r="B73" s="376"/>
      <c r="C73" s="376"/>
      <c r="D73" s="376"/>
      <c r="E73" s="376"/>
      <c r="F73" s="376"/>
      <c r="G73" s="376"/>
      <c r="H73" s="376"/>
    </row>
    <row r="74" spans="1:8" ht="15">
      <c r="A74" s="376"/>
      <c r="B74" s="376"/>
      <c r="C74" s="376"/>
      <c r="D74" s="376"/>
      <c r="E74" s="376"/>
      <c r="F74" s="376"/>
      <c r="G74" s="376"/>
      <c r="H74" s="376"/>
    </row>
    <row r="75" spans="1:8" ht="15">
      <c r="A75" s="376" t="s">
        <v>452</v>
      </c>
      <c r="B75" s="376"/>
      <c r="C75" s="376"/>
      <c r="D75" s="376"/>
      <c r="E75" s="376"/>
      <c r="F75" s="376"/>
      <c r="G75" s="376"/>
      <c r="H75" s="376"/>
    </row>
    <row r="76" spans="1:8" ht="15">
      <c r="A76" s="376" t="s">
        <v>453</v>
      </c>
      <c r="B76" s="376"/>
      <c r="C76" s="376"/>
      <c r="D76" s="376"/>
      <c r="E76" s="376"/>
      <c r="F76" s="376"/>
      <c r="G76" s="376"/>
      <c r="H76" s="376"/>
    </row>
    <row r="77" spans="1:8" ht="15">
      <c r="A77" s="376" t="s">
        <v>454</v>
      </c>
      <c r="B77" s="376"/>
      <c r="C77" s="376"/>
      <c r="D77" s="376"/>
      <c r="E77" s="376"/>
      <c r="F77" s="376"/>
      <c r="G77" s="376"/>
      <c r="H77" s="376"/>
    </row>
    <row r="78" spans="1:8" ht="15">
      <c r="A78" s="376"/>
      <c r="B78" s="376"/>
      <c r="C78" s="376"/>
      <c r="D78" s="376"/>
      <c r="E78" s="376"/>
      <c r="F78" s="376"/>
      <c r="G78" s="376"/>
      <c r="H78" s="376"/>
    </row>
    <row r="79" ht="15">
      <c r="A79" s="376" t="s">
        <v>455</v>
      </c>
    </row>
    <row r="80" ht="15">
      <c r="A80" s="375"/>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5"/>
    </row>
    <row r="108" ht="15">
      <c r="A108" s="375"/>
    </row>
    <row r="109" ht="15">
      <c r="A109" s="375"/>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7" t="s">
        <v>512</v>
      </c>
      <c r="B3" s="377"/>
      <c r="C3" s="377"/>
      <c r="D3" s="377"/>
      <c r="E3" s="377"/>
      <c r="F3" s="377"/>
      <c r="G3" s="377"/>
      <c r="H3" s="377"/>
      <c r="I3" s="377"/>
      <c r="J3" s="377"/>
      <c r="K3" s="377"/>
      <c r="L3" s="377"/>
    </row>
    <row r="4" spans="1:12" ht="15">
      <c r="A4" s="377"/>
      <c r="B4" s="377"/>
      <c r="C4" s="377"/>
      <c r="D4" s="377"/>
      <c r="E4" s="377"/>
      <c r="F4" s="377"/>
      <c r="G4" s="377"/>
      <c r="H4" s="377"/>
      <c r="I4" s="377"/>
      <c r="J4" s="377"/>
      <c r="K4" s="377"/>
      <c r="L4" s="377"/>
    </row>
    <row r="5" spans="1:12" ht="15">
      <c r="A5" s="376" t="s">
        <v>457</v>
      </c>
      <c r="I5" s="377"/>
      <c r="J5" s="377"/>
      <c r="K5" s="377"/>
      <c r="L5" s="377"/>
    </row>
    <row r="6" spans="1:12" ht="15">
      <c r="A6" s="376" t="str">
        <f>CONCATENATE("estimated ",inputPrYr!C5-1," 'total expenditures' exceed your ",inputPrYr!C5-1,"")</f>
        <v>estimated 2014 'total expenditures' exceed your 2014</v>
      </c>
      <c r="I6" s="377"/>
      <c r="J6" s="377"/>
      <c r="K6" s="377"/>
      <c r="L6" s="377"/>
    </row>
    <row r="7" spans="1:12" ht="15">
      <c r="A7" s="379" t="s">
        <v>513</v>
      </c>
      <c r="I7" s="377"/>
      <c r="J7" s="377"/>
      <c r="K7" s="377"/>
      <c r="L7" s="377"/>
    </row>
    <row r="8" spans="1:12" ht="15">
      <c r="A8" s="376"/>
      <c r="I8" s="377"/>
      <c r="J8" s="377"/>
      <c r="K8" s="377"/>
      <c r="L8" s="377"/>
    </row>
    <row r="9" spans="1:12" ht="15">
      <c r="A9" s="376" t="s">
        <v>514</v>
      </c>
      <c r="I9" s="377"/>
      <c r="J9" s="377"/>
      <c r="K9" s="377"/>
      <c r="L9" s="377"/>
    </row>
    <row r="10" spans="1:12" ht="15">
      <c r="A10" s="376" t="s">
        <v>515</v>
      </c>
      <c r="I10" s="377"/>
      <c r="J10" s="377"/>
      <c r="K10" s="377"/>
      <c r="L10" s="377"/>
    </row>
    <row r="11" spans="1:12" ht="15">
      <c r="A11" s="376" t="s">
        <v>516</v>
      </c>
      <c r="I11" s="377"/>
      <c r="J11" s="377"/>
      <c r="K11" s="377"/>
      <c r="L11" s="377"/>
    </row>
    <row r="12" spans="1:12" ht="15">
      <c r="A12" s="376" t="s">
        <v>517</v>
      </c>
      <c r="I12" s="377"/>
      <c r="J12" s="377"/>
      <c r="K12" s="377"/>
      <c r="L12" s="377"/>
    </row>
    <row r="13" spans="1:12" ht="15">
      <c r="A13" s="376" t="s">
        <v>518</v>
      </c>
      <c r="I13" s="377"/>
      <c r="J13" s="377"/>
      <c r="K13" s="377"/>
      <c r="L13" s="377"/>
    </row>
    <row r="14" spans="1:12" ht="15">
      <c r="A14" s="377"/>
      <c r="B14" s="377"/>
      <c r="C14" s="377"/>
      <c r="D14" s="377"/>
      <c r="E14" s="377"/>
      <c r="F14" s="377"/>
      <c r="G14" s="377"/>
      <c r="H14" s="377"/>
      <c r="I14" s="377"/>
      <c r="J14" s="377"/>
      <c r="K14" s="377"/>
      <c r="L14" s="377"/>
    </row>
    <row r="15" ht="15">
      <c r="A15" s="375" t="s">
        <v>519</v>
      </c>
    </row>
    <row r="16" ht="15">
      <c r="A16" s="375" t="s">
        <v>520</v>
      </c>
    </row>
    <row r="17" ht="15">
      <c r="A17" s="375"/>
    </row>
    <row r="18" spans="1:7" ht="15">
      <c r="A18" s="376" t="s">
        <v>521</v>
      </c>
      <c r="B18" s="376"/>
      <c r="C18" s="376"/>
      <c r="D18" s="376"/>
      <c r="E18" s="376"/>
      <c r="F18" s="376"/>
      <c r="G18" s="376"/>
    </row>
    <row r="19" spans="1:7" ht="15">
      <c r="A19" s="376" t="str">
        <f>CONCATENATE("your ",inputPrYr!C5-1," numbers to see what steps might be necessary to")</f>
        <v>your 2014 numbers to see what steps might be necessary to</v>
      </c>
      <c r="B19" s="376"/>
      <c r="C19" s="376"/>
      <c r="D19" s="376"/>
      <c r="E19" s="376"/>
      <c r="F19" s="376"/>
      <c r="G19" s="376"/>
    </row>
    <row r="20" spans="1:7" ht="15">
      <c r="A20" s="376" t="s">
        <v>522</v>
      </c>
      <c r="B20" s="376"/>
      <c r="C20" s="376"/>
      <c r="D20" s="376"/>
      <c r="E20" s="376"/>
      <c r="F20" s="376"/>
      <c r="G20" s="376"/>
    </row>
    <row r="21" spans="1:7" ht="15">
      <c r="A21" s="376" t="s">
        <v>523</v>
      </c>
      <c r="B21" s="376"/>
      <c r="C21" s="376"/>
      <c r="D21" s="376"/>
      <c r="E21" s="376"/>
      <c r="F21" s="376"/>
      <c r="G21" s="376"/>
    </row>
    <row r="22" ht="15">
      <c r="A22" s="376"/>
    </row>
    <row r="23" ht="15">
      <c r="A23" s="375" t="s">
        <v>524</v>
      </c>
    </row>
    <row r="24" ht="15">
      <c r="A24" s="375"/>
    </row>
    <row r="25" ht="15">
      <c r="A25" s="376" t="s">
        <v>525</v>
      </c>
    </row>
    <row r="26" spans="1:6" ht="15">
      <c r="A26" s="376" t="s">
        <v>526</v>
      </c>
      <c r="B26" s="376"/>
      <c r="C26" s="376"/>
      <c r="D26" s="376"/>
      <c r="E26" s="376"/>
      <c r="F26" s="376"/>
    </row>
    <row r="27" spans="1:6" ht="15">
      <c r="A27" s="376" t="s">
        <v>527</v>
      </c>
      <c r="B27" s="376"/>
      <c r="C27" s="376"/>
      <c r="D27" s="376"/>
      <c r="E27" s="376"/>
      <c r="F27" s="376"/>
    </row>
    <row r="28" spans="1:6" ht="15">
      <c r="A28" s="376" t="s">
        <v>528</v>
      </c>
      <c r="B28" s="376"/>
      <c r="C28" s="376"/>
      <c r="D28" s="376"/>
      <c r="E28" s="376"/>
      <c r="F28" s="376"/>
    </row>
    <row r="29" spans="1:6" ht="15">
      <c r="A29" s="376"/>
      <c r="B29" s="376"/>
      <c r="C29" s="376"/>
      <c r="D29" s="376"/>
      <c r="E29" s="376"/>
      <c r="F29" s="376"/>
    </row>
    <row r="30" spans="1:7" ht="15">
      <c r="A30" s="375" t="s">
        <v>529</v>
      </c>
      <c r="B30" s="375"/>
      <c r="C30" s="375"/>
      <c r="D30" s="375"/>
      <c r="E30" s="375"/>
      <c r="F30" s="375"/>
      <c r="G30" s="375"/>
    </row>
    <row r="31" spans="1:7" ht="15">
      <c r="A31" s="375" t="s">
        <v>530</v>
      </c>
      <c r="B31" s="375"/>
      <c r="C31" s="375"/>
      <c r="D31" s="375"/>
      <c r="E31" s="375"/>
      <c r="F31" s="375"/>
      <c r="G31" s="375"/>
    </row>
    <row r="32" spans="1:6" ht="15">
      <c r="A32" s="376"/>
      <c r="B32" s="376"/>
      <c r="C32" s="376"/>
      <c r="D32" s="376"/>
      <c r="E32" s="376"/>
      <c r="F32" s="376"/>
    </row>
    <row r="33" spans="1:6" ht="15">
      <c r="A33" s="380" t="str">
        <f>CONCATENATE("Well, let's look to see if any of your ",inputPrYr!C5-1," expenditures can")</f>
        <v>Well, let's look to see if any of your 2014 expenditures can</v>
      </c>
      <c r="B33" s="376"/>
      <c r="C33" s="376"/>
      <c r="D33" s="376"/>
      <c r="E33" s="376"/>
      <c r="F33" s="376"/>
    </row>
    <row r="34" spans="1:6" ht="15">
      <c r="A34" s="380" t="s">
        <v>531</v>
      </c>
      <c r="B34" s="376"/>
      <c r="C34" s="376"/>
      <c r="D34" s="376"/>
      <c r="E34" s="376"/>
      <c r="F34" s="376"/>
    </row>
    <row r="35" spans="1:6" ht="15">
      <c r="A35" s="380" t="s">
        <v>471</v>
      </c>
      <c r="B35" s="376"/>
      <c r="C35" s="376"/>
      <c r="D35" s="376"/>
      <c r="E35" s="376"/>
      <c r="F35" s="376"/>
    </row>
    <row r="36" spans="1:6" ht="15">
      <c r="A36" s="380" t="s">
        <v>472</v>
      </c>
      <c r="B36" s="376"/>
      <c r="C36" s="376"/>
      <c r="D36" s="376"/>
      <c r="E36" s="376"/>
      <c r="F36" s="376"/>
    </row>
    <row r="37" spans="1:6" ht="15">
      <c r="A37" s="380"/>
      <c r="B37" s="376"/>
      <c r="C37" s="376"/>
      <c r="D37" s="376"/>
      <c r="E37" s="376"/>
      <c r="F37" s="376"/>
    </row>
    <row r="38" spans="1:6" ht="15">
      <c r="A38" s="380" t="str">
        <f>CONCATENATE("Additionally, do your ",inputPrYr!C5-1," receipts contain a reimbursement")</f>
        <v>Additionally, do your 2014 receipts contain a reimbursement</v>
      </c>
      <c r="B38" s="376"/>
      <c r="C38" s="376"/>
      <c r="D38" s="376"/>
      <c r="E38" s="376"/>
      <c r="F38" s="376"/>
    </row>
    <row r="39" spans="1:6" ht="15">
      <c r="A39" s="380" t="s">
        <v>473</v>
      </c>
      <c r="B39" s="376"/>
      <c r="C39" s="376"/>
      <c r="D39" s="376"/>
      <c r="E39" s="376"/>
      <c r="F39" s="376"/>
    </row>
    <row r="40" spans="1:6" ht="15">
      <c r="A40" s="380" t="s">
        <v>474</v>
      </c>
      <c r="B40" s="376"/>
      <c r="C40" s="376"/>
      <c r="D40" s="376"/>
      <c r="E40" s="376"/>
      <c r="F40" s="376"/>
    </row>
    <row r="41" spans="1:6" ht="15">
      <c r="A41" s="380"/>
      <c r="B41" s="376"/>
      <c r="C41" s="376"/>
      <c r="D41" s="376"/>
      <c r="E41" s="376"/>
      <c r="F41" s="376"/>
    </row>
    <row r="42" spans="1:6" ht="15">
      <c r="A42" s="380" t="s">
        <v>475</v>
      </c>
      <c r="B42" s="376"/>
      <c r="C42" s="376"/>
      <c r="D42" s="376"/>
      <c r="E42" s="376"/>
      <c r="F42" s="376"/>
    </row>
    <row r="43" spans="1:6" ht="15">
      <c r="A43" s="380" t="s">
        <v>476</v>
      </c>
      <c r="B43" s="376"/>
      <c r="C43" s="376"/>
      <c r="D43" s="376"/>
      <c r="E43" s="376"/>
      <c r="F43" s="376"/>
    </row>
    <row r="44" spans="1:6" ht="15">
      <c r="A44" s="380" t="s">
        <v>477</v>
      </c>
      <c r="B44" s="376"/>
      <c r="C44" s="376"/>
      <c r="D44" s="376"/>
      <c r="E44" s="376"/>
      <c r="F44" s="376"/>
    </row>
    <row r="45" spans="1:6" ht="15">
      <c r="A45" s="380" t="s">
        <v>532</v>
      </c>
      <c r="B45" s="376"/>
      <c r="C45" s="376"/>
      <c r="D45" s="376"/>
      <c r="E45" s="376"/>
      <c r="F45" s="376"/>
    </row>
    <row r="46" spans="1:6" ht="15">
      <c r="A46" s="380" t="s">
        <v>479</v>
      </c>
      <c r="B46" s="376"/>
      <c r="C46" s="376"/>
      <c r="D46" s="376"/>
      <c r="E46" s="376"/>
      <c r="F46" s="376"/>
    </row>
    <row r="47" spans="1:6" ht="15">
      <c r="A47" s="380" t="s">
        <v>533</v>
      </c>
      <c r="B47" s="376"/>
      <c r="C47" s="376"/>
      <c r="D47" s="376"/>
      <c r="E47" s="376"/>
      <c r="F47" s="376"/>
    </row>
    <row r="48" spans="1:6" ht="15">
      <c r="A48" s="380" t="s">
        <v>534</v>
      </c>
      <c r="B48" s="376"/>
      <c r="C48" s="376"/>
      <c r="D48" s="376"/>
      <c r="E48" s="376"/>
      <c r="F48" s="376"/>
    </row>
    <row r="49" spans="1:6" ht="15">
      <c r="A49" s="380" t="s">
        <v>482</v>
      </c>
      <c r="B49" s="376"/>
      <c r="C49" s="376"/>
      <c r="D49" s="376"/>
      <c r="E49" s="376"/>
      <c r="F49" s="376"/>
    </row>
    <row r="50" spans="1:6" ht="15">
      <c r="A50" s="380"/>
      <c r="B50" s="376"/>
      <c r="C50" s="376"/>
      <c r="D50" s="376"/>
      <c r="E50" s="376"/>
      <c r="F50" s="376"/>
    </row>
    <row r="51" spans="1:6" ht="15">
      <c r="A51" s="380" t="s">
        <v>483</v>
      </c>
      <c r="B51" s="376"/>
      <c r="C51" s="376"/>
      <c r="D51" s="376"/>
      <c r="E51" s="376"/>
      <c r="F51" s="376"/>
    </row>
    <row r="52" spans="1:6" ht="15">
      <c r="A52" s="380" t="s">
        <v>484</v>
      </c>
      <c r="B52" s="376"/>
      <c r="C52" s="376"/>
      <c r="D52" s="376"/>
      <c r="E52" s="376"/>
      <c r="F52" s="376"/>
    </row>
    <row r="53" spans="1:6" ht="15">
      <c r="A53" s="380" t="s">
        <v>485</v>
      </c>
      <c r="B53" s="376"/>
      <c r="C53" s="376"/>
      <c r="D53" s="376"/>
      <c r="E53" s="376"/>
      <c r="F53" s="376"/>
    </row>
    <row r="54" spans="1:6" ht="15">
      <c r="A54" s="380"/>
      <c r="B54" s="376"/>
      <c r="C54" s="376"/>
      <c r="D54" s="376"/>
      <c r="E54" s="376"/>
      <c r="F54" s="376"/>
    </row>
    <row r="55" spans="1:6" ht="15">
      <c r="A55" s="380" t="s">
        <v>535</v>
      </c>
      <c r="B55" s="376"/>
      <c r="C55" s="376"/>
      <c r="D55" s="376"/>
      <c r="E55" s="376"/>
      <c r="F55" s="376"/>
    </row>
    <row r="56" spans="1:6" ht="15">
      <c r="A56" s="380" t="s">
        <v>536</v>
      </c>
      <c r="B56" s="376"/>
      <c r="C56" s="376"/>
      <c r="D56" s="376"/>
      <c r="E56" s="376"/>
      <c r="F56" s="376"/>
    </row>
    <row r="57" spans="1:6" ht="15">
      <c r="A57" s="380" t="s">
        <v>537</v>
      </c>
      <c r="B57" s="376"/>
      <c r="C57" s="376"/>
      <c r="D57" s="376"/>
      <c r="E57" s="376"/>
      <c r="F57" s="376"/>
    </row>
    <row r="58" spans="1:6" ht="15">
      <c r="A58" s="380" t="s">
        <v>538</v>
      </c>
      <c r="B58" s="376"/>
      <c r="C58" s="376"/>
      <c r="D58" s="376"/>
      <c r="E58" s="376"/>
      <c r="F58" s="376"/>
    </row>
    <row r="59" spans="1:6" ht="15">
      <c r="A59" s="380" t="s">
        <v>539</v>
      </c>
      <c r="B59" s="376"/>
      <c r="C59" s="376"/>
      <c r="D59" s="376"/>
      <c r="E59" s="376"/>
      <c r="F59" s="376"/>
    </row>
    <row r="60" spans="1:6" ht="15">
      <c r="A60" s="380"/>
      <c r="B60" s="376"/>
      <c r="C60" s="376"/>
      <c r="D60" s="376"/>
      <c r="E60" s="376"/>
      <c r="F60" s="376"/>
    </row>
    <row r="61" spans="1:6" ht="15">
      <c r="A61" s="381" t="s">
        <v>540</v>
      </c>
      <c r="B61" s="376"/>
      <c r="C61" s="376"/>
      <c r="D61" s="376"/>
      <c r="E61" s="376"/>
      <c r="F61" s="376"/>
    </row>
    <row r="62" spans="1:6" ht="15">
      <c r="A62" s="381" t="s">
        <v>541</v>
      </c>
      <c r="B62" s="376"/>
      <c r="C62" s="376"/>
      <c r="D62" s="376"/>
      <c r="E62" s="376"/>
      <c r="F62" s="376"/>
    </row>
    <row r="63" spans="1:6" ht="15">
      <c r="A63" s="381" t="s">
        <v>542</v>
      </c>
      <c r="B63" s="376"/>
      <c r="C63" s="376"/>
      <c r="D63" s="376"/>
      <c r="E63" s="376"/>
      <c r="F63" s="376"/>
    </row>
    <row r="64" ht="15">
      <c r="A64" s="381" t="s">
        <v>543</v>
      </c>
    </row>
    <row r="65" ht="15">
      <c r="A65" s="381" t="s">
        <v>544</v>
      </c>
    </row>
    <row r="66" ht="15">
      <c r="A66" s="381" t="s">
        <v>545</v>
      </c>
    </row>
    <row r="68" ht="15">
      <c r="A68" s="376" t="s">
        <v>546</v>
      </c>
    </row>
    <row r="69" ht="15">
      <c r="A69" s="376" t="s">
        <v>547</v>
      </c>
    </row>
    <row r="70" ht="15">
      <c r="A70" s="376" t="s">
        <v>548</v>
      </c>
    </row>
    <row r="71" ht="15">
      <c r="A71" s="376" t="s">
        <v>549</v>
      </c>
    </row>
    <row r="72" ht="15">
      <c r="A72" s="376" t="s">
        <v>550</v>
      </c>
    </row>
    <row r="73" ht="15">
      <c r="A73" s="376" t="s">
        <v>551</v>
      </c>
    </row>
    <row r="75" ht="15">
      <c r="A75" s="376" t="s">
        <v>455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7" t="s">
        <v>552</v>
      </c>
      <c r="B3" s="377"/>
      <c r="C3" s="377"/>
      <c r="D3" s="377"/>
      <c r="E3" s="377"/>
      <c r="F3" s="377"/>
      <c r="G3" s="377"/>
    </row>
    <row r="4" spans="1:7" ht="15">
      <c r="A4" s="377"/>
      <c r="B4" s="377"/>
      <c r="C4" s="377"/>
      <c r="D4" s="377"/>
      <c r="E4" s="377"/>
      <c r="F4" s="377"/>
      <c r="G4" s="377"/>
    </row>
    <row r="5" ht="15">
      <c r="A5" s="376" t="s">
        <v>401</v>
      </c>
    </row>
    <row r="6" ht="15">
      <c r="A6" s="376" t="str">
        <f>CONCATENATE(inputPrYr!C5," estimated expenditures show that at the end of this year")</f>
        <v>2015 estimated expenditures show that at the end of this year</v>
      </c>
    </row>
    <row r="7" ht="15">
      <c r="A7" s="376" t="s">
        <v>553</v>
      </c>
    </row>
    <row r="8" ht="15">
      <c r="A8" s="376" t="s">
        <v>554</v>
      </c>
    </row>
    <row r="10" ht="15">
      <c r="A10" t="s">
        <v>403</v>
      </c>
    </row>
    <row r="11" ht="15">
      <c r="A11" t="s">
        <v>404</v>
      </c>
    </row>
    <row r="12" ht="15">
      <c r="A12" t="s">
        <v>405</v>
      </c>
    </row>
    <row r="13" spans="1:7" ht="15">
      <c r="A13" s="377"/>
      <c r="B13" s="377"/>
      <c r="C13" s="377"/>
      <c r="D13" s="377"/>
      <c r="E13" s="377"/>
      <c r="F13" s="377"/>
      <c r="G13" s="377"/>
    </row>
    <row r="14" ht="15">
      <c r="A14" s="375" t="s">
        <v>555</v>
      </c>
    </row>
    <row r="15" ht="15">
      <c r="A15" s="376"/>
    </row>
    <row r="16" ht="15">
      <c r="A16" s="376" t="s">
        <v>556</v>
      </c>
    </row>
    <row r="17" ht="15">
      <c r="A17" s="376" t="s">
        <v>557</v>
      </c>
    </row>
    <row r="18" ht="15">
      <c r="A18" s="376" t="s">
        <v>558</v>
      </c>
    </row>
    <row r="19" ht="15">
      <c r="A19" s="376"/>
    </row>
    <row r="20" ht="15">
      <c r="A20" s="376" t="s">
        <v>559</v>
      </c>
    </row>
    <row r="21" ht="15">
      <c r="A21" s="376" t="s">
        <v>560</v>
      </c>
    </row>
    <row r="22" ht="15">
      <c r="A22" s="376" t="s">
        <v>561</v>
      </c>
    </row>
    <row r="23" ht="15">
      <c r="A23" s="376" t="s">
        <v>562</v>
      </c>
    </row>
    <row r="24" ht="15">
      <c r="A24" s="376"/>
    </row>
    <row r="25" ht="15">
      <c r="A25" s="375" t="s">
        <v>524</v>
      </c>
    </row>
    <row r="26" ht="15">
      <c r="A26" s="375"/>
    </row>
    <row r="27" ht="15">
      <c r="A27" s="376" t="s">
        <v>525</v>
      </c>
    </row>
    <row r="28" spans="1:6" ht="15">
      <c r="A28" s="376" t="s">
        <v>526</v>
      </c>
      <c r="B28" s="376"/>
      <c r="C28" s="376"/>
      <c r="D28" s="376"/>
      <c r="E28" s="376"/>
      <c r="F28" s="376"/>
    </row>
    <row r="29" spans="1:6" ht="15">
      <c r="A29" s="376" t="s">
        <v>527</v>
      </c>
      <c r="B29" s="376"/>
      <c r="C29" s="376"/>
      <c r="D29" s="376"/>
      <c r="E29" s="376"/>
      <c r="F29" s="376"/>
    </row>
    <row r="30" spans="1:6" ht="15">
      <c r="A30" s="376" t="s">
        <v>528</v>
      </c>
      <c r="B30" s="376"/>
      <c r="C30" s="376"/>
      <c r="D30" s="376"/>
      <c r="E30" s="376"/>
      <c r="F30" s="376"/>
    </row>
    <row r="31" ht="15">
      <c r="A31" s="376"/>
    </row>
    <row r="32" spans="1:7" ht="15">
      <c r="A32" s="375" t="s">
        <v>529</v>
      </c>
      <c r="B32" s="375"/>
      <c r="C32" s="375"/>
      <c r="D32" s="375"/>
      <c r="E32" s="375"/>
      <c r="F32" s="375"/>
      <c r="G32" s="375"/>
    </row>
    <row r="33" spans="1:7" ht="15">
      <c r="A33" s="375" t="s">
        <v>530</v>
      </c>
      <c r="B33" s="375"/>
      <c r="C33" s="375"/>
      <c r="D33" s="375"/>
      <c r="E33" s="375"/>
      <c r="F33" s="375"/>
      <c r="G33" s="375"/>
    </row>
    <row r="34" spans="1:7" ht="15">
      <c r="A34" s="375"/>
      <c r="B34" s="375"/>
      <c r="C34" s="375"/>
      <c r="D34" s="375"/>
      <c r="E34" s="375"/>
      <c r="F34" s="375"/>
      <c r="G34" s="375"/>
    </row>
    <row r="35" spans="1:7" ht="15">
      <c r="A35" s="376" t="s">
        <v>563</v>
      </c>
      <c r="B35" s="376"/>
      <c r="C35" s="376"/>
      <c r="D35" s="376"/>
      <c r="E35" s="376"/>
      <c r="F35" s="376"/>
      <c r="G35" s="376"/>
    </row>
    <row r="36" spans="1:7" ht="15">
      <c r="A36" s="376" t="s">
        <v>564</v>
      </c>
      <c r="B36" s="376"/>
      <c r="C36" s="376"/>
      <c r="D36" s="376"/>
      <c r="E36" s="376"/>
      <c r="F36" s="376"/>
      <c r="G36" s="376"/>
    </row>
    <row r="37" spans="1:7" ht="15">
      <c r="A37" s="376" t="s">
        <v>565</v>
      </c>
      <c r="B37" s="376"/>
      <c r="C37" s="376"/>
      <c r="D37" s="376"/>
      <c r="E37" s="376"/>
      <c r="F37" s="376"/>
      <c r="G37" s="376"/>
    </row>
    <row r="38" spans="1:7" ht="15">
      <c r="A38" s="376" t="s">
        <v>566</v>
      </c>
      <c r="B38" s="376"/>
      <c r="C38" s="376"/>
      <c r="D38" s="376"/>
      <c r="E38" s="376"/>
      <c r="F38" s="376"/>
      <c r="G38" s="376"/>
    </row>
    <row r="39" spans="1:7" ht="15">
      <c r="A39" s="376" t="s">
        <v>567</v>
      </c>
      <c r="B39" s="376"/>
      <c r="C39" s="376"/>
      <c r="D39" s="376"/>
      <c r="E39" s="376"/>
      <c r="F39" s="376"/>
      <c r="G39" s="376"/>
    </row>
    <row r="40" spans="1:7" ht="15">
      <c r="A40" s="375"/>
      <c r="B40" s="375"/>
      <c r="C40" s="375"/>
      <c r="D40" s="375"/>
      <c r="E40" s="375"/>
      <c r="F40" s="375"/>
      <c r="G40" s="375"/>
    </row>
    <row r="41" spans="1:6" ht="15">
      <c r="A41" s="380" t="str">
        <f>CONCATENATE("So, let's look to see if any of your ",inputPrYr!C5-1," expenditures can")</f>
        <v>So, let's look to see if any of your 2014 expenditures can</v>
      </c>
      <c r="B41" s="376"/>
      <c r="C41" s="376"/>
      <c r="D41" s="376"/>
      <c r="E41" s="376"/>
      <c r="F41" s="376"/>
    </row>
    <row r="42" spans="1:6" ht="15">
      <c r="A42" s="380" t="s">
        <v>531</v>
      </c>
      <c r="B42" s="376"/>
      <c r="C42" s="376"/>
      <c r="D42" s="376"/>
      <c r="E42" s="376"/>
      <c r="F42" s="376"/>
    </row>
    <row r="43" spans="1:6" ht="15">
      <c r="A43" s="380" t="s">
        <v>471</v>
      </c>
      <c r="B43" s="376"/>
      <c r="C43" s="376"/>
      <c r="D43" s="376"/>
      <c r="E43" s="376"/>
      <c r="F43" s="376"/>
    </row>
    <row r="44" spans="1:6" ht="15">
      <c r="A44" s="380" t="s">
        <v>472</v>
      </c>
      <c r="B44" s="376"/>
      <c r="C44" s="376"/>
      <c r="D44" s="376"/>
      <c r="E44" s="376"/>
      <c r="F44" s="376"/>
    </row>
    <row r="45" ht="15">
      <c r="A45" s="376"/>
    </row>
    <row r="46" spans="1:6" ht="15">
      <c r="A46" s="380" t="str">
        <f>CONCATENATE("Additionally, do your ",inputPrYr!C5-1," receipts contain a reimbursement")</f>
        <v>Additionally, do your 2014 receipts contain a reimbursement</v>
      </c>
      <c r="B46" s="376"/>
      <c r="C46" s="376"/>
      <c r="D46" s="376"/>
      <c r="E46" s="376"/>
      <c r="F46" s="376"/>
    </row>
    <row r="47" spans="1:6" ht="15">
      <c r="A47" s="380" t="s">
        <v>473</v>
      </c>
      <c r="B47" s="376"/>
      <c r="C47" s="376"/>
      <c r="D47" s="376"/>
      <c r="E47" s="376"/>
      <c r="F47" s="376"/>
    </row>
    <row r="48" spans="1:6" ht="15">
      <c r="A48" s="380" t="s">
        <v>474</v>
      </c>
      <c r="B48" s="376"/>
      <c r="C48" s="376"/>
      <c r="D48" s="376"/>
      <c r="E48" s="376"/>
      <c r="F48" s="376"/>
    </row>
    <row r="49" spans="1:7" ht="15">
      <c r="A49" s="376"/>
      <c r="B49" s="376"/>
      <c r="C49" s="376"/>
      <c r="D49" s="376"/>
      <c r="E49" s="376"/>
      <c r="F49" s="376"/>
      <c r="G49" s="376"/>
    </row>
    <row r="50" spans="1:7" ht="15">
      <c r="A50" s="376" t="s">
        <v>428</v>
      </c>
      <c r="B50" s="376"/>
      <c r="C50" s="376"/>
      <c r="D50" s="376"/>
      <c r="E50" s="376"/>
      <c r="F50" s="376"/>
      <c r="G50" s="376"/>
    </row>
    <row r="51" spans="1:7" ht="15">
      <c r="A51" s="376" t="s">
        <v>429</v>
      </c>
      <c r="B51" s="376"/>
      <c r="C51" s="376"/>
      <c r="D51" s="376"/>
      <c r="E51" s="376"/>
      <c r="F51" s="376"/>
      <c r="G51" s="376"/>
    </row>
    <row r="52" spans="1:7" ht="15">
      <c r="A52" s="376" t="s">
        <v>430</v>
      </c>
      <c r="B52" s="376"/>
      <c r="C52" s="376"/>
      <c r="D52" s="376"/>
      <c r="E52" s="376"/>
      <c r="F52" s="376"/>
      <c r="G52" s="376"/>
    </row>
    <row r="53" spans="1:7" ht="15">
      <c r="A53" s="376" t="s">
        <v>431</v>
      </c>
      <c r="B53" s="376"/>
      <c r="C53" s="376"/>
      <c r="D53" s="376"/>
      <c r="E53" s="376"/>
      <c r="F53" s="376"/>
      <c r="G53" s="376"/>
    </row>
    <row r="54" spans="1:7" ht="15">
      <c r="A54" s="376" t="s">
        <v>432</v>
      </c>
      <c r="B54" s="376"/>
      <c r="C54" s="376"/>
      <c r="D54" s="376"/>
      <c r="E54" s="376"/>
      <c r="F54" s="376"/>
      <c r="G54" s="376"/>
    </row>
    <row r="55" spans="1:7" ht="15">
      <c r="A55" s="376"/>
      <c r="B55" s="376"/>
      <c r="C55" s="376"/>
      <c r="D55" s="376"/>
      <c r="E55" s="376"/>
      <c r="F55" s="376"/>
      <c r="G55" s="376"/>
    </row>
    <row r="56" spans="1:6" ht="15">
      <c r="A56" s="380" t="s">
        <v>483</v>
      </c>
      <c r="B56" s="376"/>
      <c r="C56" s="376"/>
      <c r="D56" s="376"/>
      <c r="E56" s="376"/>
      <c r="F56" s="376"/>
    </row>
    <row r="57" spans="1:6" ht="15">
      <c r="A57" s="380" t="s">
        <v>484</v>
      </c>
      <c r="B57" s="376"/>
      <c r="C57" s="376"/>
      <c r="D57" s="376"/>
      <c r="E57" s="376"/>
      <c r="F57" s="376"/>
    </row>
    <row r="58" spans="1:6" ht="15">
      <c r="A58" s="380" t="s">
        <v>485</v>
      </c>
      <c r="B58" s="376"/>
      <c r="C58" s="376"/>
      <c r="D58" s="376"/>
      <c r="E58" s="376"/>
      <c r="F58" s="376"/>
    </row>
    <row r="59" spans="1:6" ht="15">
      <c r="A59" s="380"/>
      <c r="B59" s="376"/>
      <c r="C59" s="376"/>
      <c r="D59" s="376"/>
      <c r="E59" s="376"/>
      <c r="F59" s="376"/>
    </row>
    <row r="60" spans="1:7" ht="15">
      <c r="A60" s="376" t="s">
        <v>568</v>
      </c>
      <c r="B60" s="376"/>
      <c r="C60" s="376"/>
      <c r="D60" s="376"/>
      <c r="E60" s="376"/>
      <c r="F60" s="376"/>
      <c r="G60" s="376"/>
    </row>
    <row r="61" spans="1:7" ht="15">
      <c r="A61" s="376" t="s">
        <v>569</v>
      </c>
      <c r="B61" s="376"/>
      <c r="C61" s="376"/>
      <c r="D61" s="376"/>
      <c r="E61" s="376"/>
      <c r="F61" s="376"/>
      <c r="G61" s="376"/>
    </row>
    <row r="62" spans="1:7" ht="15">
      <c r="A62" s="376" t="s">
        <v>570</v>
      </c>
      <c r="B62" s="376"/>
      <c r="C62" s="376"/>
      <c r="D62" s="376"/>
      <c r="E62" s="376"/>
      <c r="F62" s="376"/>
      <c r="G62" s="376"/>
    </row>
    <row r="63" spans="1:7" ht="15">
      <c r="A63" s="376" t="s">
        <v>571</v>
      </c>
      <c r="B63" s="376"/>
      <c r="C63" s="376"/>
      <c r="D63" s="376"/>
      <c r="E63" s="376"/>
      <c r="F63" s="376"/>
      <c r="G63" s="376"/>
    </row>
    <row r="64" spans="1:7" ht="15">
      <c r="A64" s="376" t="s">
        <v>572</v>
      </c>
      <c r="B64" s="376"/>
      <c r="C64" s="376"/>
      <c r="D64" s="376"/>
      <c r="E64" s="376"/>
      <c r="F64" s="376"/>
      <c r="G64" s="376"/>
    </row>
    <row r="66" spans="1:6" ht="15">
      <c r="A66" s="380" t="s">
        <v>535</v>
      </c>
      <c r="B66" s="376"/>
      <c r="C66" s="376"/>
      <c r="D66" s="376"/>
      <c r="E66" s="376"/>
      <c r="F66" s="376"/>
    </row>
    <row r="67" spans="1:6" ht="15">
      <c r="A67" s="380" t="s">
        <v>536</v>
      </c>
      <c r="B67" s="376"/>
      <c r="C67" s="376"/>
      <c r="D67" s="376"/>
      <c r="E67" s="376"/>
      <c r="F67" s="376"/>
    </row>
    <row r="68" spans="1:6" ht="15">
      <c r="A68" s="380" t="s">
        <v>537</v>
      </c>
      <c r="B68" s="376"/>
      <c r="C68" s="376"/>
      <c r="D68" s="376"/>
      <c r="E68" s="376"/>
      <c r="F68" s="376"/>
    </row>
    <row r="69" spans="1:6" ht="15">
      <c r="A69" s="380" t="s">
        <v>538</v>
      </c>
      <c r="B69" s="376"/>
      <c r="C69" s="376"/>
      <c r="D69" s="376"/>
      <c r="E69" s="376"/>
      <c r="F69" s="376"/>
    </row>
    <row r="70" spans="1:6" ht="15">
      <c r="A70" s="380" t="s">
        <v>539</v>
      </c>
      <c r="B70" s="376"/>
      <c r="C70" s="376"/>
      <c r="D70" s="376"/>
      <c r="E70" s="376"/>
      <c r="F70" s="376"/>
    </row>
    <row r="71" ht="15">
      <c r="A71" s="376"/>
    </row>
    <row r="72" ht="15">
      <c r="A72" s="376" t="s">
        <v>455</v>
      </c>
    </row>
    <row r="73" ht="15">
      <c r="A73" s="376"/>
    </row>
    <row r="74" ht="15">
      <c r="A74" s="376"/>
    </row>
    <row r="75" ht="15">
      <c r="A75" s="376"/>
    </row>
    <row r="78" ht="15">
      <c r="A78" s="375"/>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7" t="s">
        <v>573</v>
      </c>
      <c r="B3" s="377"/>
      <c r="C3" s="377"/>
      <c r="D3" s="377"/>
      <c r="E3" s="377"/>
      <c r="F3" s="377"/>
      <c r="G3" s="377"/>
    </row>
    <row r="4" spans="1:7" ht="15">
      <c r="A4" s="377" t="s">
        <v>574</v>
      </c>
      <c r="B4" s="377"/>
      <c r="C4" s="377"/>
      <c r="D4" s="377"/>
      <c r="E4" s="377"/>
      <c r="F4" s="377"/>
      <c r="G4" s="377"/>
    </row>
    <row r="5" spans="1:7" ht="15">
      <c r="A5" s="377"/>
      <c r="B5" s="377"/>
      <c r="C5" s="377"/>
      <c r="D5" s="377"/>
      <c r="E5" s="377"/>
      <c r="F5" s="377"/>
      <c r="G5" s="377"/>
    </row>
    <row r="6" spans="1:7" ht="15">
      <c r="A6" s="377"/>
      <c r="B6" s="377"/>
      <c r="C6" s="377"/>
      <c r="D6" s="377"/>
      <c r="E6" s="377"/>
      <c r="F6" s="377"/>
      <c r="G6" s="377"/>
    </row>
    <row r="7" ht="15">
      <c r="A7" s="376" t="s">
        <v>457</v>
      </c>
    </row>
    <row r="8" ht="15">
      <c r="A8" s="376" t="str">
        <f>CONCATENATE("estimated ",inputPrYr!C5," 'total expenditures' exceed your ",inputPrYr!C5,"")</f>
        <v>estimated 2015 'total expenditures' exceed your 2015</v>
      </c>
    </row>
    <row r="9" ht="15">
      <c r="A9" s="379" t="s">
        <v>575</v>
      </c>
    </row>
    <row r="10" ht="15">
      <c r="A10" s="376"/>
    </row>
    <row r="11" ht="15">
      <c r="A11" s="376" t="s">
        <v>576</v>
      </c>
    </row>
    <row r="12" ht="15">
      <c r="A12" s="376" t="s">
        <v>577</v>
      </c>
    </row>
    <row r="13" ht="15">
      <c r="A13" s="376" t="s">
        <v>578</v>
      </c>
    </row>
    <row r="14" ht="15">
      <c r="A14" s="376"/>
    </row>
    <row r="15" ht="15">
      <c r="A15" s="375" t="s">
        <v>579</v>
      </c>
    </row>
    <row r="16" spans="1:7" ht="15">
      <c r="A16" s="377"/>
      <c r="B16" s="377"/>
      <c r="C16" s="377"/>
      <c r="D16" s="377"/>
      <c r="E16" s="377"/>
      <c r="F16" s="377"/>
      <c r="G16" s="377"/>
    </row>
    <row r="17" spans="1:8" ht="15">
      <c r="A17" s="382" t="s">
        <v>580</v>
      </c>
      <c r="B17" s="368"/>
      <c r="C17" s="368"/>
      <c r="D17" s="368"/>
      <c r="E17" s="368"/>
      <c r="F17" s="368"/>
      <c r="G17" s="368"/>
      <c r="H17" s="368"/>
    </row>
    <row r="18" spans="1:7" ht="15">
      <c r="A18" s="376" t="s">
        <v>581</v>
      </c>
      <c r="B18" s="383"/>
      <c r="C18" s="383"/>
      <c r="D18" s="383"/>
      <c r="E18" s="383"/>
      <c r="F18" s="383"/>
      <c r="G18" s="383"/>
    </row>
    <row r="19" ht="15">
      <c r="A19" s="376" t="s">
        <v>582</v>
      </c>
    </row>
    <row r="20" ht="15">
      <c r="A20" s="376" t="s">
        <v>583</v>
      </c>
    </row>
    <row r="22" ht="15">
      <c r="A22" s="375" t="s">
        <v>584</v>
      </c>
    </row>
    <row r="24" ht="15">
      <c r="A24" s="376" t="s">
        <v>585</v>
      </c>
    </row>
    <row r="25" ht="15">
      <c r="A25" s="376" t="s">
        <v>586</v>
      </c>
    </row>
    <row r="26" ht="15">
      <c r="A26" s="376" t="s">
        <v>587</v>
      </c>
    </row>
    <row r="28" ht="15">
      <c r="A28" s="375" t="s">
        <v>588</v>
      </c>
    </row>
    <row r="30" ht="15">
      <c r="A30" t="s">
        <v>589</v>
      </c>
    </row>
    <row r="31" ht="15">
      <c r="A31" t="s">
        <v>590</v>
      </c>
    </row>
    <row r="32" ht="15">
      <c r="A32" t="s">
        <v>591</v>
      </c>
    </row>
    <row r="33" ht="15">
      <c r="A33" s="376" t="s">
        <v>592</v>
      </c>
    </row>
    <row r="35" ht="15">
      <c r="A35" t="s">
        <v>593</v>
      </c>
    </row>
    <row r="36" ht="15">
      <c r="A36" t="s">
        <v>594</v>
      </c>
    </row>
    <row r="37" ht="15">
      <c r="A37" t="s">
        <v>595</v>
      </c>
    </row>
    <row r="38" ht="15">
      <c r="A38" t="s">
        <v>596</v>
      </c>
    </row>
    <row r="40" ht="15">
      <c r="A40" t="s">
        <v>597</v>
      </c>
    </row>
    <row r="41" ht="15">
      <c r="A41" t="s">
        <v>598</v>
      </c>
    </row>
    <row r="42" ht="15">
      <c r="A42" t="s">
        <v>599</v>
      </c>
    </row>
    <row r="43" ht="15">
      <c r="A43" t="s">
        <v>600</v>
      </c>
    </row>
    <row r="44" ht="15">
      <c r="A44" t="s">
        <v>601</v>
      </c>
    </row>
    <row r="45" ht="15">
      <c r="A45" t="s">
        <v>602</v>
      </c>
    </row>
    <row r="47" ht="15">
      <c r="A47" t="s">
        <v>603</v>
      </c>
    </row>
    <row r="48" ht="15">
      <c r="A48" t="s">
        <v>604</v>
      </c>
    </row>
    <row r="49" ht="15">
      <c r="A49" s="376" t="s">
        <v>605</v>
      </c>
    </row>
    <row r="50" ht="15">
      <c r="A50" s="376" t="s">
        <v>606</v>
      </c>
    </row>
    <row r="52" ht="15">
      <c r="A52" t="s">
        <v>455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10" customWidth="1"/>
    <col min="2" max="2" width="11.19921875" style="511" customWidth="1"/>
    <col min="3" max="3" width="7.3984375" style="511" customWidth="1"/>
    <col min="4" max="4" width="8.8984375" style="511" customWidth="1"/>
    <col min="5" max="5" width="1.59765625" style="511" customWidth="1"/>
    <col min="6" max="6" width="14.296875" style="511" customWidth="1"/>
    <col min="7" max="7" width="2.59765625" style="511" customWidth="1"/>
    <col min="8" max="8" width="9.796875" style="511" customWidth="1"/>
    <col min="9" max="9" width="2" style="511" customWidth="1"/>
    <col min="10" max="10" width="8.59765625" style="511" customWidth="1"/>
    <col min="11" max="11" width="11.69921875" style="511" customWidth="1"/>
    <col min="12" max="12" width="7.59765625" style="510" customWidth="1"/>
    <col min="13" max="14" width="8.8984375" style="510" customWidth="1"/>
    <col min="15" max="15" width="9.8984375" style="510" bestFit="1" customWidth="1"/>
    <col min="16" max="16384" width="8.8984375" style="510" customWidth="1"/>
  </cols>
  <sheetData>
    <row r="1" spans="1:12" ht="14.25">
      <c r="A1" s="558"/>
      <c r="B1" s="558"/>
      <c r="C1" s="558"/>
      <c r="D1" s="558"/>
      <c r="E1" s="558"/>
      <c r="F1" s="558"/>
      <c r="G1" s="558"/>
      <c r="H1" s="558"/>
      <c r="I1" s="558"/>
      <c r="J1" s="558"/>
      <c r="K1" s="558"/>
      <c r="L1" s="558"/>
    </row>
    <row r="2" spans="1:12" ht="14.25">
      <c r="A2" s="558"/>
      <c r="B2" s="558"/>
      <c r="C2" s="558"/>
      <c r="D2" s="558"/>
      <c r="E2" s="558"/>
      <c r="F2" s="558"/>
      <c r="G2" s="558"/>
      <c r="H2" s="558"/>
      <c r="I2" s="558"/>
      <c r="J2" s="558"/>
      <c r="K2" s="558"/>
      <c r="L2" s="558"/>
    </row>
    <row r="3" spans="1:12" ht="14.25">
      <c r="A3" s="558"/>
      <c r="B3" s="558"/>
      <c r="C3" s="558"/>
      <c r="D3" s="558"/>
      <c r="E3" s="558"/>
      <c r="F3" s="558"/>
      <c r="G3" s="558"/>
      <c r="H3" s="558"/>
      <c r="I3" s="558"/>
      <c r="J3" s="558"/>
      <c r="K3" s="558"/>
      <c r="L3" s="558"/>
    </row>
    <row r="4" spans="1:12" ht="14.25">
      <c r="A4" s="558"/>
      <c r="L4" s="558"/>
    </row>
    <row r="5" spans="1:12" ht="15" customHeight="1">
      <c r="A5" s="558"/>
      <c r="L5" s="558"/>
    </row>
    <row r="6" spans="1:12" ht="33" customHeight="1">
      <c r="A6" s="558"/>
      <c r="B6" s="869" t="s">
        <v>660</v>
      </c>
      <c r="C6" s="879"/>
      <c r="D6" s="879"/>
      <c r="E6" s="879"/>
      <c r="F6" s="879"/>
      <c r="G6" s="879"/>
      <c r="H6" s="879"/>
      <c r="I6" s="879"/>
      <c r="J6" s="879"/>
      <c r="K6" s="879"/>
      <c r="L6" s="559"/>
    </row>
    <row r="7" spans="1:12" ht="40.5" customHeight="1">
      <c r="A7" s="558"/>
      <c r="B7" s="880" t="s">
        <v>661</v>
      </c>
      <c r="C7" s="881"/>
      <c r="D7" s="881"/>
      <c r="E7" s="881"/>
      <c r="F7" s="881"/>
      <c r="G7" s="881"/>
      <c r="H7" s="881"/>
      <c r="I7" s="881"/>
      <c r="J7" s="881"/>
      <c r="K7" s="881"/>
      <c r="L7" s="558"/>
    </row>
    <row r="8" spans="1:12" ht="14.25">
      <c r="A8" s="558"/>
      <c r="B8" s="878" t="s">
        <v>662</v>
      </c>
      <c r="C8" s="878"/>
      <c r="D8" s="878"/>
      <c r="E8" s="878"/>
      <c r="F8" s="878"/>
      <c r="G8" s="878"/>
      <c r="H8" s="878"/>
      <c r="I8" s="878"/>
      <c r="J8" s="878"/>
      <c r="K8" s="878"/>
      <c r="L8" s="558"/>
    </row>
    <row r="9" spans="1:12" ht="14.25">
      <c r="A9" s="558"/>
      <c r="L9" s="558"/>
    </row>
    <row r="10" spans="1:12" ht="14.25">
      <c r="A10" s="558"/>
      <c r="B10" s="878" t="s">
        <v>663</v>
      </c>
      <c r="C10" s="878"/>
      <c r="D10" s="878"/>
      <c r="E10" s="878"/>
      <c r="F10" s="878"/>
      <c r="G10" s="878"/>
      <c r="H10" s="878"/>
      <c r="I10" s="878"/>
      <c r="J10" s="878"/>
      <c r="K10" s="878"/>
      <c r="L10" s="558"/>
    </row>
    <row r="11" spans="1:12" ht="14.25">
      <c r="A11" s="558"/>
      <c r="B11" s="575"/>
      <c r="C11" s="575"/>
      <c r="D11" s="575"/>
      <c r="E11" s="575"/>
      <c r="F11" s="575"/>
      <c r="G11" s="575"/>
      <c r="H11" s="575"/>
      <c r="I11" s="575"/>
      <c r="J11" s="575"/>
      <c r="K11" s="575"/>
      <c r="L11" s="558"/>
    </row>
    <row r="12" spans="1:12" ht="32.25" customHeight="1">
      <c r="A12" s="558"/>
      <c r="B12" s="873" t="s">
        <v>664</v>
      </c>
      <c r="C12" s="873"/>
      <c r="D12" s="873"/>
      <c r="E12" s="873"/>
      <c r="F12" s="873"/>
      <c r="G12" s="873"/>
      <c r="H12" s="873"/>
      <c r="I12" s="873"/>
      <c r="J12" s="873"/>
      <c r="K12" s="873"/>
      <c r="L12" s="558"/>
    </row>
    <row r="13" spans="1:12" ht="14.25">
      <c r="A13" s="558"/>
      <c r="L13" s="558"/>
    </row>
    <row r="14" spans="1:12" ht="14.25">
      <c r="A14" s="558"/>
      <c r="B14" s="505" t="s">
        <v>665</v>
      </c>
      <c r="L14" s="558"/>
    </row>
    <row r="15" spans="1:12" ht="14.25">
      <c r="A15" s="558"/>
      <c r="L15" s="558"/>
    </row>
    <row r="16" spans="1:12" ht="14.25">
      <c r="A16" s="558"/>
      <c r="B16" s="511" t="s">
        <v>666</v>
      </c>
      <c r="L16" s="558"/>
    </row>
    <row r="17" spans="1:12" ht="14.25">
      <c r="A17" s="558"/>
      <c r="B17" s="511" t="s">
        <v>667</v>
      </c>
      <c r="L17" s="558"/>
    </row>
    <row r="18" spans="1:12" ht="14.25">
      <c r="A18" s="558"/>
      <c r="L18" s="558"/>
    </row>
    <row r="19" spans="1:12" ht="14.25">
      <c r="A19" s="558"/>
      <c r="B19" s="505" t="s">
        <v>808</v>
      </c>
      <c r="L19" s="558"/>
    </row>
    <row r="20" spans="1:12" ht="14.25">
      <c r="A20" s="558"/>
      <c r="B20" s="505"/>
      <c r="L20" s="558"/>
    </row>
    <row r="21" spans="1:12" ht="14.25">
      <c r="A21" s="558"/>
      <c r="B21" s="511" t="s">
        <v>809</v>
      </c>
      <c r="L21" s="558"/>
    </row>
    <row r="22" spans="1:12" ht="14.25">
      <c r="A22" s="558"/>
      <c r="L22" s="558"/>
    </row>
    <row r="23" spans="1:12" ht="14.25">
      <c r="A23" s="558"/>
      <c r="B23" s="511" t="s">
        <v>668</v>
      </c>
      <c r="E23" s="511" t="s">
        <v>669</v>
      </c>
      <c r="F23" s="871">
        <v>312000000</v>
      </c>
      <c r="G23" s="871"/>
      <c r="L23" s="558"/>
    </row>
    <row r="24" spans="1:12" ht="14.25">
      <c r="A24" s="558"/>
      <c r="L24" s="558"/>
    </row>
    <row r="25" spans="1:12" ht="14.25">
      <c r="A25" s="558"/>
      <c r="C25" s="882">
        <f>F23</f>
        <v>312000000</v>
      </c>
      <c r="D25" s="882"/>
      <c r="E25" s="511" t="s">
        <v>670</v>
      </c>
      <c r="F25" s="512">
        <v>1000</v>
      </c>
      <c r="G25" s="512" t="s">
        <v>669</v>
      </c>
      <c r="H25" s="576">
        <f>F23/F25</f>
        <v>312000</v>
      </c>
      <c r="L25" s="558"/>
    </row>
    <row r="26" spans="1:12" ht="15" thickBot="1">
      <c r="A26" s="558"/>
      <c r="L26" s="558"/>
    </row>
    <row r="27" spans="1:12" ht="14.25">
      <c r="A27" s="558"/>
      <c r="B27" s="506" t="s">
        <v>665</v>
      </c>
      <c r="C27" s="513"/>
      <c r="D27" s="513"/>
      <c r="E27" s="513"/>
      <c r="F27" s="513"/>
      <c r="G27" s="513"/>
      <c r="H27" s="513"/>
      <c r="I27" s="513"/>
      <c r="J27" s="513"/>
      <c r="K27" s="514"/>
      <c r="L27" s="558"/>
    </row>
    <row r="28" spans="1:12" ht="14.25">
      <c r="A28" s="558"/>
      <c r="B28" s="515">
        <f>F23</f>
        <v>312000000</v>
      </c>
      <c r="C28" s="516" t="s">
        <v>671</v>
      </c>
      <c r="D28" s="516"/>
      <c r="E28" s="516" t="s">
        <v>670</v>
      </c>
      <c r="F28" s="580">
        <v>1000</v>
      </c>
      <c r="G28" s="580" t="s">
        <v>669</v>
      </c>
      <c r="H28" s="517">
        <f>B28/F28</f>
        <v>312000</v>
      </c>
      <c r="I28" s="516" t="s">
        <v>672</v>
      </c>
      <c r="J28" s="516"/>
      <c r="K28" s="518"/>
      <c r="L28" s="558"/>
    </row>
    <row r="29" spans="1:12" ht="15" thickBot="1">
      <c r="A29" s="558"/>
      <c r="B29" s="519"/>
      <c r="C29" s="520"/>
      <c r="D29" s="520"/>
      <c r="E29" s="520"/>
      <c r="F29" s="520"/>
      <c r="G29" s="520"/>
      <c r="H29" s="520"/>
      <c r="I29" s="520"/>
      <c r="J29" s="520"/>
      <c r="K29" s="521"/>
      <c r="L29" s="558"/>
    </row>
    <row r="30" spans="1:12" ht="40.5" customHeight="1">
      <c r="A30" s="558"/>
      <c r="B30" s="876" t="s">
        <v>661</v>
      </c>
      <c r="C30" s="876"/>
      <c r="D30" s="876"/>
      <c r="E30" s="876"/>
      <c r="F30" s="876"/>
      <c r="G30" s="876"/>
      <c r="H30" s="876"/>
      <c r="I30" s="876"/>
      <c r="J30" s="876"/>
      <c r="K30" s="876"/>
      <c r="L30" s="558"/>
    </row>
    <row r="31" spans="1:12" ht="14.25">
      <c r="A31" s="558"/>
      <c r="B31" s="878" t="s">
        <v>673</v>
      </c>
      <c r="C31" s="878"/>
      <c r="D31" s="878"/>
      <c r="E31" s="878"/>
      <c r="F31" s="878"/>
      <c r="G31" s="878"/>
      <c r="H31" s="878"/>
      <c r="I31" s="878"/>
      <c r="J31" s="878"/>
      <c r="K31" s="878"/>
      <c r="L31" s="558"/>
    </row>
    <row r="32" spans="1:12" ht="14.25">
      <c r="A32" s="558"/>
      <c r="L32" s="558"/>
    </row>
    <row r="33" spans="1:12" ht="14.25">
      <c r="A33" s="558"/>
      <c r="B33" s="878" t="s">
        <v>674</v>
      </c>
      <c r="C33" s="878"/>
      <c r="D33" s="878"/>
      <c r="E33" s="878"/>
      <c r="F33" s="878"/>
      <c r="G33" s="878"/>
      <c r="H33" s="878"/>
      <c r="I33" s="878"/>
      <c r="J33" s="878"/>
      <c r="K33" s="878"/>
      <c r="L33" s="558"/>
    </row>
    <row r="34" spans="1:12" ht="14.25">
      <c r="A34" s="558"/>
      <c r="L34" s="558"/>
    </row>
    <row r="35" spans="1:12" ht="89.25" customHeight="1">
      <c r="A35" s="558"/>
      <c r="B35" s="873" t="s">
        <v>675</v>
      </c>
      <c r="C35" s="877"/>
      <c r="D35" s="877"/>
      <c r="E35" s="877"/>
      <c r="F35" s="877"/>
      <c r="G35" s="877"/>
      <c r="H35" s="877"/>
      <c r="I35" s="877"/>
      <c r="J35" s="877"/>
      <c r="K35" s="877"/>
      <c r="L35" s="558"/>
    </row>
    <row r="36" spans="1:12" ht="14.25">
      <c r="A36" s="558"/>
      <c r="L36" s="558"/>
    </row>
    <row r="37" spans="1:12" ht="14.25">
      <c r="A37" s="558"/>
      <c r="B37" s="505" t="s">
        <v>676</v>
      </c>
      <c r="L37" s="558"/>
    </row>
    <row r="38" spans="1:12" ht="14.25">
      <c r="A38" s="558"/>
      <c r="L38" s="558"/>
    </row>
    <row r="39" spans="1:12" ht="14.25">
      <c r="A39" s="558"/>
      <c r="B39" s="511" t="s">
        <v>709</v>
      </c>
      <c r="L39" s="558"/>
    </row>
    <row r="40" spans="1:12" ht="14.25">
      <c r="A40" s="558"/>
      <c r="L40" s="558"/>
    </row>
    <row r="41" spans="1:12" ht="14.25">
      <c r="A41" s="558"/>
      <c r="C41" s="883">
        <v>312000000</v>
      </c>
      <c r="D41" s="883"/>
      <c r="E41" s="511" t="s">
        <v>670</v>
      </c>
      <c r="F41" s="512">
        <v>1000</v>
      </c>
      <c r="G41" s="512" t="s">
        <v>669</v>
      </c>
      <c r="H41" s="522">
        <f>C41/F41</f>
        <v>312000</v>
      </c>
      <c r="L41" s="558"/>
    </row>
    <row r="42" spans="1:12" ht="14.25">
      <c r="A42" s="558"/>
      <c r="L42" s="558"/>
    </row>
    <row r="43" spans="1:12" ht="14.25">
      <c r="A43" s="558"/>
      <c r="B43" s="511" t="s">
        <v>710</v>
      </c>
      <c r="L43" s="558"/>
    </row>
    <row r="44" spans="1:12" ht="14.25">
      <c r="A44" s="558"/>
      <c r="L44" s="558"/>
    </row>
    <row r="45" spans="1:12" ht="14.25">
      <c r="A45" s="558"/>
      <c r="B45" s="511" t="s">
        <v>677</v>
      </c>
      <c r="L45" s="558"/>
    </row>
    <row r="46" spans="1:12" ht="15" thickBot="1">
      <c r="A46" s="558"/>
      <c r="L46" s="558"/>
    </row>
    <row r="47" spans="1:12" ht="14.25">
      <c r="A47" s="558"/>
      <c r="B47" s="523" t="s">
        <v>665</v>
      </c>
      <c r="C47" s="513"/>
      <c r="D47" s="513"/>
      <c r="E47" s="513"/>
      <c r="F47" s="513"/>
      <c r="G47" s="513"/>
      <c r="H47" s="513"/>
      <c r="I47" s="513"/>
      <c r="J47" s="513"/>
      <c r="K47" s="514"/>
      <c r="L47" s="558"/>
    </row>
    <row r="48" spans="1:12" ht="14.25">
      <c r="A48" s="558"/>
      <c r="B48" s="884">
        <v>312000000</v>
      </c>
      <c r="C48" s="871"/>
      <c r="D48" s="516" t="s">
        <v>678</v>
      </c>
      <c r="E48" s="516" t="s">
        <v>670</v>
      </c>
      <c r="F48" s="613">
        <v>1000</v>
      </c>
      <c r="G48" s="613" t="s">
        <v>669</v>
      </c>
      <c r="H48" s="517">
        <f>B48/F48</f>
        <v>312000</v>
      </c>
      <c r="I48" s="516" t="s">
        <v>679</v>
      </c>
      <c r="J48" s="516"/>
      <c r="K48" s="518"/>
      <c r="L48" s="558"/>
    </row>
    <row r="49" spans="1:12" ht="14.25">
      <c r="A49" s="558"/>
      <c r="B49" s="524"/>
      <c r="C49" s="516"/>
      <c r="D49" s="516"/>
      <c r="E49" s="516"/>
      <c r="F49" s="516"/>
      <c r="G49" s="516"/>
      <c r="H49" s="516"/>
      <c r="I49" s="516"/>
      <c r="J49" s="516"/>
      <c r="K49" s="518"/>
      <c r="L49" s="558"/>
    </row>
    <row r="50" spans="1:12" ht="14.25">
      <c r="A50" s="558"/>
      <c r="B50" s="525">
        <v>50000</v>
      </c>
      <c r="C50" s="516" t="s">
        <v>680</v>
      </c>
      <c r="D50" s="516"/>
      <c r="E50" s="516" t="s">
        <v>670</v>
      </c>
      <c r="F50" s="517">
        <f>H48</f>
        <v>312000</v>
      </c>
      <c r="G50" s="885" t="s">
        <v>681</v>
      </c>
      <c r="H50" s="886"/>
      <c r="I50" s="613" t="s">
        <v>669</v>
      </c>
      <c r="J50" s="526">
        <f>B50/F50</f>
        <v>0.16025641025641027</v>
      </c>
      <c r="K50" s="518"/>
      <c r="L50" s="558"/>
    </row>
    <row r="51" spans="1:15" ht="15" thickBot="1">
      <c r="A51" s="558"/>
      <c r="B51" s="519"/>
      <c r="C51" s="520"/>
      <c r="D51" s="520"/>
      <c r="E51" s="520"/>
      <c r="F51" s="520"/>
      <c r="G51" s="520"/>
      <c r="H51" s="520"/>
      <c r="I51" s="887" t="s">
        <v>682</v>
      </c>
      <c r="J51" s="887"/>
      <c r="K51" s="888"/>
      <c r="L51" s="558"/>
      <c r="O51" s="595"/>
    </row>
    <row r="52" spans="1:12" ht="40.5" customHeight="1">
      <c r="A52" s="558"/>
      <c r="B52" s="876" t="s">
        <v>661</v>
      </c>
      <c r="C52" s="876"/>
      <c r="D52" s="876"/>
      <c r="E52" s="876"/>
      <c r="F52" s="876"/>
      <c r="G52" s="876"/>
      <c r="H52" s="876"/>
      <c r="I52" s="876"/>
      <c r="J52" s="876"/>
      <c r="K52" s="876"/>
      <c r="L52" s="558"/>
    </row>
    <row r="53" spans="1:12" ht="14.25">
      <c r="A53" s="558"/>
      <c r="B53" s="878" t="s">
        <v>683</v>
      </c>
      <c r="C53" s="878"/>
      <c r="D53" s="878"/>
      <c r="E53" s="878"/>
      <c r="F53" s="878"/>
      <c r="G53" s="878"/>
      <c r="H53" s="878"/>
      <c r="I53" s="878"/>
      <c r="J53" s="878"/>
      <c r="K53" s="878"/>
      <c r="L53" s="558"/>
    </row>
    <row r="54" spans="1:12" ht="14.25">
      <c r="A54" s="558"/>
      <c r="B54" s="575"/>
      <c r="C54" s="575"/>
      <c r="D54" s="575"/>
      <c r="E54" s="575"/>
      <c r="F54" s="575"/>
      <c r="G54" s="575"/>
      <c r="H54" s="575"/>
      <c r="I54" s="575"/>
      <c r="J54" s="575"/>
      <c r="K54" s="575"/>
      <c r="L54" s="558"/>
    </row>
    <row r="55" spans="1:12" ht="14.25">
      <c r="A55" s="558"/>
      <c r="B55" s="869" t="s">
        <v>684</v>
      </c>
      <c r="C55" s="869"/>
      <c r="D55" s="869"/>
      <c r="E55" s="869"/>
      <c r="F55" s="869"/>
      <c r="G55" s="869"/>
      <c r="H55" s="869"/>
      <c r="I55" s="869"/>
      <c r="J55" s="869"/>
      <c r="K55" s="869"/>
      <c r="L55" s="558"/>
    </row>
    <row r="56" spans="1:12" ht="15" customHeight="1">
      <c r="A56" s="558"/>
      <c r="L56" s="558"/>
    </row>
    <row r="57" spans="1:24" ht="74.25" customHeight="1">
      <c r="A57" s="558"/>
      <c r="B57" s="873" t="s">
        <v>685</v>
      </c>
      <c r="C57" s="877"/>
      <c r="D57" s="877"/>
      <c r="E57" s="877"/>
      <c r="F57" s="877"/>
      <c r="G57" s="877"/>
      <c r="H57" s="877"/>
      <c r="I57" s="877"/>
      <c r="J57" s="877"/>
      <c r="K57" s="877"/>
      <c r="L57" s="558"/>
      <c r="M57" s="507"/>
      <c r="N57" s="527"/>
      <c r="O57" s="527"/>
      <c r="P57" s="527"/>
      <c r="Q57" s="527"/>
      <c r="R57" s="527"/>
      <c r="S57" s="527"/>
      <c r="T57" s="527"/>
      <c r="U57" s="527"/>
      <c r="V57" s="527"/>
      <c r="W57" s="527"/>
      <c r="X57" s="527"/>
    </row>
    <row r="58" spans="1:24" ht="15" customHeight="1">
      <c r="A58" s="558"/>
      <c r="B58" s="873"/>
      <c r="C58" s="877"/>
      <c r="D58" s="877"/>
      <c r="E58" s="877"/>
      <c r="F58" s="877"/>
      <c r="G58" s="877"/>
      <c r="H58" s="877"/>
      <c r="I58" s="877"/>
      <c r="J58" s="877"/>
      <c r="K58" s="877"/>
      <c r="L58" s="558"/>
      <c r="M58" s="507"/>
      <c r="N58" s="527"/>
      <c r="O58" s="527"/>
      <c r="P58" s="527"/>
      <c r="Q58" s="527"/>
      <c r="R58" s="527"/>
      <c r="S58" s="527"/>
      <c r="T58" s="527"/>
      <c r="U58" s="527"/>
      <c r="V58" s="527"/>
      <c r="W58" s="527"/>
      <c r="X58" s="527"/>
    </row>
    <row r="59" spans="1:24" ht="14.25">
      <c r="A59" s="558"/>
      <c r="B59" s="505" t="s">
        <v>676</v>
      </c>
      <c r="L59" s="558"/>
      <c r="M59" s="527"/>
      <c r="N59" s="527"/>
      <c r="O59" s="527"/>
      <c r="P59" s="527"/>
      <c r="Q59" s="527"/>
      <c r="R59" s="527"/>
      <c r="S59" s="527"/>
      <c r="T59" s="527"/>
      <c r="U59" s="527"/>
      <c r="V59" s="527"/>
      <c r="W59" s="527"/>
      <c r="X59" s="527"/>
    </row>
    <row r="60" spans="1:24" ht="14.25">
      <c r="A60" s="558"/>
      <c r="L60" s="558"/>
      <c r="M60" s="527"/>
      <c r="N60" s="527"/>
      <c r="O60" s="527"/>
      <c r="P60" s="527"/>
      <c r="Q60" s="527"/>
      <c r="R60" s="527"/>
      <c r="S60" s="527"/>
      <c r="T60" s="527"/>
      <c r="U60" s="527"/>
      <c r="V60" s="527"/>
      <c r="W60" s="527"/>
      <c r="X60" s="527"/>
    </row>
    <row r="61" spans="1:24" ht="14.25">
      <c r="A61" s="558"/>
      <c r="B61" s="511" t="s">
        <v>711</v>
      </c>
      <c r="L61" s="558"/>
      <c r="M61" s="527"/>
      <c r="N61" s="527"/>
      <c r="O61" s="527"/>
      <c r="P61" s="527"/>
      <c r="Q61" s="527"/>
      <c r="R61" s="527"/>
      <c r="S61" s="527"/>
      <c r="T61" s="527"/>
      <c r="U61" s="527"/>
      <c r="V61" s="527"/>
      <c r="W61" s="527"/>
      <c r="X61" s="527"/>
    </row>
    <row r="62" spans="1:24" ht="14.25">
      <c r="A62" s="558"/>
      <c r="B62" s="511" t="s">
        <v>810</v>
      </c>
      <c r="L62" s="558"/>
      <c r="M62" s="527"/>
      <c r="N62" s="527"/>
      <c r="O62" s="527"/>
      <c r="P62" s="527"/>
      <c r="Q62" s="527"/>
      <c r="R62" s="527"/>
      <c r="S62" s="527"/>
      <c r="T62" s="527"/>
      <c r="U62" s="527"/>
      <c r="V62" s="527"/>
      <c r="W62" s="527"/>
      <c r="X62" s="527"/>
    </row>
    <row r="63" spans="1:24" ht="14.25">
      <c r="A63" s="558"/>
      <c r="B63" s="511" t="s">
        <v>811</v>
      </c>
      <c r="L63" s="558"/>
      <c r="M63" s="527"/>
      <c r="N63" s="527"/>
      <c r="O63" s="527"/>
      <c r="P63" s="527"/>
      <c r="Q63" s="527"/>
      <c r="R63" s="527"/>
      <c r="S63" s="527"/>
      <c r="T63" s="527"/>
      <c r="U63" s="527"/>
      <c r="V63" s="527"/>
      <c r="W63" s="527"/>
      <c r="X63" s="527"/>
    </row>
    <row r="64" spans="1:24" ht="14.25">
      <c r="A64" s="558"/>
      <c r="L64" s="558"/>
      <c r="M64" s="527"/>
      <c r="N64" s="527"/>
      <c r="O64" s="527"/>
      <c r="P64" s="527"/>
      <c r="Q64" s="527"/>
      <c r="R64" s="527"/>
      <c r="S64" s="527"/>
      <c r="T64" s="527"/>
      <c r="U64" s="527"/>
      <c r="V64" s="527"/>
      <c r="W64" s="527"/>
      <c r="X64" s="527"/>
    </row>
    <row r="65" spans="1:24" ht="14.25">
      <c r="A65" s="558"/>
      <c r="B65" s="511" t="s">
        <v>712</v>
      </c>
      <c r="L65" s="558"/>
      <c r="M65" s="527"/>
      <c r="N65" s="527"/>
      <c r="O65" s="527"/>
      <c r="P65" s="527"/>
      <c r="Q65" s="527"/>
      <c r="R65" s="527"/>
      <c r="S65" s="527"/>
      <c r="T65" s="527"/>
      <c r="U65" s="527"/>
      <c r="V65" s="527"/>
      <c r="W65" s="527"/>
      <c r="X65" s="527"/>
    </row>
    <row r="66" spans="1:24" ht="14.25">
      <c r="A66" s="558"/>
      <c r="B66" s="511" t="s">
        <v>686</v>
      </c>
      <c r="L66" s="558"/>
      <c r="M66" s="527"/>
      <c r="N66" s="527"/>
      <c r="O66" s="527"/>
      <c r="P66" s="527"/>
      <c r="Q66" s="527"/>
      <c r="R66" s="527"/>
      <c r="S66" s="527"/>
      <c r="T66" s="527"/>
      <c r="U66" s="527"/>
      <c r="V66" s="527"/>
      <c r="W66" s="527"/>
      <c r="X66" s="527"/>
    </row>
    <row r="67" spans="1:24" ht="14.25">
      <c r="A67" s="558"/>
      <c r="L67" s="558"/>
      <c r="M67" s="527"/>
      <c r="N67" s="527"/>
      <c r="O67" s="527"/>
      <c r="P67" s="527"/>
      <c r="Q67" s="527"/>
      <c r="R67" s="527"/>
      <c r="S67" s="527"/>
      <c r="T67" s="527"/>
      <c r="U67" s="527"/>
      <c r="V67" s="527"/>
      <c r="W67" s="527"/>
      <c r="X67" s="527"/>
    </row>
    <row r="68" spans="1:24" ht="14.25">
      <c r="A68" s="558"/>
      <c r="B68" s="511" t="s">
        <v>713</v>
      </c>
      <c r="L68" s="558"/>
      <c r="M68" s="508"/>
      <c r="N68" s="528"/>
      <c r="O68" s="528"/>
      <c r="P68" s="528"/>
      <c r="Q68" s="528"/>
      <c r="R68" s="528"/>
      <c r="S68" s="528"/>
      <c r="T68" s="528"/>
      <c r="U68" s="528"/>
      <c r="V68" s="528"/>
      <c r="W68" s="528"/>
      <c r="X68" s="527"/>
    </row>
    <row r="69" spans="1:24" ht="14.25">
      <c r="A69" s="558"/>
      <c r="B69" s="511" t="s">
        <v>812</v>
      </c>
      <c r="L69" s="558"/>
      <c r="M69" s="527"/>
      <c r="N69" s="527"/>
      <c r="O69" s="527"/>
      <c r="P69" s="527"/>
      <c r="Q69" s="527"/>
      <c r="R69" s="527"/>
      <c r="S69" s="527"/>
      <c r="T69" s="527"/>
      <c r="U69" s="527"/>
      <c r="V69" s="527"/>
      <c r="W69" s="527"/>
      <c r="X69" s="527"/>
    </row>
    <row r="70" spans="1:24" ht="14.25">
      <c r="A70" s="558"/>
      <c r="B70" s="511" t="s">
        <v>813</v>
      </c>
      <c r="L70" s="558"/>
      <c r="M70" s="527"/>
      <c r="N70" s="527"/>
      <c r="O70" s="527"/>
      <c r="P70" s="527"/>
      <c r="Q70" s="527"/>
      <c r="R70" s="527"/>
      <c r="S70" s="527"/>
      <c r="T70" s="527"/>
      <c r="U70" s="527"/>
      <c r="V70" s="527"/>
      <c r="W70" s="527"/>
      <c r="X70" s="527"/>
    </row>
    <row r="71" spans="1:12" ht="15" thickBot="1">
      <c r="A71" s="558"/>
      <c r="B71" s="516"/>
      <c r="C71" s="516"/>
      <c r="D71" s="516"/>
      <c r="E71" s="516"/>
      <c r="F71" s="516"/>
      <c r="G71" s="516"/>
      <c r="H71" s="516"/>
      <c r="I71" s="516"/>
      <c r="J71" s="516"/>
      <c r="K71" s="516"/>
      <c r="L71" s="558"/>
    </row>
    <row r="72" spans="1:12" ht="14.25">
      <c r="A72" s="558"/>
      <c r="B72" s="506" t="s">
        <v>665</v>
      </c>
      <c r="C72" s="513"/>
      <c r="D72" s="513"/>
      <c r="E72" s="513"/>
      <c r="F72" s="513"/>
      <c r="G72" s="513"/>
      <c r="H72" s="513"/>
      <c r="I72" s="513"/>
      <c r="J72" s="513"/>
      <c r="K72" s="514"/>
      <c r="L72" s="560"/>
    </row>
    <row r="73" spans="1:12" ht="14.25">
      <c r="A73" s="558"/>
      <c r="B73" s="524"/>
      <c r="C73" s="516" t="s">
        <v>671</v>
      </c>
      <c r="D73" s="516"/>
      <c r="E73" s="516"/>
      <c r="F73" s="516"/>
      <c r="G73" s="516"/>
      <c r="H73" s="516"/>
      <c r="I73" s="516"/>
      <c r="J73" s="516"/>
      <c r="K73" s="518"/>
      <c r="L73" s="560"/>
    </row>
    <row r="74" spans="1:12" ht="14.25">
      <c r="A74" s="558"/>
      <c r="B74" s="524" t="s">
        <v>687</v>
      </c>
      <c r="C74" s="871">
        <v>312000000</v>
      </c>
      <c r="D74" s="871"/>
      <c r="E74" s="580" t="s">
        <v>670</v>
      </c>
      <c r="F74" s="580">
        <v>1000</v>
      </c>
      <c r="G74" s="580" t="s">
        <v>669</v>
      </c>
      <c r="H74" s="581">
        <f>C74/F74</f>
        <v>312000</v>
      </c>
      <c r="I74" s="516" t="s">
        <v>688</v>
      </c>
      <c r="J74" s="516"/>
      <c r="K74" s="518"/>
      <c r="L74" s="560"/>
    </row>
    <row r="75" spans="1:12" ht="14.25">
      <c r="A75" s="558"/>
      <c r="B75" s="524"/>
      <c r="C75" s="516"/>
      <c r="D75" s="516"/>
      <c r="E75" s="580"/>
      <c r="F75" s="516"/>
      <c r="G75" s="516"/>
      <c r="H75" s="516"/>
      <c r="I75" s="516"/>
      <c r="J75" s="516"/>
      <c r="K75" s="518"/>
      <c r="L75" s="560"/>
    </row>
    <row r="76" spans="1:12" ht="14.25">
      <c r="A76" s="558"/>
      <c r="B76" s="524"/>
      <c r="C76" s="516" t="s">
        <v>689</v>
      </c>
      <c r="D76" s="516"/>
      <c r="E76" s="580"/>
      <c r="F76" s="516" t="s">
        <v>688</v>
      </c>
      <c r="G76" s="516"/>
      <c r="H76" s="516"/>
      <c r="I76" s="516"/>
      <c r="J76" s="516"/>
      <c r="K76" s="518"/>
      <c r="L76" s="560"/>
    </row>
    <row r="77" spans="1:12" ht="14.25">
      <c r="A77" s="558"/>
      <c r="B77" s="524" t="s">
        <v>692</v>
      </c>
      <c r="C77" s="871">
        <v>50000</v>
      </c>
      <c r="D77" s="871"/>
      <c r="E77" s="580" t="s">
        <v>670</v>
      </c>
      <c r="F77" s="581">
        <f>H74</f>
        <v>312000</v>
      </c>
      <c r="G77" s="580" t="s">
        <v>669</v>
      </c>
      <c r="H77" s="526">
        <f>C77/F77</f>
        <v>0.16025641025641027</v>
      </c>
      <c r="I77" s="516" t="s">
        <v>690</v>
      </c>
      <c r="J77" s="516"/>
      <c r="K77" s="518"/>
      <c r="L77" s="560"/>
    </row>
    <row r="78" spans="1:12" ht="14.25">
      <c r="A78" s="558"/>
      <c r="B78" s="524"/>
      <c r="C78" s="516"/>
      <c r="D78" s="516"/>
      <c r="E78" s="580"/>
      <c r="F78" s="516"/>
      <c r="G78" s="516"/>
      <c r="H78" s="516"/>
      <c r="I78" s="516"/>
      <c r="J78" s="516"/>
      <c r="K78" s="518"/>
      <c r="L78" s="560"/>
    </row>
    <row r="79" spans="1:12" ht="14.25">
      <c r="A79" s="558"/>
      <c r="B79" s="529"/>
      <c r="C79" s="530" t="s">
        <v>691</v>
      </c>
      <c r="D79" s="530"/>
      <c r="E79" s="582"/>
      <c r="F79" s="530"/>
      <c r="G79" s="530"/>
      <c r="H79" s="530"/>
      <c r="I79" s="530"/>
      <c r="J79" s="530"/>
      <c r="K79" s="531"/>
      <c r="L79" s="560"/>
    </row>
    <row r="80" spans="1:12" ht="14.25">
      <c r="A80" s="558"/>
      <c r="B80" s="524" t="s">
        <v>769</v>
      </c>
      <c r="C80" s="871">
        <v>100000</v>
      </c>
      <c r="D80" s="871"/>
      <c r="E80" s="580" t="s">
        <v>150</v>
      </c>
      <c r="F80" s="580">
        <v>0.115</v>
      </c>
      <c r="G80" s="580" t="s">
        <v>669</v>
      </c>
      <c r="H80" s="581">
        <f>C80*F80</f>
        <v>11500</v>
      </c>
      <c r="I80" s="516" t="s">
        <v>693</v>
      </c>
      <c r="J80" s="516"/>
      <c r="K80" s="518"/>
      <c r="L80" s="560"/>
    </row>
    <row r="81" spans="1:12" ht="14.25">
      <c r="A81" s="558"/>
      <c r="B81" s="524"/>
      <c r="C81" s="516"/>
      <c r="D81" s="516"/>
      <c r="E81" s="580"/>
      <c r="F81" s="516"/>
      <c r="G81" s="516"/>
      <c r="H81" s="516"/>
      <c r="I81" s="516"/>
      <c r="J81" s="516"/>
      <c r="K81" s="518"/>
      <c r="L81" s="560"/>
    </row>
    <row r="82" spans="1:12" ht="14.25">
      <c r="A82" s="558"/>
      <c r="B82" s="529"/>
      <c r="C82" s="530" t="s">
        <v>694</v>
      </c>
      <c r="D82" s="530"/>
      <c r="E82" s="582"/>
      <c r="F82" s="530" t="s">
        <v>690</v>
      </c>
      <c r="G82" s="530"/>
      <c r="H82" s="530"/>
      <c r="I82" s="530"/>
      <c r="J82" s="530" t="s">
        <v>695</v>
      </c>
      <c r="K82" s="531"/>
      <c r="L82" s="560"/>
    </row>
    <row r="83" spans="1:12" ht="14.25">
      <c r="A83" s="558"/>
      <c r="B83" s="524" t="s">
        <v>770</v>
      </c>
      <c r="C83" s="872">
        <f>H80</f>
        <v>11500</v>
      </c>
      <c r="D83" s="872"/>
      <c r="E83" s="580" t="s">
        <v>150</v>
      </c>
      <c r="F83" s="526">
        <f>H77</f>
        <v>0.16025641025641027</v>
      </c>
      <c r="G83" s="580" t="s">
        <v>670</v>
      </c>
      <c r="H83" s="580">
        <v>1000</v>
      </c>
      <c r="I83" s="580" t="s">
        <v>669</v>
      </c>
      <c r="J83" s="532">
        <f>C83*F83/H83</f>
        <v>1.842948717948718</v>
      </c>
      <c r="K83" s="518"/>
      <c r="L83" s="560"/>
    </row>
    <row r="84" spans="1:12" ht="15" thickBot="1">
      <c r="A84" s="558"/>
      <c r="B84" s="519"/>
      <c r="C84" s="533"/>
      <c r="D84" s="533"/>
      <c r="E84" s="534"/>
      <c r="F84" s="535"/>
      <c r="G84" s="534"/>
      <c r="H84" s="534"/>
      <c r="I84" s="534"/>
      <c r="J84" s="536"/>
      <c r="K84" s="521"/>
      <c r="L84" s="560"/>
    </row>
    <row r="85" spans="1:12" ht="40.5" customHeight="1">
      <c r="A85" s="558"/>
      <c r="B85" s="876" t="s">
        <v>661</v>
      </c>
      <c r="C85" s="876"/>
      <c r="D85" s="876"/>
      <c r="E85" s="876"/>
      <c r="F85" s="876"/>
      <c r="G85" s="876"/>
      <c r="H85" s="876"/>
      <c r="I85" s="876"/>
      <c r="J85" s="876"/>
      <c r="K85" s="876"/>
      <c r="L85" s="558"/>
    </row>
    <row r="86" spans="1:12" ht="14.25">
      <c r="A86" s="558"/>
      <c r="B86" s="869" t="s">
        <v>696</v>
      </c>
      <c r="C86" s="869"/>
      <c r="D86" s="869"/>
      <c r="E86" s="869"/>
      <c r="F86" s="869"/>
      <c r="G86" s="869"/>
      <c r="H86" s="869"/>
      <c r="I86" s="869"/>
      <c r="J86" s="869"/>
      <c r="K86" s="869"/>
      <c r="L86" s="558"/>
    </row>
    <row r="87" spans="1:12" ht="14.25">
      <c r="A87" s="558"/>
      <c r="B87" s="537"/>
      <c r="C87" s="537"/>
      <c r="D87" s="537"/>
      <c r="E87" s="537"/>
      <c r="F87" s="537"/>
      <c r="G87" s="537"/>
      <c r="H87" s="537"/>
      <c r="I87" s="537"/>
      <c r="J87" s="537"/>
      <c r="K87" s="537"/>
      <c r="L87" s="558"/>
    </row>
    <row r="88" spans="1:12" ht="14.25">
      <c r="A88" s="558"/>
      <c r="B88" s="869" t="s">
        <v>697</v>
      </c>
      <c r="C88" s="869"/>
      <c r="D88" s="869"/>
      <c r="E88" s="869"/>
      <c r="F88" s="869"/>
      <c r="G88" s="869"/>
      <c r="H88" s="869"/>
      <c r="I88" s="869"/>
      <c r="J88" s="869"/>
      <c r="K88" s="869"/>
      <c r="L88" s="558"/>
    </row>
    <row r="89" spans="1:12" ht="14.25">
      <c r="A89" s="558"/>
      <c r="B89" s="574"/>
      <c r="C89" s="574"/>
      <c r="D89" s="574"/>
      <c r="E89" s="574"/>
      <c r="F89" s="574"/>
      <c r="G89" s="574"/>
      <c r="H89" s="574"/>
      <c r="I89" s="574"/>
      <c r="J89" s="574"/>
      <c r="K89" s="574"/>
      <c r="L89" s="558"/>
    </row>
    <row r="90" spans="1:12" ht="45" customHeight="1">
      <c r="A90" s="558"/>
      <c r="B90" s="873" t="s">
        <v>698</v>
      </c>
      <c r="C90" s="873"/>
      <c r="D90" s="873"/>
      <c r="E90" s="873"/>
      <c r="F90" s="873"/>
      <c r="G90" s="873"/>
      <c r="H90" s="873"/>
      <c r="I90" s="873"/>
      <c r="J90" s="873"/>
      <c r="K90" s="873"/>
      <c r="L90" s="558"/>
    </row>
    <row r="91" spans="1:12" ht="15" customHeight="1" thickBot="1">
      <c r="A91" s="558"/>
      <c r="L91" s="558"/>
    </row>
    <row r="92" spans="1:12" ht="15" customHeight="1">
      <c r="A92" s="558"/>
      <c r="B92" s="509" t="s">
        <v>665</v>
      </c>
      <c r="C92" s="538"/>
      <c r="D92" s="538"/>
      <c r="E92" s="538"/>
      <c r="F92" s="538"/>
      <c r="G92" s="538"/>
      <c r="H92" s="538"/>
      <c r="I92" s="538"/>
      <c r="J92" s="538"/>
      <c r="K92" s="539"/>
      <c r="L92" s="558"/>
    </row>
    <row r="93" spans="1:12" ht="15" customHeight="1">
      <c r="A93" s="558"/>
      <c r="B93" s="540"/>
      <c r="C93" s="578" t="s">
        <v>671</v>
      </c>
      <c r="D93" s="578"/>
      <c r="E93" s="578"/>
      <c r="F93" s="578"/>
      <c r="G93" s="578"/>
      <c r="H93" s="578"/>
      <c r="I93" s="578"/>
      <c r="J93" s="578"/>
      <c r="K93" s="541"/>
      <c r="L93" s="558"/>
    </row>
    <row r="94" spans="1:12" ht="15" customHeight="1">
      <c r="A94" s="558"/>
      <c r="B94" s="540" t="s">
        <v>687</v>
      </c>
      <c r="C94" s="871">
        <v>312000000</v>
      </c>
      <c r="D94" s="871"/>
      <c r="E94" s="580" t="s">
        <v>670</v>
      </c>
      <c r="F94" s="580">
        <v>1000</v>
      </c>
      <c r="G94" s="580" t="s">
        <v>669</v>
      </c>
      <c r="H94" s="581">
        <f>C94/F94</f>
        <v>312000</v>
      </c>
      <c r="I94" s="578" t="s">
        <v>688</v>
      </c>
      <c r="J94" s="578"/>
      <c r="K94" s="541"/>
      <c r="L94" s="558"/>
    </row>
    <row r="95" spans="1:12" ht="15" customHeight="1">
      <c r="A95" s="558"/>
      <c r="B95" s="540"/>
      <c r="C95" s="578"/>
      <c r="D95" s="578"/>
      <c r="E95" s="580"/>
      <c r="F95" s="578"/>
      <c r="G95" s="578"/>
      <c r="H95" s="578"/>
      <c r="I95" s="578"/>
      <c r="J95" s="578"/>
      <c r="K95" s="541"/>
      <c r="L95" s="558"/>
    </row>
    <row r="96" spans="1:12" ht="15" customHeight="1">
      <c r="A96" s="558"/>
      <c r="B96" s="540"/>
      <c r="C96" s="578" t="s">
        <v>689</v>
      </c>
      <c r="D96" s="578"/>
      <c r="E96" s="580"/>
      <c r="F96" s="578" t="s">
        <v>688</v>
      </c>
      <c r="G96" s="578"/>
      <c r="H96" s="578"/>
      <c r="I96" s="578"/>
      <c r="J96" s="578"/>
      <c r="K96" s="541"/>
      <c r="L96" s="558"/>
    </row>
    <row r="97" spans="1:12" ht="15" customHeight="1">
      <c r="A97" s="558"/>
      <c r="B97" s="540" t="s">
        <v>692</v>
      </c>
      <c r="C97" s="871">
        <v>50000</v>
      </c>
      <c r="D97" s="871"/>
      <c r="E97" s="580" t="s">
        <v>670</v>
      </c>
      <c r="F97" s="581">
        <f>H94</f>
        <v>312000</v>
      </c>
      <c r="G97" s="580" t="s">
        <v>669</v>
      </c>
      <c r="H97" s="526">
        <f>C97/F97</f>
        <v>0.16025641025641027</v>
      </c>
      <c r="I97" s="578" t="s">
        <v>690</v>
      </c>
      <c r="J97" s="578"/>
      <c r="K97" s="541"/>
      <c r="L97" s="558"/>
    </row>
    <row r="98" spans="1:12" ht="15" customHeight="1">
      <c r="A98" s="558"/>
      <c r="B98" s="540"/>
      <c r="C98" s="578"/>
      <c r="D98" s="578"/>
      <c r="E98" s="580"/>
      <c r="F98" s="578"/>
      <c r="G98" s="578"/>
      <c r="H98" s="578"/>
      <c r="I98" s="578"/>
      <c r="J98" s="578"/>
      <c r="K98" s="541"/>
      <c r="L98" s="558"/>
    </row>
    <row r="99" spans="1:12" ht="15" customHeight="1">
      <c r="A99" s="558"/>
      <c r="B99" s="542"/>
      <c r="C99" s="543" t="s">
        <v>699</v>
      </c>
      <c r="D99" s="543"/>
      <c r="E99" s="582"/>
      <c r="F99" s="543"/>
      <c r="G99" s="543"/>
      <c r="H99" s="543"/>
      <c r="I99" s="543"/>
      <c r="J99" s="543"/>
      <c r="K99" s="544"/>
      <c r="L99" s="558"/>
    </row>
    <row r="100" spans="1:12" ht="15" customHeight="1">
      <c r="A100" s="558"/>
      <c r="B100" s="540" t="s">
        <v>769</v>
      </c>
      <c r="C100" s="871">
        <v>2500000</v>
      </c>
      <c r="D100" s="871"/>
      <c r="E100" s="580" t="s">
        <v>150</v>
      </c>
      <c r="F100" s="545">
        <v>0.3</v>
      </c>
      <c r="G100" s="580" t="s">
        <v>669</v>
      </c>
      <c r="H100" s="581">
        <f>C100*F100</f>
        <v>750000</v>
      </c>
      <c r="I100" s="578" t="s">
        <v>693</v>
      </c>
      <c r="J100" s="578"/>
      <c r="K100" s="541"/>
      <c r="L100" s="558"/>
    </row>
    <row r="101" spans="1:12" ht="15" customHeight="1">
      <c r="A101" s="558"/>
      <c r="B101" s="540"/>
      <c r="C101" s="578"/>
      <c r="D101" s="578"/>
      <c r="E101" s="580"/>
      <c r="F101" s="578"/>
      <c r="G101" s="578"/>
      <c r="H101" s="578"/>
      <c r="I101" s="578"/>
      <c r="J101" s="578"/>
      <c r="K101" s="541"/>
      <c r="L101" s="558"/>
    </row>
    <row r="102" spans="1:12" ht="15" customHeight="1">
      <c r="A102" s="558"/>
      <c r="B102" s="542"/>
      <c r="C102" s="543" t="s">
        <v>694</v>
      </c>
      <c r="D102" s="543"/>
      <c r="E102" s="582"/>
      <c r="F102" s="543" t="s">
        <v>690</v>
      </c>
      <c r="G102" s="543"/>
      <c r="H102" s="543"/>
      <c r="I102" s="543"/>
      <c r="J102" s="543" t="s">
        <v>695</v>
      </c>
      <c r="K102" s="544"/>
      <c r="L102" s="558"/>
    </row>
    <row r="103" spans="1:12" ht="15" customHeight="1">
      <c r="A103" s="558"/>
      <c r="B103" s="540" t="s">
        <v>770</v>
      </c>
      <c r="C103" s="872">
        <f>H100</f>
        <v>750000</v>
      </c>
      <c r="D103" s="872"/>
      <c r="E103" s="580" t="s">
        <v>150</v>
      </c>
      <c r="F103" s="526">
        <f>H97</f>
        <v>0.16025641025641027</v>
      </c>
      <c r="G103" s="580" t="s">
        <v>670</v>
      </c>
      <c r="H103" s="580">
        <v>1000</v>
      </c>
      <c r="I103" s="580" t="s">
        <v>669</v>
      </c>
      <c r="J103" s="532">
        <f>C103*F103/H103</f>
        <v>120.19230769230771</v>
      </c>
      <c r="K103" s="541"/>
      <c r="L103" s="558"/>
    </row>
    <row r="104" spans="1:12" ht="15" customHeight="1" thickBot="1">
      <c r="A104" s="558"/>
      <c r="B104" s="546"/>
      <c r="C104" s="533"/>
      <c r="D104" s="533"/>
      <c r="E104" s="534"/>
      <c r="F104" s="535"/>
      <c r="G104" s="534"/>
      <c r="H104" s="534"/>
      <c r="I104" s="534"/>
      <c r="J104" s="536"/>
      <c r="K104" s="579"/>
      <c r="L104" s="558"/>
    </row>
    <row r="105" spans="1:12" ht="40.5" customHeight="1">
      <c r="A105" s="558"/>
      <c r="B105" s="876" t="s">
        <v>661</v>
      </c>
      <c r="C105" s="892"/>
      <c r="D105" s="892"/>
      <c r="E105" s="892"/>
      <c r="F105" s="892"/>
      <c r="G105" s="892"/>
      <c r="H105" s="892"/>
      <c r="I105" s="892"/>
      <c r="J105" s="892"/>
      <c r="K105" s="892"/>
      <c r="L105" s="558"/>
    </row>
    <row r="106" spans="1:12" ht="15" customHeight="1">
      <c r="A106" s="558"/>
      <c r="B106" s="874" t="s">
        <v>700</v>
      </c>
      <c r="C106" s="879"/>
      <c r="D106" s="879"/>
      <c r="E106" s="879"/>
      <c r="F106" s="879"/>
      <c r="G106" s="879"/>
      <c r="H106" s="879"/>
      <c r="I106" s="879"/>
      <c r="J106" s="879"/>
      <c r="K106" s="879"/>
      <c r="L106" s="558"/>
    </row>
    <row r="107" spans="1:12" ht="15" customHeight="1">
      <c r="A107" s="558"/>
      <c r="B107" s="578"/>
      <c r="C107" s="547"/>
      <c r="D107" s="547"/>
      <c r="E107" s="580"/>
      <c r="F107" s="526"/>
      <c r="G107" s="580"/>
      <c r="H107" s="580"/>
      <c r="I107" s="580"/>
      <c r="J107" s="532"/>
      <c r="K107" s="578"/>
      <c r="L107" s="558"/>
    </row>
    <row r="108" spans="1:12" ht="15" customHeight="1">
      <c r="A108" s="558"/>
      <c r="B108" s="874" t="s">
        <v>701</v>
      </c>
      <c r="C108" s="875"/>
      <c r="D108" s="875"/>
      <c r="E108" s="875"/>
      <c r="F108" s="875"/>
      <c r="G108" s="875"/>
      <c r="H108" s="875"/>
      <c r="I108" s="875"/>
      <c r="J108" s="875"/>
      <c r="K108" s="875"/>
      <c r="L108" s="558"/>
    </row>
    <row r="109" spans="1:12" ht="15" customHeight="1">
      <c r="A109" s="558"/>
      <c r="B109" s="578"/>
      <c r="C109" s="547"/>
      <c r="D109" s="547"/>
      <c r="E109" s="580"/>
      <c r="F109" s="526"/>
      <c r="G109" s="580"/>
      <c r="H109" s="580"/>
      <c r="I109" s="580"/>
      <c r="J109" s="532"/>
      <c r="K109" s="578"/>
      <c r="L109" s="558"/>
    </row>
    <row r="110" spans="1:12" ht="59.25" customHeight="1">
      <c r="A110" s="558"/>
      <c r="B110" s="899" t="s">
        <v>702</v>
      </c>
      <c r="C110" s="877"/>
      <c r="D110" s="877"/>
      <c r="E110" s="877"/>
      <c r="F110" s="877"/>
      <c r="G110" s="877"/>
      <c r="H110" s="877"/>
      <c r="I110" s="877"/>
      <c r="J110" s="877"/>
      <c r="K110" s="877"/>
      <c r="L110" s="558"/>
    </row>
    <row r="111" spans="1:12" ht="15" thickBot="1">
      <c r="A111" s="558"/>
      <c r="B111" s="575"/>
      <c r="C111" s="575"/>
      <c r="D111" s="575"/>
      <c r="E111" s="575"/>
      <c r="F111" s="575"/>
      <c r="G111" s="575"/>
      <c r="H111" s="575"/>
      <c r="I111" s="575"/>
      <c r="J111" s="575"/>
      <c r="K111" s="575"/>
      <c r="L111" s="561"/>
    </row>
    <row r="112" spans="1:12" ht="14.25">
      <c r="A112" s="558"/>
      <c r="B112" s="506" t="s">
        <v>665</v>
      </c>
      <c r="C112" s="513"/>
      <c r="D112" s="513"/>
      <c r="E112" s="513"/>
      <c r="F112" s="513"/>
      <c r="G112" s="513"/>
      <c r="H112" s="513"/>
      <c r="I112" s="513"/>
      <c r="J112" s="513"/>
      <c r="K112" s="514"/>
      <c r="L112" s="558"/>
    </row>
    <row r="113" spans="1:12" ht="14.25">
      <c r="A113" s="558"/>
      <c r="B113" s="524"/>
      <c r="C113" s="516" t="s">
        <v>671</v>
      </c>
      <c r="D113" s="516"/>
      <c r="E113" s="516"/>
      <c r="F113" s="516"/>
      <c r="G113" s="516"/>
      <c r="H113" s="516"/>
      <c r="I113" s="516"/>
      <c r="J113" s="516"/>
      <c r="K113" s="518"/>
      <c r="L113" s="558"/>
    </row>
    <row r="114" spans="1:12" ht="14.25">
      <c r="A114" s="558"/>
      <c r="B114" s="524" t="s">
        <v>687</v>
      </c>
      <c r="C114" s="871">
        <v>312000000</v>
      </c>
      <c r="D114" s="871"/>
      <c r="E114" s="580" t="s">
        <v>670</v>
      </c>
      <c r="F114" s="580">
        <v>1000</v>
      </c>
      <c r="G114" s="580" t="s">
        <v>669</v>
      </c>
      <c r="H114" s="581">
        <f>C114/F114</f>
        <v>312000</v>
      </c>
      <c r="I114" s="516" t="s">
        <v>688</v>
      </c>
      <c r="J114" s="516"/>
      <c r="K114" s="518"/>
      <c r="L114" s="558"/>
    </row>
    <row r="115" spans="1:12" ht="14.25">
      <c r="A115" s="558"/>
      <c r="B115" s="524"/>
      <c r="C115" s="516"/>
      <c r="D115" s="516"/>
      <c r="E115" s="580"/>
      <c r="F115" s="516"/>
      <c r="G115" s="516"/>
      <c r="H115" s="516"/>
      <c r="I115" s="516"/>
      <c r="J115" s="516"/>
      <c r="K115" s="518"/>
      <c r="L115" s="558"/>
    </row>
    <row r="116" spans="1:12" ht="14.25">
      <c r="A116" s="558"/>
      <c r="B116" s="524"/>
      <c r="C116" s="516" t="s">
        <v>689</v>
      </c>
      <c r="D116" s="516"/>
      <c r="E116" s="580"/>
      <c r="F116" s="516" t="s">
        <v>688</v>
      </c>
      <c r="G116" s="516"/>
      <c r="H116" s="516"/>
      <c r="I116" s="516"/>
      <c r="J116" s="516"/>
      <c r="K116" s="518"/>
      <c r="L116" s="558"/>
    </row>
    <row r="117" spans="1:12" ht="14.25">
      <c r="A117" s="558"/>
      <c r="B117" s="524" t="s">
        <v>692</v>
      </c>
      <c r="C117" s="871">
        <v>50000</v>
      </c>
      <c r="D117" s="871"/>
      <c r="E117" s="580" t="s">
        <v>670</v>
      </c>
      <c r="F117" s="581">
        <f>H114</f>
        <v>312000</v>
      </c>
      <c r="G117" s="580" t="s">
        <v>669</v>
      </c>
      <c r="H117" s="526">
        <f>C117/F117</f>
        <v>0.16025641025641027</v>
      </c>
      <c r="I117" s="516" t="s">
        <v>690</v>
      </c>
      <c r="J117" s="516"/>
      <c r="K117" s="518"/>
      <c r="L117" s="558"/>
    </row>
    <row r="118" spans="1:12" ht="14.25">
      <c r="A118" s="558"/>
      <c r="B118" s="524"/>
      <c r="C118" s="516"/>
      <c r="D118" s="516"/>
      <c r="E118" s="580"/>
      <c r="F118" s="516"/>
      <c r="G118" s="516"/>
      <c r="H118" s="516"/>
      <c r="I118" s="516"/>
      <c r="J118" s="516"/>
      <c r="K118" s="518"/>
      <c r="L118" s="558"/>
    </row>
    <row r="119" spans="1:12" ht="14.25">
      <c r="A119" s="558"/>
      <c r="B119" s="529"/>
      <c r="C119" s="530" t="s">
        <v>699</v>
      </c>
      <c r="D119" s="530"/>
      <c r="E119" s="582"/>
      <c r="F119" s="530"/>
      <c r="G119" s="530"/>
      <c r="H119" s="530"/>
      <c r="I119" s="530"/>
      <c r="J119" s="530"/>
      <c r="K119" s="531"/>
      <c r="L119" s="558"/>
    </row>
    <row r="120" spans="1:12" ht="14.25">
      <c r="A120" s="558"/>
      <c r="B120" s="524" t="s">
        <v>769</v>
      </c>
      <c r="C120" s="871">
        <v>2500000</v>
      </c>
      <c r="D120" s="871"/>
      <c r="E120" s="580" t="s">
        <v>150</v>
      </c>
      <c r="F120" s="545">
        <v>0.25</v>
      </c>
      <c r="G120" s="580" t="s">
        <v>669</v>
      </c>
      <c r="H120" s="581">
        <f>C120*F120</f>
        <v>625000</v>
      </c>
      <c r="I120" s="516" t="s">
        <v>693</v>
      </c>
      <c r="J120" s="516"/>
      <c r="K120" s="518"/>
      <c r="L120" s="558"/>
    </row>
    <row r="121" spans="1:12" ht="14.25">
      <c r="A121" s="558"/>
      <c r="B121" s="524"/>
      <c r="C121" s="516"/>
      <c r="D121" s="516"/>
      <c r="E121" s="580"/>
      <c r="F121" s="516"/>
      <c r="G121" s="516"/>
      <c r="H121" s="516"/>
      <c r="I121" s="516"/>
      <c r="J121" s="516"/>
      <c r="K121" s="518"/>
      <c r="L121" s="558"/>
    </row>
    <row r="122" spans="1:12" ht="14.25">
      <c r="A122" s="558"/>
      <c r="B122" s="529"/>
      <c r="C122" s="530" t="s">
        <v>694</v>
      </c>
      <c r="D122" s="530"/>
      <c r="E122" s="582"/>
      <c r="F122" s="530" t="s">
        <v>690</v>
      </c>
      <c r="G122" s="530"/>
      <c r="H122" s="530"/>
      <c r="I122" s="530"/>
      <c r="J122" s="530" t="s">
        <v>695</v>
      </c>
      <c r="K122" s="531"/>
      <c r="L122" s="558"/>
    </row>
    <row r="123" spans="1:12" ht="14.25">
      <c r="A123" s="558"/>
      <c r="B123" s="524" t="s">
        <v>770</v>
      </c>
      <c r="C123" s="872">
        <f>H120</f>
        <v>625000</v>
      </c>
      <c r="D123" s="872"/>
      <c r="E123" s="580" t="s">
        <v>150</v>
      </c>
      <c r="F123" s="526">
        <f>H117</f>
        <v>0.16025641025641027</v>
      </c>
      <c r="G123" s="580" t="s">
        <v>670</v>
      </c>
      <c r="H123" s="580">
        <v>1000</v>
      </c>
      <c r="I123" s="580" t="s">
        <v>669</v>
      </c>
      <c r="J123" s="532">
        <f>C123*F123/H123</f>
        <v>100.16025641025642</v>
      </c>
      <c r="K123" s="518"/>
      <c r="L123" s="558"/>
    </row>
    <row r="124" spans="1:12" ht="15" thickBot="1">
      <c r="A124" s="558"/>
      <c r="B124" s="519"/>
      <c r="C124" s="533"/>
      <c r="D124" s="533"/>
      <c r="E124" s="534"/>
      <c r="F124" s="535"/>
      <c r="G124" s="534"/>
      <c r="H124" s="534"/>
      <c r="I124" s="534"/>
      <c r="J124" s="536"/>
      <c r="K124" s="521"/>
      <c r="L124" s="558"/>
    </row>
    <row r="125" spans="1:12" ht="40.5" customHeight="1">
      <c r="A125" s="558"/>
      <c r="B125" s="876" t="s">
        <v>661</v>
      </c>
      <c r="C125" s="876"/>
      <c r="D125" s="876"/>
      <c r="E125" s="876"/>
      <c r="F125" s="876"/>
      <c r="G125" s="876"/>
      <c r="H125" s="876"/>
      <c r="I125" s="876"/>
      <c r="J125" s="876"/>
      <c r="K125" s="876"/>
      <c r="L125" s="561"/>
    </row>
    <row r="126" spans="1:12" ht="14.25">
      <c r="A126" s="558"/>
      <c r="B126" s="869" t="s">
        <v>703</v>
      </c>
      <c r="C126" s="869"/>
      <c r="D126" s="869"/>
      <c r="E126" s="869"/>
      <c r="F126" s="869"/>
      <c r="G126" s="869"/>
      <c r="H126" s="869"/>
      <c r="I126" s="869"/>
      <c r="J126" s="869"/>
      <c r="K126" s="869"/>
      <c r="L126" s="561"/>
    </row>
    <row r="127" spans="1:12" ht="14.25">
      <c r="A127" s="558"/>
      <c r="B127" s="575"/>
      <c r="C127" s="575"/>
      <c r="D127" s="575"/>
      <c r="E127" s="575"/>
      <c r="F127" s="575"/>
      <c r="G127" s="575"/>
      <c r="H127" s="575"/>
      <c r="I127" s="575"/>
      <c r="J127" s="575"/>
      <c r="K127" s="575"/>
      <c r="L127" s="561"/>
    </row>
    <row r="128" spans="1:12" ht="14.25">
      <c r="A128" s="558"/>
      <c r="B128" s="869" t="s">
        <v>704</v>
      </c>
      <c r="C128" s="869"/>
      <c r="D128" s="869"/>
      <c r="E128" s="869"/>
      <c r="F128" s="869"/>
      <c r="G128" s="869"/>
      <c r="H128" s="869"/>
      <c r="I128" s="869"/>
      <c r="J128" s="869"/>
      <c r="K128" s="869"/>
      <c r="L128" s="561"/>
    </row>
    <row r="129" spans="1:12" ht="14.25">
      <c r="A129" s="558"/>
      <c r="B129" s="574"/>
      <c r="C129" s="574"/>
      <c r="D129" s="574"/>
      <c r="E129" s="574"/>
      <c r="F129" s="574"/>
      <c r="G129" s="574"/>
      <c r="H129" s="574"/>
      <c r="I129" s="574"/>
      <c r="J129" s="574"/>
      <c r="K129" s="574"/>
      <c r="L129" s="561"/>
    </row>
    <row r="130" spans="1:12" ht="74.25" customHeight="1">
      <c r="A130" s="558"/>
      <c r="B130" s="873" t="s">
        <v>771</v>
      </c>
      <c r="C130" s="873"/>
      <c r="D130" s="873"/>
      <c r="E130" s="873"/>
      <c r="F130" s="873"/>
      <c r="G130" s="873"/>
      <c r="H130" s="873"/>
      <c r="I130" s="873"/>
      <c r="J130" s="873"/>
      <c r="K130" s="873"/>
      <c r="L130" s="561"/>
    </row>
    <row r="131" spans="1:12" ht="15" thickBot="1">
      <c r="A131" s="558"/>
      <c r="L131" s="558"/>
    </row>
    <row r="132" spans="1:12" ht="14.25">
      <c r="A132" s="558"/>
      <c r="B132" s="506" t="s">
        <v>665</v>
      </c>
      <c r="C132" s="513"/>
      <c r="D132" s="513"/>
      <c r="E132" s="513"/>
      <c r="F132" s="513"/>
      <c r="G132" s="513"/>
      <c r="H132" s="513"/>
      <c r="I132" s="513"/>
      <c r="J132" s="513"/>
      <c r="K132" s="514"/>
      <c r="L132" s="558"/>
    </row>
    <row r="133" spans="1:12" ht="14.25">
      <c r="A133" s="558"/>
      <c r="B133" s="524"/>
      <c r="C133" s="898" t="s">
        <v>705</v>
      </c>
      <c r="D133" s="898"/>
      <c r="E133" s="516"/>
      <c r="F133" s="580" t="s">
        <v>706</v>
      </c>
      <c r="G133" s="516"/>
      <c r="H133" s="898" t="s">
        <v>693</v>
      </c>
      <c r="I133" s="898"/>
      <c r="J133" s="516"/>
      <c r="K133" s="518"/>
      <c r="L133" s="558"/>
    </row>
    <row r="134" spans="1:12" ht="14.25">
      <c r="A134" s="558"/>
      <c r="B134" s="524" t="s">
        <v>687</v>
      </c>
      <c r="C134" s="871">
        <v>100000</v>
      </c>
      <c r="D134" s="871"/>
      <c r="E134" s="580" t="s">
        <v>150</v>
      </c>
      <c r="F134" s="580">
        <v>0.115</v>
      </c>
      <c r="G134" s="580" t="s">
        <v>669</v>
      </c>
      <c r="H134" s="889">
        <f>C134*F134</f>
        <v>11500</v>
      </c>
      <c r="I134" s="889"/>
      <c r="J134" s="516"/>
      <c r="K134" s="518"/>
      <c r="L134" s="558"/>
    </row>
    <row r="135" spans="1:12" ht="14.25">
      <c r="A135" s="558"/>
      <c r="B135" s="524"/>
      <c r="C135" s="516"/>
      <c r="D135" s="516"/>
      <c r="E135" s="516"/>
      <c r="F135" s="516"/>
      <c r="G135" s="516"/>
      <c r="H135" s="516"/>
      <c r="I135" s="516"/>
      <c r="J135" s="516"/>
      <c r="K135" s="518"/>
      <c r="L135" s="558"/>
    </row>
    <row r="136" spans="1:12" ht="14.25">
      <c r="A136" s="558"/>
      <c r="B136" s="529"/>
      <c r="C136" s="870" t="s">
        <v>693</v>
      </c>
      <c r="D136" s="870"/>
      <c r="E136" s="530"/>
      <c r="F136" s="582" t="s">
        <v>707</v>
      </c>
      <c r="G136" s="582"/>
      <c r="H136" s="530"/>
      <c r="I136" s="530"/>
      <c r="J136" s="530" t="s">
        <v>708</v>
      </c>
      <c r="K136" s="531"/>
      <c r="L136" s="558"/>
    </row>
    <row r="137" spans="1:12" ht="14.25">
      <c r="A137" s="558"/>
      <c r="B137" s="524" t="s">
        <v>692</v>
      </c>
      <c r="C137" s="889">
        <f>H134</f>
        <v>11500</v>
      </c>
      <c r="D137" s="889"/>
      <c r="E137" s="580" t="s">
        <v>150</v>
      </c>
      <c r="F137" s="548">
        <v>52.869</v>
      </c>
      <c r="G137" s="580" t="s">
        <v>670</v>
      </c>
      <c r="H137" s="580">
        <v>1000</v>
      </c>
      <c r="I137" s="580" t="s">
        <v>669</v>
      </c>
      <c r="J137" s="549">
        <f>C137*F137/H137</f>
        <v>607.9935</v>
      </c>
      <c r="K137" s="518"/>
      <c r="L137" s="558"/>
    </row>
    <row r="138" spans="1:12" ht="15" thickBot="1">
      <c r="A138" s="558"/>
      <c r="B138" s="519"/>
      <c r="C138" s="596"/>
      <c r="D138" s="596"/>
      <c r="E138" s="534"/>
      <c r="F138" s="597"/>
      <c r="G138" s="534"/>
      <c r="H138" s="534"/>
      <c r="I138" s="534"/>
      <c r="J138" s="598"/>
      <c r="K138" s="521"/>
      <c r="L138" s="558"/>
    </row>
    <row r="139" spans="1:12" ht="40.5" customHeight="1">
      <c r="A139" s="558"/>
      <c r="B139" s="583" t="s">
        <v>661</v>
      </c>
      <c r="C139" s="584"/>
      <c r="D139" s="584"/>
      <c r="E139" s="585"/>
      <c r="F139" s="586"/>
      <c r="G139" s="585"/>
      <c r="H139" s="585"/>
      <c r="I139" s="585"/>
      <c r="J139" s="587"/>
      <c r="K139" s="588"/>
      <c r="L139" s="558"/>
    </row>
    <row r="140" spans="1:12" ht="14.25">
      <c r="A140" s="558"/>
      <c r="B140" s="589" t="s">
        <v>772</v>
      </c>
      <c r="C140" s="590"/>
      <c r="D140" s="590"/>
      <c r="E140" s="591"/>
      <c r="F140" s="592"/>
      <c r="G140" s="591"/>
      <c r="H140" s="591"/>
      <c r="I140" s="591"/>
      <c r="J140" s="593"/>
      <c r="K140" s="594"/>
      <c r="L140" s="558"/>
    </row>
    <row r="141" spans="1:12" ht="14.25">
      <c r="A141" s="558"/>
      <c r="B141" s="524"/>
      <c r="C141" s="581"/>
      <c r="D141" s="581"/>
      <c r="E141" s="580"/>
      <c r="F141" s="599"/>
      <c r="G141" s="580"/>
      <c r="H141" s="580"/>
      <c r="I141" s="580"/>
      <c r="J141" s="549"/>
      <c r="K141" s="518"/>
      <c r="L141" s="558"/>
    </row>
    <row r="142" spans="1:12" ht="14.25">
      <c r="A142" s="558"/>
      <c r="B142" s="589" t="s">
        <v>773</v>
      </c>
      <c r="C142" s="590"/>
      <c r="D142" s="590"/>
      <c r="E142" s="591"/>
      <c r="F142" s="592"/>
      <c r="G142" s="591"/>
      <c r="H142" s="591"/>
      <c r="I142" s="591"/>
      <c r="J142" s="593"/>
      <c r="K142" s="594"/>
      <c r="L142" s="558"/>
    </row>
    <row r="143" spans="1:12" ht="14.25">
      <c r="A143" s="558"/>
      <c r="B143" s="524"/>
      <c r="C143" s="581"/>
      <c r="D143" s="581"/>
      <c r="E143" s="580"/>
      <c r="F143" s="599"/>
      <c r="G143" s="580"/>
      <c r="H143" s="580"/>
      <c r="I143" s="580"/>
      <c r="J143" s="549"/>
      <c r="K143" s="518"/>
      <c r="L143" s="558"/>
    </row>
    <row r="144" spans="1:12" ht="76.5" customHeight="1">
      <c r="A144" s="558"/>
      <c r="B144" s="893" t="s">
        <v>774</v>
      </c>
      <c r="C144" s="894"/>
      <c r="D144" s="894"/>
      <c r="E144" s="894"/>
      <c r="F144" s="894"/>
      <c r="G144" s="894"/>
      <c r="H144" s="894"/>
      <c r="I144" s="894"/>
      <c r="J144" s="894"/>
      <c r="K144" s="895"/>
      <c r="L144" s="558"/>
    </row>
    <row r="145" spans="1:12" ht="15" thickBot="1">
      <c r="A145" s="558"/>
      <c r="B145" s="524"/>
      <c r="C145" s="581"/>
      <c r="D145" s="581"/>
      <c r="E145" s="580"/>
      <c r="F145" s="599"/>
      <c r="G145" s="580"/>
      <c r="H145" s="580"/>
      <c r="I145" s="580"/>
      <c r="J145" s="549"/>
      <c r="K145" s="518"/>
      <c r="L145" s="558"/>
    </row>
    <row r="146" spans="1:12" ht="14.25">
      <c r="A146" s="558"/>
      <c r="B146" s="506" t="s">
        <v>665</v>
      </c>
      <c r="C146" s="600"/>
      <c r="D146" s="600"/>
      <c r="E146" s="601"/>
      <c r="F146" s="602"/>
      <c r="G146" s="601"/>
      <c r="H146" s="601"/>
      <c r="I146" s="601"/>
      <c r="J146" s="603"/>
      <c r="K146" s="514"/>
      <c r="L146" s="558"/>
    </row>
    <row r="147" spans="1:12" ht="14.25">
      <c r="A147" s="558"/>
      <c r="B147" s="524"/>
      <c r="C147" s="889" t="s">
        <v>775</v>
      </c>
      <c r="D147" s="889"/>
      <c r="E147" s="580"/>
      <c r="F147" s="599" t="s">
        <v>776</v>
      </c>
      <c r="G147" s="580"/>
      <c r="H147" s="580"/>
      <c r="I147" s="580"/>
      <c r="J147" s="890" t="s">
        <v>777</v>
      </c>
      <c r="K147" s="891"/>
      <c r="L147" s="558"/>
    </row>
    <row r="148" spans="1:12" ht="14.25">
      <c r="A148" s="558"/>
      <c r="B148" s="524"/>
      <c r="C148" s="896">
        <v>52.869</v>
      </c>
      <c r="D148" s="896"/>
      <c r="E148" s="580" t="s">
        <v>150</v>
      </c>
      <c r="F148" s="577">
        <v>312000000</v>
      </c>
      <c r="G148" s="604" t="s">
        <v>670</v>
      </c>
      <c r="H148" s="580">
        <v>1000</v>
      </c>
      <c r="I148" s="580" t="s">
        <v>669</v>
      </c>
      <c r="J148" s="890">
        <f>C148*(F148/1000)</f>
        <v>16495128</v>
      </c>
      <c r="K148" s="897"/>
      <c r="L148" s="558"/>
    </row>
    <row r="149" spans="1:12" ht="15" thickBot="1">
      <c r="A149" s="558"/>
      <c r="B149" s="519"/>
      <c r="C149" s="596"/>
      <c r="D149" s="596"/>
      <c r="E149" s="534"/>
      <c r="F149" s="597"/>
      <c r="G149" s="534"/>
      <c r="H149" s="534"/>
      <c r="I149" s="534"/>
      <c r="J149" s="598"/>
      <c r="K149" s="521"/>
      <c r="L149" s="558"/>
    </row>
    <row r="150" spans="1:12" ht="15" thickBot="1">
      <c r="A150" s="558"/>
      <c r="B150" s="519"/>
      <c r="C150" s="520"/>
      <c r="D150" s="520"/>
      <c r="E150" s="520"/>
      <c r="F150" s="520"/>
      <c r="G150" s="520"/>
      <c r="H150" s="520"/>
      <c r="I150" s="520"/>
      <c r="J150" s="520"/>
      <c r="K150" s="521"/>
      <c r="L150" s="558"/>
    </row>
    <row r="151" spans="1:12" ht="14.25">
      <c r="A151" s="558"/>
      <c r="B151" s="558"/>
      <c r="C151" s="558"/>
      <c r="D151" s="558"/>
      <c r="E151" s="558"/>
      <c r="F151" s="558"/>
      <c r="G151" s="558"/>
      <c r="H151" s="558"/>
      <c r="I151" s="558"/>
      <c r="J151" s="558"/>
      <c r="K151" s="558"/>
      <c r="L151" s="558"/>
    </row>
    <row r="152" spans="1:12" ht="14.25">
      <c r="A152" s="558"/>
      <c r="B152" s="558"/>
      <c r="C152" s="558"/>
      <c r="D152" s="558"/>
      <c r="E152" s="558"/>
      <c r="F152" s="558"/>
      <c r="G152" s="558"/>
      <c r="H152" s="558"/>
      <c r="I152" s="558"/>
      <c r="J152" s="558"/>
      <c r="K152" s="558"/>
      <c r="L152" s="558"/>
    </row>
    <row r="153" spans="1:12" ht="14.25">
      <c r="A153" s="558"/>
      <c r="B153" s="558"/>
      <c r="C153" s="558"/>
      <c r="D153" s="558"/>
      <c r="E153" s="558"/>
      <c r="F153" s="558"/>
      <c r="G153" s="558"/>
      <c r="H153" s="558"/>
      <c r="I153" s="558"/>
      <c r="J153" s="558"/>
      <c r="K153" s="558"/>
      <c r="L153" s="558"/>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6.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57" customWidth="1"/>
    <col min="2" max="16384" width="8.8984375" style="357" customWidth="1"/>
  </cols>
  <sheetData>
    <row r="1" ht="18.75">
      <c r="A1" s="358" t="s">
        <v>372</v>
      </c>
    </row>
    <row r="2" ht="18.75">
      <c r="A2" s="358"/>
    </row>
    <row r="3" ht="18.75">
      <c r="A3" s="358"/>
    </row>
    <row r="4" ht="51.75" customHeight="1">
      <c r="A4" s="557" t="s">
        <v>714</v>
      </c>
    </row>
    <row r="5" ht="18.75">
      <c r="A5" s="358"/>
    </row>
    <row r="6" ht="15.75">
      <c r="A6" s="359"/>
    </row>
    <row r="7" ht="47.25">
      <c r="A7" s="360" t="s">
        <v>373</v>
      </c>
    </row>
    <row r="8" ht="15.75">
      <c r="A8" s="359"/>
    </row>
    <row r="9" ht="15.75">
      <c r="A9" s="359"/>
    </row>
    <row r="10" ht="63">
      <c r="A10" s="360" t="s">
        <v>374</v>
      </c>
    </row>
    <row r="11" ht="15.75">
      <c r="A11" s="361"/>
    </row>
    <row r="12" ht="15.75">
      <c r="A12" s="359"/>
    </row>
    <row r="13" ht="47.25">
      <c r="A13" s="360" t="s">
        <v>375</v>
      </c>
    </row>
    <row r="14" ht="15.75">
      <c r="A14" s="361"/>
    </row>
    <row r="15" ht="15.75">
      <c r="A15" s="359"/>
    </row>
    <row r="16" ht="47.25">
      <c r="A16" s="360" t="s">
        <v>376</v>
      </c>
    </row>
    <row r="17" ht="15.75">
      <c r="A17" s="361"/>
    </row>
    <row r="18" ht="15.75">
      <c r="A18" s="361"/>
    </row>
    <row r="19" ht="47.25">
      <c r="A19" s="360" t="s">
        <v>377</v>
      </c>
    </row>
    <row r="20" ht="15.75">
      <c r="A20" s="361"/>
    </row>
    <row r="21" ht="15.75">
      <c r="A21" s="361"/>
    </row>
    <row r="22" ht="47.25">
      <c r="A22" s="360" t="s">
        <v>378</v>
      </c>
    </row>
    <row r="23" ht="15.75">
      <c r="A23" s="361"/>
    </row>
    <row r="24" ht="15.75">
      <c r="A24" s="361"/>
    </row>
    <row r="25" ht="31.5">
      <c r="A25" s="360" t="s">
        <v>379</v>
      </c>
    </row>
    <row r="26" ht="15.75">
      <c r="A26" s="359"/>
    </row>
    <row r="27" ht="15.75">
      <c r="A27" s="359"/>
    </row>
    <row r="28" ht="60">
      <c r="A28" s="362" t="s">
        <v>380</v>
      </c>
    </row>
    <row r="29" ht="15">
      <c r="A29" s="363"/>
    </row>
    <row r="30" ht="15">
      <c r="A30" s="363"/>
    </row>
    <row r="31" ht="47.25">
      <c r="A31" s="360" t="s">
        <v>381</v>
      </c>
    </row>
    <row r="32" ht="15.75">
      <c r="A32" s="359"/>
    </row>
    <row r="33" ht="15.75">
      <c r="A33" s="359"/>
    </row>
    <row r="34" ht="66.75" customHeight="1">
      <c r="A34" s="492" t="s">
        <v>715</v>
      </c>
    </row>
    <row r="35" ht="15.75">
      <c r="A35" s="359"/>
    </row>
    <row r="36" ht="15.75">
      <c r="A36" s="359"/>
    </row>
    <row r="37" ht="63">
      <c r="A37" s="364" t="s">
        <v>382</v>
      </c>
    </row>
    <row r="38" ht="15.75">
      <c r="A38" s="361"/>
    </row>
    <row r="39" ht="15.75">
      <c r="A39" s="359"/>
    </row>
    <row r="40" ht="63">
      <c r="A40" s="360" t="s">
        <v>383</v>
      </c>
    </row>
    <row r="41" ht="15.75">
      <c r="A41" s="361"/>
    </row>
    <row r="42" ht="15.75">
      <c r="A42" s="361"/>
    </row>
    <row r="43" ht="82.5" customHeight="1">
      <c r="A43" s="351" t="s">
        <v>716</v>
      </c>
    </row>
    <row r="44" ht="15.75">
      <c r="A44" s="361"/>
    </row>
    <row r="45" ht="15.75">
      <c r="A45" s="361"/>
    </row>
    <row r="46" ht="69" customHeight="1">
      <c r="A46" s="351" t="s">
        <v>717</v>
      </c>
    </row>
    <row r="47" ht="15.75">
      <c r="A47" s="361"/>
    </row>
    <row r="48" ht="15.75">
      <c r="A48" s="361"/>
    </row>
    <row r="49" ht="69" customHeight="1">
      <c r="A49" s="351" t="s">
        <v>718</v>
      </c>
    </row>
    <row r="50" ht="15.75" customHeight="1">
      <c r="A50" s="361"/>
    </row>
    <row r="51" ht="21.75" customHeight="1">
      <c r="A51" s="361"/>
    </row>
    <row r="52" ht="66" customHeight="1">
      <c r="A52" s="351" t="s">
        <v>935</v>
      </c>
    </row>
    <row r="53" ht="15.75">
      <c r="A53" s="361"/>
    </row>
    <row r="54" ht="15.75">
      <c r="A54" s="361"/>
    </row>
    <row r="55" ht="63">
      <c r="A55" s="360" t="s">
        <v>384</v>
      </c>
    </row>
    <row r="56" ht="15.75">
      <c r="A56" s="361"/>
    </row>
    <row r="57" ht="15.75">
      <c r="A57" s="361"/>
    </row>
    <row r="58" ht="63">
      <c r="A58" s="360" t="s">
        <v>385</v>
      </c>
    </row>
    <row r="59" ht="15.75">
      <c r="A59" s="361"/>
    </row>
    <row r="60" ht="15.75">
      <c r="A60" s="361"/>
    </row>
    <row r="61" ht="47.25">
      <c r="A61" s="360" t="s">
        <v>386</v>
      </c>
    </row>
    <row r="62" ht="15.75">
      <c r="A62" s="361"/>
    </row>
    <row r="63" ht="15.75">
      <c r="A63" s="361"/>
    </row>
    <row r="64" ht="47.25">
      <c r="A64" s="360" t="s">
        <v>387</v>
      </c>
    </row>
    <row r="65" ht="15.75">
      <c r="A65" s="361"/>
    </row>
    <row r="66" ht="15.75">
      <c r="A66" s="361"/>
    </row>
    <row r="67" ht="78.75">
      <c r="A67" s="360" t="s">
        <v>388</v>
      </c>
    </row>
    <row r="68" ht="15">
      <c r="A68" s="36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2" customWidth="1"/>
    <col min="2" max="16384" width="8.8984375" style="122" customWidth="1"/>
  </cols>
  <sheetData>
    <row r="1" ht="18.75">
      <c r="A1" s="350" t="s">
        <v>342</v>
      </c>
    </row>
    <row r="2" ht="15.75">
      <c r="A2" s="1"/>
    </row>
    <row r="3" ht="57" customHeight="1">
      <c r="A3" s="351" t="s">
        <v>343</v>
      </c>
    </row>
    <row r="4" ht="15.75">
      <c r="A4" s="349"/>
    </row>
    <row r="5" ht="15.75">
      <c r="A5" s="1"/>
    </row>
    <row r="6" ht="44.25" customHeight="1">
      <c r="A6" s="351" t="s">
        <v>344</v>
      </c>
    </row>
    <row r="7" ht="15.75">
      <c r="A7" s="1"/>
    </row>
    <row r="8" ht="15.75">
      <c r="A8" s="349"/>
    </row>
    <row r="9" ht="46.5" customHeight="1">
      <c r="A9" s="351" t="s">
        <v>345</v>
      </c>
    </row>
    <row r="10" ht="15.75">
      <c r="A10" s="1"/>
    </row>
    <row r="11" ht="15.75">
      <c r="A11" s="349"/>
    </row>
    <row r="12" ht="60" customHeight="1">
      <c r="A12" s="351" t="s">
        <v>346</v>
      </c>
    </row>
    <row r="13" ht="15.75">
      <c r="A13" s="1"/>
    </row>
    <row r="14" ht="15.75">
      <c r="A14" s="1"/>
    </row>
    <row r="15" ht="61.5" customHeight="1">
      <c r="A15" s="351" t="s">
        <v>347</v>
      </c>
    </row>
    <row r="16" ht="15.75">
      <c r="A16" s="1"/>
    </row>
    <row r="17" ht="15.75">
      <c r="A17" s="1"/>
    </row>
    <row r="18" ht="59.25" customHeight="1">
      <c r="A18" s="351" t="s">
        <v>348</v>
      </c>
    </row>
    <row r="19" ht="15.75">
      <c r="A19" s="1"/>
    </row>
    <row r="20" ht="15.75">
      <c r="A20" s="1"/>
    </row>
    <row r="21" ht="61.5" customHeight="1">
      <c r="A21" s="351" t="s">
        <v>349</v>
      </c>
    </row>
    <row r="22" ht="15.75">
      <c r="A22" s="349"/>
    </row>
    <row r="23" ht="15.75">
      <c r="A23" s="349"/>
    </row>
    <row r="24" ht="63" customHeight="1">
      <c r="A24" s="351" t="s">
        <v>350</v>
      </c>
    </row>
    <row r="25" ht="15.75">
      <c r="A25" s="1"/>
    </row>
    <row r="26" ht="15.75">
      <c r="A26" s="1"/>
    </row>
    <row r="27" ht="52.5" customHeight="1">
      <c r="A27" s="492" t="s">
        <v>658</v>
      </c>
    </row>
    <row r="28" ht="15.75">
      <c r="A28" s="1"/>
    </row>
    <row r="29" ht="15.75">
      <c r="A29" s="1"/>
    </row>
    <row r="30" ht="44.25" customHeight="1">
      <c r="A30" s="351" t="s">
        <v>351</v>
      </c>
    </row>
    <row r="31" ht="15.75">
      <c r="A31" s="1"/>
    </row>
    <row r="32" ht="15.75">
      <c r="A32" s="1"/>
    </row>
    <row r="33" ht="42.75" customHeight="1">
      <c r="A33" s="351" t="s">
        <v>352</v>
      </c>
    </row>
    <row r="34" ht="15.75">
      <c r="A34" s="349"/>
    </row>
    <row r="35" ht="15.75">
      <c r="A35" s="349"/>
    </row>
    <row r="36" ht="38.25" customHeight="1">
      <c r="A36" s="351" t="s">
        <v>353</v>
      </c>
    </row>
    <row r="37" ht="15.75">
      <c r="A37" s="349"/>
    </row>
    <row r="38" ht="15.75">
      <c r="A38" s="1"/>
    </row>
    <row r="39" ht="75.75" customHeight="1">
      <c r="A39" s="351" t="s">
        <v>354</v>
      </c>
    </row>
    <row r="40" ht="15.75">
      <c r="A40" s="1"/>
    </row>
    <row r="41" ht="15.75">
      <c r="A41" s="1"/>
    </row>
    <row r="42" ht="57.75" customHeight="1">
      <c r="A42" s="351" t="s">
        <v>355</v>
      </c>
    </row>
    <row r="43" ht="15.75">
      <c r="A43" s="349"/>
    </row>
    <row r="44" ht="15.75">
      <c r="A44" s="1"/>
    </row>
    <row r="45" ht="57.75" customHeight="1">
      <c r="A45" s="351" t="s">
        <v>356</v>
      </c>
    </row>
    <row r="46" ht="15.75">
      <c r="A46" s="1"/>
    </row>
    <row r="47" ht="15.75">
      <c r="A47" s="1"/>
    </row>
    <row r="48" ht="41.25" customHeight="1">
      <c r="A48" s="351" t="s">
        <v>357</v>
      </c>
    </row>
    <row r="49" ht="15.75">
      <c r="A49" s="1"/>
    </row>
    <row r="50" ht="15.75">
      <c r="A50" s="1"/>
    </row>
    <row r="51" ht="75" customHeight="1">
      <c r="A51" s="351" t="s">
        <v>358</v>
      </c>
    </row>
    <row r="52" ht="15.75">
      <c r="A52" s="349"/>
    </row>
    <row r="53" ht="15.75">
      <c r="A53" s="349"/>
    </row>
    <row r="54" ht="57.75" customHeight="1">
      <c r="A54" s="351" t="s">
        <v>359</v>
      </c>
    </row>
    <row r="55" ht="15.75">
      <c r="A55" s="1"/>
    </row>
    <row r="56" ht="15.75">
      <c r="A56" s="1"/>
    </row>
    <row r="57" ht="44.25" customHeight="1">
      <c r="A57" s="351" t="s">
        <v>360</v>
      </c>
    </row>
    <row r="58" ht="15.75">
      <c r="A58" s="1"/>
    </row>
    <row r="59" ht="15.75">
      <c r="A59" s="1"/>
    </row>
    <row r="60" ht="60" customHeight="1">
      <c r="A60" s="351" t="s">
        <v>361</v>
      </c>
    </row>
    <row r="61" ht="15.75">
      <c r="A61" s="349"/>
    </row>
    <row r="62" ht="15.75">
      <c r="A62" s="349"/>
    </row>
    <row r="63" ht="57.75" customHeight="1">
      <c r="A63" s="351" t="s">
        <v>362</v>
      </c>
    </row>
    <row r="64" ht="15.75">
      <c r="A64" s="1"/>
    </row>
    <row r="65" ht="15.75">
      <c r="A65" s="1"/>
    </row>
    <row r="66" ht="60" customHeight="1">
      <c r="A66" s="351" t="s">
        <v>363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50" customWidth="1"/>
    <col min="2" max="4" width="8.8984375" style="650" customWidth="1"/>
    <col min="5" max="5" width="9.69921875" style="650" customWidth="1"/>
    <col min="6" max="6" width="8.8984375" style="650" customWidth="1"/>
    <col min="7" max="7" width="9.69921875" style="650" customWidth="1"/>
    <col min="8" max="16384" width="8.8984375" style="650" customWidth="1"/>
  </cols>
  <sheetData>
    <row r="1" spans="2:9" ht="15.75">
      <c r="B1" s="649"/>
      <c r="C1" s="649"/>
      <c r="D1" s="649"/>
      <c r="E1" s="649"/>
      <c r="F1" s="649"/>
      <c r="G1" s="649"/>
      <c r="H1" s="649"/>
      <c r="I1" s="649"/>
    </row>
    <row r="2" spans="2:9" ht="15.75">
      <c r="B2" s="900" t="s">
        <v>823</v>
      </c>
      <c r="C2" s="900"/>
      <c r="D2" s="900"/>
      <c r="E2" s="900"/>
      <c r="F2" s="900"/>
      <c r="G2" s="900"/>
      <c r="H2" s="900"/>
      <c r="I2" s="900"/>
    </row>
    <row r="3" spans="2:9" ht="15.75">
      <c r="B3" s="900" t="s">
        <v>824</v>
      </c>
      <c r="C3" s="900"/>
      <c r="D3" s="900"/>
      <c r="E3" s="900"/>
      <c r="F3" s="900"/>
      <c r="G3" s="900"/>
      <c r="H3" s="900"/>
      <c r="I3" s="900"/>
    </row>
    <row r="4" spans="2:9" ht="15.75">
      <c r="B4" s="651"/>
      <c r="C4" s="651"/>
      <c r="D4" s="651"/>
      <c r="E4" s="651"/>
      <c r="F4" s="651"/>
      <c r="G4" s="651"/>
      <c r="H4" s="651"/>
      <c r="I4" s="651"/>
    </row>
    <row r="5" spans="2:9" ht="15.75">
      <c r="B5" s="901" t="str">
        <f>CONCATENATE("Budgeted Year: ",inputPrYr!C5,"")</f>
        <v>Budgeted Year: 2015</v>
      </c>
      <c r="C5" s="901"/>
      <c r="D5" s="901"/>
      <c r="E5" s="901"/>
      <c r="F5" s="901"/>
      <c r="G5" s="901"/>
      <c r="H5" s="901"/>
      <c r="I5" s="901"/>
    </row>
    <row r="6" spans="2:9" ht="15.75">
      <c r="B6" s="652"/>
      <c r="C6" s="651"/>
      <c r="D6" s="651"/>
      <c r="E6" s="651"/>
      <c r="F6" s="651"/>
      <c r="G6" s="651"/>
      <c r="H6" s="651"/>
      <c r="I6" s="651"/>
    </row>
    <row r="7" spans="2:9" ht="15.75">
      <c r="B7" s="652" t="str">
        <f>CONCATENATE("Library found in: ",inputPrYr!D2,"")</f>
        <v>Library found in: City of Fairview</v>
      </c>
      <c r="C7" s="651"/>
      <c r="D7" s="651"/>
      <c r="E7" s="651"/>
      <c r="F7" s="651"/>
      <c r="G7" s="651"/>
      <c r="H7" s="651"/>
      <c r="I7" s="651"/>
    </row>
    <row r="8" spans="2:9" ht="15.75">
      <c r="B8" s="652" t="str">
        <f>inputPrYr!D3</f>
        <v>Brown County</v>
      </c>
      <c r="C8" s="651"/>
      <c r="D8" s="651"/>
      <c r="E8" s="651"/>
      <c r="F8" s="651"/>
      <c r="G8" s="651"/>
      <c r="H8" s="651"/>
      <c r="I8" s="651"/>
    </row>
    <row r="9" spans="2:9" ht="15.75">
      <c r="B9" s="651"/>
      <c r="C9" s="651"/>
      <c r="D9" s="651"/>
      <c r="E9" s="651"/>
      <c r="F9" s="651"/>
      <c r="G9" s="651"/>
      <c r="H9" s="651"/>
      <c r="I9" s="651"/>
    </row>
    <row r="10" spans="2:9" ht="39" customHeight="1">
      <c r="B10" s="902" t="s">
        <v>825</v>
      </c>
      <c r="C10" s="902"/>
      <c r="D10" s="902"/>
      <c r="E10" s="902"/>
      <c r="F10" s="902"/>
      <c r="G10" s="902"/>
      <c r="H10" s="902"/>
      <c r="I10" s="902"/>
    </row>
    <row r="11" spans="2:9" ht="15.75">
      <c r="B11" s="651"/>
      <c r="C11" s="651"/>
      <c r="D11" s="651"/>
      <c r="E11" s="651"/>
      <c r="F11" s="651"/>
      <c r="G11" s="651"/>
      <c r="H11" s="651"/>
      <c r="I11" s="651"/>
    </row>
    <row r="12" spans="2:9" ht="15.75">
      <c r="B12" s="653" t="s">
        <v>826</v>
      </c>
      <c r="C12" s="651"/>
      <c r="D12" s="651"/>
      <c r="E12" s="651"/>
      <c r="F12" s="651"/>
      <c r="G12" s="651"/>
      <c r="H12" s="651"/>
      <c r="I12" s="651"/>
    </row>
    <row r="13" spans="2:9" ht="15.75">
      <c r="B13" s="651"/>
      <c r="C13" s="651"/>
      <c r="D13" s="651"/>
      <c r="E13" s="654" t="s">
        <v>827</v>
      </c>
      <c r="F13" s="651"/>
      <c r="G13" s="654" t="s">
        <v>828</v>
      </c>
      <c r="H13" s="651"/>
      <c r="I13" s="651"/>
    </row>
    <row r="14" spans="2:9" ht="15.75">
      <c r="B14" s="651"/>
      <c r="C14" s="651"/>
      <c r="D14" s="651"/>
      <c r="E14" s="655">
        <f>inputPrYr!C5-1</f>
        <v>2014</v>
      </c>
      <c r="F14" s="651"/>
      <c r="G14" s="655">
        <f>inputPrYr!C5</f>
        <v>2015</v>
      </c>
      <c r="H14" s="651"/>
      <c r="I14" s="651"/>
    </row>
    <row r="15" spans="2:9" ht="15.75">
      <c r="B15" s="652" t="str">
        <f>'DebtSvs-Library'!B48</f>
        <v>Ad Valorem Tax</v>
      </c>
      <c r="C15" s="651"/>
      <c r="D15" s="651"/>
      <c r="E15" s="656">
        <f>'DebtSvs-Library'!D48</f>
        <v>0</v>
      </c>
      <c r="F15" s="651"/>
      <c r="G15" s="656">
        <f>'DebtSvs-Library'!E80</f>
        <v>0</v>
      </c>
      <c r="H15" s="651"/>
      <c r="I15" s="651"/>
    </row>
    <row r="16" spans="2:9" ht="15.75">
      <c r="B16" s="652" t="str">
        <f>'DebtSvs-Library'!B49</f>
        <v>Delinquent Tax</v>
      </c>
      <c r="C16" s="651"/>
      <c r="D16" s="651"/>
      <c r="E16" s="656">
        <f>'DebtSvs-Library'!D49</f>
        <v>0</v>
      </c>
      <c r="F16" s="651"/>
      <c r="G16" s="656">
        <f>'DebtSvs-Library'!E49</f>
        <v>0</v>
      </c>
      <c r="H16" s="651"/>
      <c r="I16" s="651"/>
    </row>
    <row r="17" spans="2:9" ht="15.75">
      <c r="B17" s="652" t="str">
        <f>'DebtSvs-Library'!B50</f>
        <v>Motor Vehicle Tax</v>
      </c>
      <c r="C17" s="651"/>
      <c r="D17" s="651"/>
      <c r="E17" s="656">
        <f>'DebtSvs-Library'!D50</f>
        <v>0</v>
      </c>
      <c r="F17" s="651"/>
      <c r="G17" s="656" t="str">
        <f>'DebtSvs-Library'!E50</f>
        <v>  </v>
      </c>
      <c r="H17" s="651"/>
      <c r="I17" s="651"/>
    </row>
    <row r="18" spans="2:9" ht="15.75">
      <c r="B18" s="652" t="str">
        <f>'DebtSvs-Library'!B51</f>
        <v>Recreational Vehicle Tax</v>
      </c>
      <c r="C18" s="651"/>
      <c r="D18" s="651"/>
      <c r="E18" s="656">
        <f>'DebtSvs-Library'!D51</f>
        <v>0</v>
      </c>
      <c r="F18" s="651"/>
      <c r="G18" s="656" t="str">
        <f>'DebtSvs-Library'!E51</f>
        <v>  </v>
      </c>
      <c r="H18" s="651"/>
      <c r="I18" s="651"/>
    </row>
    <row r="19" spans="2:9" ht="15.75">
      <c r="B19" s="652" t="str">
        <f>'DebtSvs-Library'!B52</f>
        <v>16/20M Vehicle Tax</v>
      </c>
      <c r="C19" s="651"/>
      <c r="D19" s="651"/>
      <c r="E19" s="656">
        <f>'DebtSvs-Library'!D52</f>
        <v>0</v>
      </c>
      <c r="F19" s="651"/>
      <c r="G19" s="656" t="str">
        <f>'DebtSvs-Library'!E52</f>
        <v>  </v>
      </c>
      <c r="H19" s="651"/>
      <c r="I19" s="651"/>
    </row>
    <row r="20" spans="2:9" ht="15.75">
      <c r="B20" s="651" t="s">
        <v>118</v>
      </c>
      <c r="C20" s="651"/>
      <c r="D20" s="651"/>
      <c r="E20" s="656">
        <v>0</v>
      </c>
      <c r="F20" s="651"/>
      <c r="G20" s="656">
        <v>0</v>
      </c>
      <c r="H20" s="651"/>
      <c r="I20" s="651"/>
    </row>
    <row r="21" spans="2:9" ht="15.75">
      <c r="B21" s="651"/>
      <c r="C21" s="651"/>
      <c r="D21" s="651"/>
      <c r="E21" s="656">
        <v>0</v>
      </c>
      <c r="F21" s="651"/>
      <c r="G21" s="656">
        <v>0</v>
      </c>
      <c r="H21" s="651"/>
      <c r="I21" s="651"/>
    </row>
    <row r="22" spans="2:9" ht="15.75">
      <c r="B22" s="651" t="s">
        <v>829</v>
      </c>
      <c r="C22" s="651"/>
      <c r="D22" s="651"/>
      <c r="E22" s="657">
        <f>SUM(E15:E21)</f>
        <v>0</v>
      </c>
      <c r="F22" s="651"/>
      <c r="G22" s="657">
        <f>SUM(G15:G21)</f>
        <v>0</v>
      </c>
      <c r="H22" s="651"/>
      <c r="I22" s="651"/>
    </row>
    <row r="23" spans="2:9" ht="15.75">
      <c r="B23" s="651" t="s">
        <v>830</v>
      </c>
      <c r="C23" s="651"/>
      <c r="D23" s="651"/>
      <c r="E23" s="658">
        <f>G22-E22</f>
        <v>0</v>
      </c>
      <c r="F23" s="651"/>
      <c r="G23" s="659"/>
      <c r="H23" s="651"/>
      <c r="I23" s="651"/>
    </row>
    <row r="24" spans="2:9" ht="15.75">
      <c r="B24" s="651" t="s">
        <v>831</v>
      </c>
      <c r="C24" s="651"/>
      <c r="D24" s="660" t="str">
        <f>IF((G22-E22)&gt;0,"Qualify","Not Qualify")</f>
        <v>Not Qualify</v>
      </c>
      <c r="E24" s="651"/>
      <c r="F24" s="651"/>
      <c r="G24" s="651"/>
      <c r="H24" s="651"/>
      <c r="I24" s="651"/>
    </row>
    <row r="25" spans="2:9" ht="15.75">
      <c r="B25" s="651"/>
      <c r="C25" s="651"/>
      <c r="D25" s="651"/>
      <c r="E25" s="651"/>
      <c r="F25" s="651"/>
      <c r="G25" s="651"/>
      <c r="H25" s="651"/>
      <c r="I25" s="651"/>
    </row>
    <row r="26" spans="2:9" ht="15.75">
      <c r="B26" s="653" t="s">
        <v>832</v>
      </c>
      <c r="C26" s="651"/>
      <c r="D26" s="651"/>
      <c r="E26" s="651"/>
      <c r="F26" s="651"/>
      <c r="G26" s="651"/>
      <c r="H26" s="651"/>
      <c r="I26" s="651"/>
    </row>
    <row r="27" spans="2:9" ht="15.75">
      <c r="B27" s="651" t="s">
        <v>186</v>
      </c>
      <c r="C27" s="651"/>
      <c r="D27" s="651"/>
      <c r="E27" s="656">
        <f>summ!D25</f>
        <v>2157847</v>
      </c>
      <c r="F27" s="651"/>
      <c r="G27" s="656">
        <f>summ!F25</f>
        <v>2145654</v>
      </c>
      <c r="H27" s="651"/>
      <c r="I27" s="651"/>
    </row>
    <row r="28" spans="2:9" ht="15.75">
      <c r="B28" s="651" t="s">
        <v>833</v>
      </c>
      <c r="C28" s="651"/>
      <c r="D28" s="651"/>
      <c r="E28" s="661" t="str">
        <f>IF(G27-E27&gt;=0,"No","Yes")</f>
        <v>Yes</v>
      </c>
      <c r="F28" s="651"/>
      <c r="G28" s="651"/>
      <c r="H28" s="651"/>
      <c r="I28" s="651"/>
    </row>
    <row r="29" spans="2:9" ht="15.75">
      <c r="B29" s="651" t="s">
        <v>834</v>
      </c>
      <c r="C29" s="651"/>
      <c r="D29" s="651"/>
      <c r="E29" s="654" t="e">
        <f>summ!#REF!</f>
        <v>#REF!</v>
      </c>
      <c r="F29" s="651"/>
      <c r="G29" s="669" t="e">
        <f>summ!#REF!</f>
        <v>#REF!</v>
      </c>
      <c r="H29" s="651"/>
      <c r="I29" s="651"/>
    </row>
    <row r="30" spans="2:9" ht="15.75">
      <c r="B30" s="651" t="s">
        <v>835</v>
      </c>
      <c r="C30" s="651"/>
      <c r="D30" s="651"/>
      <c r="E30" s="670" t="e">
        <f>G29-E29</f>
        <v>#REF!</v>
      </c>
      <c r="F30" s="651"/>
      <c r="G30" s="651"/>
      <c r="H30" s="651"/>
      <c r="I30" s="651"/>
    </row>
    <row r="31" spans="2:9" ht="15.75">
      <c r="B31" s="651" t="s">
        <v>831</v>
      </c>
      <c r="C31" s="651"/>
      <c r="D31" s="662" t="e">
        <f>IF(E30&gt;=0,"Qualify","Not Qualify")</f>
        <v>#REF!</v>
      </c>
      <c r="E31" s="651"/>
      <c r="F31" s="651"/>
      <c r="G31" s="651"/>
      <c r="H31" s="651"/>
      <c r="I31" s="651"/>
    </row>
    <row r="32" spans="2:9" ht="15.75">
      <c r="B32" s="651"/>
      <c r="C32" s="651"/>
      <c r="D32" s="651"/>
      <c r="E32" s="651"/>
      <c r="F32" s="651"/>
      <c r="G32" s="651"/>
      <c r="H32" s="651"/>
      <c r="I32" s="651"/>
    </row>
    <row r="33" spans="2:9" ht="15.75">
      <c r="B33" s="651" t="s">
        <v>836</v>
      </c>
      <c r="C33" s="651"/>
      <c r="D33" s="651"/>
      <c r="E33" s="651"/>
      <c r="F33" s="671" t="e">
        <f>IF(D24="Not Qualify",IF(D31="Not Qualify",IF(D31="Not Qualify","Not Qualify","Qualify"),"Qualify"),"Qualify")</f>
        <v>#REF!</v>
      </c>
      <c r="G33" s="651"/>
      <c r="H33" s="651"/>
      <c r="I33" s="651"/>
    </row>
    <row r="34" spans="2:9" ht="15.75">
      <c r="B34" s="651"/>
      <c r="C34" s="651"/>
      <c r="D34" s="651"/>
      <c r="E34" s="651"/>
      <c r="F34" s="651"/>
      <c r="G34" s="651"/>
      <c r="H34" s="651"/>
      <c r="I34" s="651"/>
    </row>
    <row r="35" spans="2:9" ht="15.75">
      <c r="B35" s="651"/>
      <c r="C35" s="651"/>
      <c r="D35" s="651"/>
      <c r="E35" s="651"/>
      <c r="F35" s="651"/>
      <c r="G35" s="651"/>
      <c r="H35" s="651"/>
      <c r="I35" s="651"/>
    </row>
    <row r="36" spans="2:9" ht="37.5" customHeight="1">
      <c r="B36" s="902" t="s">
        <v>837</v>
      </c>
      <c r="C36" s="902"/>
      <c r="D36" s="902"/>
      <c r="E36" s="902"/>
      <c r="F36" s="902"/>
      <c r="G36" s="902"/>
      <c r="H36" s="902"/>
      <c r="I36" s="902"/>
    </row>
    <row r="37" spans="2:9" ht="15.75">
      <c r="B37" s="651"/>
      <c r="C37" s="651"/>
      <c r="D37" s="651"/>
      <c r="E37" s="651"/>
      <c r="F37" s="651"/>
      <c r="G37" s="651"/>
      <c r="H37" s="651"/>
      <c r="I37" s="651"/>
    </row>
    <row r="38" spans="2:9" ht="15.75">
      <c r="B38" s="651"/>
      <c r="C38" s="651"/>
      <c r="D38" s="651"/>
      <c r="E38" s="651"/>
      <c r="F38" s="651"/>
      <c r="G38" s="651"/>
      <c r="H38" s="651"/>
      <c r="I38" s="651"/>
    </row>
    <row r="39" spans="2:9" ht="15.75">
      <c r="B39" s="651"/>
      <c r="C39" s="651"/>
      <c r="D39" s="651"/>
      <c r="E39" s="651"/>
      <c r="F39" s="651"/>
      <c r="G39" s="651"/>
      <c r="H39" s="651"/>
      <c r="I39" s="651"/>
    </row>
    <row r="40" spans="2:9" ht="15.75">
      <c r="B40" s="651"/>
      <c r="C40" s="651"/>
      <c r="D40" s="651"/>
      <c r="E40" s="668" t="s">
        <v>192</v>
      </c>
      <c r="F40" s="667">
        <v>7</v>
      </c>
      <c r="G40" s="651"/>
      <c r="H40" s="651"/>
      <c r="I40" s="651"/>
    </row>
    <row r="41" spans="2:9" ht="15.75">
      <c r="B41" s="651"/>
      <c r="C41" s="651"/>
      <c r="D41" s="651"/>
      <c r="E41" s="651"/>
      <c r="F41" s="651"/>
      <c r="G41" s="651"/>
      <c r="H41" s="651"/>
      <c r="I41" s="651"/>
    </row>
    <row r="42" spans="2:9" ht="15.75">
      <c r="B42" s="651"/>
      <c r="C42" s="651"/>
      <c r="D42" s="651"/>
      <c r="E42" s="651"/>
      <c r="F42" s="651"/>
      <c r="G42" s="651"/>
      <c r="H42" s="651"/>
      <c r="I42" s="651"/>
    </row>
    <row r="43" spans="2:9" ht="15.75">
      <c r="B43" s="903" t="s">
        <v>838</v>
      </c>
      <c r="C43" s="904"/>
      <c r="D43" s="904"/>
      <c r="E43" s="904"/>
      <c r="F43" s="904"/>
      <c r="G43" s="904"/>
      <c r="H43" s="904"/>
      <c r="I43" s="904"/>
    </row>
    <row r="44" spans="2:9" ht="15.75">
      <c r="B44" s="651"/>
      <c r="C44" s="651"/>
      <c r="D44" s="651"/>
      <c r="E44" s="651"/>
      <c r="F44" s="651"/>
      <c r="G44" s="651"/>
      <c r="H44" s="651"/>
      <c r="I44" s="651"/>
    </row>
    <row r="45" spans="2:9" ht="15.75">
      <c r="B45" s="663" t="s">
        <v>839</v>
      </c>
      <c r="C45" s="651"/>
      <c r="D45" s="651"/>
      <c r="E45" s="651"/>
      <c r="F45" s="651"/>
      <c r="G45" s="651"/>
      <c r="H45" s="651"/>
      <c r="I45" s="651"/>
    </row>
    <row r="46" spans="2:9" ht="15.75">
      <c r="B46" s="663" t="str">
        <f>CONCATENATE("sources in your ",G14," library fund is not equal to or greater than the amount from the same")</f>
        <v>sources in your 2015 library fund is not equal to or greater than the amount from the same</v>
      </c>
      <c r="C46" s="651"/>
      <c r="D46" s="651"/>
      <c r="E46" s="651"/>
      <c r="F46" s="651"/>
      <c r="G46" s="651"/>
      <c r="H46" s="651"/>
      <c r="I46" s="651"/>
    </row>
    <row r="47" spans="2:9" ht="15.75">
      <c r="B47" s="663" t="str">
        <f>CONCATENATE("sources in ",E14,".")</f>
        <v>sources in 2014.</v>
      </c>
      <c r="C47" s="649"/>
      <c r="D47" s="649"/>
      <c r="E47" s="649"/>
      <c r="F47" s="649"/>
      <c r="G47" s="649"/>
      <c r="H47" s="649"/>
      <c r="I47" s="649"/>
    </row>
    <row r="48" spans="2:9" ht="15.75">
      <c r="B48" s="649"/>
      <c r="C48" s="649"/>
      <c r="D48" s="649"/>
      <c r="E48" s="649"/>
      <c r="F48" s="649"/>
      <c r="G48" s="649"/>
      <c r="H48" s="649"/>
      <c r="I48" s="649"/>
    </row>
    <row r="49" spans="2:9" ht="15.75">
      <c r="B49" s="663" t="s">
        <v>840</v>
      </c>
      <c r="C49" s="663"/>
      <c r="D49" s="664"/>
      <c r="E49" s="664"/>
      <c r="F49" s="664"/>
      <c r="G49" s="664"/>
      <c r="H49" s="664"/>
      <c r="I49" s="664"/>
    </row>
    <row r="50" spans="2:9" ht="15.75">
      <c r="B50" s="663" t="s">
        <v>841</v>
      </c>
      <c r="C50" s="663"/>
      <c r="D50" s="664"/>
      <c r="E50" s="664"/>
      <c r="F50" s="664"/>
      <c r="G50" s="664"/>
      <c r="H50" s="664"/>
      <c r="I50" s="664"/>
    </row>
    <row r="51" spans="2:9" ht="15.75">
      <c r="B51" s="663" t="s">
        <v>842</v>
      </c>
      <c r="C51" s="663"/>
      <c r="D51" s="664"/>
      <c r="E51" s="664"/>
      <c r="F51" s="664"/>
      <c r="G51" s="664"/>
      <c r="H51" s="664"/>
      <c r="I51" s="664"/>
    </row>
    <row r="52" spans="2:9" ht="15">
      <c r="B52" s="664"/>
      <c r="C52" s="664"/>
      <c r="D52" s="664"/>
      <c r="E52" s="664"/>
      <c r="F52" s="664"/>
      <c r="G52" s="664"/>
      <c r="H52" s="664"/>
      <c r="I52" s="664"/>
    </row>
    <row r="53" spans="2:9" ht="15.75">
      <c r="B53" s="665" t="s">
        <v>843</v>
      </c>
      <c r="C53" s="664"/>
      <c r="D53" s="664"/>
      <c r="E53" s="664"/>
      <c r="F53" s="664"/>
      <c r="G53" s="664"/>
      <c r="H53" s="664"/>
      <c r="I53" s="664"/>
    </row>
    <row r="54" spans="2:9" ht="15">
      <c r="B54" s="664"/>
      <c r="C54" s="664"/>
      <c r="D54" s="664"/>
      <c r="E54" s="664"/>
      <c r="F54" s="664"/>
      <c r="G54" s="664"/>
      <c r="H54" s="664"/>
      <c r="I54" s="664"/>
    </row>
    <row r="55" spans="2:9" ht="15.75">
      <c r="B55" s="663" t="s">
        <v>844</v>
      </c>
      <c r="C55" s="664"/>
      <c r="D55" s="664"/>
      <c r="E55" s="664"/>
      <c r="F55" s="664"/>
      <c r="G55" s="664"/>
      <c r="H55" s="664"/>
      <c r="I55" s="664"/>
    </row>
    <row r="56" spans="2:9" ht="15.75">
      <c r="B56" s="663" t="s">
        <v>845</v>
      </c>
      <c r="C56" s="664"/>
      <c r="D56" s="664"/>
      <c r="E56" s="664"/>
      <c r="F56" s="664"/>
      <c r="G56" s="664"/>
      <c r="H56" s="664"/>
      <c r="I56" s="664"/>
    </row>
    <row r="57" spans="2:9" ht="15">
      <c r="B57" s="664"/>
      <c r="C57" s="664"/>
      <c r="D57" s="664"/>
      <c r="E57" s="664"/>
      <c r="F57" s="664"/>
      <c r="G57" s="664"/>
      <c r="H57" s="664"/>
      <c r="I57" s="664"/>
    </row>
    <row r="58" spans="2:9" ht="15.75">
      <c r="B58" s="665" t="s">
        <v>846</v>
      </c>
      <c r="C58" s="663"/>
      <c r="D58" s="663"/>
      <c r="E58" s="663"/>
      <c r="F58" s="663"/>
      <c r="G58" s="664"/>
      <c r="H58" s="664"/>
      <c r="I58" s="664"/>
    </row>
    <row r="59" spans="2:9" ht="15.75">
      <c r="B59" s="663"/>
      <c r="C59" s="663"/>
      <c r="D59" s="663"/>
      <c r="E59" s="663"/>
      <c r="F59" s="663"/>
      <c r="G59" s="664"/>
      <c r="H59" s="664"/>
      <c r="I59" s="664"/>
    </row>
    <row r="60" spans="2:9" ht="15.75">
      <c r="B60" s="663" t="s">
        <v>847</v>
      </c>
      <c r="C60" s="663"/>
      <c r="D60" s="663"/>
      <c r="E60" s="663"/>
      <c r="F60" s="663"/>
      <c r="G60" s="664"/>
      <c r="H60" s="664"/>
      <c r="I60" s="664"/>
    </row>
    <row r="61" spans="2:9" ht="15.75">
      <c r="B61" s="663" t="s">
        <v>848</v>
      </c>
      <c r="C61" s="663"/>
      <c r="D61" s="663"/>
      <c r="E61" s="663"/>
      <c r="F61" s="663"/>
      <c r="G61" s="664"/>
      <c r="H61" s="664"/>
      <c r="I61" s="664"/>
    </row>
    <row r="62" spans="2:9" ht="15.75">
      <c r="B62" s="663" t="s">
        <v>849</v>
      </c>
      <c r="C62" s="663"/>
      <c r="D62" s="663"/>
      <c r="E62" s="663"/>
      <c r="F62" s="663"/>
      <c r="G62" s="664"/>
      <c r="H62" s="664"/>
      <c r="I62" s="664"/>
    </row>
    <row r="63" spans="2:9" ht="15.75">
      <c r="B63" s="663" t="s">
        <v>850</v>
      </c>
      <c r="C63" s="663"/>
      <c r="D63" s="663"/>
      <c r="E63" s="663"/>
      <c r="F63" s="663"/>
      <c r="G63" s="664"/>
      <c r="H63" s="664"/>
      <c r="I63" s="664"/>
    </row>
    <row r="64" spans="2:9" ht="15">
      <c r="B64" s="666"/>
      <c r="C64" s="666"/>
      <c r="D64" s="666"/>
      <c r="E64" s="666"/>
      <c r="F64" s="666"/>
      <c r="G64" s="664"/>
      <c r="H64" s="664"/>
      <c r="I64" s="664"/>
    </row>
    <row r="65" spans="2:9" ht="15.75">
      <c r="B65" s="663" t="s">
        <v>851</v>
      </c>
      <c r="C65" s="666"/>
      <c r="D65" s="666"/>
      <c r="E65" s="666"/>
      <c r="F65" s="666"/>
      <c r="G65" s="664"/>
      <c r="H65" s="664"/>
      <c r="I65" s="664"/>
    </row>
    <row r="66" spans="2:9" ht="15.75">
      <c r="B66" s="663" t="s">
        <v>852</v>
      </c>
      <c r="C66" s="666"/>
      <c r="D66" s="666"/>
      <c r="E66" s="666"/>
      <c r="F66" s="666"/>
      <c r="G66" s="664"/>
      <c r="H66" s="664"/>
      <c r="I66" s="664"/>
    </row>
    <row r="67" spans="2:9" ht="15">
      <c r="B67" s="666"/>
      <c r="C67" s="666"/>
      <c r="D67" s="666"/>
      <c r="E67" s="666"/>
      <c r="F67" s="666"/>
      <c r="G67" s="664"/>
      <c r="H67" s="664"/>
      <c r="I67" s="664"/>
    </row>
    <row r="68" spans="2:9" ht="15.75">
      <c r="B68" s="663" t="s">
        <v>853</v>
      </c>
      <c r="C68" s="666"/>
      <c r="D68" s="666"/>
      <c r="E68" s="666"/>
      <c r="F68" s="666"/>
      <c r="G68" s="664"/>
      <c r="H68" s="664"/>
      <c r="I68" s="664"/>
    </row>
    <row r="69" spans="2:9" ht="15.75">
      <c r="B69" s="663" t="s">
        <v>854</v>
      </c>
      <c r="C69" s="666"/>
      <c r="D69" s="666"/>
      <c r="E69" s="666"/>
      <c r="F69" s="666"/>
      <c r="G69" s="664"/>
      <c r="H69" s="664"/>
      <c r="I69" s="664"/>
    </row>
    <row r="70" spans="2:9" ht="15">
      <c r="B70" s="666"/>
      <c r="C70" s="666"/>
      <c r="D70" s="666"/>
      <c r="E70" s="666"/>
      <c r="F70" s="666"/>
      <c r="G70" s="664"/>
      <c r="H70" s="664"/>
      <c r="I70" s="664"/>
    </row>
    <row r="71" spans="2:9" ht="15.75">
      <c r="B71" s="665" t="s">
        <v>855</v>
      </c>
      <c r="C71" s="666"/>
      <c r="D71" s="666"/>
      <c r="E71" s="666"/>
      <c r="F71" s="666"/>
      <c r="G71" s="664"/>
      <c r="H71" s="664"/>
      <c r="I71" s="664"/>
    </row>
    <row r="72" spans="2:9" ht="15">
      <c r="B72" s="666"/>
      <c r="C72" s="666"/>
      <c r="D72" s="666"/>
      <c r="E72" s="666"/>
      <c r="F72" s="666"/>
      <c r="G72" s="664"/>
      <c r="H72" s="664"/>
      <c r="I72" s="664"/>
    </row>
    <row r="73" spans="2:9" ht="15.75">
      <c r="B73" s="663" t="s">
        <v>856</v>
      </c>
      <c r="C73" s="666"/>
      <c r="D73" s="666"/>
      <c r="E73" s="666"/>
      <c r="F73" s="666"/>
      <c r="G73" s="664"/>
      <c r="H73" s="664"/>
      <c r="I73" s="664"/>
    </row>
    <row r="74" spans="2:9" ht="15.75">
      <c r="B74" s="663" t="s">
        <v>857</v>
      </c>
      <c r="C74" s="666"/>
      <c r="D74" s="666"/>
      <c r="E74" s="666"/>
      <c r="F74" s="666"/>
      <c r="G74" s="664"/>
      <c r="H74" s="664"/>
      <c r="I74" s="664"/>
    </row>
    <row r="75" spans="2:9" ht="15">
      <c r="B75" s="666"/>
      <c r="C75" s="666"/>
      <c r="D75" s="666"/>
      <c r="E75" s="666"/>
      <c r="F75" s="666"/>
      <c r="G75" s="664"/>
      <c r="H75" s="664"/>
      <c r="I75" s="664"/>
    </row>
    <row r="76" spans="2:9" ht="15.75">
      <c r="B76" s="665" t="s">
        <v>858</v>
      </c>
      <c r="C76" s="666"/>
      <c r="D76" s="666"/>
      <c r="E76" s="666"/>
      <c r="F76" s="666"/>
      <c r="G76" s="664"/>
      <c r="H76" s="664"/>
      <c r="I76" s="664"/>
    </row>
    <row r="77" spans="2:9" ht="15">
      <c r="B77" s="666"/>
      <c r="C77" s="666"/>
      <c r="D77" s="666"/>
      <c r="E77" s="666"/>
      <c r="F77" s="666"/>
      <c r="G77" s="664"/>
      <c r="H77" s="664"/>
      <c r="I77" s="664"/>
    </row>
    <row r="78" spans="2:9" ht="15.75">
      <c r="B78" s="663" t="str">
        <f>CONCATENATE("If the ",G14," municipal budget has not been published and has not been submitted to the County")</f>
        <v>If the 2015 municipal budget has not been published and has not been submitted to the County</v>
      </c>
      <c r="C78" s="666"/>
      <c r="D78" s="666"/>
      <c r="E78" s="666"/>
      <c r="F78" s="666"/>
      <c r="G78" s="664"/>
      <c r="H78" s="664"/>
      <c r="I78" s="664"/>
    </row>
    <row r="79" spans="2:9" ht="15.75">
      <c r="B79" s="663" t="s">
        <v>859</v>
      </c>
      <c r="C79" s="666"/>
      <c r="D79" s="666"/>
      <c r="E79" s="666"/>
      <c r="F79" s="666"/>
      <c r="G79" s="664"/>
      <c r="H79" s="664"/>
      <c r="I79" s="664"/>
    </row>
    <row r="80" spans="2:9" ht="15">
      <c r="B80" s="666"/>
      <c r="C80" s="666"/>
      <c r="D80" s="666"/>
      <c r="E80" s="666"/>
      <c r="F80" s="666"/>
      <c r="G80" s="664"/>
      <c r="H80" s="664"/>
      <c r="I80" s="664"/>
    </row>
    <row r="81" spans="2:9" ht="15.75">
      <c r="B81" s="665" t="s">
        <v>466</v>
      </c>
      <c r="C81" s="666"/>
      <c r="D81" s="666"/>
      <c r="E81" s="666"/>
      <c r="F81" s="666"/>
      <c r="G81" s="664"/>
      <c r="H81" s="664"/>
      <c r="I81" s="664"/>
    </row>
    <row r="82" spans="2:9" ht="15">
      <c r="B82" s="666"/>
      <c r="C82" s="666"/>
      <c r="D82" s="666"/>
      <c r="E82" s="666"/>
      <c r="F82" s="666"/>
      <c r="G82" s="664"/>
      <c r="H82" s="664"/>
      <c r="I82" s="664"/>
    </row>
    <row r="83" spans="2:9" ht="15.75">
      <c r="B83" s="663" t="s">
        <v>860</v>
      </c>
      <c r="C83" s="666"/>
      <c r="D83" s="666"/>
      <c r="E83" s="666"/>
      <c r="F83" s="666"/>
      <c r="G83" s="664"/>
      <c r="H83" s="664"/>
      <c r="I83" s="664"/>
    </row>
    <row r="84" spans="2:9" ht="15.75">
      <c r="B84" s="663" t="str">
        <f>CONCATENATE("Budget Year ",G14," is equal to or greater than that for Current Year Estimate ",E14,".")</f>
        <v>Budget Year 2015 is equal to or greater than that for Current Year Estimate 2014.</v>
      </c>
      <c r="C84" s="666"/>
      <c r="D84" s="666"/>
      <c r="E84" s="666"/>
      <c r="F84" s="666"/>
      <c r="G84" s="664"/>
      <c r="H84" s="664"/>
      <c r="I84" s="664"/>
    </row>
    <row r="85" spans="2:9" ht="15">
      <c r="B85" s="666"/>
      <c r="C85" s="666"/>
      <c r="D85" s="666"/>
      <c r="E85" s="666"/>
      <c r="F85" s="666"/>
      <c r="G85" s="664"/>
      <c r="H85" s="664"/>
      <c r="I85" s="664"/>
    </row>
    <row r="86" spans="2:9" ht="15.75">
      <c r="B86" s="663" t="s">
        <v>861</v>
      </c>
      <c r="C86" s="666"/>
      <c r="D86" s="666"/>
      <c r="E86" s="666"/>
      <c r="F86" s="666"/>
      <c r="G86" s="664"/>
      <c r="H86" s="664"/>
      <c r="I86" s="664"/>
    </row>
    <row r="87" spans="2:9" ht="15.75">
      <c r="B87" s="663" t="s">
        <v>862</v>
      </c>
      <c r="C87" s="666"/>
      <c r="D87" s="666"/>
      <c r="E87" s="666"/>
      <c r="F87" s="666"/>
      <c r="G87" s="664"/>
      <c r="H87" s="664"/>
      <c r="I87" s="664"/>
    </row>
    <row r="88" spans="2:9" ht="15.75">
      <c r="B88" s="663" t="s">
        <v>863</v>
      </c>
      <c r="C88" s="666"/>
      <c r="D88" s="666"/>
      <c r="E88" s="666"/>
      <c r="F88" s="666"/>
      <c r="G88" s="664"/>
      <c r="H88" s="664"/>
      <c r="I88" s="664"/>
    </row>
    <row r="89" spans="2:9" ht="15.75">
      <c r="B89" s="663" t="str">
        <f>CONCATENATE("purpose for the previous (",E14,") year.")</f>
        <v>purpose for the previous (2014) year.</v>
      </c>
      <c r="C89" s="666"/>
      <c r="D89" s="666"/>
      <c r="E89" s="666"/>
      <c r="F89" s="666"/>
      <c r="G89" s="664"/>
      <c r="H89" s="664"/>
      <c r="I89" s="664"/>
    </row>
    <row r="90" spans="2:9" ht="15">
      <c r="B90" s="666"/>
      <c r="C90" s="666"/>
      <c r="D90" s="666"/>
      <c r="E90" s="666"/>
      <c r="F90" s="666"/>
      <c r="G90" s="664"/>
      <c r="H90" s="664"/>
      <c r="I90" s="664"/>
    </row>
    <row r="91" spans="2:9" ht="15.75">
      <c r="B91" s="663" t="str">
        <f>CONCATENATE("Next, look to see if delinquent tax for ",G14," is budgeted. Often this line is budgeted at $0 or left")</f>
        <v>Next, look to see if delinquent tax for 2015 is budgeted. Often this line is budgeted at $0 or left</v>
      </c>
      <c r="C91" s="666"/>
      <c r="D91" s="666"/>
      <c r="E91" s="666"/>
      <c r="F91" s="666"/>
      <c r="G91" s="664"/>
      <c r="H91" s="664"/>
      <c r="I91" s="664"/>
    </row>
    <row r="92" spans="2:9" ht="15.75">
      <c r="B92" s="663" t="s">
        <v>864</v>
      </c>
      <c r="C92" s="666"/>
      <c r="D92" s="666"/>
      <c r="E92" s="666"/>
      <c r="F92" s="666"/>
      <c r="G92" s="664"/>
      <c r="H92" s="664"/>
      <c r="I92" s="664"/>
    </row>
    <row r="93" spans="2:9" ht="15.75">
      <c r="B93" s="663" t="s">
        <v>865</v>
      </c>
      <c r="C93" s="666"/>
      <c r="D93" s="666"/>
      <c r="E93" s="666"/>
      <c r="F93" s="666"/>
      <c r="G93" s="664"/>
      <c r="H93" s="664"/>
      <c r="I93" s="664"/>
    </row>
    <row r="94" spans="2:9" ht="15.75">
      <c r="B94" s="663" t="s">
        <v>866</v>
      </c>
      <c r="C94" s="666"/>
      <c r="D94" s="666"/>
      <c r="E94" s="666"/>
      <c r="F94" s="666"/>
      <c r="G94" s="664"/>
      <c r="H94" s="664"/>
      <c r="I94" s="664"/>
    </row>
    <row r="95" spans="2:9" ht="15">
      <c r="B95" s="666"/>
      <c r="C95" s="666"/>
      <c r="D95" s="666"/>
      <c r="E95" s="666"/>
      <c r="F95" s="666"/>
      <c r="G95" s="664"/>
      <c r="H95" s="664"/>
      <c r="I95" s="664"/>
    </row>
    <row r="96" spans="2:9" ht="15.75">
      <c r="B96" s="665" t="s">
        <v>867</v>
      </c>
      <c r="C96" s="666"/>
      <c r="D96" s="666"/>
      <c r="E96" s="666"/>
      <c r="F96" s="666"/>
      <c r="G96" s="664"/>
      <c r="H96" s="664"/>
      <c r="I96" s="664"/>
    </row>
    <row r="97" spans="2:9" ht="15">
      <c r="B97" s="666"/>
      <c r="C97" s="666"/>
      <c r="D97" s="666"/>
      <c r="E97" s="666"/>
      <c r="F97" s="666"/>
      <c r="G97" s="664"/>
      <c r="H97" s="664"/>
      <c r="I97" s="664"/>
    </row>
    <row r="98" spans="2:9" ht="15.75">
      <c r="B98" s="663" t="s">
        <v>868</v>
      </c>
      <c r="C98" s="666"/>
      <c r="D98" s="666"/>
      <c r="E98" s="666"/>
      <c r="F98" s="666"/>
      <c r="G98" s="664"/>
      <c r="H98" s="664"/>
      <c r="I98" s="664"/>
    </row>
    <row r="99" spans="2:9" ht="15.75">
      <c r="B99" s="663" t="s">
        <v>869</v>
      </c>
      <c r="C99" s="666"/>
      <c r="D99" s="666"/>
      <c r="E99" s="666"/>
      <c r="F99" s="666"/>
      <c r="G99" s="664"/>
      <c r="H99" s="664"/>
      <c r="I99" s="664"/>
    </row>
    <row r="100" spans="2:9" ht="15">
      <c r="B100" s="666"/>
      <c r="C100" s="666"/>
      <c r="D100" s="666"/>
      <c r="E100" s="666"/>
      <c r="F100" s="666"/>
      <c r="G100" s="664"/>
      <c r="H100" s="664"/>
      <c r="I100" s="664"/>
    </row>
    <row r="101" spans="2:9" ht="15.75">
      <c r="B101" s="663" t="s">
        <v>870</v>
      </c>
      <c r="C101" s="666"/>
      <c r="D101" s="666"/>
      <c r="E101" s="666"/>
      <c r="F101" s="666"/>
      <c r="G101" s="664"/>
      <c r="H101" s="664"/>
      <c r="I101" s="664"/>
    </row>
    <row r="102" spans="2:9" ht="15.75">
      <c r="B102" s="663" t="s">
        <v>871</v>
      </c>
      <c r="C102" s="666"/>
      <c r="D102" s="666"/>
      <c r="E102" s="666"/>
      <c r="F102" s="666"/>
      <c r="G102" s="664"/>
      <c r="H102" s="664"/>
      <c r="I102" s="664"/>
    </row>
    <row r="103" spans="2:9" ht="15.75">
      <c r="B103" s="663" t="s">
        <v>872</v>
      </c>
      <c r="C103" s="666"/>
      <c r="D103" s="666"/>
      <c r="E103" s="666"/>
      <c r="F103" s="666"/>
      <c r="G103" s="664"/>
      <c r="H103" s="664"/>
      <c r="I103" s="664"/>
    </row>
    <row r="104" spans="2:9" ht="15.75">
      <c r="B104" s="663" t="s">
        <v>930</v>
      </c>
      <c r="C104" s="666"/>
      <c r="D104" s="666"/>
      <c r="E104" s="666"/>
      <c r="F104" s="666"/>
      <c r="G104" s="664"/>
      <c r="H104" s="664"/>
      <c r="I104" s="664"/>
    </row>
    <row r="105" spans="2:9" ht="15.75">
      <c r="B105" s="722" t="s">
        <v>957</v>
      </c>
      <c r="C105" s="723"/>
      <c r="D105" s="723"/>
      <c r="E105" s="723"/>
      <c r="F105" s="723"/>
      <c r="G105" s="664"/>
      <c r="H105" s="664"/>
      <c r="I105" s="664"/>
    </row>
    <row r="108" ht="15">
      <c r="G108" s="68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9.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K66" sqref="K66"/>
    </sheetView>
  </sheetViews>
  <sheetFormatPr defaultColWidth="8.796875" defaultRowHeight="15"/>
  <cols>
    <col min="1" max="1" width="28.296875" style="49" customWidth="1"/>
    <col min="2" max="3" width="15.796875" style="49" customWidth="1"/>
    <col min="4" max="4" width="16.3984375" style="49" customWidth="1"/>
    <col min="5" max="16384" width="8.8984375" style="49" customWidth="1"/>
  </cols>
  <sheetData>
    <row r="1" spans="1:4" ht="15.75">
      <c r="A1" s="197" t="str">
        <f>inputPrYr!D2</f>
        <v>City of Fairview</v>
      </c>
      <c r="B1" s="62"/>
      <c r="C1" s="344"/>
      <c r="D1" s="62">
        <f>inputPrYr!C5</f>
        <v>2015</v>
      </c>
    </row>
    <row r="2" spans="1:4" ht="15.75">
      <c r="A2" s="62"/>
      <c r="B2" s="62"/>
      <c r="C2" s="62"/>
      <c r="D2" s="344"/>
    </row>
    <row r="3" spans="1:4" ht="15.75">
      <c r="A3" s="77" t="s">
        <v>63</v>
      </c>
      <c r="B3" s="345"/>
      <c r="C3" s="345"/>
      <c r="D3" s="345"/>
    </row>
    <row r="4" spans="1:4" ht="15.75">
      <c r="A4" s="344" t="s">
        <v>162</v>
      </c>
      <c r="B4" s="695" t="s">
        <v>815</v>
      </c>
      <c r="C4" s="696" t="s">
        <v>816</v>
      </c>
      <c r="D4" s="170" t="s">
        <v>817</v>
      </c>
    </row>
    <row r="5" spans="1:4" ht="15.75">
      <c r="A5" s="88" t="s">
        <v>64</v>
      </c>
      <c r="B5" s="328" t="str">
        <f>CONCATENATE("Actual for ",$D$1-2,"")</f>
        <v>Actual for 2013</v>
      </c>
      <c r="C5" s="407" t="str">
        <f>CONCATENATE("Estimate for ",$D$1-1,"")</f>
        <v>Estimate for 2014</v>
      </c>
      <c r="D5" s="225" t="str">
        <f>CONCATENATE("Year for ",$D$1,"")</f>
        <v>Year for 2015</v>
      </c>
    </row>
    <row r="6" spans="1:4" ht="15.75">
      <c r="A6" s="241" t="s">
        <v>171</v>
      </c>
      <c r="B6" s="104"/>
      <c r="C6" s="104"/>
      <c r="D6" s="104"/>
    </row>
    <row r="7" spans="1:4" ht="15.75">
      <c r="A7" s="346"/>
      <c r="B7" s="104"/>
      <c r="C7" s="104"/>
      <c r="D7" s="104"/>
    </row>
    <row r="8" spans="1:4" ht="15.75">
      <c r="A8" s="347" t="s">
        <v>65</v>
      </c>
      <c r="B8" s="330"/>
      <c r="C8" s="330"/>
      <c r="D8" s="330"/>
    </row>
    <row r="9" spans="1:4" ht="15.75">
      <c r="A9" s="347" t="s">
        <v>66</v>
      </c>
      <c r="B9" s="330"/>
      <c r="C9" s="330"/>
      <c r="D9" s="330"/>
    </row>
    <row r="10" spans="1:4" ht="15.75">
      <c r="A10" s="347" t="s">
        <v>67</v>
      </c>
      <c r="B10" s="330"/>
      <c r="C10" s="330"/>
      <c r="D10" s="330"/>
    </row>
    <row r="11" spans="1:4" ht="15.75">
      <c r="A11" s="347" t="s">
        <v>68</v>
      </c>
      <c r="B11" s="330"/>
      <c r="C11" s="330"/>
      <c r="D11" s="330"/>
    </row>
    <row r="12" spans="1:4" ht="15.75">
      <c r="A12" s="347"/>
      <c r="B12" s="330"/>
      <c r="C12" s="330"/>
      <c r="D12" s="330"/>
    </row>
    <row r="13" spans="1:4" ht="15.75">
      <c r="A13" s="86"/>
      <c r="B13" s="330"/>
      <c r="C13" s="330"/>
      <c r="D13" s="330"/>
    </row>
    <row r="14" spans="1:4" ht="15.75">
      <c r="A14" s="86"/>
      <c r="B14" s="330"/>
      <c r="C14" s="330"/>
      <c r="D14" s="330"/>
    </row>
    <row r="15" spans="1:4" ht="15.75">
      <c r="A15" s="241" t="s">
        <v>132</v>
      </c>
      <c r="B15" s="334">
        <f>SUM(B8:B14)</f>
        <v>0</v>
      </c>
      <c r="C15" s="334">
        <f>SUM(C8:C14)</f>
        <v>0</v>
      </c>
      <c r="D15" s="334">
        <f>SUM(D8:D14)</f>
        <v>0</v>
      </c>
    </row>
    <row r="16" spans="1:4" ht="15.75">
      <c r="A16" s="292"/>
      <c r="B16" s="197"/>
      <c r="C16" s="197"/>
      <c r="D16" s="197"/>
    </row>
    <row r="17" spans="1:4" ht="15.75">
      <c r="A17" s="347" t="s">
        <v>65</v>
      </c>
      <c r="B17" s="330"/>
      <c r="C17" s="330"/>
      <c r="D17" s="330"/>
    </row>
    <row r="18" spans="1:4" ht="15.75">
      <c r="A18" s="347" t="s">
        <v>66</v>
      </c>
      <c r="B18" s="330"/>
      <c r="C18" s="330"/>
      <c r="D18" s="330"/>
    </row>
    <row r="19" spans="1:4" ht="15.75">
      <c r="A19" s="347" t="s">
        <v>67</v>
      </c>
      <c r="B19" s="330"/>
      <c r="C19" s="330"/>
      <c r="D19" s="330"/>
    </row>
    <row r="20" spans="1:4" ht="15.75">
      <c r="A20" s="347" t="s">
        <v>68</v>
      </c>
      <c r="B20" s="330"/>
      <c r="C20" s="330"/>
      <c r="D20" s="330"/>
    </row>
    <row r="21" spans="1:4" ht="15.75">
      <c r="A21" s="347"/>
      <c r="B21" s="330"/>
      <c r="C21" s="330"/>
      <c r="D21" s="330"/>
    </row>
    <row r="22" spans="1:4" ht="15.75">
      <c r="A22" s="241" t="s">
        <v>132</v>
      </c>
      <c r="B22" s="334">
        <f>SUM(B17:B21)</f>
        <v>0</v>
      </c>
      <c r="C22" s="334">
        <f>SUM(C17:C21)</f>
        <v>0</v>
      </c>
      <c r="D22" s="334">
        <f>SUM(D17:D21)</f>
        <v>0</v>
      </c>
    </row>
    <row r="23" spans="1:4" ht="15.75">
      <c r="A23" s="292"/>
      <c r="B23" s="197"/>
      <c r="C23" s="197"/>
      <c r="D23" s="197"/>
    </row>
    <row r="24" spans="1:4" ht="15.75">
      <c r="A24" s="347" t="s">
        <v>65</v>
      </c>
      <c r="B24" s="330"/>
      <c r="C24" s="330"/>
      <c r="D24" s="330"/>
    </row>
    <row r="25" spans="1:4" ht="15.75">
      <c r="A25" s="347" t="s">
        <v>66</v>
      </c>
      <c r="B25" s="330"/>
      <c r="C25" s="330"/>
      <c r="D25" s="330"/>
    </row>
    <row r="26" spans="1:4" ht="15.75">
      <c r="A26" s="347" t="s">
        <v>67</v>
      </c>
      <c r="B26" s="330"/>
      <c r="C26" s="330"/>
      <c r="D26" s="330"/>
    </row>
    <row r="27" spans="1:4" ht="15.75">
      <c r="A27" s="347" t="s">
        <v>68</v>
      </c>
      <c r="B27" s="330"/>
      <c r="C27" s="330"/>
      <c r="D27" s="330"/>
    </row>
    <row r="28" spans="1:4" ht="15.75">
      <c r="A28" s="347"/>
      <c r="B28" s="330"/>
      <c r="C28" s="330"/>
      <c r="D28" s="330"/>
    </row>
    <row r="29" spans="1:4" ht="15.75">
      <c r="A29" s="241" t="s">
        <v>132</v>
      </c>
      <c r="B29" s="334">
        <f>SUM(B24:B28)</f>
        <v>0</v>
      </c>
      <c r="C29" s="334">
        <f>SUM(C24:C28)</f>
        <v>0</v>
      </c>
      <c r="D29" s="334">
        <f>SUM(D24:D28)</f>
        <v>0</v>
      </c>
    </row>
    <row r="30" spans="1:4" ht="15.75">
      <c r="A30" s="292"/>
      <c r="B30" s="197"/>
      <c r="C30" s="197"/>
      <c r="D30" s="197"/>
    </row>
    <row r="31" spans="1:4" ht="15.75">
      <c r="A31" s="347" t="s">
        <v>65</v>
      </c>
      <c r="B31" s="330"/>
      <c r="C31" s="330"/>
      <c r="D31" s="330"/>
    </row>
    <row r="32" spans="1:4" ht="15.75">
      <c r="A32" s="347" t="s">
        <v>66</v>
      </c>
      <c r="B32" s="330"/>
      <c r="C32" s="330"/>
      <c r="D32" s="330"/>
    </row>
    <row r="33" spans="1:4" ht="15.75">
      <c r="A33" s="347" t="s">
        <v>67</v>
      </c>
      <c r="B33" s="330"/>
      <c r="C33" s="330"/>
      <c r="D33" s="330"/>
    </row>
    <row r="34" spans="1:4" ht="15.75">
      <c r="A34" s="347" t="s">
        <v>68</v>
      </c>
      <c r="B34" s="330"/>
      <c r="C34" s="330"/>
      <c r="D34" s="330"/>
    </row>
    <row r="35" spans="1:4" ht="15.75">
      <c r="A35" s="241" t="s">
        <v>132</v>
      </c>
      <c r="B35" s="334">
        <f>SUM(B31:B34)</f>
        <v>0</v>
      </c>
      <c r="C35" s="334">
        <f>SUM(C31:C34)</f>
        <v>0</v>
      </c>
      <c r="D35" s="334">
        <f>SUM(D31:D34)</f>
        <v>0</v>
      </c>
    </row>
    <row r="36" spans="1:4" ht="15.75">
      <c r="A36" s="292"/>
      <c r="B36" s="197"/>
      <c r="C36" s="197"/>
      <c r="D36" s="197"/>
    </row>
    <row r="37" spans="1:4" ht="15.75">
      <c r="A37" s="347" t="s">
        <v>65</v>
      </c>
      <c r="B37" s="330"/>
      <c r="C37" s="330"/>
      <c r="D37" s="330"/>
    </row>
    <row r="38" spans="1:4" ht="15.75">
      <c r="A38" s="347" t="s">
        <v>66</v>
      </c>
      <c r="B38" s="330"/>
      <c r="C38" s="330"/>
      <c r="D38" s="330"/>
    </row>
    <row r="39" spans="1:4" ht="15.75">
      <c r="A39" s="347" t="s">
        <v>67</v>
      </c>
      <c r="B39" s="330"/>
      <c r="C39" s="330"/>
      <c r="D39" s="330"/>
    </row>
    <row r="40" spans="1:4" ht="15.75">
      <c r="A40" s="347" t="s">
        <v>68</v>
      </c>
      <c r="B40" s="330"/>
      <c r="C40" s="330"/>
      <c r="D40" s="330"/>
    </row>
    <row r="41" spans="1:4" ht="15.75">
      <c r="A41" s="347"/>
      <c r="B41" s="330"/>
      <c r="C41" s="330"/>
      <c r="D41" s="330"/>
    </row>
    <row r="42" spans="1:4" ht="15.75">
      <c r="A42" s="241" t="s">
        <v>132</v>
      </c>
      <c r="B42" s="334">
        <f>SUM(B37:B41)</f>
        <v>0</v>
      </c>
      <c r="C42" s="334">
        <f>SUM(C37:C41)</f>
        <v>0</v>
      </c>
      <c r="D42" s="334">
        <f>SUM(D37:D41)</f>
        <v>0</v>
      </c>
    </row>
    <row r="43" spans="1:4" ht="15.75">
      <c r="A43" s="292"/>
      <c r="B43" s="197"/>
      <c r="C43" s="197"/>
      <c r="D43" s="197"/>
    </row>
    <row r="44" spans="1:4" ht="15.75">
      <c r="A44" s="347" t="s">
        <v>65</v>
      </c>
      <c r="B44" s="330"/>
      <c r="C44" s="330"/>
      <c r="D44" s="330"/>
    </row>
    <row r="45" spans="1:4" ht="15.75">
      <c r="A45" s="347" t="s">
        <v>66</v>
      </c>
      <c r="B45" s="330"/>
      <c r="C45" s="330"/>
      <c r="D45" s="330"/>
    </row>
    <row r="46" spans="1:4" ht="15.75">
      <c r="A46" s="347" t="s">
        <v>67</v>
      </c>
      <c r="B46" s="330"/>
      <c r="C46" s="330"/>
      <c r="D46" s="330"/>
    </row>
    <row r="47" spans="1:4" ht="15.75">
      <c r="A47" s="347" t="s">
        <v>68</v>
      </c>
      <c r="B47" s="330"/>
      <c r="C47" s="330"/>
      <c r="D47" s="330"/>
    </row>
    <row r="48" spans="1:4" ht="15.75">
      <c r="A48" s="347"/>
      <c r="B48" s="330"/>
      <c r="C48" s="330"/>
      <c r="D48" s="330"/>
    </row>
    <row r="49" spans="1:4" ht="15.75">
      <c r="A49" s="241" t="s">
        <v>132</v>
      </c>
      <c r="B49" s="334">
        <f>SUM(B44:B48)</f>
        <v>0</v>
      </c>
      <c r="C49" s="334">
        <f>SUM(C44:C48)</f>
        <v>0</v>
      </c>
      <c r="D49" s="334">
        <f>SUM(D44:D48)</f>
        <v>0</v>
      </c>
    </row>
    <row r="50" spans="1:4" ht="15.75">
      <c r="A50" s="292"/>
      <c r="B50" s="197"/>
      <c r="C50" s="197"/>
      <c r="D50" s="197"/>
    </row>
    <row r="51" spans="1:4" ht="15.75">
      <c r="A51" s="347" t="s">
        <v>65</v>
      </c>
      <c r="B51" s="330"/>
      <c r="C51" s="330"/>
      <c r="D51" s="330"/>
    </row>
    <row r="52" spans="1:4" ht="15.75">
      <c r="A52" s="347" t="s">
        <v>66</v>
      </c>
      <c r="B52" s="330"/>
      <c r="C52" s="330"/>
      <c r="D52" s="330"/>
    </row>
    <row r="53" spans="1:4" ht="15.75">
      <c r="A53" s="347" t="s">
        <v>67</v>
      </c>
      <c r="B53" s="330"/>
      <c r="C53" s="330"/>
      <c r="D53" s="330"/>
    </row>
    <row r="54" spans="1:4" ht="15.75">
      <c r="A54" s="347" t="s">
        <v>68</v>
      </c>
      <c r="B54" s="330"/>
      <c r="C54" s="330"/>
      <c r="D54" s="330"/>
    </row>
    <row r="55" spans="1:4" ht="15.75">
      <c r="A55" s="347"/>
      <c r="B55" s="330"/>
      <c r="C55" s="330"/>
      <c r="D55" s="330"/>
    </row>
    <row r="56" spans="1:4" ht="15.75">
      <c r="A56" s="241" t="s">
        <v>132</v>
      </c>
      <c r="B56" s="334">
        <f>SUM(B51:B55)</f>
        <v>0</v>
      </c>
      <c r="C56" s="334">
        <f>SUM(C51:C55)</f>
        <v>0</v>
      </c>
      <c r="D56" s="334">
        <f>SUM(D51:D55)</f>
        <v>0</v>
      </c>
    </row>
    <row r="57" spans="1:4" ht="15.75">
      <c r="A57" s="292"/>
      <c r="B57" s="197"/>
      <c r="C57" s="197"/>
      <c r="D57" s="197"/>
    </row>
    <row r="58" spans="1:4" ht="15.75">
      <c r="A58" s="347" t="s">
        <v>65</v>
      </c>
      <c r="B58" s="330"/>
      <c r="C58" s="330"/>
      <c r="D58" s="330"/>
    </row>
    <row r="59" spans="1:4" ht="15.75">
      <c r="A59" s="347" t="s">
        <v>66</v>
      </c>
      <c r="B59" s="330"/>
      <c r="C59" s="330"/>
      <c r="D59" s="330"/>
    </row>
    <row r="60" spans="1:4" ht="15.75">
      <c r="A60" s="347" t="s">
        <v>67</v>
      </c>
      <c r="B60" s="330"/>
      <c r="C60" s="330"/>
      <c r="D60" s="330"/>
    </row>
    <row r="61" spans="1:4" ht="15.75">
      <c r="A61" s="347" t="s">
        <v>68</v>
      </c>
      <c r="B61" s="330"/>
      <c r="C61" s="330"/>
      <c r="D61" s="330"/>
    </row>
    <row r="62" spans="1:4" ht="15.75">
      <c r="A62" s="347"/>
      <c r="B62" s="330"/>
      <c r="C62" s="330"/>
      <c r="D62" s="330"/>
    </row>
    <row r="63" spans="1:4" ht="15.75">
      <c r="A63" s="241" t="s">
        <v>132</v>
      </c>
      <c r="B63" s="334">
        <f>SUM(B58:B62)</f>
        <v>0</v>
      </c>
      <c r="C63" s="334">
        <f>SUM(C58:C62)</f>
        <v>0</v>
      </c>
      <c r="D63" s="334">
        <f>SUM(D58:D62)</f>
        <v>0</v>
      </c>
    </row>
    <row r="64" spans="1:4" ht="15.75">
      <c r="A64" s="62"/>
      <c r="B64" s="197"/>
      <c r="C64" s="197"/>
      <c r="D64" s="197"/>
    </row>
    <row r="65" spans="1:4" ht="16.5" thickBot="1">
      <c r="A65" s="241" t="s">
        <v>69</v>
      </c>
      <c r="B65" s="348">
        <f>B15+B22+B29+B35+B42+B49+B56+B63</f>
        <v>0</v>
      </c>
      <c r="C65" s="348">
        <f>C15+C22+C29+C35+C42+C49+C56+C63</f>
        <v>0</v>
      </c>
      <c r="D65" s="348">
        <f>D15+D22+D29+D35+D42+D49+D56+D63</f>
        <v>0</v>
      </c>
    </row>
    <row r="66" spans="1:4" ht="16.5" thickTop="1">
      <c r="A66" s="62"/>
      <c r="B66" s="197"/>
      <c r="C66" s="197"/>
      <c r="D66" s="197"/>
    </row>
    <row r="67" spans="1:4" ht="15.75">
      <c r="A67" s="206" t="s">
        <v>175</v>
      </c>
      <c r="B67" s="720" t="str">
        <f>CONCATENATE("",general!C67,"b")</f>
        <v>7b</v>
      </c>
      <c r="C67" s="197"/>
      <c r="D67" s="197"/>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75" zoomScaleNormal="75" zoomScalePageLayoutView="0" workbookViewId="0" topLeftCell="A1">
      <selection activeCell="B65" sqref="B65"/>
    </sheetView>
  </sheetViews>
  <sheetFormatPr defaultColWidth="8.796875" defaultRowHeight="15"/>
  <cols>
    <col min="1" max="1" width="15.796875" style="122" customWidth="1"/>
    <col min="2" max="2" width="20.796875" style="122" customWidth="1"/>
    <col min="3" max="3" width="9.796875" style="122" customWidth="1"/>
    <col min="4" max="4" width="15.09765625" style="122" customWidth="1"/>
    <col min="5" max="5" width="15.796875" style="122" customWidth="1"/>
    <col min="6" max="16384" width="8.8984375" style="122" customWidth="1"/>
  </cols>
  <sheetData>
    <row r="1" spans="1:5" ht="15.75">
      <c r="A1" s="123" t="str">
        <f>inputPrYr!$D$2</f>
        <v>City of Fairview</v>
      </c>
      <c r="B1" s="124"/>
      <c r="C1" s="124"/>
      <c r="D1" s="124"/>
      <c r="E1" s="125">
        <f>inputPrYr!C5</f>
        <v>2015</v>
      </c>
    </row>
    <row r="2" spans="1:5" ht="15">
      <c r="A2" s="124"/>
      <c r="B2" s="124"/>
      <c r="C2" s="124"/>
      <c r="D2" s="124"/>
      <c r="E2" s="124"/>
    </row>
    <row r="3" spans="1:5" ht="15.75">
      <c r="A3" s="777" t="s">
        <v>20</v>
      </c>
      <c r="B3" s="778"/>
      <c r="C3" s="778"/>
      <c r="D3" s="778"/>
      <c r="E3" s="778"/>
    </row>
    <row r="4" spans="1:5" ht="15.75">
      <c r="A4" s="71"/>
      <c r="B4" s="71"/>
      <c r="C4" s="71"/>
      <c r="D4" s="71"/>
      <c r="E4" s="71"/>
    </row>
    <row r="5" spans="1:5" ht="15.75">
      <c r="A5" s="71"/>
      <c r="B5" s="71"/>
      <c r="C5" s="71"/>
      <c r="D5" s="71"/>
      <c r="E5" s="71"/>
    </row>
    <row r="6" spans="1:5" ht="15.75">
      <c r="A6" s="74" t="s">
        <v>133</v>
      </c>
      <c r="B6" s="75"/>
      <c r="C6" s="62"/>
      <c r="D6" s="62"/>
      <c r="E6" s="84"/>
    </row>
    <row r="7" spans="1:5" ht="15.75">
      <c r="A7" s="126" t="str">
        <f>CONCATENATE("Total Assessed Valuation for ",E1-1,"")</f>
        <v>Total Assessed Valuation for 2014</v>
      </c>
      <c r="B7" s="111"/>
      <c r="C7" s="111"/>
      <c r="D7" s="111"/>
      <c r="E7" s="83">
        <v>2145654</v>
      </c>
    </row>
    <row r="8" spans="1:5" ht="15.75">
      <c r="A8" s="126" t="str">
        <f>CONCATENATE("New Improvements for ",E1-1,"")</f>
        <v>New Improvements for 2014</v>
      </c>
      <c r="B8" s="111"/>
      <c r="C8" s="111"/>
      <c r="D8" s="111"/>
      <c r="E8" s="119">
        <v>11614</v>
      </c>
    </row>
    <row r="9" spans="1:5" ht="15.75">
      <c r="A9" s="126" t="str">
        <f>CONCATENATE("Personal Property excluding oil, gas, and mobile homes  - ",E1-1,"")</f>
        <v>Personal Property excluding oil, gas, and mobile homes  - 2014</v>
      </c>
      <c r="B9" s="111"/>
      <c r="C9" s="111"/>
      <c r="D9" s="111"/>
      <c r="E9" s="119">
        <v>22950</v>
      </c>
    </row>
    <row r="10" spans="1:5" ht="15.75">
      <c r="A10" s="128" t="s">
        <v>278</v>
      </c>
      <c r="B10" s="111"/>
      <c r="C10" s="111"/>
      <c r="D10" s="111"/>
      <c r="E10" s="104"/>
    </row>
    <row r="11" spans="1:5" ht="15.75">
      <c r="A11" s="126" t="s">
        <v>270</v>
      </c>
      <c r="B11" s="111"/>
      <c r="C11" s="111"/>
      <c r="D11" s="111"/>
      <c r="E11" s="119"/>
    </row>
    <row r="12" spans="1:5" ht="15.75">
      <c r="A12" s="126" t="s">
        <v>271</v>
      </c>
      <c r="B12" s="111"/>
      <c r="C12" s="111"/>
      <c r="D12" s="111"/>
      <c r="E12" s="119"/>
    </row>
    <row r="13" spans="1:5" ht="15.75">
      <c r="A13" s="126" t="s">
        <v>272</v>
      </c>
      <c r="B13" s="111"/>
      <c r="C13" s="111"/>
      <c r="D13" s="111"/>
      <c r="E13" s="119"/>
    </row>
    <row r="14" spans="1:5" ht="15.75">
      <c r="A14" s="126" t="str">
        <f>CONCATENATE("Property that has changed in use for ",E1-1,"")</f>
        <v>Property that has changed in use for 2014</v>
      </c>
      <c r="B14" s="111"/>
      <c r="C14" s="111"/>
      <c r="D14" s="111"/>
      <c r="E14" s="119">
        <v>2965</v>
      </c>
    </row>
    <row r="15" spans="1:5" ht="15.75">
      <c r="A15" s="126" t="str">
        <f>CONCATENATE("Personal Property  excluding oil, gas, and mobile homes- ",E1-2,"")</f>
        <v>Personal Property  excluding oil, gas, and mobile homes- 2013</v>
      </c>
      <c r="B15" s="111"/>
      <c r="C15" s="111"/>
      <c r="D15" s="111"/>
      <c r="E15" s="119">
        <v>34299</v>
      </c>
    </row>
    <row r="16" spans="1:5" ht="15.75">
      <c r="A16" s="126" t="str">
        <f>CONCATENATE("Gross earnings (intangible) tax estimate for ",E1,"")</f>
        <v>Gross earnings (intangible) tax estimate for 2015</v>
      </c>
      <c r="B16" s="111"/>
      <c r="C16" s="111"/>
      <c r="D16" s="112"/>
      <c r="E16" s="83"/>
    </row>
    <row r="17" spans="1:5" ht="15.75">
      <c r="A17" s="126" t="s">
        <v>44</v>
      </c>
      <c r="B17" s="111"/>
      <c r="C17" s="111"/>
      <c r="D17" s="111"/>
      <c r="E17" s="119"/>
    </row>
    <row r="18" spans="1:5" ht="15.75">
      <c r="A18" s="95"/>
      <c r="B18" s="92"/>
      <c r="C18" s="92"/>
      <c r="D18" s="92"/>
      <c r="E18" s="97"/>
    </row>
    <row r="19" spans="1:5" ht="15.75">
      <c r="A19" s="95" t="str">
        <f>CONCATENATE("Actual Tax Rates for the ",E1-1," Budget:")</f>
        <v>Actual Tax Rates for the 2014 Budget:</v>
      </c>
      <c r="B19" s="92"/>
      <c r="C19" s="92"/>
      <c r="D19" s="92"/>
      <c r="E19" s="97"/>
    </row>
    <row r="20" spans="1:5" ht="15.75">
      <c r="A20" s="784" t="s">
        <v>148</v>
      </c>
      <c r="B20" s="785"/>
      <c r="C20" s="124"/>
      <c r="D20" s="129" t="s">
        <v>196</v>
      </c>
      <c r="E20" s="97"/>
    </row>
    <row r="21" spans="1:5" ht="15.75">
      <c r="A21" s="87" t="str">
        <f>inputPrYr!B17</f>
        <v>General</v>
      </c>
      <c r="B21" s="88"/>
      <c r="C21" s="92"/>
      <c r="D21" s="106">
        <v>8.875</v>
      </c>
      <c r="E21" s="97"/>
    </row>
    <row r="22" spans="1:5" ht="15.75">
      <c r="A22" s="87" t="str">
        <f>inputPrYr!B18</f>
        <v>Debt Service</v>
      </c>
      <c r="B22" s="111"/>
      <c r="C22" s="92"/>
      <c r="D22" s="106"/>
      <c r="E22" s="97"/>
    </row>
    <row r="23" spans="1:5" ht="15.75">
      <c r="A23" s="126" t="str">
        <f>inputPrYr!B19</f>
        <v>Library</v>
      </c>
      <c r="B23" s="111"/>
      <c r="C23" s="92"/>
      <c r="D23" s="106"/>
      <c r="E23" s="97"/>
    </row>
    <row r="24" spans="1:5" ht="15.75">
      <c r="A24" s="126">
        <f>inputPrYr!B21</f>
        <v>0</v>
      </c>
      <c r="B24" s="111"/>
      <c r="C24" s="92"/>
      <c r="D24" s="106"/>
      <c r="E24" s="97"/>
    </row>
    <row r="25" spans="1:5" ht="15.75">
      <c r="A25" s="126">
        <f>inputPrYr!B22</f>
        <v>0</v>
      </c>
      <c r="B25" s="111"/>
      <c r="C25" s="92"/>
      <c r="D25" s="106"/>
      <c r="E25" s="97"/>
    </row>
    <row r="26" spans="1:5" ht="15.75">
      <c r="A26" s="126">
        <f>inputPrYr!B23</f>
        <v>0</v>
      </c>
      <c r="B26" s="130"/>
      <c r="C26" s="92"/>
      <c r="D26" s="106"/>
      <c r="E26" s="97"/>
    </row>
    <row r="27" spans="1:5" ht="15.75">
      <c r="A27" s="126">
        <f>inputPrYr!B24</f>
        <v>0</v>
      </c>
      <c r="B27" s="130"/>
      <c r="C27" s="92"/>
      <c r="D27" s="106"/>
      <c r="E27" s="97"/>
    </row>
    <row r="28" spans="1:5" ht="15.75">
      <c r="A28" s="131"/>
      <c r="B28" s="82" t="s">
        <v>132</v>
      </c>
      <c r="C28" s="132"/>
      <c r="D28" s="107">
        <f>SUM(D21:D27)</f>
        <v>8.875</v>
      </c>
      <c r="E28" s="131"/>
    </row>
    <row r="29" spans="1:5" ht="15">
      <c r="A29" s="131"/>
      <c r="B29" s="131"/>
      <c r="C29" s="131"/>
      <c r="D29" s="131"/>
      <c r="E29" s="131"/>
    </row>
    <row r="30" spans="1:5" ht="15.75">
      <c r="A30" s="88" t="str">
        <f>CONCATENATE("Final Assessed Valuation from the November 1, ",E1-2," Abstract")</f>
        <v>Final Assessed Valuation from the November 1, 2013 Abstract</v>
      </c>
      <c r="B30" s="133"/>
      <c r="C30" s="133"/>
      <c r="D30" s="133"/>
      <c r="E30" s="119">
        <v>2157847</v>
      </c>
    </row>
    <row r="31" spans="1:5" ht="15">
      <c r="A31" s="131"/>
      <c r="B31" s="131"/>
      <c r="C31" s="131"/>
      <c r="D31" s="131"/>
      <c r="E31" s="131"/>
    </row>
    <row r="32" spans="1:5" ht="15.75">
      <c r="A32" s="134" t="s">
        <v>279</v>
      </c>
      <c r="B32" s="73"/>
      <c r="C32" s="73"/>
      <c r="D32" s="135"/>
      <c r="E32" s="84"/>
    </row>
    <row r="33" spans="1:5" ht="15.75">
      <c r="A33" s="87" t="s">
        <v>134</v>
      </c>
      <c r="B33" s="88"/>
      <c r="C33" s="88"/>
      <c r="D33" s="136"/>
      <c r="E33" s="83">
        <v>3012</v>
      </c>
    </row>
    <row r="34" spans="1:5" ht="15.75">
      <c r="A34" s="126" t="s">
        <v>135</v>
      </c>
      <c r="B34" s="111"/>
      <c r="C34" s="111"/>
      <c r="D34" s="137"/>
      <c r="E34" s="83">
        <v>79</v>
      </c>
    </row>
    <row r="35" spans="1:5" ht="15.75">
      <c r="A35" s="126" t="s">
        <v>222</v>
      </c>
      <c r="B35" s="111"/>
      <c r="C35" s="111"/>
      <c r="D35" s="137"/>
      <c r="E35" s="83">
        <v>42</v>
      </c>
    </row>
    <row r="36" spans="1:5" ht="15.75">
      <c r="A36" s="126" t="s">
        <v>118</v>
      </c>
      <c r="B36" s="111"/>
      <c r="C36" s="111"/>
      <c r="D36" s="137"/>
      <c r="E36" s="83"/>
    </row>
    <row r="37" spans="1:5" ht="15.75">
      <c r="A37" s="126" t="s">
        <v>120</v>
      </c>
      <c r="B37" s="111"/>
      <c r="C37" s="111"/>
      <c r="D37" s="137"/>
      <c r="E37" s="83"/>
    </row>
    <row r="38" spans="1:5" ht="15.75">
      <c r="A38" s="62" t="s">
        <v>259</v>
      </c>
      <c r="B38" s="62"/>
      <c r="C38" s="62"/>
      <c r="D38" s="62"/>
      <c r="E38" s="62"/>
    </row>
    <row r="39" spans="1:5" ht="15.75">
      <c r="A39" s="64" t="s">
        <v>155</v>
      </c>
      <c r="B39" s="69"/>
      <c r="C39" s="69"/>
      <c r="D39" s="62"/>
      <c r="E39" s="62"/>
    </row>
    <row r="40" spans="1:5" ht="15.75">
      <c r="A40" s="87" t="str">
        <f>CONCATENATE("Actual Delinquency for ",E1-3," Tax - (rate .01213 = 1.213%, key in 1.2)")</f>
        <v>Actual Delinquency for 2012 Tax - (rate .01213 = 1.213%, key in 1.2)</v>
      </c>
      <c r="B40" s="88"/>
      <c r="C40" s="88"/>
      <c r="D40" s="99"/>
      <c r="E40" s="644">
        <v>0</v>
      </c>
    </row>
    <row r="41" spans="1:5" ht="15.75">
      <c r="A41" s="126" t="s">
        <v>820</v>
      </c>
      <c r="B41" s="126"/>
      <c r="C41" s="111"/>
      <c r="D41" s="112"/>
      <c r="E41" s="645"/>
    </row>
    <row r="42" spans="1:5" ht="15.75">
      <c r="A42" s="138" t="s">
        <v>7</v>
      </c>
      <c r="B42" s="138"/>
      <c r="C42" s="139"/>
      <c r="D42" s="139"/>
      <c r="E42" s="140"/>
    </row>
    <row r="43" spans="1:5" ht="15.75">
      <c r="A43" s="62"/>
      <c r="B43" s="62"/>
      <c r="C43" s="62"/>
      <c r="D43" s="62"/>
      <c r="E43" s="62"/>
    </row>
    <row r="44" spans="1:5" ht="15.75">
      <c r="A44" s="141" t="s">
        <v>43</v>
      </c>
      <c r="B44" s="142"/>
      <c r="C44" s="143"/>
      <c r="D44" s="143"/>
      <c r="E44" s="143"/>
    </row>
    <row r="45" spans="1:5" ht="15.75">
      <c r="A45" s="144" t="str">
        <f>CONCATENATE("",E1," State Distribution for Kansas Gas Tax")</f>
        <v>2015 State Distribution for Kansas Gas Tax</v>
      </c>
      <c r="B45" s="145"/>
      <c r="C45" s="145"/>
      <c r="D45" s="146"/>
      <c r="E45" s="119">
        <v>6560</v>
      </c>
    </row>
    <row r="46" spans="1:5" ht="15.75">
      <c r="A46" s="147" t="str">
        <f>CONCATENATE("",E1," County Transfers for Gas***")</f>
        <v>2015 County Transfers for Gas***</v>
      </c>
      <c r="B46" s="148"/>
      <c r="C46" s="148"/>
      <c r="D46" s="149"/>
      <c r="E46" s="119"/>
    </row>
    <row r="47" spans="1:5" ht="15.75">
      <c r="A47" s="147" t="str">
        <f>CONCATENATE("Adjusted ",E1-1," State Distribution for Kansas Gas Tax")</f>
        <v>Adjusted 2014 State Distribution for Kansas Gas Tax</v>
      </c>
      <c r="B47" s="148"/>
      <c r="C47" s="148"/>
      <c r="D47" s="149"/>
      <c r="E47" s="119">
        <v>6500</v>
      </c>
    </row>
    <row r="48" spans="1:5" ht="15.75">
      <c r="A48" s="147" t="str">
        <f>CONCATENATE("Adjusted ",E1-1," County Transfers for Gas***")</f>
        <v>Adjusted 2014 County Transfers for Gas***</v>
      </c>
      <c r="B48" s="148"/>
      <c r="C48" s="148"/>
      <c r="D48" s="149"/>
      <c r="E48" s="119"/>
    </row>
    <row r="49" spans="1:5" ht="18" customHeight="1">
      <c r="A49" s="786" t="s">
        <v>13</v>
      </c>
      <c r="B49" s="787"/>
      <c r="C49" s="787"/>
      <c r="D49" s="787"/>
      <c r="E49" s="787"/>
    </row>
    <row r="50" spans="1:5" ht="15">
      <c r="A50" s="150" t="s">
        <v>14</v>
      </c>
      <c r="B50" s="150"/>
      <c r="C50" s="150"/>
      <c r="D50" s="150"/>
      <c r="E50" s="150"/>
    </row>
    <row r="51" spans="1:5" ht="15">
      <c r="A51" s="124"/>
      <c r="B51" s="124"/>
      <c r="C51" s="124"/>
      <c r="D51" s="124"/>
      <c r="E51" s="124"/>
    </row>
    <row r="52" spans="1:5" ht="15.75">
      <c r="A52" s="788" t="str">
        <f>CONCATENATE("From the ",E1-2," Budget Certificate Page")</f>
        <v>From the 2013 Budget Certificate Page</v>
      </c>
      <c r="B52" s="789"/>
      <c r="C52" s="124"/>
      <c r="D52" s="124"/>
      <c r="E52" s="124"/>
    </row>
    <row r="53" spans="1:5" ht="15.75">
      <c r="A53" s="151"/>
      <c r="B53" s="151" t="str">
        <f>CONCATENATE("",E1-2," Expenditure Amounts")</f>
        <v>2013 Expenditure Amounts</v>
      </c>
      <c r="C53" s="782" t="str">
        <f>CONCATENATE("Note: If the ",E1-2," budget was amended, then the")</f>
        <v>Note: If the 2013 budget was amended, then the</v>
      </c>
      <c r="D53" s="783"/>
      <c r="E53" s="783"/>
    </row>
    <row r="54" spans="1:5" ht="15.75">
      <c r="A54" s="152" t="s">
        <v>49</v>
      </c>
      <c r="B54" s="152" t="s">
        <v>48</v>
      </c>
      <c r="C54" s="153" t="s">
        <v>46</v>
      </c>
      <c r="D54" s="154"/>
      <c r="E54" s="154"/>
    </row>
    <row r="55" spans="1:5" ht="15.75">
      <c r="A55" s="155" t="str">
        <f>inputPrYr!B17</f>
        <v>General</v>
      </c>
      <c r="B55" s="119">
        <v>128350</v>
      </c>
      <c r="C55" s="153" t="s">
        <v>47</v>
      </c>
      <c r="D55" s="154"/>
      <c r="E55" s="154"/>
    </row>
    <row r="56" spans="1:5" ht="15.75">
      <c r="A56" s="155" t="str">
        <f>inputPrYr!B18</f>
        <v>Debt Service</v>
      </c>
      <c r="B56" s="119"/>
      <c r="C56" s="153"/>
      <c r="D56" s="154"/>
      <c r="E56" s="154"/>
    </row>
    <row r="57" spans="1:5" ht="15.75">
      <c r="A57" s="155" t="str">
        <f>inputPrYr!B19</f>
        <v>Library</v>
      </c>
      <c r="B57" s="119"/>
      <c r="C57" s="124"/>
      <c r="D57" s="124"/>
      <c r="E57" s="124"/>
    </row>
    <row r="58" spans="1:5" ht="15.75">
      <c r="A58" s="155">
        <f>inputPrYr!B21</f>
        <v>0</v>
      </c>
      <c r="B58" s="119"/>
      <c r="C58" s="124"/>
      <c r="D58" s="124"/>
      <c r="E58" s="124"/>
    </row>
    <row r="59" spans="1:5" ht="15.75">
      <c r="A59" s="155">
        <f>inputPrYr!B22</f>
        <v>0</v>
      </c>
      <c r="B59" s="119"/>
      <c r="C59" s="124"/>
      <c r="D59" s="124"/>
      <c r="E59" s="124"/>
    </row>
    <row r="60" spans="1:5" ht="15.75">
      <c r="A60" s="155">
        <f>inputPrYr!B23</f>
        <v>0</v>
      </c>
      <c r="B60" s="119"/>
      <c r="C60" s="124"/>
      <c r="D60" s="124"/>
      <c r="E60" s="124"/>
    </row>
    <row r="61" spans="1:5" ht="15.75">
      <c r="A61" s="155">
        <f>inputPrYr!B24</f>
        <v>0</v>
      </c>
      <c r="B61" s="119"/>
      <c r="C61" s="124"/>
      <c r="D61" s="124"/>
      <c r="E61" s="124"/>
    </row>
    <row r="62" spans="1:5" ht="15.75">
      <c r="A62" s="155" t="str">
        <f>inputPrYr!B28</f>
        <v>Special Highway</v>
      </c>
      <c r="B62" s="119">
        <v>6252</v>
      </c>
      <c r="C62" s="124"/>
      <c r="D62" s="124"/>
      <c r="E62" s="124"/>
    </row>
    <row r="63" spans="1:5" ht="15.75">
      <c r="A63" s="155" t="str">
        <f>inputPrYr!B29</f>
        <v>Sewer</v>
      </c>
      <c r="B63" s="119">
        <v>34999</v>
      </c>
      <c r="C63" s="124"/>
      <c r="D63" s="124"/>
      <c r="E63" s="124"/>
    </row>
    <row r="64" spans="1:5" ht="15.75">
      <c r="A64" s="155" t="str">
        <f>inputPrYr!B30</f>
        <v>Special Parks &amp; Recreation</v>
      </c>
      <c r="B64" s="119">
        <v>2752</v>
      </c>
      <c r="C64" s="124"/>
      <c r="D64" s="124"/>
      <c r="E64" s="124"/>
    </row>
    <row r="65" spans="1:5" ht="15.75">
      <c r="A65" s="155" t="str">
        <f>inputPrYr!B31</f>
        <v>Fire/Emergency Fund</v>
      </c>
      <c r="B65" s="119"/>
      <c r="C65" s="124"/>
      <c r="D65" s="124"/>
      <c r="E65" s="124"/>
    </row>
    <row r="66" spans="1:5" ht="15.75">
      <c r="A66" s="155">
        <f>inputPrYr!B32</f>
        <v>0</v>
      </c>
      <c r="B66" s="119"/>
      <c r="C66" s="124"/>
      <c r="D66" s="124"/>
      <c r="E66" s="124"/>
    </row>
    <row r="67" spans="1:5" ht="15.75">
      <c r="A67" s="155">
        <f>inputPrYr!B33</f>
        <v>0</v>
      </c>
      <c r="B67" s="119"/>
      <c r="C67" s="124"/>
      <c r="D67" s="124"/>
      <c r="E67" s="124"/>
    </row>
    <row r="68" spans="1:5" ht="15.75">
      <c r="A68" s="155">
        <f>inputPrYr!B35</f>
        <v>0</v>
      </c>
      <c r="B68" s="119"/>
      <c r="C68" s="124"/>
      <c r="D68" s="124"/>
      <c r="E68" s="124"/>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K66" sqref="K66"/>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97" t="str">
        <f>inputPrYr!D2</f>
        <v>City of Fairview</v>
      </c>
      <c r="C1" s="197"/>
      <c r="D1" s="62"/>
      <c r="E1" s="157">
        <f>inputPrYr!C5</f>
        <v>2015</v>
      </c>
    </row>
    <row r="2" spans="2:5" ht="15.75">
      <c r="B2" s="62"/>
      <c r="C2" s="62"/>
      <c r="D2" s="62"/>
      <c r="E2" s="214"/>
    </row>
    <row r="3" spans="2:5" ht="15.75">
      <c r="B3" s="77" t="s">
        <v>219</v>
      </c>
      <c r="C3" s="77"/>
      <c r="D3" s="272"/>
      <c r="E3" s="159"/>
    </row>
    <row r="4" spans="2:5" ht="15.75">
      <c r="B4" s="65" t="s">
        <v>162</v>
      </c>
      <c r="C4" s="695" t="s">
        <v>815</v>
      </c>
      <c r="D4" s="696" t="s">
        <v>816</v>
      </c>
      <c r="E4" s="170" t="s">
        <v>817</v>
      </c>
    </row>
    <row r="5" spans="2:5" ht="15.75">
      <c r="B5" s="445" t="str">
        <f>inputPrYr!B18</f>
        <v>Debt Service</v>
      </c>
      <c r="C5" s="328" t="str">
        <f>CONCATENATE("Actual for ",$E$1-2,"")</f>
        <v>Actual for 2013</v>
      </c>
      <c r="D5" s="407" t="str">
        <f>CONCATENATE("Estimate for ",$E$1-1,"")</f>
        <v>Estimate for 2014</v>
      </c>
      <c r="E5" s="225" t="str">
        <f>CONCATENATE("Year for ",$E$1,"")</f>
        <v>Year for 2015</v>
      </c>
    </row>
    <row r="6" spans="2:5" ht="15.75">
      <c r="B6" s="174" t="s">
        <v>275</v>
      </c>
      <c r="C6" s="440"/>
      <c r="D6" s="439">
        <f>C34</f>
        <v>0</v>
      </c>
      <c r="E6" s="185">
        <f>D34</f>
        <v>0</v>
      </c>
    </row>
    <row r="7" spans="2:5" ht="15.75">
      <c r="B7" s="174" t="s">
        <v>277</v>
      </c>
      <c r="C7" s="186"/>
      <c r="D7" s="439"/>
      <c r="E7" s="185"/>
    </row>
    <row r="8" spans="2:5" ht="15.75">
      <c r="B8" s="174" t="s">
        <v>163</v>
      </c>
      <c r="C8" s="436"/>
      <c r="D8" s="439">
        <f>IF(inputPrYr!H16&gt;0,inputPrYr!G18,inputPrYr!E18)</f>
        <v>0</v>
      </c>
      <c r="E8" s="340" t="s">
        <v>150</v>
      </c>
    </row>
    <row r="9" spans="2:5" ht="15.75">
      <c r="B9" s="174" t="s">
        <v>164</v>
      </c>
      <c r="C9" s="436"/>
      <c r="D9" s="441"/>
      <c r="E9" s="83"/>
    </row>
    <row r="10" spans="2:5" ht="15.75">
      <c r="B10" s="174" t="s">
        <v>165</v>
      </c>
      <c r="C10" s="436"/>
      <c r="D10" s="441"/>
      <c r="E10" s="185" t="str">
        <f>Mvalloc!D10</f>
        <v>  </v>
      </c>
    </row>
    <row r="11" spans="2:5" ht="15.75">
      <c r="B11" s="174" t="s">
        <v>166</v>
      </c>
      <c r="C11" s="436"/>
      <c r="D11" s="441"/>
      <c r="E11" s="185" t="str">
        <f>Mvalloc!E10</f>
        <v>  </v>
      </c>
    </row>
    <row r="12" spans="2:5" ht="15.75">
      <c r="B12" s="187" t="s">
        <v>215</v>
      </c>
      <c r="C12" s="436"/>
      <c r="D12" s="441"/>
      <c r="E12" s="185" t="str">
        <f>Mvalloc!F10</f>
        <v>  </v>
      </c>
    </row>
    <row r="13" spans="2:5" ht="15.75">
      <c r="B13" s="342"/>
      <c r="C13" s="436"/>
      <c r="D13" s="441"/>
      <c r="E13" s="347"/>
    </row>
    <row r="14" spans="2:5" ht="15.75">
      <c r="B14" s="342"/>
      <c r="C14" s="436"/>
      <c r="D14" s="441"/>
      <c r="E14" s="83"/>
    </row>
    <row r="15" spans="2:5" ht="15.75">
      <c r="B15" s="342"/>
      <c r="C15" s="436"/>
      <c r="D15" s="441"/>
      <c r="E15" s="83"/>
    </row>
    <row r="16" spans="2:5" ht="15.75">
      <c r="B16" s="342"/>
      <c r="C16" s="436"/>
      <c r="D16" s="441"/>
      <c r="E16" s="83"/>
    </row>
    <row r="17" spans="2:5" ht="15.75">
      <c r="B17" s="332" t="s">
        <v>168</v>
      </c>
      <c r="C17" s="436"/>
      <c r="D17" s="441"/>
      <c r="E17" s="83"/>
    </row>
    <row r="18" spans="2:5" ht="15.75">
      <c r="B18" s="174" t="s">
        <v>255</v>
      </c>
      <c r="C18" s="485"/>
      <c r="D18" s="441"/>
      <c r="E18" s="83"/>
    </row>
    <row r="19" spans="2:5" ht="15.75">
      <c r="B19" s="174" t="s">
        <v>640</v>
      </c>
      <c r="C19" s="406">
        <f>IF(C20*0.1&lt;C18,"Exceed 10% Rule","")</f>
      </c>
      <c r="D19" s="406">
        <f>IF(D20*0.1&lt;D18,"Exceeds 10% Rule","")</f>
      </c>
      <c r="E19" s="418">
        <f>IF(E20*0.1&lt;E18,"Exceed 10% Rule","")</f>
      </c>
    </row>
    <row r="20" spans="2:5" ht="15.75">
      <c r="B20" s="285" t="s">
        <v>169</v>
      </c>
      <c r="C20" s="442">
        <f>SUM(C8:C18)</f>
        <v>0</v>
      </c>
      <c r="D20" s="442">
        <f>SUM(D8:D18)</f>
        <v>0</v>
      </c>
      <c r="E20" s="343">
        <f>SUM(E9:E18)</f>
        <v>0</v>
      </c>
    </row>
    <row r="21" spans="2:5" ht="15.75">
      <c r="B21" s="285" t="s">
        <v>170</v>
      </c>
      <c r="C21" s="442">
        <f>C6+C20</f>
        <v>0</v>
      </c>
      <c r="D21" s="442">
        <f>D6+D20</f>
        <v>0</v>
      </c>
      <c r="E21" s="343">
        <f>E6+E20</f>
        <v>0</v>
      </c>
    </row>
    <row r="22" spans="2:5" ht="15.75">
      <c r="B22" s="174" t="s">
        <v>171</v>
      </c>
      <c r="C22" s="174"/>
      <c r="D22" s="439"/>
      <c r="E22" s="185"/>
    </row>
    <row r="23" spans="2:5" ht="15.75">
      <c r="B23" s="342"/>
      <c r="C23" s="436"/>
      <c r="D23" s="441"/>
      <c r="E23" s="83"/>
    </row>
    <row r="24" spans="2:10" ht="15.75">
      <c r="B24" s="342"/>
      <c r="C24" s="436"/>
      <c r="D24" s="441"/>
      <c r="E24" s="83"/>
      <c r="G24" s="814" t="str">
        <f>CONCATENATE("Desired Carryover Into ",E1+1,"")</f>
        <v>Desired Carryover Into 2016</v>
      </c>
      <c r="H24" s="815"/>
      <c r="I24" s="815"/>
      <c r="J24" s="816"/>
    </row>
    <row r="25" spans="2:10" ht="15.75">
      <c r="B25" s="342"/>
      <c r="C25" s="441"/>
      <c r="D25" s="441"/>
      <c r="E25" s="83"/>
      <c r="G25" s="551"/>
      <c r="H25" s="455"/>
      <c r="I25" s="471"/>
      <c r="J25" s="552"/>
    </row>
    <row r="26" spans="2:10" ht="15.75">
      <c r="B26" s="342"/>
      <c r="C26" s="436"/>
      <c r="D26" s="441"/>
      <c r="E26" s="83"/>
      <c r="G26" s="477" t="s">
        <v>649</v>
      </c>
      <c r="H26" s="471"/>
      <c r="I26" s="471"/>
      <c r="J26" s="465">
        <v>0</v>
      </c>
    </row>
    <row r="27" spans="2:10" ht="15.75">
      <c r="B27" s="342"/>
      <c r="C27" s="436"/>
      <c r="D27" s="441"/>
      <c r="E27" s="83"/>
      <c r="G27" s="551" t="s">
        <v>648</v>
      </c>
      <c r="H27" s="455"/>
      <c r="I27" s="455"/>
      <c r="J27" s="676">
        <f>IF(J26=0,"",ROUND((J26+E40-G39)/inputOth!E7*1000,3)-G44)</f>
      </c>
    </row>
    <row r="28" spans="2:10" ht="15.75">
      <c r="B28" s="342"/>
      <c r="C28" s="436"/>
      <c r="D28" s="441"/>
      <c r="E28" s="83"/>
      <c r="G28" s="642" t="str">
        <f>CONCATENATE("",E1," Tot Exp/Non-Appr Must Be:")</f>
        <v>2015 Tot Exp/Non-Appr Must Be:</v>
      </c>
      <c r="H28" s="639"/>
      <c r="I28" s="640"/>
      <c r="J28" s="636">
        <f>IF(J26&gt;0,IF(E37&lt;E21,IF(J26=G39,E38,((J26-G39)*(1-D39))+E21),E38+(J26-G39)),0)</f>
        <v>0</v>
      </c>
    </row>
    <row r="29" spans="2:10" ht="15.75">
      <c r="B29" s="342"/>
      <c r="C29" s="436"/>
      <c r="D29" s="441"/>
      <c r="E29" s="83"/>
      <c r="G29" s="674" t="s">
        <v>819</v>
      </c>
      <c r="H29" s="679"/>
      <c r="I29" s="679"/>
      <c r="J29" s="643">
        <f>IF(J26&gt;0,J28-E38,0)</f>
        <v>0</v>
      </c>
    </row>
    <row r="30" spans="2:5" ht="15.75">
      <c r="B30" s="338" t="s">
        <v>50</v>
      </c>
      <c r="C30" s="436"/>
      <c r="D30" s="441"/>
      <c r="E30" s="185">
        <f>Nhood!E8</f>
      </c>
    </row>
    <row r="31" spans="2:10" ht="15.75">
      <c r="B31" s="338" t="s">
        <v>255</v>
      </c>
      <c r="C31" s="485"/>
      <c r="D31" s="441"/>
      <c r="E31" s="83"/>
      <c r="G31" s="814" t="str">
        <f>CONCATENATE("Projected Carryover Into ",E1+1,"")</f>
        <v>Projected Carryover Into 2016</v>
      </c>
      <c r="H31" s="907"/>
      <c r="I31" s="907"/>
      <c r="J31" s="906"/>
    </row>
    <row r="32" spans="2:10" ht="15.75">
      <c r="B32" s="338" t="s">
        <v>646</v>
      </c>
      <c r="C32" s="406">
        <f>IF(C33*0.1&lt;C31,"Exceed 10% Rule","")</f>
      </c>
      <c r="D32" s="406">
        <f>IF(D33*0.1&lt;D31,"Exceed 10% Rule","")</f>
      </c>
      <c r="E32" s="418">
        <f>IF(E33*0.1&lt;E31,"Exceed 10% Rule","")</f>
      </c>
      <c r="G32" s="551"/>
      <c r="H32" s="471"/>
      <c r="I32" s="471"/>
      <c r="J32" s="675"/>
    </row>
    <row r="33" spans="2:10" ht="15.75">
      <c r="B33" s="285" t="s">
        <v>172</v>
      </c>
      <c r="C33" s="438">
        <f>SUM(C23:C31)</f>
        <v>0</v>
      </c>
      <c r="D33" s="438">
        <f>SUM(D23:D31)</f>
        <v>0</v>
      </c>
      <c r="E33" s="335">
        <f>SUM(E23:E31)</f>
        <v>0</v>
      </c>
      <c r="G33" s="468">
        <f>D34</f>
        <v>0</v>
      </c>
      <c r="H33" s="469" t="str">
        <f>CONCATENATE("",E1-1," Ending Cash Balance (est.)")</f>
        <v>2014 Ending Cash Balance (est.)</v>
      </c>
      <c r="I33" s="470"/>
      <c r="J33" s="675"/>
    </row>
    <row r="34" spans="2:10" ht="15.75">
      <c r="B34" s="174" t="s">
        <v>276</v>
      </c>
      <c r="C34" s="443">
        <f>C21-C33</f>
        <v>0</v>
      </c>
      <c r="D34" s="443">
        <f>D21-D33</f>
        <v>0</v>
      </c>
      <c r="E34" s="340" t="s">
        <v>150</v>
      </c>
      <c r="F34"/>
      <c r="G34" s="468">
        <f>E20</f>
        <v>0</v>
      </c>
      <c r="H34" s="471" t="str">
        <f>CONCATENATE("",E1," Non-AV Receipts (est.)")</f>
        <v>2015 Non-AV Receipts (est.)</v>
      </c>
      <c r="I34" s="470"/>
      <c r="J34" s="675"/>
    </row>
    <row r="35" spans="2:11" ht="15.75">
      <c r="B35" s="344" t="str">
        <f>CONCATENATE("",E1-2,"/",E1-1,"/",E1," Budget Authority Amount:")</f>
        <v>2013/2014/2015 Budget Authority Amount:</v>
      </c>
      <c r="C35" s="420">
        <f>inputOth!B56</f>
        <v>0</v>
      </c>
      <c r="D35" s="746">
        <f>inputPrYr!D18</f>
        <v>0</v>
      </c>
      <c r="E35" s="185">
        <f>E33</f>
        <v>0</v>
      </c>
      <c r="F35" s="289"/>
      <c r="G35" s="472">
        <f>IF(E39&gt;0,E38,E40)</f>
        <v>0</v>
      </c>
      <c r="H35" s="471" t="str">
        <f>CONCATENATE("",E1," Ad Valorem Tax (est.)")</f>
        <v>2015 Ad Valorem Tax (est.)</v>
      </c>
      <c r="I35" s="470"/>
      <c r="J35" s="675"/>
      <c r="K35" s="681">
        <f>IF(G35=E40,"","Note: Does not include Delinquent Taxes")</f>
      </c>
    </row>
    <row r="36" spans="2:10" ht="15.75">
      <c r="B36" s="206"/>
      <c r="C36" s="822" t="s">
        <v>642</v>
      </c>
      <c r="D36" s="823"/>
      <c r="E36" s="83"/>
      <c r="F36" s="484">
        <f>IF(E33/0.95-E33&lt;E36,"Exceeds 5%","")</f>
      </c>
      <c r="G36" s="468">
        <f>SUM(G33:G35)</f>
        <v>0</v>
      </c>
      <c r="H36" s="471" t="str">
        <f>CONCATENATE("Total ",E1," Resources Available")</f>
        <v>Total 2015 Resources Available</v>
      </c>
      <c r="I36" s="470"/>
      <c r="J36" s="675"/>
    </row>
    <row r="37" spans="2:10" ht="15.75">
      <c r="B37" s="448" t="str">
        <f>CONCATENATE(C93,"     ",D93)</f>
        <v>     </v>
      </c>
      <c r="C37" s="824" t="s">
        <v>643</v>
      </c>
      <c r="D37" s="825"/>
      <c r="E37" s="185">
        <f>E33+E36</f>
        <v>0</v>
      </c>
      <c r="F37"/>
      <c r="G37" s="473"/>
      <c r="H37" s="471"/>
      <c r="I37" s="471"/>
      <c r="J37" s="675"/>
    </row>
    <row r="38" spans="2:10" ht="15.75">
      <c r="B38" s="448" t="str">
        <f>CONCATENATE(C94,"     ",D94)</f>
        <v>     </v>
      </c>
      <c r="C38" s="290"/>
      <c r="D38" s="214" t="s">
        <v>173</v>
      </c>
      <c r="E38" s="90">
        <f>IF(E37-E21&gt;0,E37-E21,0)</f>
        <v>0</v>
      </c>
      <c r="F38"/>
      <c r="G38" s="472">
        <f>C33</f>
        <v>0</v>
      </c>
      <c r="H38" s="471" t="str">
        <f>CONCATENATE("Less ",E1-2," Expenditures")</f>
        <v>Less 2013 Expenditures</v>
      </c>
      <c r="I38" s="471"/>
      <c r="J38" s="675"/>
    </row>
    <row r="39" spans="2:10" ht="15.75">
      <c r="B39" s="214"/>
      <c r="C39" s="435" t="s">
        <v>644</v>
      </c>
      <c r="D39" s="685">
        <f>inputOth!E41</f>
        <v>0</v>
      </c>
      <c r="E39" s="185">
        <f>ROUND(IF(D39&gt;0,(E38*D39),0),0)</f>
        <v>0</v>
      </c>
      <c r="F39"/>
      <c r="G39" s="677">
        <f>G36-G38</f>
        <v>0</v>
      </c>
      <c r="H39" s="678" t="str">
        <f>CONCATENATE("Projected ",E1+1," carryover (est.)")</f>
        <v>Projected 2016 carryover (est.)</v>
      </c>
      <c r="I39" s="475"/>
      <c r="J39" s="715"/>
    </row>
    <row r="40" spans="2:6" ht="16.5" thickBot="1">
      <c r="B40" s="62"/>
      <c r="C40" s="817" t="str">
        <f>CONCATENATE("Amount of  ",E1-1," Ad Valorem Tax")</f>
        <v>Amount of  2014 Ad Valorem Tax</v>
      </c>
      <c r="D40" s="818"/>
      <c r="E40" s="692">
        <f>SUM(E38:E39)</f>
        <v>0</v>
      </c>
      <c r="F40"/>
    </row>
    <row r="41" spans="2:10" ht="16.5" thickTop="1">
      <c r="B41" s="62"/>
      <c r="C41" s="817"/>
      <c r="D41" s="818"/>
      <c r="E41" s="693"/>
      <c r="F41"/>
      <c r="G41" s="826" t="s">
        <v>936</v>
      </c>
      <c r="H41" s="827"/>
      <c r="I41" s="827"/>
      <c r="J41" s="828"/>
    </row>
    <row r="42" spans="2:10" ht="15.75">
      <c r="B42" s="62"/>
      <c r="C42" s="611"/>
      <c r="D42" s="62"/>
      <c r="E42" s="62"/>
      <c r="F42"/>
      <c r="G42" s="687"/>
      <c r="H42" s="469"/>
      <c r="I42" s="637"/>
      <c r="J42" s="638"/>
    </row>
    <row r="43" spans="2:10" ht="15.75">
      <c r="B43" s="65"/>
      <c r="C43" s="65"/>
      <c r="D43" s="272"/>
      <c r="E43" s="272"/>
      <c r="F43"/>
      <c r="G43" s="689" t="e">
        <f>summ!#REF!</f>
        <v>#REF!</v>
      </c>
      <c r="H43" s="469" t="str">
        <f>CONCATENATE("",E1," Fund Mill Rate")</f>
        <v>2015 Fund Mill Rate</v>
      </c>
      <c r="I43" s="637"/>
      <c r="J43" s="638"/>
    </row>
    <row r="44" spans="2:10" ht="15.75">
      <c r="B44" s="65" t="s">
        <v>162</v>
      </c>
      <c r="C44" s="695" t="s">
        <v>815</v>
      </c>
      <c r="D44" s="696" t="s">
        <v>816</v>
      </c>
      <c r="E44" s="170" t="s">
        <v>817</v>
      </c>
      <c r="F44"/>
      <c r="G44" s="688" t="e">
        <f>summ!#REF!</f>
        <v>#REF!</v>
      </c>
      <c r="H44" s="469" t="str">
        <f>CONCATENATE("",E1-1," Fund Mill Rate")</f>
        <v>2014 Fund Mill Rate</v>
      </c>
      <c r="I44" s="637"/>
      <c r="J44" s="638"/>
    </row>
    <row r="45" spans="2:10" ht="15.75">
      <c r="B45" s="446" t="str">
        <f>inputPrYr!B19</f>
        <v>Library</v>
      </c>
      <c r="C45" s="328" t="str">
        <f>CONCATENATE("Actual for ",$E$1-2,"")</f>
        <v>Actual for 2013</v>
      </c>
      <c r="D45" s="407" t="str">
        <f>CONCATENATE("Estimate for ",$E$1-1,"")</f>
        <v>Estimate for 2014</v>
      </c>
      <c r="E45" s="225" t="str">
        <f>CONCATENATE("Year for ",$E$1,"")</f>
        <v>Year for 2015</v>
      </c>
      <c r="F45"/>
      <c r="G45" s="690">
        <f>summ!H21</f>
        <v>10.12</v>
      </c>
      <c r="H45" s="469" t="str">
        <f>CONCATENATE("Total ",E1," Mill Rate")</f>
        <v>Total 2015 Mill Rate</v>
      </c>
      <c r="I45" s="637"/>
      <c r="J45" s="638"/>
    </row>
    <row r="46" spans="2:10" ht="15.75">
      <c r="B46" s="174" t="s">
        <v>275</v>
      </c>
      <c r="C46" s="436">
        <v>0</v>
      </c>
      <c r="D46" s="439">
        <f>C74</f>
        <v>0</v>
      </c>
      <c r="E46" s="185">
        <f>D74</f>
        <v>0</v>
      </c>
      <c r="F46"/>
      <c r="G46" s="688">
        <f>summ!E21</f>
        <v>8.875</v>
      </c>
      <c r="H46" s="625" t="str">
        <f>CONCATENATE("Total ",E1-1," Mill Rate")</f>
        <v>Total 2014 Mill Rate</v>
      </c>
      <c r="I46" s="626"/>
      <c r="J46" s="627"/>
    </row>
    <row r="47" spans="2:6" ht="15.75">
      <c r="B47" s="274" t="s">
        <v>277</v>
      </c>
      <c r="C47" s="174"/>
      <c r="D47" s="439"/>
      <c r="E47" s="185"/>
      <c r="F47"/>
    </row>
    <row r="48" spans="2:9" ht="15.75">
      <c r="B48" s="174" t="s">
        <v>163</v>
      </c>
      <c r="C48" s="485"/>
      <c r="D48" s="439">
        <f>IF(inputPrYr!H16&gt;0,inputPrYr!G19,inputPrYr!E19)</f>
        <v>0</v>
      </c>
      <c r="E48" s="340" t="s">
        <v>150</v>
      </c>
      <c r="F48"/>
      <c r="G48" s="730" t="s">
        <v>962</v>
      </c>
      <c r="H48" s="729"/>
      <c r="I48" s="728" t="str">
        <f>cert!E38</f>
        <v>Yes</v>
      </c>
    </row>
    <row r="49" spans="2:6" ht="15.75">
      <c r="B49" s="174" t="s">
        <v>164</v>
      </c>
      <c r="C49" s="485"/>
      <c r="D49" s="441"/>
      <c r="E49" s="83"/>
      <c r="F49"/>
    </row>
    <row r="50" spans="2:6" ht="15.75">
      <c r="B50" s="174" t="s">
        <v>165</v>
      </c>
      <c r="C50" s="485"/>
      <c r="D50" s="441"/>
      <c r="E50" s="185" t="str">
        <f>Mvalloc!D11</f>
        <v>  </v>
      </c>
      <c r="F50"/>
    </row>
    <row r="51" spans="2:6" ht="15.75">
      <c r="B51" s="174" t="s">
        <v>166</v>
      </c>
      <c r="C51" s="485"/>
      <c r="D51" s="441"/>
      <c r="E51" s="185" t="str">
        <f>Mvalloc!E11</f>
        <v>  </v>
      </c>
      <c r="F51"/>
    </row>
    <row r="52" spans="2:5" ht="15.75">
      <c r="B52" s="187" t="s">
        <v>215</v>
      </c>
      <c r="C52" s="485"/>
      <c r="D52" s="441"/>
      <c r="E52" s="185" t="str">
        <f>Mvalloc!F11</f>
        <v>  </v>
      </c>
    </row>
    <row r="53" spans="2:5" ht="15.75">
      <c r="B53" s="342"/>
      <c r="C53" s="485"/>
      <c r="D53" s="441"/>
      <c r="E53" s="347"/>
    </row>
    <row r="54" spans="2:5" ht="15.75">
      <c r="B54" s="342"/>
      <c r="C54" s="485"/>
      <c r="D54" s="441"/>
      <c r="E54" s="347"/>
    </row>
    <row r="55" spans="2:5" ht="15.75">
      <c r="B55" s="342"/>
      <c r="C55" s="485"/>
      <c r="D55" s="441"/>
      <c r="E55" s="83"/>
    </row>
    <row r="56" spans="2:5" ht="15.75">
      <c r="B56" s="342"/>
      <c r="C56" s="485"/>
      <c r="D56" s="441"/>
      <c r="E56" s="83"/>
    </row>
    <row r="57" spans="2:5" ht="15.75">
      <c r="B57" s="332" t="s">
        <v>168</v>
      </c>
      <c r="C57" s="485"/>
      <c r="D57" s="441"/>
      <c r="E57" s="83"/>
    </row>
    <row r="58" spans="2:5" ht="15.75">
      <c r="B58" s="174" t="s">
        <v>255</v>
      </c>
      <c r="C58" s="485"/>
      <c r="D58" s="485"/>
      <c r="E58" s="571"/>
    </row>
    <row r="59" spans="2:5" ht="15.75">
      <c r="B59" s="174" t="s">
        <v>640</v>
      </c>
      <c r="C59" s="406">
        <f>IF(C60*0.1&lt;C58,"Exceed 10% Rule","")</f>
      </c>
      <c r="D59" s="406">
        <f>IF(D60*0.1&lt;D58,"Exceeds 10% Rule","")</f>
      </c>
      <c r="E59" s="418">
        <f>IF(E60*0.1&lt;E58,"Exceed 10% Rule","")</f>
      </c>
    </row>
    <row r="60" spans="2:5" ht="15.75">
      <c r="B60" s="285" t="s">
        <v>169</v>
      </c>
      <c r="C60" s="438">
        <f>SUM(C48:C58)</f>
        <v>0</v>
      </c>
      <c r="D60" s="438">
        <f>SUM(D48:D58)</f>
        <v>0</v>
      </c>
      <c r="E60" s="335">
        <f>SUM(E49:E58)</f>
        <v>0</v>
      </c>
    </row>
    <row r="61" spans="2:5" ht="15.75">
      <c r="B61" s="285" t="s">
        <v>170</v>
      </c>
      <c r="C61" s="438">
        <f>C46+C60</f>
        <v>0</v>
      </c>
      <c r="D61" s="438">
        <f>D46+D60</f>
        <v>0</v>
      </c>
      <c r="E61" s="335">
        <f>E46+E60</f>
        <v>0</v>
      </c>
    </row>
    <row r="62" spans="2:5" ht="15.75">
      <c r="B62" s="174" t="s">
        <v>171</v>
      </c>
      <c r="C62" s="174"/>
      <c r="D62" s="439"/>
      <c r="E62" s="185"/>
    </row>
    <row r="63" spans="2:5" ht="15.75">
      <c r="B63" s="342"/>
      <c r="C63" s="436"/>
      <c r="D63" s="441"/>
      <c r="E63" s="83"/>
    </row>
    <row r="64" spans="2:10" ht="15.75">
      <c r="B64" s="342"/>
      <c r="C64" s="436"/>
      <c r="D64" s="441"/>
      <c r="E64" s="83"/>
      <c r="G64" s="814" t="str">
        <f>CONCATENATE("Desired Carryover Into ",E1+1,"")</f>
        <v>Desired Carryover Into 2016</v>
      </c>
      <c r="H64" s="815"/>
      <c r="I64" s="815"/>
      <c r="J64" s="816"/>
    </row>
    <row r="65" spans="2:10" ht="15.75">
      <c r="B65" s="342"/>
      <c r="C65" s="436"/>
      <c r="D65" s="441"/>
      <c r="E65" s="83"/>
      <c r="G65" s="551"/>
      <c r="H65" s="455"/>
      <c r="I65" s="471"/>
      <c r="J65" s="552"/>
    </row>
    <row r="66" spans="2:10" ht="15.75">
      <c r="B66" s="342"/>
      <c r="C66" s="436"/>
      <c r="D66" s="441"/>
      <c r="E66" s="83"/>
      <c r="G66" s="477" t="s">
        <v>649</v>
      </c>
      <c r="H66" s="471"/>
      <c r="I66" s="471"/>
      <c r="J66" s="465">
        <v>0</v>
      </c>
    </row>
    <row r="67" spans="2:10" ht="15.75">
      <c r="B67" s="342"/>
      <c r="C67" s="436"/>
      <c r="D67" s="441"/>
      <c r="E67" s="83"/>
      <c r="G67" s="551" t="s">
        <v>648</v>
      </c>
      <c r="H67" s="455"/>
      <c r="I67" s="455"/>
      <c r="J67" s="676">
        <f>IF(J66=0,"",ROUND((J66+E80-G79)/inputOth!E7*1000,3)-G84)</f>
      </c>
    </row>
    <row r="68" spans="2:10" ht="15.75">
      <c r="B68" s="342"/>
      <c r="C68" s="436"/>
      <c r="D68" s="441"/>
      <c r="E68" s="83"/>
      <c r="G68" s="642" t="str">
        <f>CONCATENATE("",E1," Tot Exp/Non-Appr Must Be:")</f>
        <v>2015 Tot Exp/Non-Appr Must Be:</v>
      </c>
      <c r="H68" s="639"/>
      <c r="I68" s="640"/>
      <c r="J68" s="636">
        <f>IF(J66&gt;0,IF(E77&lt;E61,IF(J66=G79,E77,((J66-G79)*(1-D79))+E61),E77+(J66-G79)),0)</f>
        <v>0</v>
      </c>
    </row>
    <row r="69" spans="2:10" ht="15.75">
      <c r="B69" s="342"/>
      <c r="C69" s="436"/>
      <c r="D69" s="441"/>
      <c r="E69" s="83"/>
      <c r="G69" s="674" t="s">
        <v>819</v>
      </c>
      <c r="H69" s="679"/>
      <c r="I69" s="679"/>
      <c r="J69" s="643">
        <f>IF(J66&gt;0,J68-E77,0)</f>
        <v>0</v>
      </c>
    </row>
    <row r="70" spans="2:6" ht="15.75">
      <c r="B70" s="187" t="s">
        <v>50</v>
      </c>
      <c r="C70" s="436"/>
      <c r="D70" s="441"/>
      <c r="E70" s="185">
        <f>Nhood!E9</f>
      </c>
      <c r="F70"/>
    </row>
    <row r="71" spans="2:10" ht="15.75">
      <c r="B71" s="187" t="s">
        <v>255</v>
      </c>
      <c r="C71" s="485"/>
      <c r="D71" s="441"/>
      <c r="E71" s="83"/>
      <c r="F71"/>
      <c r="G71" s="814" t="str">
        <f>CONCATENATE("Projected Carryover Into ",E1+1,"")</f>
        <v>Projected Carryover Into 2016</v>
      </c>
      <c r="H71" s="905"/>
      <c r="I71" s="905"/>
      <c r="J71" s="906"/>
    </row>
    <row r="72" spans="2:10" ht="15.75">
      <c r="B72" s="187" t="s">
        <v>639</v>
      </c>
      <c r="C72" s="406">
        <f>IF(C73*0.1&lt;C71,"Exceed 10% Rule","")</f>
      </c>
      <c r="D72" s="406">
        <f>IF(D73*0.1&lt;D71,"Exceed 10% Rule","")</f>
      </c>
      <c r="E72" s="418">
        <f>IF(E73*0.1&lt;E71,"Exceed 10% Rule","")</f>
      </c>
      <c r="F72"/>
      <c r="G72" s="466"/>
      <c r="H72" s="455"/>
      <c r="I72" s="455"/>
      <c r="J72" s="691"/>
    </row>
    <row r="73" spans="2:10" ht="15.75">
      <c r="B73" s="285" t="s">
        <v>172</v>
      </c>
      <c r="C73" s="438">
        <f>SUM(C63:C71)</f>
        <v>0</v>
      </c>
      <c r="D73" s="438">
        <f>SUM(D63:D71)</f>
        <v>0</v>
      </c>
      <c r="E73" s="335">
        <f>SUM(E63:E71)</f>
        <v>0</v>
      </c>
      <c r="F73"/>
      <c r="G73" s="468">
        <f>D74</f>
        <v>0</v>
      </c>
      <c r="H73" s="469" t="str">
        <f>CONCATENATE("",E1-1," Ending Cash Balance (est.)")</f>
        <v>2014 Ending Cash Balance (est.)</v>
      </c>
      <c r="I73" s="470"/>
      <c r="J73" s="691"/>
    </row>
    <row r="74" spans="2:10" ht="15.75">
      <c r="B74" s="174" t="s">
        <v>276</v>
      </c>
      <c r="C74" s="443">
        <f>C61-C73</f>
        <v>0</v>
      </c>
      <c r="D74" s="443">
        <f>D61-D73</f>
        <v>0</v>
      </c>
      <c r="E74" s="340" t="s">
        <v>150</v>
      </c>
      <c r="F74"/>
      <c r="G74" s="468">
        <f>E60</f>
        <v>0</v>
      </c>
      <c r="H74" s="471" t="str">
        <f>CONCATENATE("",E1," Non-AV Receipts (est.)")</f>
        <v>2015 Non-AV Receipts (est.)</v>
      </c>
      <c r="I74" s="470"/>
      <c r="J74" s="691"/>
    </row>
    <row r="75" spans="2:11" ht="15.75">
      <c r="B75" s="344" t="str">
        <f>CONCATENATE("",E1-2,"/",E1-1,"/",E1," Budget Authority Amount:")</f>
        <v>2013/2014/2015 Budget Authority Amount:</v>
      </c>
      <c r="C75" s="420">
        <f>inputOth!B57</f>
        <v>0</v>
      </c>
      <c r="D75" s="420">
        <f>inputPrYr!D19</f>
        <v>0</v>
      </c>
      <c r="E75" s="185">
        <f>E73</f>
        <v>0</v>
      </c>
      <c r="F75" s="289"/>
      <c r="G75" s="472">
        <f>IF(E79&gt;0,E78,E80)</f>
        <v>0</v>
      </c>
      <c r="H75" s="471" t="str">
        <f>CONCATENATE("",E1," Ad Valorem Tax (est.)")</f>
        <v>2015 Ad Valorem Tax (est.)</v>
      </c>
      <c r="I75" s="470"/>
      <c r="J75" s="691"/>
      <c r="K75" s="681">
        <f>IF(G75=E80,"","Note: Does not include Delinquent Taxes")</f>
      </c>
    </row>
    <row r="76" spans="2:10" ht="15.75">
      <c r="B76" s="206"/>
      <c r="C76" s="822" t="s">
        <v>642</v>
      </c>
      <c r="D76" s="823"/>
      <c r="E76" s="83"/>
      <c r="F76" s="672">
        <f>IF(E73/0.95-E73&lt;E76,"Exceeds 5%","")</f>
      </c>
      <c r="G76" s="553">
        <f>SUM(G73:G75)</f>
        <v>0</v>
      </c>
      <c r="H76" s="471" t="str">
        <f>CONCATENATE("Total ",E1," Resources Available")</f>
        <v>Total 2015 Resources Available</v>
      </c>
      <c r="I76" s="467"/>
      <c r="J76" s="691"/>
    </row>
    <row r="77" spans="2:10" ht="15.75">
      <c r="B77" s="448" t="str">
        <f>CONCATENATE(C95,"     ",D95)</f>
        <v>     </v>
      </c>
      <c r="C77" s="824" t="s">
        <v>643</v>
      </c>
      <c r="D77" s="825"/>
      <c r="E77" s="185">
        <f>E73+E76</f>
        <v>0</v>
      </c>
      <c r="F77"/>
      <c r="G77" s="556"/>
      <c r="H77" s="554"/>
      <c r="I77" s="455"/>
      <c r="J77" s="691"/>
    </row>
    <row r="78" spans="2:10" ht="15.75">
      <c r="B78" s="448" t="str">
        <f>CONCATENATE(C96,"     ",D96)</f>
        <v>     </v>
      </c>
      <c r="C78" s="290"/>
      <c r="D78" s="214" t="s">
        <v>173</v>
      </c>
      <c r="E78" s="90">
        <f>IF(E77-E61&gt;0,E77-E61,0)</f>
        <v>0</v>
      </c>
      <c r="F78"/>
      <c r="G78" s="555">
        <f>ROUND(C73*0.05+C73,0)</f>
        <v>0</v>
      </c>
      <c r="H78" s="554" t="str">
        <f>CONCATENATE("Less ",E1-2," Expenditures + 5%")</f>
        <v>Less 2013 Expenditures + 5%</v>
      </c>
      <c r="I78" s="467"/>
      <c r="J78" s="691"/>
    </row>
    <row r="79" spans="2:10" ht="15.75">
      <c r="B79" s="214"/>
      <c r="C79" s="435" t="s">
        <v>644</v>
      </c>
      <c r="D79" s="685">
        <f>inputOth!E41</f>
        <v>0</v>
      </c>
      <c r="E79" s="185">
        <f>ROUND(IF(E78&gt;0,(E78*D79),0),0)</f>
        <v>0</v>
      </c>
      <c r="F79"/>
      <c r="G79" s="565">
        <f>G76-G78</f>
        <v>0</v>
      </c>
      <c r="H79" s="566" t="str">
        <f>CONCATENATE("Projected ",E1+1," carryover (est.)")</f>
        <v>Projected 2016 carryover (est.)</v>
      </c>
      <c r="I79" s="476"/>
      <c r="J79" s="716"/>
    </row>
    <row r="80" spans="2:6" ht="16.5" thickBot="1">
      <c r="B80" s="62"/>
      <c r="C80" s="817" t="str">
        <f>CONCATENATE("Amount of  ",E1-1," Ad Valorem Tax")</f>
        <v>Amount of  2014 Ad Valorem Tax</v>
      </c>
      <c r="D80" s="818"/>
      <c r="E80" s="692">
        <f>E78+E79</f>
        <v>0</v>
      </c>
      <c r="F80" s="673" t="e">
        <f>IF('Library Grant'!F33="","",IF('Library Grant'!F33="Qualify","Qualifies for State Library Grant","See 'Library Grant' tab"))</f>
        <v>#REF!</v>
      </c>
    </row>
    <row r="81" spans="2:10" ht="16.5" thickTop="1">
      <c r="B81" s="214"/>
      <c r="C81" s="817"/>
      <c r="D81" s="818"/>
      <c r="E81" s="693"/>
      <c r="F81"/>
      <c r="G81" s="826" t="s">
        <v>936</v>
      </c>
      <c r="H81" s="827"/>
      <c r="I81" s="827"/>
      <c r="J81" s="828"/>
    </row>
    <row r="82" spans="2:10" ht="15.75">
      <c r="B82" s="214"/>
      <c r="C82" s="214"/>
      <c r="D82" s="214"/>
      <c r="E82" s="214"/>
      <c r="G82" s="687"/>
      <c r="H82" s="469"/>
      <c r="I82" s="637"/>
      <c r="J82" s="638"/>
    </row>
    <row r="83" spans="2:10" ht="15.75">
      <c r="B83" s="214" t="s">
        <v>175</v>
      </c>
      <c r="C83" s="341"/>
      <c r="D83" s="214"/>
      <c r="E83" s="214"/>
      <c r="F83"/>
      <c r="G83" s="689" t="e">
        <f>summ!#REF!</f>
        <v>#REF!</v>
      </c>
      <c r="H83" s="469" t="str">
        <f>CONCATENATE("",E1," Fund Mill Rate")</f>
        <v>2015 Fund Mill Rate</v>
      </c>
      <c r="I83" s="637"/>
      <c r="J83" s="638"/>
    </row>
    <row r="84" spans="7:10" ht="15.75">
      <c r="G84" s="688" t="e">
        <f>summ!#REF!</f>
        <v>#REF!</v>
      </c>
      <c r="H84" s="469" t="str">
        <f>CONCATENATE("",E1-1," Fund Mill Rate")</f>
        <v>2014 Fund Mill Rate</v>
      </c>
      <c r="I84" s="637"/>
      <c r="J84" s="638"/>
    </row>
    <row r="85" spans="7:10" ht="15.75">
      <c r="G85" s="690">
        <f>summ!H21</f>
        <v>10.12</v>
      </c>
      <c r="H85" s="469" t="str">
        <f>CONCATENATE("Total ",E1," Mill Rate")</f>
        <v>Total 2015 Mill Rate</v>
      </c>
      <c r="I85" s="637"/>
      <c r="J85" s="638"/>
    </row>
    <row r="86" spans="7:10" ht="15.75">
      <c r="G86" s="688">
        <f>summ!E21</f>
        <v>8.875</v>
      </c>
      <c r="H86" s="625" t="str">
        <f>CONCATENATE("Total ",E1-1," Mill Rate")</f>
        <v>Total 2014 Mill Rate</v>
      </c>
      <c r="I86" s="626"/>
      <c r="J86" s="627"/>
    </row>
    <row r="87" spans="7:10" ht="15.75">
      <c r="G87" s="694"/>
      <c r="H87" s="694"/>
      <c r="I87" s="694"/>
      <c r="J87" s="694"/>
    </row>
    <row r="88" spans="3:9" ht="15.75">
      <c r="C88" s="63" t="s">
        <v>645</v>
      </c>
      <c r="D88" s="63" t="s">
        <v>645</v>
      </c>
      <c r="G88" s="733" t="s">
        <v>962</v>
      </c>
      <c r="H88" s="732"/>
      <c r="I88" s="731" t="str">
        <f>cert!E38</f>
        <v>Yes</v>
      </c>
    </row>
    <row r="89" spans="3:4" ht="15.75">
      <c r="C89" s="63" t="s">
        <v>645</v>
      </c>
      <c r="D89" s="63" t="s">
        <v>645</v>
      </c>
    </row>
    <row r="91" spans="3:4" ht="15.75">
      <c r="C91" s="63" t="s">
        <v>645</v>
      </c>
      <c r="D91" s="63" t="s">
        <v>645</v>
      </c>
    </row>
    <row r="92" spans="3:4" ht="15.75">
      <c r="C92" s="63" t="s">
        <v>645</v>
      </c>
      <c r="D92" s="63" t="s">
        <v>645</v>
      </c>
    </row>
    <row r="93" spans="3:4" ht="15.75" hidden="1">
      <c r="C93" s="454">
        <f>IF(C33&gt;C35,"See Tab A","")</f>
      </c>
      <c r="D93" s="454">
        <f>IF(D33&gt;D35,"See Tab C","")</f>
      </c>
    </row>
    <row r="94" spans="3:4" ht="15.75" hidden="1">
      <c r="C94" s="454">
        <f>IF(C34&lt;0,"See Tab B","")</f>
      </c>
      <c r="D94" s="454">
        <f>IF(D34&lt;0,"See Tab D","")</f>
      </c>
    </row>
    <row r="95" spans="3:4" ht="15.75" hidden="1">
      <c r="C95" s="449">
        <f>IF(C73&gt;C75,"See Tab A","")</f>
      </c>
      <c r="D95" s="449">
        <f>IF(D73&gt;D75,"See Tab C","")</f>
      </c>
    </row>
    <row r="96" spans="3:4" ht="15.75" hidden="1">
      <c r="C96" s="449">
        <f>IF(C74&lt;0,"See Tab B","")</f>
      </c>
      <c r="D96" s="449">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66" sqref="K66"/>
    </sheetView>
  </sheetViews>
  <sheetFormatPr defaultColWidth="8.796875" defaultRowHeight="15"/>
  <cols>
    <col min="1" max="1" width="2.3984375" style="63" customWidth="1"/>
    <col min="2" max="2" width="31.09765625" style="63" customWidth="1"/>
    <col min="3" max="4" width="15.796875" style="63" customWidth="1"/>
    <col min="5" max="5" width="16.19921875" style="63" customWidth="1"/>
    <col min="6" max="6" width="8.8984375" style="63" customWidth="1"/>
    <col min="7" max="7" width="10.19921875" style="63" customWidth="1"/>
    <col min="8" max="8" width="8.8984375" style="63" customWidth="1"/>
    <col min="9" max="9" width="5" style="63" customWidth="1"/>
    <col min="10" max="10" width="10" style="63" customWidth="1"/>
    <col min="11" max="16384" width="8.8984375" style="63" customWidth="1"/>
  </cols>
  <sheetData>
    <row r="1" spans="2:5" ht="15.75">
      <c r="B1" s="197" t="str">
        <f>(inputPrYr!D2)</f>
        <v>City of Fairview</v>
      </c>
      <c r="C1" s="197"/>
      <c r="D1" s="62"/>
      <c r="E1" s="157">
        <f>inputPrYr!$C$5</f>
        <v>2015</v>
      </c>
    </row>
    <row r="2" spans="2:5" ht="15.75">
      <c r="B2" s="62"/>
      <c r="C2" s="62"/>
      <c r="D2" s="62"/>
      <c r="E2" s="214"/>
    </row>
    <row r="3" spans="2:5" ht="15.75">
      <c r="B3" s="77" t="s">
        <v>219</v>
      </c>
      <c r="C3" s="77"/>
      <c r="D3" s="272"/>
      <c r="E3" s="159"/>
    </row>
    <row r="4" spans="2:5" ht="15.75">
      <c r="B4" s="65" t="s">
        <v>162</v>
      </c>
      <c r="C4" s="695" t="s">
        <v>815</v>
      </c>
      <c r="D4" s="696" t="s">
        <v>816</v>
      </c>
      <c r="E4" s="170" t="s">
        <v>817</v>
      </c>
    </row>
    <row r="5" spans="2:5" ht="15.75">
      <c r="B5" s="445">
        <f>(inputPrYr!B21)</f>
        <v>0</v>
      </c>
      <c r="C5" s="328" t="str">
        <f>CONCATENATE("Actual for ",$E$1-2,"")</f>
        <v>Actual for 2013</v>
      </c>
      <c r="D5" s="407" t="str">
        <f>CONCATENATE("Estimate for ",$E$1-1,"")</f>
        <v>Estimate for 2014</v>
      </c>
      <c r="E5" s="225" t="str">
        <f>CONCATENATE("Year for ",$E$1,"")</f>
        <v>Year for 2015</v>
      </c>
    </row>
    <row r="6" spans="2:5" ht="15.75">
      <c r="B6" s="174" t="s">
        <v>275</v>
      </c>
      <c r="C6" s="440"/>
      <c r="D6" s="439">
        <f>C34</f>
        <v>0</v>
      </c>
      <c r="E6" s="185">
        <f>D34</f>
        <v>0</v>
      </c>
    </row>
    <row r="7" spans="2:5" ht="15.75">
      <c r="B7" s="174" t="s">
        <v>277</v>
      </c>
      <c r="C7" s="186"/>
      <c r="D7" s="439"/>
      <c r="E7" s="185"/>
    </row>
    <row r="8" spans="2:5" ht="15.75">
      <c r="B8" s="174" t="s">
        <v>163</v>
      </c>
      <c r="C8" s="436"/>
      <c r="D8" s="439">
        <f>IF(inputPrYr!H16&gt;0,inputPrYr!G21,inputPrYr!E21)</f>
        <v>0</v>
      </c>
      <c r="E8" s="340" t="s">
        <v>150</v>
      </c>
    </row>
    <row r="9" spans="2:5" ht="15.75">
      <c r="B9" s="174" t="s">
        <v>164</v>
      </c>
      <c r="C9" s="436"/>
      <c r="D9" s="441"/>
      <c r="E9" s="83"/>
    </row>
    <row r="10" spans="2:5" ht="15.75">
      <c r="B10" s="174" t="s">
        <v>165</v>
      </c>
      <c r="C10" s="436"/>
      <c r="D10" s="441"/>
      <c r="E10" s="185" t="str">
        <f>Mvalloc!D12</f>
        <v>  </v>
      </c>
    </row>
    <row r="11" spans="2:5" ht="15.75">
      <c r="B11" s="174" t="s">
        <v>166</v>
      </c>
      <c r="C11" s="436"/>
      <c r="D11" s="441"/>
      <c r="E11" s="185" t="str">
        <f>Mvalloc!E12</f>
        <v>  </v>
      </c>
    </row>
    <row r="12" spans="2:5" ht="15.75">
      <c r="B12" s="187" t="s">
        <v>215</v>
      </c>
      <c r="C12" s="436"/>
      <c r="D12" s="441"/>
      <c r="E12" s="185" t="str">
        <f>Mvalloc!F12</f>
        <v>  </v>
      </c>
    </row>
    <row r="13" spans="2:5" ht="15.75">
      <c r="B13" s="342"/>
      <c r="C13" s="436"/>
      <c r="D13" s="441"/>
      <c r="E13" s="347"/>
    </row>
    <row r="14" spans="2:5" ht="15.75">
      <c r="B14" s="342"/>
      <c r="C14" s="436"/>
      <c r="D14" s="441"/>
      <c r="E14" s="83"/>
    </row>
    <row r="15" spans="2:5" ht="15.75">
      <c r="B15" s="342"/>
      <c r="C15" s="436"/>
      <c r="D15" s="441"/>
      <c r="E15" s="83"/>
    </row>
    <row r="16" spans="2:5" ht="15.75">
      <c r="B16" s="342"/>
      <c r="C16" s="436"/>
      <c r="D16" s="441"/>
      <c r="E16" s="83"/>
    </row>
    <row r="17" spans="2:5" ht="15.75">
      <c r="B17" s="332" t="s">
        <v>168</v>
      </c>
      <c r="C17" s="436"/>
      <c r="D17" s="441"/>
      <c r="E17" s="83"/>
    </row>
    <row r="18" spans="2:5" ht="15.75">
      <c r="B18" s="174" t="s">
        <v>255</v>
      </c>
      <c r="C18" s="436"/>
      <c r="D18" s="441"/>
      <c r="E18" s="83"/>
    </row>
    <row r="19" spans="2:5" ht="15.75">
      <c r="B19" s="174" t="s">
        <v>640</v>
      </c>
      <c r="C19" s="437">
        <f>IF(C20*0.1&lt;C18,"Exceed 10% Rule","")</f>
      </c>
      <c r="D19" s="447">
        <f>IF(D20*0.1&lt;D18,"Exceed 10% Rule","")</f>
      </c>
      <c r="E19" s="333">
        <f>IF(E20*0.1+E40&lt;E18,"Exceed 10% Rule","")</f>
      </c>
    </row>
    <row r="20" spans="2:5" ht="15.75">
      <c r="B20" s="285" t="s">
        <v>169</v>
      </c>
      <c r="C20" s="442">
        <f>SUM(C8:C18)</f>
        <v>0</v>
      </c>
      <c r="D20" s="442">
        <f>SUM(D8:D18)</f>
        <v>0</v>
      </c>
      <c r="E20" s="343">
        <f>SUM(E8:E18)</f>
        <v>0</v>
      </c>
    </row>
    <row r="21" spans="2:5" ht="15.75">
      <c r="B21" s="285" t="s">
        <v>170</v>
      </c>
      <c r="C21" s="442">
        <f>C6+C20</f>
        <v>0</v>
      </c>
      <c r="D21" s="442">
        <f>D6+D20</f>
        <v>0</v>
      </c>
      <c r="E21" s="343">
        <f>E6+E20</f>
        <v>0</v>
      </c>
    </row>
    <row r="22" spans="2:5" ht="15.75">
      <c r="B22" s="174" t="s">
        <v>171</v>
      </c>
      <c r="C22" s="174"/>
      <c r="D22" s="439"/>
      <c r="E22" s="185"/>
    </row>
    <row r="23" spans="2:5" ht="15.75">
      <c r="B23" s="342"/>
      <c r="C23" s="436"/>
      <c r="D23" s="441"/>
      <c r="E23" s="83"/>
    </row>
    <row r="24" spans="2:10" ht="15.75">
      <c r="B24" s="342"/>
      <c r="C24" s="436"/>
      <c r="D24" s="441"/>
      <c r="E24" s="83"/>
      <c r="G24" s="814" t="str">
        <f>CONCATENATE("Desired Carryover Into ",E1+1,"")</f>
        <v>Desired Carryover Into 2016</v>
      </c>
      <c r="H24" s="815"/>
      <c r="I24" s="815"/>
      <c r="J24" s="816"/>
    </row>
    <row r="25" spans="2:10" ht="15.75">
      <c r="B25" s="342"/>
      <c r="C25" s="436"/>
      <c r="D25" s="441"/>
      <c r="E25" s="83"/>
      <c r="G25" s="551"/>
      <c r="H25" s="455"/>
      <c r="I25" s="471"/>
      <c r="J25" s="552"/>
    </row>
    <row r="26" spans="2:10" ht="15.75">
      <c r="B26" s="342"/>
      <c r="C26" s="436"/>
      <c r="D26" s="441"/>
      <c r="E26" s="83"/>
      <c r="G26" s="477" t="s">
        <v>649</v>
      </c>
      <c r="H26" s="471"/>
      <c r="I26" s="471"/>
      <c r="J26" s="465">
        <v>0</v>
      </c>
    </row>
    <row r="27" spans="2:10" ht="15.75">
      <c r="B27" s="342"/>
      <c r="C27" s="436"/>
      <c r="D27" s="441"/>
      <c r="E27" s="83"/>
      <c r="G27" s="551" t="s">
        <v>648</v>
      </c>
      <c r="H27" s="455"/>
      <c r="I27" s="455"/>
      <c r="J27" s="676">
        <f>IF(J26=0,"",ROUND((J26+E40-G39)/inputOth!E7*1000,3)-G44)</f>
      </c>
    </row>
    <row r="28" spans="2:10" ht="15.75">
      <c r="B28" s="342"/>
      <c r="C28" s="436"/>
      <c r="D28" s="441"/>
      <c r="E28" s="83"/>
      <c r="G28" s="642" t="str">
        <f>CONCATENATE("",E1," Tot Exp/Non-Appr Must Be:")</f>
        <v>2015 Tot Exp/Non-Appr Must Be:</v>
      </c>
      <c r="H28" s="639"/>
      <c r="I28" s="640"/>
      <c r="J28" s="636">
        <f>IF(J26&gt;0,IF(E37&lt;E21,IF(J26=G39,E38,((J26-G39)*(1-D39))+E21),E38+(J26-G39)),0)</f>
        <v>0</v>
      </c>
    </row>
    <row r="29" spans="2:10" ht="15.75">
      <c r="B29" s="342"/>
      <c r="C29" s="436"/>
      <c r="D29" s="441"/>
      <c r="E29" s="83"/>
      <c r="G29" s="674" t="s">
        <v>819</v>
      </c>
      <c r="H29" s="679"/>
      <c r="I29" s="679"/>
      <c r="J29" s="643">
        <f>IF(J26&gt;0,J28-E38,0)</f>
        <v>0</v>
      </c>
    </row>
    <row r="30" spans="2:10" ht="15.75">
      <c r="B30" s="338" t="s">
        <v>50</v>
      </c>
      <c r="C30" s="436"/>
      <c r="D30" s="441"/>
      <c r="E30" s="185">
        <f>Nhood!E10</f>
      </c>
      <c r="J30" s="2"/>
    </row>
    <row r="31" spans="2:10" ht="15.75">
      <c r="B31" s="338" t="s">
        <v>255</v>
      </c>
      <c r="C31" s="436"/>
      <c r="D31" s="441"/>
      <c r="E31" s="83"/>
      <c r="G31" s="814" t="str">
        <f>CONCATENATE("Projected Carryover Into ",E1+1,"")</f>
        <v>Projected Carryover Into 2016</v>
      </c>
      <c r="H31" s="907"/>
      <c r="I31" s="907"/>
      <c r="J31" s="906"/>
    </row>
    <row r="32" spans="2:10" ht="15.75">
      <c r="B32" s="338" t="s">
        <v>646</v>
      </c>
      <c r="C32" s="406">
        <f>IF(C33*0.1&lt;C31,"Exceed 10% Rule","")</f>
      </c>
      <c r="D32" s="418">
        <f>IF(D33*0.1&lt;D31,"Exceed 10% Rule","")</f>
      </c>
      <c r="E32" s="284">
        <f>IF(E33*0.1&lt;E31,"Exceed 10% Rule","")</f>
      </c>
      <c r="G32" s="551"/>
      <c r="H32" s="471"/>
      <c r="I32" s="471"/>
      <c r="J32" s="691"/>
    </row>
    <row r="33" spans="2:10" ht="15.75">
      <c r="B33" s="285" t="s">
        <v>172</v>
      </c>
      <c r="C33" s="438">
        <f>SUM(C23:C31)</f>
        <v>0</v>
      </c>
      <c r="D33" s="438">
        <f>SUM(D23:D31)</f>
        <v>0</v>
      </c>
      <c r="E33" s="335">
        <f>SUM(E23:E31)</f>
        <v>0</v>
      </c>
      <c r="G33" s="468">
        <f>D34</f>
        <v>0</v>
      </c>
      <c r="H33" s="469" t="str">
        <f>CONCATENATE("",E1-1," Ending Cash Balance (est.)")</f>
        <v>2014 Ending Cash Balance (est.)</v>
      </c>
      <c r="I33" s="470"/>
      <c r="J33" s="691"/>
    </row>
    <row r="34" spans="2:10" ht="15.75">
      <c r="B34" s="174" t="s">
        <v>276</v>
      </c>
      <c r="C34" s="443">
        <f>C21-C33</f>
        <v>0</v>
      </c>
      <c r="D34" s="443">
        <f>D21-D33</f>
        <v>0</v>
      </c>
      <c r="E34" s="340" t="s">
        <v>150</v>
      </c>
      <c r="G34" s="468">
        <f>E20</f>
        <v>0</v>
      </c>
      <c r="H34" s="471" t="str">
        <f>CONCATENATE("",E1," Non-AV Receipts (est.)")</f>
        <v>2015 Non-AV Receipts (est.)</v>
      </c>
      <c r="I34" s="470"/>
      <c r="J34" s="691"/>
    </row>
    <row r="35" spans="2:11" ht="15.75">
      <c r="B35" s="344" t="str">
        <f>CONCATENATE("",E1-2,"/",E1-1,"/",E1," Budget Authority Amount:")</f>
        <v>2013/2014/2015 Budget Authority Amount:</v>
      </c>
      <c r="C35" s="414">
        <f>inputOth!B58</f>
        <v>0</v>
      </c>
      <c r="D35" s="420">
        <f>inputPrYr!D21</f>
        <v>0</v>
      </c>
      <c r="E35" s="185">
        <f>E33</f>
        <v>0</v>
      </c>
      <c r="F35" s="289"/>
      <c r="G35" s="472">
        <f>IF(E39&gt;0,E38,E40)</f>
        <v>0</v>
      </c>
      <c r="H35" s="471" t="str">
        <f>CONCATENATE("",E1," Ad Valorem Tax (est.)")</f>
        <v>2015 Ad Valorem Tax (est.)</v>
      </c>
      <c r="I35" s="470"/>
      <c r="J35" s="717"/>
      <c r="K35" s="681">
        <f>IF(G35=E40,"","Note: Does not include Delinquent Taxes")</f>
      </c>
    </row>
    <row r="36" spans="2:10" ht="15.75">
      <c r="B36" s="206"/>
      <c r="C36" s="822" t="s">
        <v>642</v>
      </c>
      <c r="D36" s="823"/>
      <c r="E36" s="83"/>
      <c r="F36" s="289">
        <f>IF(E33/0.95-E33&lt;E36,"Exceeds 5%","")</f>
      </c>
      <c r="G36" s="468">
        <f>SUM(G33:G35)</f>
        <v>0</v>
      </c>
      <c r="H36" s="471" t="str">
        <f>CONCATENATE("Total ",E1," Resources Available")</f>
        <v>Total 2015 Resources Available</v>
      </c>
      <c r="I36" s="470"/>
      <c r="J36" s="691"/>
    </row>
    <row r="37" spans="2:10" ht="15.75">
      <c r="B37" s="448" t="str">
        <f>CONCATENATE(C94,"     ",D94)</f>
        <v>     </v>
      </c>
      <c r="C37" s="824" t="s">
        <v>643</v>
      </c>
      <c r="D37" s="825"/>
      <c r="E37" s="185">
        <f>E33+E36</f>
        <v>0</v>
      </c>
      <c r="G37" s="473"/>
      <c r="H37" s="471"/>
      <c r="I37" s="471"/>
      <c r="J37" s="691"/>
    </row>
    <row r="38" spans="2:10" ht="15.75">
      <c r="B38" s="448" t="str">
        <f>CONCATENATE(C95,"     ",D95)</f>
        <v>     </v>
      </c>
      <c r="C38" s="290"/>
      <c r="D38" s="214" t="s">
        <v>173</v>
      </c>
      <c r="E38" s="90">
        <f>IF(E37-E21&gt;0,E37-E21,0)</f>
        <v>0</v>
      </c>
      <c r="G38" s="472">
        <f>ROUND(C33*0.05+C33,0)</f>
        <v>0</v>
      </c>
      <c r="H38" s="471" t="str">
        <f>CONCATENATE("Less ",E1-2," Expenditures + 5%")</f>
        <v>Less 2013 Expenditures + 5%</v>
      </c>
      <c r="I38" s="470"/>
      <c r="J38" s="691"/>
    </row>
    <row r="39" spans="2:10" ht="15.75">
      <c r="B39" s="214"/>
      <c r="C39" s="435" t="s">
        <v>644</v>
      </c>
      <c r="D39" s="685">
        <f>inputOth!E41</f>
        <v>0</v>
      </c>
      <c r="E39" s="185">
        <f>ROUND(IF(D39&gt;0,(E38*D39),0),0)</f>
        <v>0</v>
      </c>
      <c r="G39" s="677">
        <f>G36-G38</f>
        <v>0</v>
      </c>
      <c r="H39" s="678" t="str">
        <f>CONCATENATE("Projected ",E1+1," carryover (est.)")</f>
        <v>Projected 2016 carryover (est.)</v>
      </c>
      <c r="I39" s="475"/>
      <c r="J39" s="716"/>
    </row>
    <row r="40" spans="2:10" ht="16.5" thickBot="1">
      <c r="B40" s="62"/>
      <c r="C40" s="817" t="str">
        <f>CONCATENATE("Amount of  ",E1-1," Ad Valorem Tax")</f>
        <v>Amount of  2014 Ad Valorem Tax</v>
      </c>
      <c r="D40" s="818"/>
      <c r="E40" s="692">
        <f>E38+E39</f>
        <v>0</v>
      </c>
      <c r="G40" s="2"/>
      <c r="H40" s="2"/>
      <c r="I40" s="2"/>
      <c r="J40" s="2"/>
    </row>
    <row r="41" spans="2:10" ht="16.5" thickTop="1">
      <c r="B41" s="62"/>
      <c r="C41" s="817"/>
      <c r="D41" s="818"/>
      <c r="E41" s="62"/>
      <c r="G41" s="826" t="s">
        <v>936</v>
      </c>
      <c r="H41" s="827"/>
      <c r="I41" s="827"/>
      <c r="J41" s="828"/>
    </row>
    <row r="42" spans="2:10" ht="15.75">
      <c r="B42" s="62"/>
      <c r="C42" s="611"/>
      <c r="D42" s="62"/>
      <c r="E42" s="62"/>
      <c r="G42" s="687"/>
      <c r="H42" s="469"/>
      <c r="I42" s="637"/>
      <c r="J42" s="638"/>
    </row>
    <row r="43" spans="2:10" ht="15.75">
      <c r="B43" s="65" t="s">
        <v>162</v>
      </c>
      <c r="C43" s="65"/>
      <c r="D43" s="272"/>
      <c r="E43" s="272"/>
      <c r="G43" s="689" t="e">
        <f>summ!#REF!</f>
        <v>#REF!</v>
      </c>
      <c r="H43" s="469" t="str">
        <f>CONCATENATE("",E1," Fund Mill Rate")</f>
        <v>2015 Fund Mill Rate</v>
      </c>
      <c r="I43" s="637"/>
      <c r="J43" s="638"/>
    </row>
    <row r="44" spans="2:10" ht="15.75">
      <c r="B44" s="62"/>
      <c r="C44" s="695" t="s">
        <v>815</v>
      </c>
      <c r="D44" s="696" t="s">
        <v>816</v>
      </c>
      <c r="E44" s="170" t="s">
        <v>817</v>
      </c>
      <c r="G44" s="688" t="e">
        <f>summ!#REF!</f>
        <v>#REF!</v>
      </c>
      <c r="H44" s="469" t="str">
        <f>CONCATENATE("",E1-1," Fund Mill Rate")</f>
        <v>2014 Fund Mill Rate</v>
      </c>
      <c r="I44" s="637"/>
      <c r="J44" s="638"/>
    </row>
    <row r="45" spans="2:10" ht="15.75">
      <c r="B45" s="446">
        <f>(inputPrYr!B22)</f>
        <v>0</v>
      </c>
      <c r="C45" s="328" t="str">
        <f>CONCATENATE("Actual for ",$E$1-2,"")</f>
        <v>Actual for 2013</v>
      </c>
      <c r="D45" s="407" t="str">
        <f>CONCATENATE("Estimate for ",$E$1-1,"")</f>
        <v>Estimate for 2014</v>
      </c>
      <c r="E45" s="225" t="str">
        <f>CONCATENATE("Year for ",$E$1,"")</f>
        <v>Year for 2015</v>
      </c>
      <c r="G45" s="690">
        <f>summ!H21</f>
        <v>10.12</v>
      </c>
      <c r="H45" s="469" t="str">
        <f>CONCATENATE("Total ",E1," Mill Rate")</f>
        <v>Total 2015 Mill Rate</v>
      </c>
      <c r="I45" s="637"/>
      <c r="J45" s="638"/>
    </row>
    <row r="46" spans="2:10" ht="15.75">
      <c r="B46" s="174" t="s">
        <v>275</v>
      </c>
      <c r="C46" s="436"/>
      <c r="D46" s="439">
        <f>C74</f>
        <v>0</v>
      </c>
      <c r="E46" s="185">
        <f>D74</f>
        <v>0</v>
      </c>
      <c r="G46" s="688">
        <f>summ!E21</f>
        <v>8.875</v>
      </c>
      <c r="H46" s="625" t="str">
        <f>CONCATENATE("Total ",E1-1," Mill Rate")</f>
        <v>Total 2014 Mill Rate</v>
      </c>
      <c r="I46" s="626"/>
      <c r="J46" s="627"/>
    </row>
    <row r="47" spans="2:5" ht="15.75">
      <c r="B47" s="274" t="s">
        <v>277</v>
      </c>
      <c r="C47" s="174"/>
      <c r="D47" s="439"/>
      <c r="E47" s="185"/>
    </row>
    <row r="48" spans="2:9" ht="15.75">
      <c r="B48" s="174" t="s">
        <v>163</v>
      </c>
      <c r="C48" s="436"/>
      <c r="D48" s="439">
        <f>IF(inputPrYr!H16&gt;0,inputPrYr!G22,inputPrYr!E22)</f>
        <v>0</v>
      </c>
      <c r="E48" s="340" t="s">
        <v>150</v>
      </c>
      <c r="G48" s="736" t="s">
        <v>962</v>
      </c>
      <c r="H48" s="735"/>
      <c r="I48" s="734" t="str">
        <f>cert!E38</f>
        <v>Yes</v>
      </c>
    </row>
    <row r="49" spans="2:5" ht="15.75">
      <c r="B49" s="174" t="s">
        <v>164</v>
      </c>
      <c r="C49" s="436"/>
      <c r="D49" s="441"/>
      <c r="E49" s="83"/>
    </row>
    <row r="50" spans="2:5" ht="15.75">
      <c r="B50" s="174" t="s">
        <v>165</v>
      </c>
      <c r="C50" s="436"/>
      <c r="D50" s="441"/>
      <c r="E50" s="185" t="str">
        <f>Mvalloc!D13</f>
        <v>  </v>
      </c>
    </row>
    <row r="51" spans="2:5" ht="15.75">
      <c r="B51" s="174" t="s">
        <v>166</v>
      </c>
      <c r="C51" s="436"/>
      <c r="D51" s="441"/>
      <c r="E51" s="185" t="str">
        <f>Mvalloc!E13</f>
        <v>  </v>
      </c>
    </row>
    <row r="52" spans="2:5" ht="15.75">
      <c r="B52" s="187" t="s">
        <v>215</v>
      </c>
      <c r="C52" s="436"/>
      <c r="D52" s="441"/>
      <c r="E52" s="185" t="str">
        <f>Mvalloc!F13</f>
        <v>  </v>
      </c>
    </row>
    <row r="53" spans="2:5" ht="15.75">
      <c r="B53" s="342"/>
      <c r="C53" s="436"/>
      <c r="D53" s="441"/>
      <c r="E53" s="347"/>
    </row>
    <row r="54" spans="2:5" ht="15.75">
      <c r="B54" s="342"/>
      <c r="C54" s="436"/>
      <c r="D54" s="441"/>
      <c r="E54" s="347"/>
    </row>
    <row r="55" spans="2:5" ht="15.75">
      <c r="B55" s="342"/>
      <c r="C55" s="436"/>
      <c r="D55" s="441"/>
      <c r="E55" s="83"/>
    </row>
    <row r="56" spans="2:5" ht="15.75">
      <c r="B56" s="342"/>
      <c r="C56" s="436"/>
      <c r="D56" s="441"/>
      <c r="E56" s="83"/>
    </row>
    <row r="57" spans="2:5" ht="15.75">
      <c r="B57" s="332" t="s">
        <v>168</v>
      </c>
      <c r="C57" s="436"/>
      <c r="D57" s="441"/>
      <c r="E57" s="83"/>
    </row>
    <row r="58" spans="2:5" ht="15.75">
      <c r="B58" s="174" t="s">
        <v>255</v>
      </c>
      <c r="C58" s="436"/>
      <c r="D58" s="441"/>
      <c r="E58" s="83"/>
    </row>
    <row r="59" spans="2:5" ht="15.75">
      <c r="B59" s="174" t="s">
        <v>640</v>
      </c>
      <c r="C59" s="437">
        <f>IF(C60*0.1&lt;C58,"Exceed 10% Rule","")</f>
      </c>
      <c r="D59" s="447">
        <f>IF(D60*0.1&lt;D58,"Exceed 10% Rule","")</f>
      </c>
      <c r="E59" s="333">
        <f>IF(E60*0.1+E79&lt;E58,"Exceed 10% Rule","")</f>
      </c>
    </row>
    <row r="60" spans="2:5" ht="15.75">
      <c r="B60" s="285" t="s">
        <v>169</v>
      </c>
      <c r="C60" s="438">
        <f>SUM(C48:C58)</f>
        <v>0</v>
      </c>
      <c r="D60" s="438">
        <f>SUM(D48:D58)</f>
        <v>0</v>
      </c>
      <c r="E60" s="335">
        <f>SUM(E48:E58)</f>
        <v>0</v>
      </c>
    </row>
    <row r="61" spans="2:5" ht="15.75">
      <c r="B61" s="285" t="s">
        <v>170</v>
      </c>
      <c r="C61" s="438">
        <f>C46+C60</f>
        <v>0</v>
      </c>
      <c r="D61" s="438">
        <f>D46+D60</f>
        <v>0</v>
      </c>
      <c r="E61" s="335">
        <f>E46+E60</f>
        <v>0</v>
      </c>
    </row>
    <row r="62" spans="2:5" ht="15.75">
      <c r="B62" s="174" t="s">
        <v>171</v>
      </c>
      <c r="C62" s="174"/>
      <c r="D62" s="439"/>
      <c r="E62" s="185"/>
    </row>
    <row r="63" spans="2:5" ht="15.75">
      <c r="B63" s="342"/>
      <c r="C63" s="436"/>
      <c r="D63" s="441"/>
      <c r="E63" s="83"/>
    </row>
    <row r="64" spans="2:10" ht="15.75">
      <c r="B64" s="342"/>
      <c r="C64" s="436"/>
      <c r="D64" s="441"/>
      <c r="E64" s="83"/>
      <c r="G64" s="814" t="str">
        <f>CONCATENATE("Desired Carryover Into ",E1+1,"")</f>
        <v>Desired Carryover Into 2016</v>
      </c>
      <c r="H64" s="815"/>
      <c r="I64" s="815"/>
      <c r="J64" s="816"/>
    </row>
    <row r="65" spans="2:10" ht="15.75">
      <c r="B65" s="342"/>
      <c r="C65" s="436"/>
      <c r="D65" s="441"/>
      <c r="E65" s="83"/>
      <c r="G65" s="551"/>
      <c r="H65" s="455"/>
      <c r="I65" s="471"/>
      <c r="J65" s="552"/>
    </row>
    <row r="66" spans="2:10" ht="15.75">
      <c r="B66" s="342"/>
      <c r="C66" s="436"/>
      <c r="D66" s="441"/>
      <c r="E66" s="83"/>
      <c r="G66" s="477" t="s">
        <v>649</v>
      </c>
      <c r="H66" s="471"/>
      <c r="I66" s="471"/>
      <c r="J66" s="465">
        <v>0</v>
      </c>
    </row>
    <row r="67" spans="2:10" ht="15.75">
      <c r="B67" s="342"/>
      <c r="C67" s="436"/>
      <c r="D67" s="441"/>
      <c r="E67" s="83"/>
      <c r="G67" s="551" t="s">
        <v>648</v>
      </c>
      <c r="H67" s="455"/>
      <c r="I67" s="455"/>
      <c r="J67" s="676">
        <f>IF(J66=0,"",ROUND((J66+E80-G79)/inputOth!E7*1000,3)-G84)</f>
      </c>
    </row>
    <row r="68" spans="2:10" ht="15.75">
      <c r="B68" s="342"/>
      <c r="C68" s="436"/>
      <c r="D68" s="441"/>
      <c r="E68" s="83"/>
      <c r="G68" s="642" t="str">
        <f>CONCATENATE("",E1," Tot Exp/Non-Appr Must Be:")</f>
        <v>2015 Tot Exp/Non-Appr Must Be:</v>
      </c>
      <c r="H68" s="639"/>
      <c r="I68" s="640"/>
      <c r="J68" s="636">
        <f>IF(J66&gt;0,IF(E77&lt;E61,IF(J66=G79,E77,((J66-G79)*(1-D79))+E61),E77+(J66-G79)),0)</f>
        <v>0</v>
      </c>
    </row>
    <row r="69" spans="2:10" ht="15.75">
      <c r="B69" s="342"/>
      <c r="C69" s="436"/>
      <c r="D69" s="441"/>
      <c r="E69" s="83"/>
      <c r="G69" s="674" t="s">
        <v>819</v>
      </c>
      <c r="H69" s="679"/>
      <c r="I69" s="679"/>
      <c r="J69" s="643">
        <f>IF(J66&gt;0,J68-E77,0)</f>
        <v>0</v>
      </c>
    </row>
    <row r="70" spans="2:10" ht="15.75">
      <c r="B70" s="187" t="s">
        <v>50</v>
      </c>
      <c r="C70" s="436"/>
      <c r="D70" s="441"/>
      <c r="E70" s="185">
        <f>Nhood!E11</f>
      </c>
      <c r="J70" s="2"/>
    </row>
    <row r="71" spans="2:10" ht="15.75">
      <c r="B71" s="187" t="s">
        <v>255</v>
      </c>
      <c r="C71" s="436"/>
      <c r="D71" s="441"/>
      <c r="E71" s="83"/>
      <c r="G71" s="814" t="str">
        <f>CONCATENATE("Projected Carryover Into ",E1+1,"")</f>
        <v>Projected Carryover Into 2016</v>
      </c>
      <c r="H71" s="905"/>
      <c r="I71" s="905"/>
      <c r="J71" s="906"/>
    </row>
    <row r="72" spans="2:10" ht="15.75">
      <c r="B72" s="187" t="s">
        <v>639</v>
      </c>
      <c r="C72" s="437">
        <f>IF(C73*0.1&lt;C71,"Exceed 10% Rule","")</f>
      </c>
      <c r="D72" s="447">
        <f>IF(D73*0.1&lt;D71,"Exceed 10% Rule","")</f>
      </c>
      <c r="E72" s="333">
        <f>IF(E73*0.1&lt;E71,"Exceed 10% Rule","")</f>
      </c>
      <c r="G72" s="466"/>
      <c r="H72" s="455"/>
      <c r="I72" s="455"/>
      <c r="J72" s="164"/>
    </row>
    <row r="73" spans="2:10" ht="15.75">
      <c r="B73" s="285" t="s">
        <v>172</v>
      </c>
      <c r="C73" s="438">
        <f>SUM(C63:C71)</f>
        <v>0</v>
      </c>
      <c r="D73" s="438">
        <f>SUM(D63:D71)</f>
        <v>0</v>
      </c>
      <c r="E73" s="335">
        <f>SUM(E63:E71)</f>
        <v>0</v>
      </c>
      <c r="G73" s="468">
        <f>D74</f>
        <v>0</v>
      </c>
      <c r="H73" s="469" t="str">
        <f>CONCATENATE("",E1-1," Ending Cash Balance (est.)")</f>
        <v>2014 Ending Cash Balance (est.)</v>
      </c>
      <c r="I73" s="470"/>
      <c r="J73" s="164"/>
    </row>
    <row r="74" spans="2:10" ht="15.75">
      <c r="B74" s="174" t="s">
        <v>276</v>
      </c>
      <c r="C74" s="443">
        <f>C61-C73</f>
        <v>0</v>
      </c>
      <c r="D74" s="443">
        <f>D61-D73</f>
        <v>0</v>
      </c>
      <c r="E74" s="340" t="s">
        <v>150</v>
      </c>
      <c r="G74" s="468">
        <f>E60</f>
        <v>0</v>
      </c>
      <c r="H74" s="471" t="str">
        <f>CONCATENATE("",E1," Non-AV Receipts (est.)")</f>
        <v>2015 Non-AV Receipts (est.)</v>
      </c>
      <c r="I74" s="470"/>
      <c r="J74" s="164"/>
    </row>
    <row r="75" spans="2:11" ht="15.75">
      <c r="B75" s="344" t="str">
        <f>CONCATENATE("",E1-2,"/",E1-1,"/",E1," Budget Authority Amount:")</f>
        <v>2013/2014/2015 Budget Authority Amount:</v>
      </c>
      <c r="C75" s="420">
        <f>inputOth!B59</f>
        <v>0</v>
      </c>
      <c r="D75" s="420">
        <f>inputPrYr!D22</f>
        <v>0</v>
      </c>
      <c r="E75" s="185">
        <f>E73</f>
        <v>0</v>
      </c>
      <c r="F75" s="289"/>
      <c r="G75" s="472">
        <f>IF(D79&gt;0,E78,E80)</f>
        <v>0</v>
      </c>
      <c r="H75" s="471" t="str">
        <f>CONCATENATE("",E1," Ad Valorem Tax (est.)")</f>
        <v>2015 Ad Valorem Tax (est.)</v>
      </c>
      <c r="I75" s="470"/>
      <c r="J75" s="164"/>
      <c r="K75" s="681">
        <f>IF(G75=E80,"","Note: Does not include Delinquent Taxes")</f>
      </c>
    </row>
    <row r="76" spans="2:10" ht="15.75">
      <c r="B76" s="206"/>
      <c r="C76" s="822" t="s">
        <v>642</v>
      </c>
      <c r="D76" s="823"/>
      <c r="E76" s="83"/>
      <c r="F76" s="289">
        <f>IF(E73/0.95-E73&lt;E76,"Exceeds 5%","")</f>
      </c>
      <c r="G76" s="553">
        <f>SUM(G73:G75)</f>
        <v>0</v>
      </c>
      <c r="H76" s="471" t="str">
        <f>CONCATENATE("Total ",E1," Resources Available")</f>
        <v>Total 2015 Resources Available</v>
      </c>
      <c r="I76" s="467"/>
      <c r="J76" s="164"/>
    </row>
    <row r="77" spans="2:10" ht="15.75">
      <c r="B77" s="448" t="str">
        <f>CONCATENATE(C96,"     ",D96)</f>
        <v>     </v>
      </c>
      <c r="C77" s="824" t="s">
        <v>643</v>
      </c>
      <c r="D77" s="825"/>
      <c r="E77" s="185">
        <f>E73+E76</f>
        <v>0</v>
      </c>
      <c r="G77" s="556"/>
      <c r="H77" s="554"/>
      <c r="I77" s="455"/>
      <c r="J77" s="164"/>
    </row>
    <row r="78" spans="2:10" ht="15.75">
      <c r="B78" s="448" t="str">
        <f>CONCATENATE(C97,"     ",D97)</f>
        <v>     </v>
      </c>
      <c r="C78" s="290"/>
      <c r="D78" s="214" t="s">
        <v>173</v>
      </c>
      <c r="E78" s="90">
        <f>IF(E77-E61&gt;0,E77-E61,0)</f>
        <v>0</v>
      </c>
      <c r="G78" s="555">
        <f>ROUND(C73*0.05+C73,0)</f>
        <v>0</v>
      </c>
      <c r="H78" s="554" t="str">
        <f>CONCATENATE("Less ",E1-2," Expenditures + 5%")</f>
        <v>Less 2013 Expenditures + 5%</v>
      </c>
      <c r="I78" s="467"/>
      <c r="J78" s="164"/>
    </row>
    <row r="79" spans="2:10" ht="15.75">
      <c r="B79" s="214"/>
      <c r="C79" s="435" t="s">
        <v>644</v>
      </c>
      <c r="D79" s="685">
        <f>inputOth!E41</f>
        <v>0</v>
      </c>
      <c r="E79" s="185">
        <f>ROUND(IF(D79&gt;0,(E78*D79),0),0)</f>
        <v>0</v>
      </c>
      <c r="G79" s="565">
        <f>G76-G78</f>
        <v>0</v>
      </c>
      <c r="H79" s="566" t="str">
        <f>CONCATENATE("Projected ",E1+1," carryover (est.)")</f>
        <v>Projected 2016 carryover (est.)</v>
      </c>
      <c r="I79" s="476"/>
      <c r="J79" s="716"/>
    </row>
    <row r="80" spans="2:9" ht="16.5" thickBot="1">
      <c r="B80" s="62"/>
      <c r="C80" s="817" t="str">
        <f>CONCATENATE("Amount of  ",E1-1," Ad Valorem Tax")</f>
        <v>Amount of  2014 Ad Valorem Tax</v>
      </c>
      <c r="D80" s="818"/>
      <c r="E80" s="692">
        <f>E78+E79</f>
        <v>0</v>
      </c>
      <c r="G80" s="2"/>
      <c r="H80" s="2"/>
      <c r="I80" s="2"/>
    </row>
    <row r="81" spans="2:10" ht="16.5" thickTop="1">
      <c r="B81" s="62"/>
      <c r="C81" s="817"/>
      <c r="D81" s="818"/>
      <c r="E81" s="62"/>
      <c r="G81" s="826" t="s">
        <v>936</v>
      </c>
      <c r="H81" s="827"/>
      <c r="I81" s="827"/>
      <c r="J81" s="828"/>
    </row>
    <row r="82" spans="2:10" ht="15.75">
      <c r="B82" s="62"/>
      <c r="C82" s="611"/>
      <c r="D82" s="62"/>
      <c r="E82" s="62"/>
      <c r="G82" s="687"/>
      <c r="H82" s="469"/>
      <c r="I82" s="637"/>
      <c r="J82" s="638"/>
    </row>
    <row r="83" spans="2:10" ht="15.75">
      <c r="B83" s="214" t="s">
        <v>175</v>
      </c>
      <c r="C83" s="341"/>
      <c r="D83" s="114"/>
      <c r="E83" s="62"/>
      <c r="G83" s="689" t="e">
        <f>summ!#REF!</f>
        <v>#REF!</v>
      </c>
      <c r="H83" s="469" t="str">
        <f>CONCATENATE("",E1," Fund Mill Rate")</f>
        <v>2015 Fund Mill Rate</v>
      </c>
      <c r="I83" s="637"/>
      <c r="J83" s="638"/>
    </row>
    <row r="84" spans="7:10" ht="15.75">
      <c r="G84" s="688" t="e">
        <f>summ!#REF!</f>
        <v>#REF!</v>
      </c>
      <c r="H84" s="469" t="str">
        <f>CONCATENATE("",E1-1," Fund Mill Rate")</f>
        <v>2014 Fund Mill Rate</v>
      </c>
      <c r="I84" s="637"/>
      <c r="J84" s="638"/>
    </row>
    <row r="85" spans="2:10" ht="15.75">
      <c r="B85" s="122"/>
      <c r="C85" s="122"/>
      <c r="G85" s="690">
        <f>summ!H21</f>
        <v>10.12</v>
      </c>
      <c r="H85" s="469" t="str">
        <f>CONCATENATE("Total ",E1," Mill Rate")</f>
        <v>Total 2015 Mill Rate</v>
      </c>
      <c r="I85" s="637"/>
      <c r="J85" s="638"/>
    </row>
    <row r="86" spans="7:10" ht="15.75">
      <c r="G86" s="688">
        <f>summ!E21</f>
        <v>8.875</v>
      </c>
      <c r="H86" s="625" t="str">
        <f>CONCATENATE("Total ",E1-1," Mill Rate")</f>
        <v>Total 2014 Mill Rate</v>
      </c>
      <c r="I86" s="626"/>
      <c r="J86" s="627"/>
    </row>
    <row r="88" spans="7:9" ht="15.75">
      <c r="G88" s="739" t="s">
        <v>962</v>
      </c>
      <c r="H88" s="738"/>
      <c r="I88" s="737" t="str">
        <f>cert!E38</f>
        <v>Yes</v>
      </c>
    </row>
    <row r="94" spans="3:4" ht="15.75" hidden="1">
      <c r="C94" s="454">
        <f>IF(C33&gt;C35,"See Tab A","")</f>
      </c>
      <c r="D94" s="454">
        <f>IF(D33&gt;D35,"See Tab C","")</f>
      </c>
    </row>
    <row r="95" spans="3:4" ht="15.75" hidden="1">
      <c r="C95" s="454">
        <f>IF(C34&lt;0,"See Tab B","")</f>
      </c>
      <c r="D95" s="454">
        <f>IF(D34&lt;0,"See Tab D","")</f>
      </c>
    </row>
    <row r="96" spans="3:4" ht="15.75" hidden="1">
      <c r="C96" s="449">
        <f>IF(C73&gt;C75,"See Tab A","")</f>
      </c>
      <c r="D96" s="449">
        <f>IF(D73&gt;D75,"See Tab C","")</f>
      </c>
    </row>
    <row r="97" spans="3:4" ht="15.75" hidden="1">
      <c r="C97" s="449">
        <f>IF(C74&lt;0,"See Tab B","")</f>
      </c>
      <c r="D97" s="449">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K66" sqref="K66"/>
    </sheetView>
  </sheetViews>
  <sheetFormatPr defaultColWidth="8.796875" defaultRowHeight="15"/>
  <cols>
    <col min="1" max="1" width="2.3984375" style="63" customWidth="1"/>
    <col min="2" max="2" width="31.09765625" style="63" customWidth="1"/>
    <col min="3" max="4" width="15.796875" style="63" customWidth="1"/>
    <col min="5" max="5" width="16.19921875" style="63" customWidth="1"/>
    <col min="6" max="6" width="8.8984375" style="63" customWidth="1"/>
    <col min="7" max="7" width="10.19921875" style="63" customWidth="1"/>
    <col min="8" max="8" width="8.8984375" style="63" customWidth="1"/>
    <col min="9" max="9" width="5" style="63" customWidth="1"/>
    <col min="10" max="10" width="10" style="63" customWidth="1"/>
    <col min="11" max="16384" width="8.8984375" style="63" customWidth="1"/>
  </cols>
  <sheetData>
    <row r="1" spans="2:5" ht="15.75">
      <c r="B1" s="197" t="str">
        <f>(inputPrYr!D2)</f>
        <v>City of Fairview</v>
      </c>
      <c r="C1" s="197"/>
      <c r="D1" s="62"/>
      <c r="E1" s="157">
        <f>inputPrYr!$C$5</f>
        <v>2015</v>
      </c>
    </row>
    <row r="2" spans="2:5" ht="15.75">
      <c r="B2" s="62"/>
      <c r="C2" s="62"/>
      <c r="D2" s="62"/>
      <c r="E2" s="214"/>
    </row>
    <row r="3" spans="2:5" ht="15.75">
      <c r="B3" s="77" t="s">
        <v>219</v>
      </c>
      <c r="C3" s="339"/>
      <c r="D3" s="168"/>
      <c r="E3" s="159"/>
    </row>
    <row r="4" spans="2:5" ht="15.75">
      <c r="B4" s="65" t="s">
        <v>162</v>
      </c>
      <c r="C4" s="695" t="s">
        <v>815</v>
      </c>
      <c r="D4" s="696" t="s">
        <v>816</v>
      </c>
      <c r="E4" s="170" t="s">
        <v>817</v>
      </c>
    </row>
    <row r="5" spans="2:5" ht="15.75">
      <c r="B5" s="446">
        <f>(inputPrYr!B23)</f>
        <v>0</v>
      </c>
      <c r="C5" s="328" t="str">
        <f>CONCATENATE("Actual for ",$E$1-2,"")</f>
        <v>Actual for 2013</v>
      </c>
      <c r="D5" s="407" t="str">
        <f>CONCATENATE("Estimate for ",$E$1-1,"")</f>
        <v>Estimate for 2014</v>
      </c>
      <c r="E5" s="225" t="str">
        <f>CONCATENATE("Year for ",$E$1,"")</f>
        <v>Year for 2015</v>
      </c>
    </row>
    <row r="6" spans="2:5" ht="15.75">
      <c r="B6" s="174" t="s">
        <v>275</v>
      </c>
      <c r="C6" s="436"/>
      <c r="D6" s="439">
        <f>C34</f>
        <v>0</v>
      </c>
      <c r="E6" s="185">
        <f>D34</f>
        <v>0</v>
      </c>
    </row>
    <row r="7" spans="2:5" ht="15.75">
      <c r="B7" s="274" t="s">
        <v>277</v>
      </c>
      <c r="C7" s="174"/>
      <c r="D7" s="439"/>
      <c r="E7" s="185"/>
    </row>
    <row r="8" spans="2:5" ht="15.75">
      <c r="B8" s="174" t="s">
        <v>163</v>
      </c>
      <c r="C8" s="441"/>
      <c r="D8" s="439">
        <f>IF(inputPrYr!H16&gt;0,inputPrYr!G23,inputPrYr!E23)</f>
        <v>0</v>
      </c>
      <c r="E8" s="340" t="s">
        <v>150</v>
      </c>
    </row>
    <row r="9" spans="2:5" ht="15.75">
      <c r="B9" s="174" t="s">
        <v>164</v>
      </c>
      <c r="C9" s="441"/>
      <c r="D9" s="441"/>
      <c r="E9" s="83"/>
    </row>
    <row r="10" spans="2:5" ht="15.75">
      <c r="B10" s="174" t="s">
        <v>165</v>
      </c>
      <c r="C10" s="441"/>
      <c r="D10" s="441"/>
      <c r="E10" s="185" t="str">
        <f>Mvalloc!D14</f>
        <v>  </v>
      </c>
    </row>
    <row r="11" spans="2:5" ht="15.75">
      <c r="B11" s="174" t="s">
        <v>166</v>
      </c>
      <c r="C11" s="441"/>
      <c r="D11" s="441"/>
      <c r="E11" s="185" t="str">
        <f>Mvalloc!E14</f>
        <v>  </v>
      </c>
    </row>
    <row r="12" spans="2:5" ht="15.75">
      <c r="B12" s="187" t="s">
        <v>215</v>
      </c>
      <c r="C12" s="441"/>
      <c r="D12" s="441"/>
      <c r="E12" s="185" t="str">
        <f>Mvalloc!F14</f>
        <v>  </v>
      </c>
    </row>
    <row r="13" spans="2:5" ht="15.75">
      <c r="B13" s="288"/>
      <c r="C13" s="441"/>
      <c r="D13" s="441"/>
      <c r="E13" s="86"/>
    </row>
    <row r="14" spans="2:5" ht="15.75">
      <c r="B14" s="288"/>
      <c r="C14" s="441"/>
      <c r="D14" s="441"/>
      <c r="E14" s="86"/>
    </row>
    <row r="15" spans="2:5" ht="15.75">
      <c r="B15" s="288"/>
      <c r="C15" s="441"/>
      <c r="D15" s="441"/>
      <c r="E15" s="83"/>
    </row>
    <row r="16" spans="2:5" ht="15.75">
      <c r="B16" s="288"/>
      <c r="C16" s="441"/>
      <c r="D16" s="441"/>
      <c r="E16" s="83"/>
    </row>
    <row r="17" spans="2:5" ht="15.75">
      <c r="B17" s="332" t="s">
        <v>168</v>
      </c>
      <c r="C17" s="441"/>
      <c r="D17" s="441"/>
      <c r="E17" s="83"/>
    </row>
    <row r="18" spans="2:5" ht="15.75">
      <c r="B18" s="336" t="s">
        <v>255</v>
      </c>
      <c r="C18" s="441"/>
      <c r="D18" s="441"/>
      <c r="E18" s="83"/>
    </row>
    <row r="19" spans="2:5" ht="15.75">
      <c r="B19" s="336" t="s">
        <v>640</v>
      </c>
      <c r="C19" s="437">
        <f>IF(C20*0.1&lt;C18,"Exceed 10% Rule","")</f>
      </c>
      <c r="D19" s="437">
        <f>IF(D20*0.1&lt;D18,"Exceed 10% Rule","")</f>
      </c>
      <c r="E19" s="447">
        <f>IF(E20*0.1+E40&lt;E18,"Exceed 10% Rule","")</f>
      </c>
    </row>
    <row r="20" spans="2:5" ht="15.75">
      <c r="B20" s="285" t="s">
        <v>169</v>
      </c>
      <c r="C20" s="438">
        <f>SUM(C8:C18)</f>
        <v>0</v>
      </c>
      <c r="D20" s="438">
        <f>SUM(D8:D18)</f>
        <v>0</v>
      </c>
      <c r="E20" s="335">
        <f>SUM(E8:E18)</f>
        <v>0</v>
      </c>
    </row>
    <row r="21" spans="2:5" ht="15.75">
      <c r="B21" s="285" t="s">
        <v>170</v>
      </c>
      <c r="C21" s="438">
        <f>C6+C20</f>
        <v>0</v>
      </c>
      <c r="D21" s="438">
        <f>D6+D20</f>
        <v>0</v>
      </c>
      <c r="E21" s="335">
        <f>E6+E20</f>
        <v>0</v>
      </c>
    </row>
    <row r="22" spans="2:5" ht="15.75">
      <c r="B22" s="174" t="s">
        <v>171</v>
      </c>
      <c r="C22" s="174"/>
      <c r="D22" s="439"/>
      <c r="E22" s="185"/>
    </row>
    <row r="23" spans="2:5" ht="15.75">
      <c r="B23" s="288"/>
      <c r="C23" s="441"/>
      <c r="D23" s="441"/>
      <c r="E23" s="83"/>
    </row>
    <row r="24" spans="2:10" ht="15.75">
      <c r="B24" s="288"/>
      <c r="C24" s="441"/>
      <c r="D24" s="441"/>
      <c r="E24" s="83"/>
      <c r="G24" s="814" t="str">
        <f>CONCATENATE("Desired Carryover Into ",E1+1,"")</f>
        <v>Desired Carryover Into 2016</v>
      </c>
      <c r="H24" s="815"/>
      <c r="I24" s="815"/>
      <c r="J24" s="816"/>
    </row>
    <row r="25" spans="2:10" ht="15.75">
      <c r="B25" s="288"/>
      <c r="C25" s="441"/>
      <c r="D25" s="441"/>
      <c r="E25" s="83"/>
      <c r="G25" s="551"/>
      <c r="H25" s="455"/>
      <c r="I25" s="471"/>
      <c r="J25" s="552"/>
    </row>
    <row r="26" spans="2:10" ht="15.75">
      <c r="B26" s="288"/>
      <c r="C26" s="441"/>
      <c r="D26" s="441"/>
      <c r="E26" s="83"/>
      <c r="G26" s="477" t="s">
        <v>649</v>
      </c>
      <c r="H26" s="471"/>
      <c r="I26" s="471"/>
      <c r="J26" s="465">
        <v>0</v>
      </c>
    </row>
    <row r="27" spans="2:10" ht="15.75">
      <c r="B27" s="288"/>
      <c r="C27" s="441"/>
      <c r="D27" s="441"/>
      <c r="E27" s="83"/>
      <c r="G27" s="551" t="s">
        <v>648</v>
      </c>
      <c r="H27" s="455"/>
      <c r="I27" s="455"/>
      <c r="J27" s="676">
        <f>IF(J26=0,"",ROUND((J26+E40-G39)/inputOth!E7*1000,3)-G44)</f>
      </c>
    </row>
    <row r="28" spans="2:10" ht="15.75">
      <c r="B28" s="288"/>
      <c r="C28" s="441"/>
      <c r="D28" s="441"/>
      <c r="E28" s="83"/>
      <c r="G28" s="642" t="str">
        <f>CONCATENATE("",E1," Tot Exp/Non-Appr Must Be:")</f>
        <v>2015 Tot Exp/Non-Appr Must Be:</v>
      </c>
      <c r="H28" s="639"/>
      <c r="I28" s="640"/>
      <c r="J28" s="636">
        <f>IF(J26&gt;0,IF(E37&lt;E21,IF(J26=G39,E38,((J26-G39)*(1-D39))+E21),E38+(J26-G39)),0)</f>
        <v>0</v>
      </c>
    </row>
    <row r="29" spans="2:10" ht="15.75">
      <c r="B29" s="288"/>
      <c r="C29" s="441"/>
      <c r="D29" s="441"/>
      <c r="E29" s="83"/>
      <c r="G29" s="674" t="s">
        <v>819</v>
      </c>
      <c r="H29" s="679"/>
      <c r="I29" s="679"/>
      <c r="J29" s="643">
        <f>IF(J26&gt;0,J28-E38,0)</f>
        <v>0</v>
      </c>
    </row>
    <row r="30" spans="2:10" ht="15.75">
      <c r="B30" s="187" t="s">
        <v>50</v>
      </c>
      <c r="C30" s="441"/>
      <c r="D30" s="441"/>
      <c r="E30" s="185">
        <f>Nhood!E12</f>
      </c>
      <c r="J30" s="2"/>
    </row>
    <row r="31" spans="2:10" ht="15.75">
      <c r="B31" s="187" t="s">
        <v>255</v>
      </c>
      <c r="C31" s="441"/>
      <c r="D31" s="441"/>
      <c r="E31" s="83"/>
      <c r="G31" s="814" t="str">
        <f>CONCATENATE("Projected Carryover Into ",E1+1,"")</f>
        <v>Projected Carryover Into 2016</v>
      </c>
      <c r="H31" s="907"/>
      <c r="I31" s="907"/>
      <c r="J31" s="906"/>
    </row>
    <row r="32" spans="2:10" ht="15.75">
      <c r="B32" s="187" t="s">
        <v>639</v>
      </c>
      <c r="C32" s="437">
        <f>IF(C33*0.1&lt;C31,"Exceed 10% Rule","")</f>
      </c>
      <c r="D32" s="437">
        <f>IF(D33*0.1&lt;D31,"Exceed 10% Rule","")</f>
      </c>
      <c r="E32" s="447">
        <f>IF(E33*0.1&lt;E31,"Exceed 10% Rule","")</f>
      </c>
      <c r="G32" s="551"/>
      <c r="H32" s="471"/>
      <c r="I32" s="471"/>
      <c r="J32" s="718"/>
    </row>
    <row r="33" spans="2:10" ht="15.75">
      <c r="B33" s="285" t="s">
        <v>172</v>
      </c>
      <c r="C33" s="438">
        <f>SUM(C23:C31)</f>
        <v>0</v>
      </c>
      <c r="D33" s="438">
        <f>SUM(D23:D31)</f>
        <v>0</v>
      </c>
      <c r="E33" s="335">
        <f>SUM(E23:E31)</f>
        <v>0</v>
      </c>
      <c r="G33" s="468">
        <f>D34</f>
        <v>0</v>
      </c>
      <c r="H33" s="469" t="str">
        <f>CONCATENATE("",E1-1," Ending Cash Balance (est.)")</f>
        <v>2014 Ending Cash Balance (est.)</v>
      </c>
      <c r="I33" s="470"/>
      <c r="J33" s="718"/>
    </row>
    <row r="34" spans="2:10" ht="15.75">
      <c r="B34" s="174" t="s">
        <v>276</v>
      </c>
      <c r="C34" s="443">
        <f>C21-C33</f>
        <v>0</v>
      </c>
      <c r="D34" s="443">
        <f>D21-D33</f>
        <v>0</v>
      </c>
      <c r="E34" s="340" t="s">
        <v>150</v>
      </c>
      <c r="G34" s="468">
        <f>E20</f>
        <v>0</v>
      </c>
      <c r="H34" s="471" t="str">
        <f>CONCATENATE("",E1," Non-AV Receipts (est.)")</f>
        <v>2015 Non-AV Receipts (est.)</v>
      </c>
      <c r="I34" s="470"/>
      <c r="J34" s="718"/>
    </row>
    <row r="35" spans="2:11" ht="15.75">
      <c r="B35" s="344" t="str">
        <f>CONCATENATE("",E1-2,"/",E1-1,"/",E1," Budget Authority Amount:")</f>
        <v>2013/2014/2015 Budget Authority Amount:</v>
      </c>
      <c r="C35" s="420">
        <f>inputOth!B60</f>
        <v>0</v>
      </c>
      <c r="D35" s="420">
        <f>inputPrYr!D23</f>
        <v>0</v>
      </c>
      <c r="E35" s="420">
        <f>E33</f>
        <v>0</v>
      </c>
      <c r="F35" s="289"/>
      <c r="G35" s="472">
        <f>IF(D39&gt;0,E38,E40)</f>
        <v>0</v>
      </c>
      <c r="H35" s="471" t="str">
        <f>CONCATENATE("",E1," Ad Valorem Tax (est.)")</f>
        <v>2015 Ad Valorem Tax (est.)</v>
      </c>
      <c r="I35" s="470"/>
      <c r="J35" s="718"/>
      <c r="K35" s="681">
        <f>IF(G35=E40,"","Note: Does not include Delinquent Taxes")</f>
      </c>
    </row>
    <row r="36" spans="2:10" ht="15.75">
      <c r="B36" s="206"/>
      <c r="C36" s="822" t="s">
        <v>642</v>
      </c>
      <c r="D36" s="823"/>
      <c r="E36" s="83"/>
      <c r="F36" s="289">
        <f>IF(E33/0.95-E33&lt;E36,"Exceeds 5%","")</f>
      </c>
      <c r="G36" s="468">
        <f>SUM(G33:G35)</f>
        <v>0</v>
      </c>
      <c r="H36" s="471" t="str">
        <f>CONCATENATE("Total ",E1," Resources Available")</f>
        <v>Total 2015 Resources Available</v>
      </c>
      <c r="I36" s="470"/>
      <c r="J36" s="718"/>
    </row>
    <row r="37" spans="2:10" ht="15.75">
      <c r="B37" s="448" t="str">
        <f>CONCATENATE(C93,"     ",D93)</f>
        <v>     </v>
      </c>
      <c r="C37" s="824" t="s">
        <v>643</v>
      </c>
      <c r="D37" s="825"/>
      <c r="E37" s="185">
        <f>E33+E36</f>
        <v>0</v>
      </c>
      <c r="G37" s="473"/>
      <c r="H37" s="471"/>
      <c r="I37" s="471"/>
      <c r="J37" s="718"/>
    </row>
    <row r="38" spans="2:10" ht="15.75">
      <c r="B38" s="448" t="str">
        <f>CONCATENATE(C94,"     ",D94)</f>
        <v>     </v>
      </c>
      <c r="C38" s="290"/>
      <c r="D38" s="214" t="s">
        <v>173</v>
      </c>
      <c r="E38" s="90">
        <f>IF(E37-E21&gt;0,E37-E21,0)</f>
        <v>0</v>
      </c>
      <c r="G38" s="472">
        <f>ROUND(C33*0.05+C33,0)</f>
        <v>0</v>
      </c>
      <c r="H38" s="471" t="str">
        <f>CONCATENATE("Less ",E1-2," Expenditures + 5%")</f>
        <v>Less 2013 Expenditures + 5%</v>
      </c>
      <c r="I38" s="470"/>
      <c r="J38" s="718"/>
    </row>
    <row r="39" spans="2:10" ht="15.75">
      <c r="B39" s="214"/>
      <c r="C39" s="435" t="s">
        <v>644</v>
      </c>
      <c r="D39" s="685">
        <f>inputOth!E41</f>
        <v>0</v>
      </c>
      <c r="E39" s="185">
        <f>ROUND(IF(D39&gt;0,(E38*D39),0),0)</f>
        <v>0</v>
      </c>
      <c r="G39" s="677">
        <f>G36-G38</f>
        <v>0</v>
      </c>
      <c r="H39" s="678" t="str">
        <f>CONCATENATE("Projected ",E1+1," carryover (est.)")</f>
        <v>Projected 2016 carryover (est.)</v>
      </c>
      <c r="I39" s="475"/>
      <c r="J39" s="716"/>
    </row>
    <row r="40" spans="2:10" ht="16.5" thickBot="1">
      <c r="B40" s="62"/>
      <c r="C40" s="908" t="str">
        <f>CONCATENATE("Amount of  ",E1-1," Ad Valorem Tax")</f>
        <v>Amount of  2014 Ad Valorem Tax</v>
      </c>
      <c r="D40" s="909"/>
      <c r="E40" s="692">
        <f>E38+E39</f>
        <v>0</v>
      </c>
      <c r="G40" s="2"/>
      <c r="H40" s="2"/>
      <c r="I40" s="2"/>
      <c r="J40" s="2"/>
    </row>
    <row r="41" spans="2:10" ht="16.5" thickTop="1">
      <c r="B41" s="62"/>
      <c r="C41" s="817"/>
      <c r="D41" s="818"/>
      <c r="E41" s="62"/>
      <c r="G41" s="826" t="s">
        <v>936</v>
      </c>
      <c r="H41" s="827"/>
      <c r="I41" s="827"/>
      <c r="J41" s="828"/>
    </row>
    <row r="42" spans="2:10" ht="15.75">
      <c r="B42" s="62"/>
      <c r="C42" s="612"/>
      <c r="D42" s="62"/>
      <c r="E42" s="62"/>
      <c r="G42" s="687"/>
      <c r="H42" s="469"/>
      <c r="I42" s="637"/>
      <c r="J42" s="638"/>
    </row>
    <row r="43" spans="2:10" ht="15.75">
      <c r="B43" s="65" t="s">
        <v>162</v>
      </c>
      <c r="C43" s="87"/>
      <c r="D43" s="168"/>
      <c r="E43" s="168"/>
      <c r="G43" s="689" t="e">
        <f>summ!#REF!</f>
        <v>#REF!</v>
      </c>
      <c r="H43" s="469" t="str">
        <f>CONCATENATE("",E1," Fund Mill Rate")</f>
        <v>2015 Fund Mill Rate</v>
      </c>
      <c r="I43" s="637"/>
      <c r="J43" s="638"/>
    </row>
    <row r="44" spans="2:10" ht="15.75">
      <c r="B44" s="62"/>
      <c r="C44" s="695" t="s">
        <v>815</v>
      </c>
      <c r="D44" s="696" t="s">
        <v>816</v>
      </c>
      <c r="E44" s="170" t="s">
        <v>817</v>
      </c>
      <c r="G44" s="688" t="e">
        <f>summ!#REF!</f>
        <v>#REF!</v>
      </c>
      <c r="H44" s="469" t="str">
        <f>CONCATENATE("",E1-1," Fund Mill Rate")</f>
        <v>2014 Fund Mill Rate</v>
      </c>
      <c r="I44" s="637"/>
      <c r="J44" s="638"/>
    </row>
    <row r="45" spans="2:10" ht="15.75">
      <c r="B45" s="445">
        <f>(inputPrYr!B24)</f>
        <v>0</v>
      </c>
      <c r="C45" s="328" t="str">
        <f>CONCATENATE("Actual for ",$E$1-2,"")</f>
        <v>Actual for 2013</v>
      </c>
      <c r="D45" s="407" t="str">
        <f>CONCATENATE("Estimate for ",$E$1-1,"")</f>
        <v>Estimate for 2014</v>
      </c>
      <c r="E45" s="225" t="str">
        <f>CONCATENATE("Year for ",$E$1,"")</f>
        <v>Year for 2015</v>
      </c>
      <c r="G45" s="690">
        <f>summ!H21</f>
        <v>10.12</v>
      </c>
      <c r="H45" s="469" t="str">
        <f>CONCATENATE("Total ",E1," Mill Rate")</f>
        <v>Total 2015 Mill Rate</v>
      </c>
      <c r="I45" s="637"/>
      <c r="J45" s="638"/>
    </row>
    <row r="46" spans="2:10" ht="15.75">
      <c r="B46" s="174" t="s">
        <v>275</v>
      </c>
      <c r="C46" s="440"/>
      <c r="D46" s="439">
        <f>C74</f>
        <v>0</v>
      </c>
      <c r="E46" s="185">
        <f>D74</f>
        <v>0</v>
      </c>
      <c r="G46" s="688">
        <f>summ!E21</f>
        <v>8.875</v>
      </c>
      <c r="H46" s="625" t="str">
        <f>CONCATENATE("Total ",E1-1," Mill Rate")</f>
        <v>Total 2014 Mill Rate</v>
      </c>
      <c r="I46" s="626"/>
      <c r="J46" s="627"/>
    </row>
    <row r="47" spans="2:5" ht="15.75">
      <c r="B47" s="174" t="s">
        <v>277</v>
      </c>
      <c r="C47" s="174"/>
      <c r="D47" s="439"/>
      <c r="E47" s="185"/>
    </row>
    <row r="48" spans="2:9" ht="15.75">
      <c r="B48" s="174" t="s">
        <v>163</v>
      </c>
      <c r="C48" s="436"/>
      <c r="D48" s="439">
        <f>IF(inputPrYr!H16&gt;0,inputPrYr!G24,inputPrYr!E24)</f>
        <v>0</v>
      </c>
      <c r="E48" s="340" t="s">
        <v>150</v>
      </c>
      <c r="G48" s="742" t="s">
        <v>962</v>
      </c>
      <c r="H48" s="741"/>
      <c r="I48" s="740" t="str">
        <f>cert!E38</f>
        <v>Yes</v>
      </c>
    </row>
    <row r="49" spans="2:5" ht="15.75">
      <c r="B49" s="174" t="s">
        <v>164</v>
      </c>
      <c r="C49" s="436"/>
      <c r="D49" s="436"/>
      <c r="E49" s="83"/>
    </row>
    <row r="50" spans="2:5" ht="15.75">
      <c r="B50" s="174" t="s">
        <v>165</v>
      </c>
      <c r="C50" s="436"/>
      <c r="D50" s="436"/>
      <c r="E50" s="185" t="str">
        <f>Mvalloc!D15</f>
        <v>  </v>
      </c>
    </row>
    <row r="51" spans="2:5" ht="15.75">
      <c r="B51" s="174" t="s">
        <v>166</v>
      </c>
      <c r="C51" s="436"/>
      <c r="D51" s="436"/>
      <c r="E51" s="185" t="str">
        <f>Mvalloc!E15</f>
        <v>  </v>
      </c>
    </row>
    <row r="52" spans="2:5" ht="15.75">
      <c r="B52" s="187" t="s">
        <v>215</v>
      </c>
      <c r="C52" s="436"/>
      <c r="D52" s="436"/>
      <c r="E52" s="185" t="str">
        <f>Mvalloc!F15</f>
        <v>  </v>
      </c>
    </row>
    <row r="53" spans="2:5" ht="15.75">
      <c r="B53" s="288"/>
      <c r="C53" s="436"/>
      <c r="D53" s="436"/>
      <c r="E53" s="86"/>
    </row>
    <row r="54" spans="2:5" ht="15.75">
      <c r="B54" s="288"/>
      <c r="C54" s="436"/>
      <c r="D54" s="436"/>
      <c r="E54" s="86"/>
    </row>
    <row r="55" spans="2:5" ht="15.75">
      <c r="B55" s="288"/>
      <c r="C55" s="436"/>
      <c r="D55" s="436"/>
      <c r="E55" s="83"/>
    </row>
    <row r="56" spans="2:5" ht="15.75">
      <c r="B56" s="288"/>
      <c r="C56" s="436"/>
      <c r="D56" s="436"/>
      <c r="E56" s="83"/>
    </row>
    <row r="57" spans="2:5" ht="15.75">
      <c r="B57" s="332" t="s">
        <v>168</v>
      </c>
      <c r="C57" s="436"/>
      <c r="D57" s="436"/>
      <c r="E57" s="83"/>
    </row>
    <row r="58" spans="2:5" ht="15.75">
      <c r="B58" s="174" t="s">
        <v>255</v>
      </c>
      <c r="C58" s="436"/>
      <c r="D58" s="436"/>
      <c r="E58" s="83"/>
    </row>
    <row r="59" spans="2:5" ht="15.75">
      <c r="B59" s="174" t="s">
        <v>51</v>
      </c>
      <c r="C59" s="444">
        <f>IF(C60*0.1&lt;C58,"Exceed 10% Rule","")</f>
      </c>
      <c r="D59" s="437">
        <f>IF(D60*0.1&lt;D58,"Exceed 10% Rule","")</f>
      </c>
      <c r="E59" s="447">
        <f>IF(E60*0.1+E80&lt;E58,"Exceed 10% Rule","")</f>
      </c>
    </row>
    <row r="60" spans="2:5" ht="15.75">
      <c r="B60" s="285" t="s">
        <v>169</v>
      </c>
      <c r="C60" s="438">
        <f>SUM(C48:C58)</f>
        <v>0</v>
      </c>
      <c r="D60" s="438">
        <f>SUM(D48:D58)</f>
        <v>0</v>
      </c>
      <c r="E60" s="335">
        <f>SUM(E48:E58)</f>
        <v>0</v>
      </c>
    </row>
    <row r="61" spans="2:5" ht="15.75">
      <c r="B61" s="285" t="s">
        <v>170</v>
      </c>
      <c r="C61" s="438">
        <f>C46+C60</f>
        <v>0</v>
      </c>
      <c r="D61" s="438">
        <f>D46+D60</f>
        <v>0</v>
      </c>
      <c r="E61" s="335">
        <f>E46+E60</f>
        <v>0</v>
      </c>
    </row>
    <row r="62" spans="2:5" ht="15.75">
      <c r="B62" s="174" t="s">
        <v>171</v>
      </c>
      <c r="C62" s="174"/>
      <c r="D62" s="439"/>
      <c r="E62" s="185"/>
    </row>
    <row r="63" spans="2:5" ht="15.75">
      <c r="B63" s="288"/>
      <c r="C63" s="436"/>
      <c r="D63" s="436"/>
      <c r="E63" s="83"/>
    </row>
    <row r="64" spans="2:10" ht="15.75">
      <c r="B64" s="288"/>
      <c r="C64" s="436"/>
      <c r="D64" s="436"/>
      <c r="E64" s="83"/>
      <c r="G64" s="814" t="str">
        <f>CONCATENATE("Desired Carryover Into ",E1+1,"")</f>
        <v>Desired Carryover Into 2016</v>
      </c>
      <c r="H64" s="815"/>
      <c r="I64" s="815"/>
      <c r="J64" s="816"/>
    </row>
    <row r="65" spans="2:10" ht="15.75">
      <c r="B65" s="288"/>
      <c r="C65" s="436"/>
      <c r="D65" s="436"/>
      <c r="E65" s="83"/>
      <c r="G65" s="551"/>
      <c r="H65" s="455"/>
      <c r="I65" s="471"/>
      <c r="J65" s="552"/>
    </row>
    <row r="66" spans="2:10" ht="15.75">
      <c r="B66" s="288"/>
      <c r="C66" s="436"/>
      <c r="D66" s="436"/>
      <c r="E66" s="83"/>
      <c r="G66" s="477" t="s">
        <v>649</v>
      </c>
      <c r="H66" s="471"/>
      <c r="I66" s="471"/>
      <c r="J66" s="465">
        <v>0</v>
      </c>
    </row>
    <row r="67" spans="2:10" ht="15.75">
      <c r="B67" s="288"/>
      <c r="C67" s="436"/>
      <c r="D67" s="436"/>
      <c r="E67" s="83"/>
      <c r="G67" s="551" t="s">
        <v>648</v>
      </c>
      <c r="H67" s="455"/>
      <c r="I67" s="455"/>
      <c r="J67" s="676">
        <f>IF(J66=0,"",ROUND((J66+E80-G79)/inputOth!E7*1000,3)-G84)</f>
      </c>
    </row>
    <row r="68" spans="2:10" ht="15.75">
      <c r="B68" s="288"/>
      <c r="C68" s="436"/>
      <c r="D68" s="436"/>
      <c r="E68" s="83"/>
      <c r="G68" s="642" t="str">
        <f>CONCATENATE("",E1," Tot Exp/Non-Appr Must Be:")</f>
        <v>2015 Tot Exp/Non-Appr Must Be:</v>
      </c>
      <c r="H68" s="639"/>
      <c r="I68" s="640"/>
      <c r="J68" s="636">
        <f>IF(J66&gt;0,IF(E77&lt;E61,IF(J66=G79,E77,((J66-G79)*(1-D79))+E61),E77+(J66-G79)),0)</f>
        <v>0</v>
      </c>
    </row>
    <row r="69" spans="2:10" ht="15.75">
      <c r="B69" s="288"/>
      <c r="C69" s="436"/>
      <c r="D69" s="436"/>
      <c r="E69" s="83"/>
      <c r="G69" s="674" t="s">
        <v>819</v>
      </c>
      <c r="H69" s="679"/>
      <c r="I69" s="679"/>
      <c r="J69" s="643">
        <f>IF(J66&gt;0,J68-E77,0)</f>
        <v>0</v>
      </c>
    </row>
    <row r="70" spans="2:10" ht="15.75">
      <c r="B70" s="187" t="s">
        <v>50</v>
      </c>
      <c r="C70" s="436"/>
      <c r="D70" s="436"/>
      <c r="E70" s="185">
        <f>Nhood!E13</f>
      </c>
      <c r="J70" s="2"/>
    </row>
    <row r="71" spans="2:10" ht="15.75">
      <c r="B71" s="187" t="s">
        <v>255</v>
      </c>
      <c r="C71" s="436"/>
      <c r="D71" s="436"/>
      <c r="E71" s="83"/>
      <c r="G71" s="814" t="str">
        <f>CONCATENATE("Projected Carryover Into ",E1+1,"")</f>
        <v>Projected Carryover Into 2016</v>
      </c>
      <c r="H71" s="905"/>
      <c r="I71" s="905"/>
      <c r="J71" s="906"/>
    </row>
    <row r="72" spans="2:10" ht="15.75">
      <c r="B72" s="187" t="s">
        <v>52</v>
      </c>
      <c r="C72" s="437">
        <f>IF(C73*0.1&lt;C71,"Exceed 10% Rule","")</f>
      </c>
      <c r="D72" s="437">
        <f>IF(D73*0.1&lt;D71,"Exceed 10% Rule","")</f>
      </c>
      <c r="E72" s="447">
        <f>IF(E73*0.1&lt;E71,"Exceed 10% Rule","")</f>
      </c>
      <c r="G72" s="466"/>
      <c r="H72" s="455"/>
      <c r="I72" s="455"/>
      <c r="J72" s="718"/>
    </row>
    <row r="73" spans="2:10" ht="15.75">
      <c r="B73" s="285" t="s">
        <v>172</v>
      </c>
      <c r="C73" s="438">
        <f>SUM(C63:C71)</f>
        <v>0</v>
      </c>
      <c r="D73" s="438">
        <f>SUM(D63:D71)</f>
        <v>0</v>
      </c>
      <c r="E73" s="335">
        <f>SUM(E63:E71)</f>
        <v>0</v>
      </c>
      <c r="G73" s="468">
        <f>D74</f>
        <v>0</v>
      </c>
      <c r="H73" s="469" t="str">
        <f>CONCATENATE("",E1-1," Ending Cash Balance (est.)")</f>
        <v>2014 Ending Cash Balance (est.)</v>
      </c>
      <c r="I73" s="470"/>
      <c r="J73" s="718"/>
    </row>
    <row r="74" spans="2:10" ht="15.75">
      <c r="B74" s="174" t="s">
        <v>276</v>
      </c>
      <c r="C74" s="443">
        <f>C61-C73</f>
        <v>0</v>
      </c>
      <c r="D74" s="443">
        <f>D61-D73</f>
        <v>0</v>
      </c>
      <c r="E74" s="340" t="s">
        <v>150</v>
      </c>
      <c r="G74" s="468">
        <f>E60</f>
        <v>0</v>
      </c>
      <c r="H74" s="471" t="str">
        <f>CONCATENATE("",E1," Non-AV Receipts (est.)")</f>
        <v>2015 Non-AV Receipts (est.)</v>
      </c>
      <c r="I74" s="470"/>
      <c r="J74" s="718"/>
    </row>
    <row r="75" spans="2:11" ht="15.75">
      <c r="B75" s="344" t="str">
        <f>CONCATENATE("",E1-2,"/",E1-1,"/",E1," Budget Authority Amount:")</f>
        <v>2013/2014/2015 Budget Authority Amount:</v>
      </c>
      <c r="C75" s="420">
        <f>inputOth!B61</f>
        <v>0</v>
      </c>
      <c r="D75" s="420">
        <f>inputPrYr!D24</f>
        <v>0</v>
      </c>
      <c r="E75" s="420">
        <f>E73</f>
        <v>0</v>
      </c>
      <c r="F75" s="289"/>
      <c r="G75" s="472">
        <f>IF(D79&gt;0,E78,E80)</f>
        <v>0</v>
      </c>
      <c r="H75" s="471" t="str">
        <f>CONCATENATE("",E1," Ad Valorem Tax (est.)")</f>
        <v>2015 Ad Valorem Tax (est.)</v>
      </c>
      <c r="I75" s="470"/>
      <c r="J75" s="718"/>
      <c r="K75" s="681">
        <f>IF(G75=E80,"","Note: Does not include Delinquent Taxes")</f>
      </c>
    </row>
    <row r="76" spans="2:10" ht="15.75">
      <c r="B76" s="206"/>
      <c r="C76" s="822" t="s">
        <v>642</v>
      </c>
      <c r="D76" s="823"/>
      <c r="E76" s="83"/>
      <c r="F76" s="289">
        <f>IF(E73/0.95-E73&lt;E76,"Exceeds 5%","")</f>
      </c>
      <c r="G76" s="553">
        <f>SUM(G73:G75)</f>
        <v>0</v>
      </c>
      <c r="H76" s="471" t="str">
        <f>CONCATENATE("Total ",E1," Resources Available")</f>
        <v>Total 2015 Resources Available</v>
      </c>
      <c r="I76" s="467"/>
      <c r="J76" s="718"/>
    </row>
    <row r="77" spans="2:10" ht="15.75">
      <c r="B77" s="448" t="str">
        <f>CONCATENATE(C95,"     ",D95)</f>
        <v>     </v>
      </c>
      <c r="C77" s="824" t="s">
        <v>643</v>
      </c>
      <c r="D77" s="825"/>
      <c r="E77" s="185">
        <f>E73+E76</f>
        <v>0</v>
      </c>
      <c r="G77" s="556"/>
      <c r="H77" s="554"/>
      <c r="I77" s="455"/>
      <c r="J77" s="718"/>
    </row>
    <row r="78" spans="2:10" ht="15.75">
      <c r="B78" s="448" t="str">
        <f>CONCATENATE(C96,"     ",D96)</f>
        <v>     </v>
      </c>
      <c r="C78" s="290"/>
      <c r="D78" s="214" t="s">
        <v>173</v>
      </c>
      <c r="E78" s="90">
        <f>IF(E77-E61&gt;0,E77-E61,0)</f>
        <v>0</v>
      </c>
      <c r="G78" s="555">
        <f>ROUND(C73*0.05+C73,0)</f>
        <v>0</v>
      </c>
      <c r="H78" s="554" t="str">
        <f>CONCATENATE("Less ",E1-2," Expenditures + 5%")</f>
        <v>Less 2013 Expenditures + 5%</v>
      </c>
      <c r="I78" s="467"/>
      <c r="J78" s="718"/>
    </row>
    <row r="79" spans="2:10" ht="15.75">
      <c r="B79" s="214"/>
      <c r="C79" s="435" t="s">
        <v>644</v>
      </c>
      <c r="D79" s="685">
        <f>inputOth!E41</f>
        <v>0</v>
      </c>
      <c r="E79" s="185">
        <f>ROUND(IF(D79&gt;0,(E78*D79),0),0)</f>
        <v>0</v>
      </c>
      <c r="G79" s="565">
        <f>G76-G78</f>
        <v>0</v>
      </c>
      <c r="H79" s="566" t="str">
        <f>CONCATENATE("Projected ",E1+1," carryover (est.)")</f>
        <v>Projected 2016 carryover (est.)</v>
      </c>
      <c r="I79" s="476"/>
      <c r="J79" s="716"/>
    </row>
    <row r="80" spans="2:9" ht="16.5" thickBot="1">
      <c r="B80" s="62"/>
      <c r="C80" s="908" t="str">
        <f>CONCATENATE("Amount of  ",E1-1," Ad Valorem Tax")</f>
        <v>Amount of  2014 Ad Valorem Tax</v>
      </c>
      <c r="D80" s="909"/>
      <c r="E80" s="692">
        <f>E78+E79</f>
        <v>0</v>
      </c>
      <c r="G80" s="2"/>
      <c r="H80" s="2"/>
      <c r="I80" s="2"/>
    </row>
    <row r="81" spans="2:10" ht="16.5" thickTop="1">
      <c r="B81" s="62"/>
      <c r="C81" s="817"/>
      <c r="D81" s="818"/>
      <c r="E81" s="62"/>
      <c r="G81" s="826" t="s">
        <v>936</v>
      </c>
      <c r="H81" s="827"/>
      <c r="I81" s="827"/>
      <c r="J81" s="828"/>
    </row>
    <row r="82" spans="2:10" ht="15.75">
      <c r="B82" s="62"/>
      <c r="C82" s="62"/>
      <c r="D82" s="62"/>
      <c r="E82" s="62"/>
      <c r="G82" s="687"/>
      <c r="H82" s="469"/>
      <c r="I82" s="637"/>
      <c r="J82" s="638"/>
    </row>
    <row r="83" spans="2:10" ht="15.75">
      <c r="B83" s="214" t="s">
        <v>175</v>
      </c>
      <c r="C83" s="341"/>
      <c r="D83" s="114"/>
      <c r="E83" s="62"/>
      <c r="G83" s="689" t="e">
        <f>summ!#REF!</f>
        <v>#REF!</v>
      </c>
      <c r="H83" s="469" t="str">
        <f>CONCATENATE("",E1," Fund Mill Rate")</f>
        <v>2015 Fund Mill Rate</v>
      </c>
      <c r="I83" s="637"/>
      <c r="J83" s="638"/>
    </row>
    <row r="84" spans="7:10" ht="15.75">
      <c r="G84" s="688" t="e">
        <f>summ!#REF!</f>
        <v>#REF!</v>
      </c>
      <c r="H84" s="469" t="str">
        <f>CONCATENATE("",E1-1," Fund Mill Rate")</f>
        <v>2014 Fund Mill Rate</v>
      </c>
      <c r="I84" s="637"/>
      <c r="J84" s="638"/>
    </row>
    <row r="85" spans="2:10" ht="15.75">
      <c r="B85" s="122"/>
      <c r="C85" s="122"/>
      <c r="G85" s="690">
        <f>summ!H21</f>
        <v>10.12</v>
      </c>
      <c r="H85" s="469" t="str">
        <f>CONCATENATE("Total ",E1," Mill Rate")</f>
        <v>Total 2015 Mill Rate</v>
      </c>
      <c r="I85" s="637"/>
      <c r="J85" s="638"/>
    </row>
    <row r="86" spans="7:10" ht="15.75">
      <c r="G86" s="688">
        <f>summ!E21</f>
        <v>8.875</v>
      </c>
      <c r="H86" s="625" t="str">
        <f>CONCATENATE("Total ",E1-1," Mill Rate")</f>
        <v>Total 2014 Mill Rate</v>
      </c>
      <c r="I86" s="626"/>
      <c r="J86" s="627"/>
    </row>
    <row r="88" spans="7:9" ht="15.75">
      <c r="G88" s="745" t="s">
        <v>962</v>
      </c>
      <c r="H88" s="744"/>
      <c r="I88" s="743" t="str">
        <f>cert!E38</f>
        <v>Yes</v>
      </c>
    </row>
    <row r="93" spans="3:4" ht="15.75" hidden="1">
      <c r="C93" s="454">
        <f>IF(C33&gt;C35,"See Tab A","")</f>
      </c>
      <c r="D93" s="454">
        <f>IF(D33&gt;D35,"See Tab C","")</f>
      </c>
    </row>
    <row r="94" spans="3:4" ht="15.75" hidden="1">
      <c r="C94" s="454">
        <f>IF(C34&lt;0,"See Tab B","")</f>
      </c>
      <c r="D94" s="454">
        <f>IF(D34&lt;0,"See Tab D","")</f>
      </c>
    </row>
    <row r="95" spans="3:4" ht="15.75" hidden="1">
      <c r="C95" s="449">
        <f>IF(C73&gt;C75,"See Tab A","")</f>
      </c>
      <c r="D95" s="449">
        <f>IF(D73&gt;D75,"See Tab C","")</f>
      </c>
    </row>
    <row r="96" spans="3:4" ht="15.75" hidden="1">
      <c r="C96" s="449">
        <f>IF(C74&lt;0,"See Tab B","")</f>
      </c>
      <c r="D96" s="449">
        <f>IF(D74&lt;0,"See Tab D","")</f>
      </c>
    </row>
    <row r="97" spans="3:4" ht="15.75">
      <c r="C97" s="449"/>
      <c r="D97" s="449"/>
    </row>
    <row r="98" spans="3:4" ht="15.75">
      <c r="C98" s="449"/>
      <c r="D98" s="449"/>
    </row>
  </sheetData>
  <sheetProtection sheet="1"/>
  <mergeCells count="14">
    <mergeCell ref="G71:J71"/>
    <mergeCell ref="G41:J41"/>
    <mergeCell ref="C36:D36"/>
    <mergeCell ref="C37:D37"/>
    <mergeCell ref="G24:J24"/>
    <mergeCell ref="G64:J64"/>
    <mergeCell ref="G31:J31"/>
    <mergeCell ref="G81:J81"/>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796875" defaultRowHeight="15"/>
  <cols>
    <col min="1" max="1" width="2.3984375" style="63" customWidth="1"/>
    <col min="2" max="2" width="31.09765625" style="63" customWidth="1"/>
    <col min="3" max="4" width="15.796875" style="63" customWidth="1"/>
    <col min="5" max="5" width="16.296875" style="63" customWidth="1"/>
    <col min="6" max="16384" width="8.8984375" style="63" customWidth="1"/>
  </cols>
  <sheetData>
    <row r="1" spans="2:5" ht="15.75">
      <c r="B1" s="197" t="str">
        <f>(inputPrYr!D2)</f>
        <v>City of Fairview</v>
      </c>
      <c r="C1" s="62"/>
      <c r="D1" s="62"/>
      <c r="E1" s="157">
        <f>inputPrYr!$C$5</f>
        <v>2015</v>
      </c>
    </row>
    <row r="2" spans="2:5" ht="15.75">
      <c r="B2" s="62"/>
      <c r="C2" s="62"/>
      <c r="D2" s="62"/>
      <c r="E2" s="214"/>
    </row>
    <row r="3" spans="2:5" ht="15.75">
      <c r="B3" s="77" t="s">
        <v>220</v>
      </c>
      <c r="C3" s="326"/>
      <c r="D3" s="326"/>
      <c r="E3" s="327"/>
    </row>
    <row r="4" spans="2:5" ht="15.75">
      <c r="B4" s="65" t="s">
        <v>162</v>
      </c>
      <c r="C4" s="695" t="s">
        <v>815</v>
      </c>
      <c r="D4" s="696" t="s">
        <v>816</v>
      </c>
      <c r="E4" s="170" t="s">
        <v>817</v>
      </c>
    </row>
    <row r="5" spans="2:5" ht="15.75">
      <c r="B5" s="446">
        <f>(inputPrYr!B32)</f>
        <v>0</v>
      </c>
      <c r="C5" s="328" t="str">
        <f>CONCATENATE("Actual for ",$E$1-2,"")</f>
        <v>Actual for 2013</v>
      </c>
      <c r="D5" s="407" t="str">
        <f>CONCATENATE("Estimate for ",$E$1-1,"")</f>
        <v>Estimate for 2014</v>
      </c>
      <c r="E5" s="225" t="str">
        <f>CONCATENATE("Year for ",$E$1,"")</f>
        <v>Year for 2015</v>
      </c>
    </row>
    <row r="6" spans="2:5" ht="15.75">
      <c r="B6" s="174" t="s">
        <v>275</v>
      </c>
      <c r="C6" s="83"/>
      <c r="D6" s="185">
        <f>C31</f>
        <v>0</v>
      </c>
      <c r="E6" s="185">
        <f>D31</f>
        <v>0</v>
      </c>
    </row>
    <row r="7" spans="2:5" ht="15.75">
      <c r="B7" s="274" t="s">
        <v>277</v>
      </c>
      <c r="C7" s="104"/>
      <c r="D7" s="104"/>
      <c r="E7" s="104"/>
    </row>
    <row r="8" spans="2:5" ht="15.75">
      <c r="B8" s="288"/>
      <c r="C8" s="330"/>
      <c r="D8" s="330"/>
      <c r="E8" s="330"/>
    </row>
    <row r="9" spans="2:5" ht="15.75">
      <c r="B9" s="288"/>
      <c r="C9" s="330"/>
      <c r="D9" s="330"/>
      <c r="E9" s="330"/>
    </row>
    <row r="10" spans="2:5" ht="15.75">
      <c r="B10" s="331"/>
      <c r="C10" s="127"/>
      <c r="D10" s="127"/>
      <c r="E10" s="127"/>
    </row>
    <row r="11" spans="2:5" ht="15.75">
      <c r="B11" s="288"/>
      <c r="C11" s="330"/>
      <c r="D11" s="330"/>
      <c r="E11" s="330"/>
    </row>
    <row r="12" spans="2:5" ht="15.75">
      <c r="B12" s="332" t="s">
        <v>168</v>
      </c>
      <c r="C12" s="330"/>
      <c r="D12" s="330"/>
      <c r="E12" s="330"/>
    </row>
    <row r="13" spans="2:5" ht="15.75">
      <c r="B13" s="336" t="s">
        <v>255</v>
      </c>
      <c r="C13" s="330"/>
      <c r="D13" s="330"/>
      <c r="E13" s="330"/>
    </row>
    <row r="14" spans="2:5" ht="15.75">
      <c r="B14" s="336" t="s">
        <v>640</v>
      </c>
      <c r="C14" s="447">
        <f>IF(C15*0.1&lt;C13,"Exceed 10% Rule","")</f>
      </c>
      <c r="D14" s="333">
        <f>IF(D15*0.1&lt;D13,"Exceed 10% Rule","")</f>
      </c>
      <c r="E14" s="333">
        <f>IF(E15*0.1&lt;E13,"Exceed 10% Rule","")</f>
      </c>
    </row>
    <row r="15" spans="2:5" ht="15.75">
      <c r="B15" s="285" t="s">
        <v>169</v>
      </c>
      <c r="C15" s="335">
        <f>SUM(C8:C13)</f>
        <v>0</v>
      </c>
      <c r="D15" s="335">
        <f>SUM(D8:D13)</f>
        <v>0</v>
      </c>
      <c r="E15" s="335">
        <f>SUM(E8:E13)</f>
        <v>0</v>
      </c>
    </row>
    <row r="16" spans="2:5" ht="15.75">
      <c r="B16" s="285" t="s">
        <v>170</v>
      </c>
      <c r="C16" s="335">
        <f>C6+C15</f>
        <v>0</v>
      </c>
      <c r="D16" s="335">
        <f>D6+D15</f>
        <v>0</v>
      </c>
      <c r="E16" s="335">
        <f>E6+E15</f>
        <v>0</v>
      </c>
    </row>
    <row r="17" spans="2:5" ht="15.75">
      <c r="B17" s="174" t="s">
        <v>171</v>
      </c>
      <c r="C17" s="104"/>
      <c r="D17" s="104"/>
      <c r="E17" s="104"/>
    </row>
    <row r="18" spans="2:5" ht="15.75">
      <c r="B18" s="288" t="s">
        <v>286</v>
      </c>
      <c r="C18" s="330"/>
      <c r="D18" s="330"/>
      <c r="E18" s="330"/>
    </row>
    <row r="19" spans="2:5" ht="15.75">
      <c r="B19" s="288" t="s">
        <v>289</v>
      </c>
      <c r="C19" s="330"/>
      <c r="D19" s="330"/>
      <c r="E19" s="330"/>
    </row>
    <row r="20" spans="2:5" ht="15.75">
      <c r="B20" s="288"/>
      <c r="C20" s="127"/>
      <c r="D20" s="127"/>
      <c r="E20" s="127"/>
    </row>
    <row r="21" spans="2:5" ht="15.75">
      <c r="B21" s="288"/>
      <c r="C21" s="330"/>
      <c r="D21" s="330"/>
      <c r="E21" s="330"/>
    </row>
    <row r="22" spans="2:5" ht="15.75">
      <c r="B22" s="288"/>
      <c r="C22" s="330"/>
      <c r="D22" s="330"/>
      <c r="E22" s="330"/>
    </row>
    <row r="23" spans="2:5" ht="15.75">
      <c r="B23" s="288"/>
      <c r="C23" s="330"/>
      <c r="D23" s="330"/>
      <c r="E23" s="330"/>
    </row>
    <row r="24" spans="2:5" ht="15.75">
      <c r="B24" s="288"/>
      <c r="C24" s="330"/>
      <c r="D24" s="330"/>
      <c r="E24" s="330"/>
    </row>
    <row r="25" spans="2:5" ht="15.75">
      <c r="B25" s="288"/>
      <c r="C25" s="330"/>
      <c r="D25" s="330"/>
      <c r="E25" s="330"/>
    </row>
    <row r="26" spans="2:5" ht="15.75">
      <c r="B26" s="288"/>
      <c r="C26" s="330"/>
      <c r="D26" s="330"/>
      <c r="E26" s="330"/>
    </row>
    <row r="27" spans="2:5" ht="15.75">
      <c r="B27" s="288"/>
      <c r="C27" s="330"/>
      <c r="D27" s="330"/>
      <c r="E27" s="330"/>
    </row>
    <row r="28" spans="2:5" ht="15.75">
      <c r="B28" s="187" t="s">
        <v>255</v>
      </c>
      <c r="C28" s="330"/>
      <c r="D28" s="330"/>
      <c r="E28" s="330"/>
    </row>
    <row r="29" spans="2:5" ht="15.75">
      <c r="B29" s="187" t="s">
        <v>639</v>
      </c>
      <c r="C29" s="447">
        <f>IF(C30*0.1&lt;C28,"Exceed 10% Rule","")</f>
      </c>
      <c r="D29" s="333">
        <f>IF(D30*0.1&lt;D28,"Exceed 10% Rule","")</f>
      </c>
      <c r="E29" s="333">
        <f>IF(E30*0.1&lt;E28,"Exceed 10% Rule","")</f>
      </c>
    </row>
    <row r="30" spans="2:5" ht="15.75">
      <c r="B30" s="285" t="s">
        <v>172</v>
      </c>
      <c r="C30" s="335">
        <f>SUM(C18:C28)</f>
        <v>0</v>
      </c>
      <c r="D30" s="335">
        <f>SUM(D18:D28)</f>
        <v>0</v>
      </c>
      <c r="E30" s="335">
        <f>SUM(E18:E28)</f>
        <v>0</v>
      </c>
    </row>
    <row r="31" spans="2:5" ht="15.75">
      <c r="B31" s="174" t="s">
        <v>276</v>
      </c>
      <c r="C31" s="90">
        <f>C16-C30</f>
        <v>0</v>
      </c>
      <c r="D31" s="90">
        <f>D16-D30</f>
        <v>0</v>
      </c>
      <c r="E31" s="90">
        <f>E16-E30</f>
        <v>0</v>
      </c>
    </row>
    <row r="32" spans="2:5" ht="15.75">
      <c r="B32" s="344" t="str">
        <f>CONCATENATE("",E1-2,"/",E1-1,"/",E1," Budget Authority Amount:")</f>
        <v>2013/2014/2015 Budget Authority Amount:</v>
      </c>
      <c r="C32" s="420">
        <f>inputOth!B66</f>
        <v>0</v>
      </c>
      <c r="D32" s="420">
        <f>inputPrYr!D32</f>
        <v>0</v>
      </c>
      <c r="E32" s="420">
        <f>E30</f>
        <v>0</v>
      </c>
    </row>
    <row r="33" spans="2:5" ht="15.75">
      <c r="B33" s="206"/>
      <c r="C33" s="290">
        <f>IF(C30&gt;C32,"See Tab A","")</f>
      </c>
      <c r="D33" s="290">
        <f>IF(D30&gt;D32,"See Tab C","")</f>
      </c>
      <c r="E33" s="747">
        <f>IF(E31&lt;0,"See Tab E","")</f>
      </c>
    </row>
    <row r="34" spans="2:5" ht="15.75">
      <c r="B34" s="206"/>
      <c r="C34" s="290">
        <f>IF(C31&lt;0,"See Tab B","")</f>
      </c>
      <c r="D34" s="290">
        <f>IF(D31&lt;0,"See Tab D","")</f>
      </c>
      <c r="E34" s="204"/>
    </row>
    <row r="35" spans="2:5" ht="15.75">
      <c r="B35" s="62"/>
      <c r="C35" s="204"/>
      <c r="D35" s="204"/>
      <c r="E35" s="204"/>
    </row>
    <row r="36" spans="2:5" ht="15.75">
      <c r="B36" s="62"/>
      <c r="C36" s="204"/>
      <c r="D36" s="204"/>
      <c r="E36" s="204"/>
    </row>
    <row r="37" spans="2:5" ht="15.75">
      <c r="B37" s="65" t="s">
        <v>162</v>
      </c>
      <c r="C37" s="695" t="s">
        <v>815</v>
      </c>
      <c r="D37" s="696" t="s">
        <v>816</v>
      </c>
      <c r="E37" s="170" t="s">
        <v>817</v>
      </c>
    </row>
    <row r="38" spans="2:5" ht="15.75">
      <c r="B38" s="445">
        <f>(inputPrYr!B33)</f>
        <v>0</v>
      </c>
      <c r="C38" s="328" t="str">
        <f>CONCATENATE("Actual for ",$E$1-2,"")</f>
        <v>Actual for 2013</v>
      </c>
      <c r="D38" s="407" t="str">
        <f>CONCATENATE("Estimate for ",$E$1-1,"")</f>
        <v>Estimate for 2014</v>
      </c>
      <c r="E38" s="225" t="str">
        <f>CONCATENATE("Year for ",$E$1,"")</f>
        <v>Year for 2015</v>
      </c>
    </row>
    <row r="39" spans="2:5" ht="15.75">
      <c r="B39" s="174" t="s">
        <v>275</v>
      </c>
      <c r="C39" s="83">
        <v>0</v>
      </c>
      <c r="D39" s="185">
        <f>C63</f>
        <v>0</v>
      </c>
      <c r="E39" s="185">
        <f>D63</f>
        <v>0</v>
      </c>
    </row>
    <row r="40" spans="2:5" ht="15.75">
      <c r="B40" s="174" t="s">
        <v>277</v>
      </c>
      <c r="C40" s="104"/>
      <c r="D40" s="104"/>
      <c r="E40" s="104"/>
    </row>
    <row r="41" spans="2:5" ht="15.75">
      <c r="B41" s="288"/>
      <c r="C41" s="330"/>
      <c r="D41" s="330"/>
      <c r="E41" s="330"/>
    </row>
    <row r="42" spans="2:5" ht="15.75">
      <c r="B42" s="288"/>
      <c r="C42" s="330"/>
      <c r="D42" s="330"/>
      <c r="E42" s="330"/>
    </row>
    <row r="43" spans="2:5" ht="15.75">
      <c r="B43" s="331"/>
      <c r="C43" s="127"/>
      <c r="D43" s="127"/>
      <c r="E43" s="127"/>
    </row>
    <row r="44" spans="2:5" ht="15.75">
      <c r="B44" s="288"/>
      <c r="C44" s="330"/>
      <c r="D44" s="330"/>
      <c r="E44" s="330"/>
    </row>
    <row r="45" spans="2:5" ht="15.75">
      <c r="B45" s="332" t="s">
        <v>168</v>
      </c>
      <c r="C45" s="330"/>
      <c r="D45" s="330"/>
      <c r="E45" s="330"/>
    </row>
    <row r="46" spans="2:5" ht="15.75">
      <c r="B46" s="336" t="s">
        <v>255</v>
      </c>
      <c r="C46" s="330"/>
      <c r="D46" s="330"/>
      <c r="E46" s="330"/>
    </row>
    <row r="47" spans="2:5" ht="15.75">
      <c r="B47" s="336" t="s">
        <v>640</v>
      </c>
      <c r="C47" s="447">
        <f>IF(C48*0.1&lt;C46,"Exceed 10% Rule","")</f>
      </c>
      <c r="D47" s="333">
        <f>IF(D48*0.1&lt;D46,"Exceed 10% Rule","")</f>
      </c>
      <c r="E47" s="333">
        <f>IF(E48*0.1&lt;E46,"Exceed 10% Rule","")</f>
      </c>
    </row>
    <row r="48" spans="2:5" ht="15.75">
      <c r="B48" s="285" t="s">
        <v>169</v>
      </c>
      <c r="C48" s="335">
        <f>SUM(C41:C46)</f>
        <v>0</v>
      </c>
      <c r="D48" s="335">
        <f>SUM(D41:D46)</f>
        <v>0</v>
      </c>
      <c r="E48" s="335">
        <f>SUM(E41:E46)</f>
        <v>0</v>
      </c>
    </row>
    <row r="49" spans="2:5" ht="15.75">
      <c r="B49" s="285" t="s">
        <v>170</v>
      </c>
      <c r="C49" s="335">
        <f>C39+C48</f>
        <v>0</v>
      </c>
      <c r="D49" s="335">
        <f>D39+D48</f>
        <v>0</v>
      </c>
      <c r="E49" s="335">
        <f>E39+E48</f>
        <v>0</v>
      </c>
    </row>
    <row r="50" spans="2:5" ht="15.75">
      <c r="B50" s="174" t="s">
        <v>171</v>
      </c>
      <c r="C50" s="104"/>
      <c r="D50" s="104"/>
      <c r="E50" s="104"/>
    </row>
    <row r="51" spans="2:5" ht="15.75">
      <c r="B51" s="288" t="s">
        <v>286</v>
      </c>
      <c r="C51" s="330"/>
      <c r="D51" s="330"/>
      <c r="E51" s="330"/>
    </row>
    <row r="52" spans="2:5" ht="15.75">
      <c r="B52" s="288" t="s">
        <v>287</v>
      </c>
      <c r="C52" s="330"/>
      <c r="D52" s="330"/>
      <c r="E52" s="330"/>
    </row>
    <row r="53" spans="2:5" ht="15.75">
      <c r="B53" s="288"/>
      <c r="C53" s="330"/>
      <c r="D53" s="330"/>
      <c r="E53" s="330"/>
    </row>
    <row r="54" spans="2:5" ht="15.75">
      <c r="B54" s="288"/>
      <c r="C54" s="330"/>
      <c r="D54" s="330"/>
      <c r="E54" s="330"/>
    </row>
    <row r="55" spans="2:5" ht="15.75">
      <c r="B55" s="288"/>
      <c r="C55" s="330"/>
      <c r="D55" s="330"/>
      <c r="E55" s="330"/>
    </row>
    <row r="56" spans="2:5" ht="15.75">
      <c r="B56" s="288"/>
      <c r="C56" s="330"/>
      <c r="D56" s="330"/>
      <c r="E56" s="330"/>
    </row>
    <row r="57" spans="2:5" ht="15.75">
      <c r="B57" s="288"/>
      <c r="C57" s="127"/>
      <c r="D57" s="127"/>
      <c r="E57" s="127"/>
    </row>
    <row r="58" spans="2:5" ht="15.75">
      <c r="B58" s="288"/>
      <c r="C58" s="330"/>
      <c r="D58" s="127"/>
      <c r="E58" s="127"/>
    </row>
    <row r="59" spans="2:5" ht="15.75">
      <c r="B59" s="288"/>
      <c r="C59" s="330"/>
      <c r="D59" s="127"/>
      <c r="E59" s="127"/>
    </row>
    <row r="60" spans="2:5" ht="15.75">
      <c r="B60" s="187" t="s">
        <v>255</v>
      </c>
      <c r="C60" s="330"/>
      <c r="D60" s="127"/>
      <c r="E60" s="127"/>
    </row>
    <row r="61" spans="2:5" ht="15.75">
      <c r="B61" s="187" t="s">
        <v>639</v>
      </c>
      <c r="C61" s="447">
        <f>IF(C62*0.1&lt;C60,"Exceed 10% Rule","")</f>
      </c>
      <c r="D61" s="333">
        <f>IF(D62*0.1&lt;D60,"Exceed 10% Rule","")</f>
      </c>
      <c r="E61" s="333">
        <f>IF(E62*0.1&lt;E60,"Exceed 10% Rule","")</f>
      </c>
    </row>
    <row r="62" spans="2:5" ht="15.75">
      <c r="B62" s="285" t="s">
        <v>172</v>
      </c>
      <c r="C62" s="335">
        <f>SUM(C51:C60)</f>
        <v>0</v>
      </c>
      <c r="D62" s="335">
        <f>SUM(D51:D60)</f>
        <v>0</v>
      </c>
      <c r="E62" s="335">
        <f>SUM(E51:E60)</f>
        <v>0</v>
      </c>
    </row>
    <row r="63" spans="2:5" ht="15.75">
      <c r="B63" s="174" t="s">
        <v>276</v>
      </c>
      <c r="C63" s="90">
        <f>C49-C62</f>
        <v>0</v>
      </c>
      <c r="D63" s="90">
        <f>D49-D62</f>
        <v>0</v>
      </c>
      <c r="E63" s="90">
        <f>E49-E62</f>
        <v>0</v>
      </c>
    </row>
    <row r="64" spans="2:5" ht="15.75">
      <c r="B64" s="344" t="str">
        <f>CONCATENATE("",E1-2,"/",E1-1,"/",E1," Budget Authority Amount:")</f>
        <v>2013/2014/2015 Budget Authority Amount:</v>
      </c>
      <c r="C64" s="420">
        <f>inputOth!B67</f>
        <v>0</v>
      </c>
      <c r="D64" s="420">
        <f>inputPrYr!D33</f>
        <v>0</v>
      </c>
      <c r="E64" s="420">
        <f>E62</f>
        <v>0</v>
      </c>
    </row>
    <row r="65" spans="2:5" ht="15.75">
      <c r="B65" s="206"/>
      <c r="C65" s="290">
        <f>IF(C62&gt;C64,"See Tab A","")</f>
      </c>
      <c r="D65" s="290">
        <f>IF(D62&gt;D64,"See Tab C","")</f>
      </c>
      <c r="E65" s="747">
        <f>IF(E63&lt;0,"See Tab E","")</f>
      </c>
    </row>
    <row r="66" spans="2:5" ht="15.75">
      <c r="B66" s="206"/>
      <c r="C66" s="290">
        <f>IF(C63&lt;0,"See Tab B","")</f>
      </c>
      <c r="D66" s="290">
        <f>IF(D63&lt;0,"See Tab D","")</f>
      </c>
      <c r="E66" s="62"/>
    </row>
    <row r="67" spans="2:5" ht="15.75">
      <c r="B67" s="62"/>
      <c r="C67" s="62"/>
      <c r="D67" s="62"/>
      <c r="E67" s="62"/>
    </row>
    <row r="68" spans="2:5" ht="15.75">
      <c r="B68" s="214" t="s">
        <v>175</v>
      </c>
      <c r="C68" s="292"/>
      <c r="D68" s="62"/>
      <c r="E68" s="62"/>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34.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P78" sqref="P78"/>
    </sheetView>
  </sheetViews>
  <sheetFormatPr defaultColWidth="8.796875" defaultRowHeight="15"/>
  <cols>
    <col min="1" max="1" width="2.3984375" style="122" customWidth="1"/>
    <col min="2" max="2" width="31.09765625" style="122" customWidth="1"/>
    <col min="3" max="4" width="15.796875" style="122" customWidth="1"/>
    <col min="5" max="5" width="16.09765625" style="122" customWidth="1"/>
    <col min="6" max="16384" width="8.8984375" style="122" customWidth="1"/>
  </cols>
  <sheetData>
    <row r="1" spans="2:5" ht="15.75">
      <c r="B1" s="197" t="str">
        <f>(inputPrYr!D2)</f>
        <v>City of Fairview</v>
      </c>
      <c r="C1" s="62"/>
      <c r="D1" s="62"/>
      <c r="E1" s="157">
        <f>inputPrYr!$C$5</f>
        <v>2015</v>
      </c>
    </row>
    <row r="2" spans="2:5" ht="15.75">
      <c r="B2" s="62"/>
      <c r="C2" s="62"/>
      <c r="D2" s="62"/>
      <c r="E2" s="214"/>
    </row>
    <row r="3" spans="2:5" ht="15.75">
      <c r="B3" s="77" t="s">
        <v>220</v>
      </c>
      <c r="C3" s="326"/>
      <c r="D3" s="326"/>
      <c r="E3" s="327"/>
    </row>
    <row r="4" spans="2:5" ht="15.75">
      <c r="B4" s="65" t="s">
        <v>162</v>
      </c>
      <c r="C4" s="695" t="s">
        <v>815</v>
      </c>
      <c r="D4" s="696" t="s">
        <v>816</v>
      </c>
      <c r="E4" s="170" t="s">
        <v>817</v>
      </c>
    </row>
    <row r="5" spans="2:5" ht="15.75">
      <c r="B5" s="446">
        <f>(inputPrYr!B35)</f>
        <v>0</v>
      </c>
      <c r="C5" s="328" t="str">
        <f>CONCATENATE("Actual for ",$E$1-2,"")</f>
        <v>Actual for 2013</v>
      </c>
      <c r="D5" s="407" t="str">
        <f>CONCATENATE("Estimate for ",$E$1-1,"")</f>
        <v>Estimate for 2014</v>
      </c>
      <c r="E5" s="225" t="str">
        <f>CONCATENATE("Year for ",$E$1,"")</f>
        <v>Year for 2015</v>
      </c>
    </row>
    <row r="6" spans="2:5" ht="15.75">
      <c r="B6" s="174" t="s">
        <v>275</v>
      </c>
      <c r="C6" s="83">
        <v>0</v>
      </c>
      <c r="D6" s="185">
        <f>C52</f>
        <v>0</v>
      </c>
      <c r="E6" s="185">
        <f>D52</f>
        <v>0</v>
      </c>
    </row>
    <row r="7" spans="2:5" ht="15.75">
      <c r="B7" s="274" t="s">
        <v>277</v>
      </c>
      <c r="C7" s="104"/>
      <c r="D7" s="104"/>
      <c r="E7" s="104"/>
    </row>
    <row r="8" spans="2:5" ht="15.75">
      <c r="B8" s="288"/>
      <c r="C8" s="330"/>
      <c r="D8" s="330"/>
      <c r="E8" s="330"/>
    </row>
    <row r="9" spans="2:5" ht="15.75">
      <c r="B9" s="288"/>
      <c r="C9" s="330"/>
      <c r="D9" s="330"/>
      <c r="E9" s="330"/>
    </row>
    <row r="10" spans="2:5" ht="15.75">
      <c r="B10" s="288"/>
      <c r="C10" s="330"/>
      <c r="D10" s="330"/>
      <c r="E10" s="330"/>
    </row>
    <row r="11" spans="2:5" ht="15.75">
      <c r="B11" s="288"/>
      <c r="C11" s="330"/>
      <c r="D11" s="330"/>
      <c r="E11" s="330"/>
    </row>
    <row r="12" spans="2:5" ht="15.75">
      <c r="B12" s="288"/>
      <c r="C12" s="330"/>
      <c r="D12" s="330"/>
      <c r="E12" s="330"/>
    </row>
    <row r="13" spans="2:5" ht="15.75">
      <c r="B13" s="288"/>
      <c r="C13" s="330"/>
      <c r="D13" s="330"/>
      <c r="E13" s="330"/>
    </row>
    <row r="14" spans="2:5" ht="15.75">
      <c r="B14" s="331"/>
      <c r="C14" s="127"/>
      <c r="D14" s="127"/>
      <c r="E14" s="127"/>
    </row>
    <row r="15" spans="2:5" ht="15.75">
      <c r="B15" s="288"/>
      <c r="C15" s="330"/>
      <c r="D15" s="330"/>
      <c r="E15" s="330"/>
    </row>
    <row r="16" spans="2:5" ht="15.75">
      <c r="B16" s="288"/>
      <c r="C16" s="330"/>
      <c r="D16" s="330"/>
      <c r="E16" s="330"/>
    </row>
    <row r="17" spans="2:5" ht="15.75">
      <c r="B17" s="288"/>
      <c r="C17" s="330"/>
      <c r="D17" s="330"/>
      <c r="E17" s="330"/>
    </row>
    <row r="18" spans="2:5" ht="15.75">
      <c r="B18" s="332" t="s">
        <v>168</v>
      </c>
      <c r="C18" s="330"/>
      <c r="D18" s="330"/>
      <c r="E18" s="330"/>
    </row>
    <row r="19" spans="2:5" ht="15.75">
      <c r="B19" s="174" t="s">
        <v>255</v>
      </c>
      <c r="C19" s="330"/>
      <c r="D19" s="330"/>
      <c r="E19" s="330"/>
    </row>
    <row r="20" spans="2:5" ht="15.75">
      <c r="B20" s="174" t="s">
        <v>780</v>
      </c>
      <c r="C20" s="447">
        <f>IF(C21*0.1&lt;C19,"Exceed 10% Rule","")</f>
      </c>
      <c r="D20" s="333">
        <f>IF(D21*0.1&lt;D19,"Exceed 10% Rule","")</f>
      </c>
      <c r="E20" s="333">
        <f>IF(E21*0.1&lt;E19,"Exceed 10% Rule","")</f>
      </c>
    </row>
    <row r="21" spans="2:5" ht="15.75">
      <c r="B21" s="285" t="s">
        <v>169</v>
      </c>
      <c r="C21" s="335">
        <f>SUM(C8:C19)</f>
        <v>0</v>
      </c>
      <c r="D21" s="335">
        <f>SUM(D8:D19)</f>
        <v>0</v>
      </c>
      <c r="E21" s="335">
        <f>SUM(E8:E19)</f>
        <v>0</v>
      </c>
    </row>
    <row r="22" spans="2:5" ht="15.75">
      <c r="B22" s="285" t="s">
        <v>170</v>
      </c>
      <c r="C22" s="335">
        <f>C6+C21</f>
        <v>0</v>
      </c>
      <c r="D22" s="335">
        <f>D6+D21</f>
        <v>0</v>
      </c>
      <c r="E22" s="335">
        <f>E6+E21</f>
        <v>0</v>
      </c>
    </row>
    <row r="23" spans="2:5" ht="15.75">
      <c r="B23" s="174" t="s">
        <v>171</v>
      </c>
      <c r="C23" s="104"/>
      <c r="D23" s="104"/>
      <c r="E23" s="104"/>
    </row>
    <row r="24" spans="2:5" ht="15.75">
      <c r="B24" s="288"/>
      <c r="C24" s="330"/>
      <c r="D24" s="330"/>
      <c r="E24" s="330"/>
    </row>
    <row r="25" spans="2:5" ht="15.75">
      <c r="B25" s="288"/>
      <c r="C25" s="330"/>
      <c r="D25" s="330"/>
      <c r="E25" s="330"/>
    </row>
    <row r="26" spans="2:5" ht="15.75">
      <c r="B26" s="288"/>
      <c r="C26" s="127"/>
      <c r="D26" s="127"/>
      <c r="E26" s="127"/>
    </row>
    <row r="27" spans="2:5" ht="15.75">
      <c r="B27" s="288"/>
      <c r="C27" s="127"/>
      <c r="D27" s="127"/>
      <c r="E27" s="127"/>
    </row>
    <row r="28" spans="2:5" ht="15.75">
      <c r="B28" s="288"/>
      <c r="C28" s="127"/>
      <c r="D28" s="127"/>
      <c r="E28" s="127"/>
    </row>
    <row r="29" spans="2:5" ht="15.75">
      <c r="B29" s="288"/>
      <c r="C29" s="127"/>
      <c r="D29" s="127"/>
      <c r="E29" s="127"/>
    </row>
    <row r="30" spans="2:5" ht="15.75">
      <c r="B30" s="288"/>
      <c r="C30" s="127"/>
      <c r="D30" s="127"/>
      <c r="E30" s="127"/>
    </row>
    <row r="31" spans="2:5" ht="15.75">
      <c r="B31" s="288"/>
      <c r="C31" s="127"/>
      <c r="D31" s="127"/>
      <c r="E31" s="127"/>
    </row>
    <row r="32" spans="2:5" ht="15.75">
      <c r="B32" s="288"/>
      <c r="C32" s="127"/>
      <c r="D32" s="127"/>
      <c r="E32" s="127"/>
    </row>
    <row r="33" spans="2:5" ht="15.75">
      <c r="B33" s="288"/>
      <c r="C33" s="127"/>
      <c r="D33" s="127"/>
      <c r="E33" s="127"/>
    </row>
    <row r="34" spans="2:5" ht="15.75">
      <c r="B34" s="288"/>
      <c r="C34" s="127"/>
      <c r="D34" s="127"/>
      <c r="E34" s="127"/>
    </row>
    <row r="35" spans="2:5" ht="15.75">
      <c r="B35" s="288"/>
      <c r="C35" s="127"/>
      <c r="D35" s="127"/>
      <c r="E35" s="127"/>
    </row>
    <row r="36" spans="2:5" ht="15.75">
      <c r="B36" s="288"/>
      <c r="C36" s="127"/>
      <c r="D36" s="127"/>
      <c r="E36" s="127"/>
    </row>
    <row r="37" spans="2:5" ht="15.75">
      <c r="B37" s="288"/>
      <c r="C37" s="330"/>
      <c r="D37" s="330"/>
      <c r="E37" s="330"/>
    </row>
    <row r="38" spans="2:5" ht="15.75">
      <c r="B38" s="288"/>
      <c r="C38" s="330"/>
      <c r="D38" s="330"/>
      <c r="E38" s="330"/>
    </row>
    <row r="39" spans="2:5" ht="15.75">
      <c r="B39" s="288"/>
      <c r="C39" s="330"/>
      <c r="D39" s="330"/>
      <c r="E39" s="330"/>
    </row>
    <row r="40" spans="2:5" ht="15.75">
      <c r="B40" s="288"/>
      <c r="C40" s="330"/>
      <c r="D40" s="330"/>
      <c r="E40" s="330"/>
    </row>
    <row r="41" spans="2:5" ht="15.75">
      <c r="B41" s="288"/>
      <c r="C41" s="330"/>
      <c r="D41" s="330"/>
      <c r="E41" s="330"/>
    </row>
    <row r="42" spans="2:5" ht="15.75">
      <c r="B42" s="288"/>
      <c r="C42" s="330"/>
      <c r="D42" s="330"/>
      <c r="E42" s="330"/>
    </row>
    <row r="43" spans="2:5" ht="15.75">
      <c r="B43" s="288"/>
      <c r="C43" s="330"/>
      <c r="D43" s="330"/>
      <c r="E43" s="330"/>
    </row>
    <row r="44" spans="2:5" ht="15.75">
      <c r="B44" s="288"/>
      <c r="C44" s="330"/>
      <c r="D44" s="330"/>
      <c r="E44" s="330"/>
    </row>
    <row r="45" spans="2:5" ht="15.75">
      <c r="B45" s="288"/>
      <c r="C45" s="330"/>
      <c r="D45" s="330"/>
      <c r="E45" s="330"/>
    </row>
    <row r="46" spans="2:5" ht="15.75">
      <c r="B46" s="288"/>
      <c r="C46" s="330"/>
      <c r="D46" s="330"/>
      <c r="E46" s="330"/>
    </row>
    <row r="47" spans="2:5" ht="15.75">
      <c r="B47" s="288"/>
      <c r="C47" s="330"/>
      <c r="D47" s="330"/>
      <c r="E47" s="330"/>
    </row>
    <row r="48" spans="2:5" ht="15.75">
      <c r="B48" s="288"/>
      <c r="C48" s="330"/>
      <c r="D48" s="330"/>
      <c r="E48" s="330"/>
    </row>
    <row r="49" spans="2:5" ht="15.75">
      <c r="B49" s="187" t="s">
        <v>255</v>
      </c>
      <c r="C49" s="330"/>
      <c r="D49" s="330"/>
      <c r="E49" s="330"/>
    </row>
    <row r="50" spans="2:5" ht="15.75">
      <c r="B50" s="187" t="s">
        <v>779</v>
      </c>
      <c r="C50" s="447">
        <f>IF(C51*0.1&lt;C49,"Exceed 10% Rule","")</f>
      </c>
      <c r="D50" s="333">
        <f>IF(D51*0.1&lt;D49,"Exceed 10% Rule","")</f>
      </c>
      <c r="E50" s="333">
        <f>IF(E51*0.1&lt;E49,"Exceed 10% Rule","")</f>
      </c>
    </row>
    <row r="51" spans="2:5" ht="15.75">
      <c r="B51" s="285" t="s">
        <v>172</v>
      </c>
      <c r="C51" s="335">
        <f>SUM(C24:C49)</f>
        <v>0</v>
      </c>
      <c r="D51" s="335">
        <f>SUM(D24:D49)</f>
        <v>0</v>
      </c>
      <c r="E51" s="335">
        <f>SUM(E24:E49)</f>
        <v>0</v>
      </c>
    </row>
    <row r="52" spans="2:5" ht="15.75">
      <c r="B52" s="174" t="s">
        <v>276</v>
      </c>
      <c r="C52" s="90">
        <f>C22-C51</f>
        <v>0</v>
      </c>
      <c r="D52" s="90">
        <f>D22-D51</f>
        <v>0</v>
      </c>
      <c r="E52" s="90">
        <f>E22-E51</f>
        <v>0</v>
      </c>
    </row>
    <row r="53" spans="2:5" ht="15.75">
      <c r="B53" s="344" t="str">
        <f>CONCATENATE("",E1-2,"/",E1-1,"/",E1," Budget Authority Amount:")</f>
        <v>2013/2014/2015 Budget Authority Amount:</v>
      </c>
      <c r="C53" s="420">
        <f>inputOth!B68</f>
        <v>0</v>
      </c>
      <c r="D53" s="420">
        <f>inputPrYr!D35</f>
        <v>0</v>
      </c>
      <c r="E53" s="420">
        <f>E51</f>
        <v>0</v>
      </c>
    </row>
    <row r="54" spans="2:5" ht="15.75">
      <c r="B54" s="206"/>
      <c r="C54" s="290">
        <f>IF(C51&gt;C53,"See Tab A","")</f>
      </c>
      <c r="D54" s="290">
        <f>IF(D51&gt;D53,"See Tab C","")</f>
      </c>
      <c r="E54" s="747">
        <f>IF(E52&lt;0,"See Tab E","")</f>
      </c>
    </row>
    <row r="55" spans="2:5" ht="15.75">
      <c r="B55" s="206"/>
      <c r="C55" s="290">
        <f>IF(C52&lt;0,"See Tab B","")</f>
      </c>
      <c r="D55" s="290">
        <f>IF(D52&lt;0,"See Tab D","")</f>
      </c>
      <c r="E55" s="124"/>
    </row>
    <row r="56" spans="2:5" ht="15">
      <c r="B56" s="124"/>
      <c r="C56" s="124"/>
      <c r="D56" s="124"/>
      <c r="E56" s="124"/>
    </row>
    <row r="57" spans="2:5" ht="15.75">
      <c r="B57" s="214" t="s">
        <v>175</v>
      </c>
      <c r="C57" s="292"/>
      <c r="D57" s="124"/>
      <c r="E57" s="124"/>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2" t="s">
        <v>720</v>
      </c>
    </row>
    <row r="3" ht="31.5">
      <c r="A3" s="563" t="s">
        <v>721</v>
      </c>
    </row>
    <row r="4" ht="15.75">
      <c r="A4" s="564" t="s">
        <v>722</v>
      </c>
    </row>
    <row r="7" ht="31.5">
      <c r="A7" s="563" t="s">
        <v>723</v>
      </c>
    </row>
    <row r="8" ht="15.75">
      <c r="A8" s="564" t="s">
        <v>724</v>
      </c>
    </row>
    <row r="11" ht="15.75">
      <c r="A11" s="1" t="s">
        <v>725</v>
      </c>
    </row>
    <row r="12" ht="15.75">
      <c r="A12" s="564" t="s">
        <v>726</v>
      </c>
    </row>
    <row r="15" ht="15.75">
      <c r="A15" s="1" t="s">
        <v>727</v>
      </c>
    </row>
    <row r="16" ht="15.75">
      <c r="A16" s="564" t="s">
        <v>728</v>
      </c>
    </row>
    <row r="19" ht="15.75">
      <c r="A19" s="1" t="s">
        <v>729</v>
      </c>
    </row>
    <row r="20" ht="15.75">
      <c r="A20" s="564" t="s">
        <v>730</v>
      </c>
    </row>
    <row r="23" ht="15.75">
      <c r="A23" s="1" t="s">
        <v>731</v>
      </c>
    </row>
    <row r="24" ht="15.75">
      <c r="A24" s="564" t="s">
        <v>732</v>
      </c>
    </row>
    <row r="27" ht="15.75">
      <c r="A27" s="1" t="s">
        <v>733</v>
      </c>
    </row>
    <row r="28" ht="15.75">
      <c r="A28" s="564" t="s">
        <v>734</v>
      </c>
    </row>
    <row r="31" ht="15.75">
      <c r="A31" s="1" t="s">
        <v>735</v>
      </c>
    </row>
    <row r="32" ht="15.75">
      <c r="A32" s="564" t="s">
        <v>736</v>
      </c>
    </row>
    <row r="35" ht="15.75">
      <c r="A35" s="1" t="s">
        <v>737</v>
      </c>
    </row>
    <row r="36" ht="15.75">
      <c r="A36" s="564" t="s">
        <v>738</v>
      </c>
    </row>
    <row r="39" ht="15.75">
      <c r="A39" s="1" t="s">
        <v>739</v>
      </c>
    </row>
    <row r="40" ht="15.75">
      <c r="A40" s="564" t="s">
        <v>740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6.xml><?xml version="1.0" encoding="utf-8"?>
<worksheet xmlns="http://schemas.openxmlformats.org/spreadsheetml/2006/main" xmlns:r="http://schemas.openxmlformats.org/officeDocument/2006/relationships">
  <dimension ref="A1:A223"/>
  <sheetViews>
    <sheetView zoomScalePageLayoutView="0" workbookViewId="0" topLeftCell="A1">
      <selection activeCell="L170" sqref="L170"/>
    </sheetView>
  </sheetViews>
  <sheetFormatPr defaultColWidth="8.796875" defaultRowHeight="15"/>
  <cols>
    <col min="1" max="1" width="83.69921875" style="49" customWidth="1"/>
    <col min="2" max="16384" width="8.8984375" style="49" customWidth="1"/>
  </cols>
  <sheetData>
    <row r="1" ht="15.75">
      <c r="A1" s="605" t="s">
        <v>969</v>
      </c>
    </row>
    <row r="2" ht="15.75">
      <c r="A2" s="50" t="s">
        <v>968</v>
      </c>
    </row>
    <row r="4" ht="15.75">
      <c r="A4" s="605" t="s">
        <v>970</v>
      </c>
    </row>
    <row r="5" ht="15.75">
      <c r="A5" s="49" t="s">
        <v>967</v>
      </c>
    </row>
    <row r="7" ht="15.75">
      <c r="A7" s="605" t="s">
        <v>971</v>
      </c>
    </row>
    <row r="8" ht="15.75">
      <c r="A8" s="49" t="s">
        <v>966</v>
      </c>
    </row>
    <row r="10" ht="15.75">
      <c r="A10" s="605" t="s">
        <v>972</v>
      </c>
    </row>
    <row r="11" ht="15.75">
      <c r="A11" s="49" t="s">
        <v>964</v>
      </c>
    </row>
    <row r="13" ht="15.75">
      <c r="A13" s="605" t="s">
        <v>973</v>
      </c>
    </row>
    <row r="14" ht="15.75">
      <c r="A14" s="719" t="s">
        <v>963</v>
      </c>
    </row>
    <row r="16" ht="15.75">
      <c r="A16" s="605" t="s">
        <v>974</v>
      </c>
    </row>
    <row r="17" ht="15.75">
      <c r="A17" s="49" t="s">
        <v>961</v>
      </c>
    </row>
    <row r="19" ht="15.75">
      <c r="A19" s="605" t="s">
        <v>975</v>
      </c>
    </row>
    <row r="20" ht="15.75">
      <c r="A20" s="49" t="s">
        <v>959</v>
      </c>
    </row>
    <row r="21" ht="15.75">
      <c r="A21" s="49" t="s">
        <v>960</v>
      </c>
    </row>
    <row r="23" ht="15.75">
      <c r="A23" s="605" t="s">
        <v>976</v>
      </c>
    </row>
    <row r="24" ht="15.75">
      <c r="A24" s="724" t="s">
        <v>958</v>
      </c>
    </row>
    <row r="26" ht="15.75">
      <c r="A26" s="605" t="s">
        <v>977</v>
      </c>
    </row>
    <row r="27" ht="15.75">
      <c r="A27" s="719" t="s">
        <v>902</v>
      </c>
    </row>
    <row r="28" ht="15.75">
      <c r="A28" s="49" t="s">
        <v>903</v>
      </c>
    </row>
    <row r="29" ht="15.75">
      <c r="A29" s="49" t="s">
        <v>904</v>
      </c>
    </row>
    <row r="30" ht="15.75">
      <c r="A30" s="49" t="s">
        <v>905</v>
      </c>
    </row>
    <row r="31" ht="15.75">
      <c r="A31" s="49" t="s">
        <v>906</v>
      </c>
    </row>
    <row r="32" ht="15.75">
      <c r="A32" s="49" t="s">
        <v>907</v>
      </c>
    </row>
    <row r="33" ht="15.75">
      <c r="A33" s="49" t="s">
        <v>908</v>
      </c>
    </row>
    <row r="34" ht="15.75">
      <c r="A34" s="49" t="s">
        <v>909</v>
      </c>
    </row>
    <row r="35" ht="15.75">
      <c r="A35" s="49" t="s">
        <v>910</v>
      </c>
    </row>
    <row r="36" ht="15.75">
      <c r="A36" s="49" t="s">
        <v>911</v>
      </c>
    </row>
    <row r="37" ht="15.75">
      <c r="A37" s="49" t="s">
        <v>912</v>
      </c>
    </row>
    <row r="38" ht="15.75">
      <c r="A38" s="49" t="s">
        <v>913</v>
      </c>
    </row>
    <row r="39" ht="15.75">
      <c r="A39" s="49" t="s">
        <v>914</v>
      </c>
    </row>
    <row r="40" ht="15.75">
      <c r="A40" s="49" t="s">
        <v>915</v>
      </c>
    </row>
    <row r="41" ht="15.75">
      <c r="A41" s="49" t="s">
        <v>916</v>
      </c>
    </row>
    <row r="42" ht="15.75">
      <c r="A42" s="49" t="s">
        <v>917</v>
      </c>
    </row>
    <row r="43" ht="48.75" customHeight="1">
      <c r="A43" s="51" t="s">
        <v>918</v>
      </c>
    </row>
    <row r="44" ht="15.75">
      <c r="A44" s="50" t="s">
        <v>919</v>
      </c>
    </row>
    <row r="45" ht="36" customHeight="1">
      <c r="A45" s="51" t="s">
        <v>920</v>
      </c>
    </row>
    <row r="46" ht="15.75">
      <c r="A46" s="49" t="s">
        <v>921</v>
      </c>
    </row>
    <row r="47" ht="15.75">
      <c r="A47" s="49" t="s">
        <v>922</v>
      </c>
    </row>
    <row r="48" ht="15.75">
      <c r="A48" s="49" t="s">
        <v>923</v>
      </c>
    </row>
    <row r="49" ht="15.75">
      <c r="A49" s="49" t="s">
        <v>924</v>
      </c>
    </row>
    <row r="50" ht="15.75">
      <c r="A50" s="49" t="s">
        <v>925</v>
      </c>
    </row>
    <row r="51" ht="15.75">
      <c r="A51" s="49" t="s">
        <v>926</v>
      </c>
    </row>
    <row r="52" ht="15.75">
      <c r="A52" s="49" t="s">
        <v>927</v>
      </c>
    </row>
    <row r="53" ht="15.75">
      <c r="A53" s="49" t="s">
        <v>928</v>
      </c>
    </row>
    <row r="54" ht="15.75">
      <c r="A54" s="49" t="s">
        <v>929</v>
      </c>
    </row>
    <row r="55" ht="15.75">
      <c r="A55" s="49" t="s">
        <v>934</v>
      </c>
    </row>
    <row r="56" ht="15.75">
      <c r="A56" s="49" t="s">
        <v>938</v>
      </c>
    </row>
    <row r="57" ht="15.75">
      <c r="A57" s="49" t="s">
        <v>940</v>
      </c>
    </row>
    <row r="58" ht="15.75">
      <c r="A58" s="49" t="s">
        <v>939</v>
      </c>
    </row>
    <row r="59" ht="15.75">
      <c r="A59" s="49" t="s">
        <v>941</v>
      </c>
    </row>
    <row r="60" ht="15.75">
      <c r="A60" s="49" t="s">
        <v>947</v>
      </c>
    </row>
    <row r="61" ht="15.75">
      <c r="A61" s="49" t="s">
        <v>948</v>
      </c>
    </row>
    <row r="63" ht="15.75">
      <c r="A63" s="605" t="s">
        <v>978</v>
      </c>
    </row>
    <row r="64" ht="15.75">
      <c r="A64" s="49" t="s">
        <v>790</v>
      </c>
    </row>
    <row r="66" ht="15.75">
      <c r="A66" s="605" t="s">
        <v>979</v>
      </c>
    </row>
    <row r="67" ht="15.75">
      <c r="A67" s="49" t="s">
        <v>788</v>
      </c>
    </row>
    <row r="68" ht="15.75">
      <c r="A68" s="49" t="s">
        <v>789</v>
      </c>
    </row>
    <row r="70" ht="15.75">
      <c r="A70" s="605" t="s">
        <v>980</v>
      </c>
    </row>
    <row r="71" ht="15.75">
      <c r="A71" s="49" t="s">
        <v>787</v>
      </c>
    </row>
    <row r="73" ht="15.75">
      <c r="A73" s="605" t="s">
        <v>981</v>
      </c>
    </row>
    <row r="74" ht="15.75">
      <c r="A74" s="49" t="s">
        <v>786</v>
      </c>
    </row>
    <row r="76" ht="15.75">
      <c r="A76" s="605" t="s">
        <v>982</v>
      </c>
    </row>
    <row r="77" ht="15.75">
      <c r="A77" s="483" t="s">
        <v>784</v>
      </c>
    </row>
    <row r="78" ht="15.75">
      <c r="A78" s="483" t="s">
        <v>785</v>
      </c>
    </row>
    <row r="80" ht="15.75">
      <c r="A80" s="390" t="s">
        <v>983</v>
      </c>
    </row>
    <row r="81" ht="15.75">
      <c r="A81" s="49" t="s">
        <v>781</v>
      </c>
    </row>
    <row r="82" ht="15.75">
      <c r="A82" s="49" t="s">
        <v>782</v>
      </c>
    </row>
    <row r="83" ht="15.75">
      <c r="A83" s="49" t="s">
        <v>783</v>
      </c>
    </row>
    <row r="85" ht="15.75">
      <c r="A85" s="390" t="s">
        <v>984</v>
      </c>
    </row>
    <row r="86" ht="15.75">
      <c r="A86" s="483" t="s">
        <v>653</v>
      </c>
    </row>
    <row r="87" ht="15.75">
      <c r="A87" s="483" t="s">
        <v>654</v>
      </c>
    </row>
    <row r="88" ht="31.5">
      <c r="A88" s="482" t="s">
        <v>778</v>
      </c>
    </row>
    <row r="89" ht="15.75">
      <c r="A89" s="483" t="s">
        <v>744</v>
      </c>
    </row>
    <row r="90" ht="15.75">
      <c r="A90" s="483" t="s">
        <v>745</v>
      </c>
    </row>
    <row r="91" ht="15.75">
      <c r="A91" s="483" t="s">
        <v>746</v>
      </c>
    </row>
    <row r="92" ht="15.75">
      <c r="A92" s="483" t="s">
        <v>747</v>
      </c>
    </row>
    <row r="93" ht="15.75">
      <c r="A93" s="483" t="s">
        <v>748</v>
      </c>
    </row>
    <row r="94" ht="15.75">
      <c r="A94" s="483" t="s">
        <v>749</v>
      </c>
    </row>
    <row r="95" ht="15.75">
      <c r="A95" s="483" t="s">
        <v>750</v>
      </c>
    </row>
    <row r="96" ht="15.75">
      <c r="A96" s="483" t="s">
        <v>751</v>
      </c>
    </row>
    <row r="97" ht="15.75">
      <c r="A97" s="483" t="s">
        <v>752</v>
      </c>
    </row>
    <row r="98" ht="15.75">
      <c r="A98" s="483" t="s">
        <v>753</v>
      </c>
    </row>
    <row r="99" ht="15.75">
      <c r="A99" s="483" t="s">
        <v>754</v>
      </c>
    </row>
    <row r="100" ht="15.75">
      <c r="A100" s="483" t="s">
        <v>755</v>
      </c>
    </row>
    <row r="101" ht="15.75">
      <c r="A101" s="483" t="s">
        <v>756</v>
      </c>
    </row>
    <row r="102" ht="15.75">
      <c r="A102" s="483" t="s">
        <v>757</v>
      </c>
    </row>
    <row r="103" ht="15.75">
      <c r="A103" s="483" t="s">
        <v>758</v>
      </c>
    </row>
    <row r="104" ht="15.75">
      <c r="A104" s="483" t="s">
        <v>759</v>
      </c>
    </row>
    <row r="105" ht="15.75">
      <c r="A105" s="483" t="s">
        <v>760</v>
      </c>
    </row>
    <row r="106" ht="15.75">
      <c r="A106" s="483" t="s">
        <v>761</v>
      </c>
    </row>
    <row r="107" ht="15.75">
      <c r="A107" s="483" t="s">
        <v>762</v>
      </c>
    </row>
    <row r="108" ht="15.75">
      <c r="A108" s="483" t="s">
        <v>763</v>
      </c>
    </row>
    <row r="109" ht="15.75">
      <c r="A109" s="483" t="s">
        <v>764</v>
      </c>
    </row>
    <row r="110" ht="15.75">
      <c r="A110" s="483" t="s">
        <v>765</v>
      </c>
    </row>
    <row r="111" ht="15.75">
      <c r="A111" s="483" t="s">
        <v>766</v>
      </c>
    </row>
    <row r="112" ht="15.75">
      <c r="A112" s="483" t="s">
        <v>767</v>
      </c>
    </row>
    <row r="113" ht="15.75">
      <c r="A113" s="483" t="s">
        <v>768</v>
      </c>
    </row>
    <row r="115" ht="15.75">
      <c r="A115" s="390" t="s">
        <v>985</v>
      </c>
    </row>
    <row r="116" ht="15.75">
      <c r="A116" s="49" t="s">
        <v>632</v>
      </c>
    </row>
    <row r="117" ht="15.75">
      <c r="A117" s="49" t="s">
        <v>633</v>
      </c>
    </row>
    <row r="118" ht="15.75">
      <c r="A118" s="49" t="s">
        <v>634</v>
      </c>
    </row>
    <row r="120" ht="15.75">
      <c r="A120" s="390" t="s">
        <v>986</v>
      </c>
    </row>
    <row r="121" ht="15.75">
      <c r="A121" s="49" t="s">
        <v>622</v>
      </c>
    </row>
    <row r="122" ht="15.75">
      <c r="A122" s="49" t="s">
        <v>623</v>
      </c>
    </row>
    <row r="124" ht="15.75">
      <c r="A124" s="390" t="s">
        <v>987</v>
      </c>
    </row>
    <row r="125" ht="15.75">
      <c r="A125" s="389" t="s">
        <v>616</v>
      </c>
    </row>
    <row r="126" ht="15.75">
      <c r="A126" s="389" t="s">
        <v>617</v>
      </c>
    </row>
    <row r="127" ht="15.75">
      <c r="A127" s="389" t="s">
        <v>618</v>
      </c>
    </row>
    <row r="128" ht="15.75">
      <c r="A128" s="49" t="s">
        <v>620</v>
      </c>
    </row>
    <row r="130" ht="15.75">
      <c r="A130" s="325" t="s">
        <v>988</v>
      </c>
    </row>
    <row r="131" ht="15.75">
      <c r="A131" s="356" t="s">
        <v>364</v>
      </c>
    </row>
    <row r="132" ht="21.75" customHeight="1">
      <c r="A132" s="49" t="s">
        <v>365</v>
      </c>
    </row>
    <row r="133" ht="15.75">
      <c r="A133" s="49" t="s">
        <v>366</v>
      </c>
    </row>
    <row r="134" ht="31.5">
      <c r="A134" s="51" t="s">
        <v>367</v>
      </c>
    </row>
    <row r="135" ht="15.75">
      <c r="A135" s="49" t="s">
        <v>368</v>
      </c>
    </row>
    <row r="136" ht="15.75">
      <c r="A136" s="49" t="s">
        <v>369</v>
      </c>
    </row>
    <row r="137" ht="15.75">
      <c r="A137" s="49" t="s">
        <v>370</v>
      </c>
    </row>
    <row r="138" ht="15.75">
      <c r="A138" s="49" t="s">
        <v>371</v>
      </c>
    </row>
    <row r="139" ht="15.75">
      <c r="A139" s="49" t="s">
        <v>389</v>
      </c>
    </row>
    <row r="141" ht="15.75">
      <c r="A141" s="325" t="s">
        <v>989</v>
      </c>
    </row>
    <row r="142" ht="15.75">
      <c r="A142" s="49" t="s">
        <v>331</v>
      </c>
    </row>
    <row r="143" ht="15.75">
      <c r="A143" s="49" t="s">
        <v>332</v>
      </c>
    </row>
    <row r="144" ht="15.75">
      <c r="A144" s="49" t="s">
        <v>333</v>
      </c>
    </row>
    <row r="145" ht="15.75">
      <c r="A145" s="49" t="s">
        <v>334</v>
      </c>
    </row>
    <row r="147" ht="15.75">
      <c r="A147" s="325" t="s">
        <v>990</v>
      </c>
    </row>
    <row r="148" ht="15.75">
      <c r="A148" s="49" t="s">
        <v>330</v>
      </c>
    </row>
    <row r="150" ht="15.75">
      <c r="A150" s="325" t="s">
        <v>328</v>
      </c>
    </row>
    <row r="151" ht="15.75">
      <c r="A151" s="49" t="s">
        <v>329</v>
      </c>
    </row>
    <row r="153" ht="15.75">
      <c r="A153" s="325" t="s">
        <v>324</v>
      </c>
    </row>
    <row r="154" ht="15.75">
      <c r="A154" s="49" t="s">
        <v>325</v>
      </c>
    </row>
    <row r="155" ht="15.75">
      <c r="A155" s="49" t="s">
        <v>326</v>
      </c>
    </row>
    <row r="156" ht="15.75">
      <c r="A156" s="49" t="s">
        <v>327</v>
      </c>
    </row>
    <row r="158" ht="15.75">
      <c r="A158" s="325" t="s">
        <v>102</v>
      </c>
    </row>
    <row r="159" ht="15.75">
      <c r="A159" s="49" t="s">
        <v>106</v>
      </c>
    </row>
    <row r="160" ht="32.25" customHeight="1">
      <c r="A160" s="49" t="s">
        <v>103</v>
      </c>
    </row>
    <row r="161" ht="36" customHeight="1">
      <c r="A161" s="49" t="s">
        <v>107</v>
      </c>
    </row>
    <row r="162" ht="35.25" customHeight="1">
      <c r="A162" s="49" t="s">
        <v>104</v>
      </c>
    </row>
    <row r="163" ht="18" customHeight="1">
      <c r="A163" s="49" t="s">
        <v>111</v>
      </c>
    </row>
    <row r="164" ht="36" customHeight="1">
      <c r="A164" s="49" t="s">
        <v>112</v>
      </c>
    </row>
    <row r="165" ht="31.5">
      <c r="A165" s="51" t="s">
        <v>655</v>
      </c>
    </row>
    <row r="166" ht="33.75" customHeight="1">
      <c r="A166" s="51" t="s">
        <v>108</v>
      </c>
    </row>
    <row r="167" ht="18.75" customHeight="1">
      <c r="A167" s="51" t="s">
        <v>109</v>
      </c>
    </row>
    <row r="168" ht="17.25" customHeight="1">
      <c r="A168" s="51" t="s">
        <v>96</v>
      </c>
    </row>
    <row r="169" ht="17.25" customHeight="1">
      <c r="A169" s="51" t="s">
        <v>58</v>
      </c>
    </row>
    <row r="170" ht="15.75">
      <c r="A170" s="49" t="s">
        <v>57</v>
      </c>
    </row>
    <row r="171" ht="31.5">
      <c r="A171" s="51" t="s">
        <v>99</v>
      </c>
    </row>
    <row r="172" ht="15.75">
      <c r="A172" s="49" t="s">
        <v>56</v>
      </c>
    </row>
    <row r="173" ht="15.75">
      <c r="A173" s="49" t="s">
        <v>97</v>
      </c>
    </row>
    <row r="174" ht="15.75">
      <c r="A174" s="49" t="s">
        <v>95</v>
      </c>
    </row>
    <row r="175" ht="15.75">
      <c r="A175" s="49" t="s">
        <v>55</v>
      </c>
    </row>
    <row r="176" ht="31.5">
      <c r="A176" s="51" t="s">
        <v>53</v>
      </c>
    </row>
    <row r="177" ht="15.75">
      <c r="A177" s="49" t="s">
        <v>54</v>
      </c>
    </row>
    <row r="179" ht="15.75">
      <c r="A179" s="325" t="s">
        <v>91</v>
      </c>
    </row>
    <row r="180" ht="15.75">
      <c r="A180" s="49" t="s">
        <v>100</v>
      </c>
    </row>
    <row r="181" ht="15.75">
      <c r="A181" s="49" t="s">
        <v>92</v>
      </c>
    </row>
    <row r="182" ht="15.75">
      <c r="A182" s="49" t="s">
        <v>93</v>
      </c>
    </row>
    <row r="183" ht="15.75">
      <c r="A183" s="49" t="s">
        <v>656</v>
      </c>
    </row>
    <row r="184" ht="18" customHeight="1">
      <c r="A184" s="325" t="s">
        <v>88</v>
      </c>
    </row>
    <row r="185" ht="51" customHeight="1">
      <c r="A185" s="51" t="s">
        <v>89</v>
      </c>
    </row>
    <row r="186" ht="15.75">
      <c r="A186" s="49" t="s">
        <v>90</v>
      </c>
    </row>
    <row r="189" ht="15.75">
      <c r="A189" s="325" t="s">
        <v>320</v>
      </c>
    </row>
    <row r="190" ht="47.25">
      <c r="A190" s="51" t="s">
        <v>657</v>
      </c>
    </row>
    <row r="191" ht="15.75">
      <c r="A191" s="49" t="s">
        <v>113</v>
      </c>
    </row>
    <row r="192" ht="15.75">
      <c r="A192" s="49" t="s">
        <v>321</v>
      </c>
    </row>
    <row r="193" ht="15.75">
      <c r="A193" s="49" t="s">
        <v>38</v>
      </c>
    </row>
    <row r="194" ht="15.75">
      <c r="A194" s="49" t="s">
        <v>322</v>
      </c>
    </row>
    <row r="195" ht="15.75">
      <c r="A195" s="49" t="s">
        <v>323</v>
      </c>
    </row>
    <row r="196" ht="15.75">
      <c r="A196" s="49" t="s">
        <v>0</v>
      </c>
    </row>
    <row r="197" ht="15.75">
      <c r="A197" s="49" t="s">
        <v>1</v>
      </c>
    </row>
    <row r="198" ht="15.75">
      <c r="A198" s="49" t="s">
        <v>2</v>
      </c>
    </row>
    <row r="199" ht="31.5">
      <c r="A199" s="51" t="s">
        <v>8</v>
      </c>
    </row>
    <row r="200" ht="31.5">
      <c r="A200" s="51" t="s">
        <v>121</v>
      </c>
    </row>
    <row r="201" ht="15.75">
      <c r="A201" s="49" t="s">
        <v>4</v>
      </c>
    </row>
    <row r="202" ht="15.75">
      <c r="A202" s="49" t="s">
        <v>9</v>
      </c>
    </row>
    <row r="203" ht="15.75">
      <c r="A203" s="49" t="s">
        <v>39</v>
      </c>
    </row>
    <row r="204" ht="15.75">
      <c r="A204" s="49" t="s">
        <v>6</v>
      </c>
    </row>
    <row r="205" ht="15.75">
      <c r="A205" s="49" t="s">
        <v>40</v>
      </c>
    </row>
    <row r="206" ht="31.5">
      <c r="A206" s="51" t="s">
        <v>41</v>
      </c>
    </row>
    <row r="207" ht="15.75">
      <c r="A207" s="49" t="s">
        <v>17</v>
      </c>
    </row>
    <row r="208" ht="15.75">
      <c r="A208" s="49" t="s">
        <v>18</v>
      </c>
    </row>
    <row r="209" ht="31.5">
      <c r="A209" s="51" t="s">
        <v>19</v>
      </c>
    </row>
    <row r="210" ht="15.75">
      <c r="A210" s="49" t="s">
        <v>74</v>
      </c>
    </row>
    <row r="211" ht="15.75">
      <c r="A211" s="49" t="s">
        <v>75</v>
      </c>
    </row>
    <row r="212" ht="15.75">
      <c r="A212" s="49" t="s">
        <v>76</v>
      </c>
    </row>
    <row r="213" ht="15.75">
      <c r="A213" s="49" t="s">
        <v>77</v>
      </c>
    </row>
    <row r="214" ht="15.75">
      <c r="A214" s="49" t="s">
        <v>78</v>
      </c>
    </row>
    <row r="215" ht="15.75">
      <c r="A215" s="49" t="s">
        <v>79</v>
      </c>
    </row>
    <row r="216" ht="15.75">
      <c r="A216" s="49" t="s">
        <v>80</v>
      </c>
    </row>
    <row r="217" ht="15.75">
      <c r="A217" s="49" t="s">
        <v>81</v>
      </c>
    </row>
    <row r="218" ht="15.75">
      <c r="A218" s="49" t="s">
        <v>82</v>
      </c>
    </row>
    <row r="219" ht="31.5">
      <c r="A219" s="51" t="s">
        <v>83</v>
      </c>
    </row>
    <row r="220" ht="15.75">
      <c r="A220" s="49" t="s">
        <v>84</v>
      </c>
    </row>
    <row r="221" ht="15.75">
      <c r="A221" s="49" t="s">
        <v>85</v>
      </c>
    </row>
    <row r="222" ht="15.75">
      <c r="A222" s="49" t="s">
        <v>86</v>
      </c>
    </row>
    <row r="223" ht="15.75">
      <c r="A223" s="49"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14" t="s">
        <v>791</v>
      </c>
    </row>
    <row r="2" spans="1:10" ht="54" customHeight="1">
      <c r="A2" s="790" t="s">
        <v>390</v>
      </c>
      <c r="B2" s="791"/>
      <c r="C2" s="791"/>
      <c r="D2" s="791"/>
      <c r="E2" s="791"/>
      <c r="F2" s="791"/>
      <c r="J2" s="614" t="s">
        <v>792</v>
      </c>
    </row>
    <row r="3" spans="1:10" ht="15.75">
      <c r="A3" s="1" t="s">
        <v>803</v>
      </c>
      <c r="B3" s="748" t="s">
        <v>1059</v>
      </c>
      <c r="C3" s="749"/>
      <c r="J3" s="614" t="s">
        <v>793</v>
      </c>
    </row>
    <row r="4" spans="1:10" ht="15.75">
      <c r="A4" s="1"/>
      <c r="B4" s="620"/>
      <c r="J4" s="614" t="s">
        <v>794</v>
      </c>
    </row>
    <row r="5" spans="1:10" ht="15.75">
      <c r="A5" s="1" t="s">
        <v>636</v>
      </c>
      <c r="B5" s="750" t="s">
        <v>1060</v>
      </c>
      <c r="J5" s="614" t="s">
        <v>795</v>
      </c>
    </row>
    <row r="6" spans="1:10" ht="15.75">
      <c r="A6" s="369"/>
      <c r="B6" s="369"/>
      <c r="C6" s="369"/>
      <c r="D6" s="370" t="s">
        <v>392</v>
      </c>
      <c r="E6" s="369"/>
      <c r="F6" s="369"/>
      <c r="J6" s="614" t="s">
        <v>796</v>
      </c>
    </row>
    <row r="7" spans="1:10" ht="15.75">
      <c r="A7" s="370" t="s">
        <v>391</v>
      </c>
      <c r="B7" s="750" t="s">
        <v>1056</v>
      </c>
      <c r="C7" s="371"/>
      <c r="D7" s="608" t="str">
        <f>IF(B7="","",CONCATENATE("Latest date for notice to be published in your newspaper: ",G18," ",G22,", ",G23))</f>
        <v>Latest date for notice to be published in your newspaper: July 28, 2014</v>
      </c>
      <c r="E7" s="369"/>
      <c r="F7" s="369"/>
      <c r="J7" s="614" t="s">
        <v>797</v>
      </c>
    </row>
    <row r="8" spans="1:10" ht="15.75">
      <c r="A8" s="370"/>
      <c r="B8" s="372"/>
      <c r="C8" s="373"/>
      <c r="D8" s="608"/>
      <c r="E8" s="369"/>
      <c r="F8" s="369"/>
      <c r="J8" s="614" t="s">
        <v>798</v>
      </c>
    </row>
    <row r="9" spans="1:10" ht="15.75">
      <c r="A9" s="370" t="s">
        <v>393</v>
      </c>
      <c r="B9" s="751" t="s">
        <v>1057</v>
      </c>
      <c r="C9" s="374"/>
      <c r="D9" s="370"/>
      <c r="E9" s="369"/>
      <c r="F9" s="369"/>
      <c r="J9" s="614" t="s">
        <v>799</v>
      </c>
    </row>
    <row r="10" spans="1:10" ht="15.75">
      <c r="A10" s="370"/>
      <c r="B10" s="608"/>
      <c r="C10" s="370"/>
      <c r="D10" s="370"/>
      <c r="E10" s="369"/>
      <c r="F10" s="369"/>
      <c r="J10" s="614" t="s">
        <v>800</v>
      </c>
    </row>
    <row r="11" spans="1:10" ht="15.75">
      <c r="A11" s="370" t="s">
        <v>394</v>
      </c>
      <c r="B11" s="752" t="s">
        <v>1058</v>
      </c>
      <c r="C11" s="753"/>
      <c r="D11" s="753"/>
      <c r="E11" s="754"/>
      <c r="F11" s="369"/>
      <c r="J11" s="614" t="s">
        <v>801</v>
      </c>
    </row>
    <row r="12" spans="1:10" ht="15.75">
      <c r="A12" s="370"/>
      <c r="B12" s="608"/>
      <c r="C12" s="370"/>
      <c r="D12" s="370"/>
      <c r="E12" s="369"/>
      <c r="F12" s="369"/>
      <c r="J12" s="614" t="s">
        <v>802</v>
      </c>
    </row>
    <row r="13" spans="1:6" ht="15.75">
      <c r="A13" s="370"/>
      <c r="B13" s="608"/>
      <c r="C13" s="370"/>
      <c r="D13" s="370"/>
      <c r="E13" s="369"/>
      <c r="F13" s="369"/>
    </row>
    <row r="14" spans="1:6" ht="15.75">
      <c r="A14" s="370" t="s">
        <v>395</v>
      </c>
      <c r="B14" s="752" t="s">
        <v>1058</v>
      </c>
      <c r="C14" s="753"/>
      <c r="D14" s="753"/>
      <c r="E14" s="754"/>
      <c r="F14" s="369"/>
    </row>
    <row r="17" spans="1:6" ht="15.75">
      <c r="A17" s="792" t="s">
        <v>396</v>
      </c>
      <c r="B17" s="792"/>
      <c r="C17" s="370"/>
      <c r="D17" s="370"/>
      <c r="E17" s="370"/>
      <c r="F17" s="369"/>
    </row>
    <row r="18" spans="1:7" ht="15.75">
      <c r="A18" s="370"/>
      <c r="B18" s="370"/>
      <c r="C18" s="370"/>
      <c r="D18" s="370"/>
      <c r="E18" s="370"/>
      <c r="F18" s="369"/>
      <c r="G18" s="614" t="str">
        <f ca="1">IF(B7="","",INDIRECT(G19))</f>
        <v>July</v>
      </c>
    </row>
    <row r="19" spans="1:7" ht="15.75">
      <c r="A19" s="370" t="s">
        <v>636</v>
      </c>
      <c r="B19" s="370" t="s">
        <v>637</v>
      </c>
      <c r="C19" s="370"/>
      <c r="D19" s="370"/>
      <c r="E19" s="370"/>
      <c r="F19" s="369"/>
      <c r="G19" s="615" t="str">
        <f>IF(B7="","",CONCATENATE("J",G21))</f>
        <v>J7</v>
      </c>
    </row>
    <row r="20" spans="1:7" ht="15.75">
      <c r="A20" s="370"/>
      <c r="B20" s="370"/>
      <c r="C20" s="370"/>
      <c r="D20" s="370"/>
      <c r="E20" s="370"/>
      <c r="F20" s="369"/>
      <c r="G20" s="616">
        <f>B7-10</f>
        <v>41848</v>
      </c>
    </row>
    <row r="21" spans="1:7" ht="15.75">
      <c r="A21" s="370" t="s">
        <v>391</v>
      </c>
      <c r="B21" s="372" t="s">
        <v>397</v>
      </c>
      <c r="C21" s="370"/>
      <c r="D21" s="370"/>
      <c r="E21" s="370"/>
      <c r="G21" s="617">
        <f>IF(B7="","",MONTH(G20))</f>
        <v>7</v>
      </c>
    </row>
    <row r="22" spans="1:7" ht="15.75">
      <c r="A22" s="370"/>
      <c r="B22" s="370"/>
      <c r="C22" s="370"/>
      <c r="D22" s="370"/>
      <c r="E22" s="370"/>
      <c r="G22" s="618">
        <f>IF(B7="","",DAY(G20))</f>
        <v>28</v>
      </c>
    </row>
    <row r="23" spans="1:7" ht="15.75">
      <c r="A23" s="370" t="s">
        <v>393</v>
      </c>
      <c r="B23" s="370" t="s">
        <v>398</v>
      </c>
      <c r="C23" s="370"/>
      <c r="D23" s="370"/>
      <c r="E23" s="370"/>
      <c r="G23" s="619">
        <f>IF(B7="","",YEAR(G20))</f>
        <v>2014</v>
      </c>
    </row>
    <row r="24" spans="1:5" ht="15.75">
      <c r="A24" s="370"/>
      <c r="B24" s="370"/>
      <c r="C24" s="370"/>
      <c r="D24" s="370"/>
      <c r="E24" s="370"/>
    </row>
    <row r="25" spans="1:5" ht="15.75">
      <c r="A25" s="370" t="s">
        <v>394</v>
      </c>
      <c r="B25" s="370" t="s">
        <v>399</v>
      </c>
      <c r="C25" s="370"/>
      <c r="D25" s="370"/>
      <c r="E25" s="370"/>
    </row>
    <row r="26" spans="1:5" ht="15.75">
      <c r="A26" s="370"/>
      <c r="B26" s="370"/>
      <c r="C26" s="370"/>
      <c r="D26" s="370"/>
      <c r="E26" s="370"/>
    </row>
    <row r="27" spans="1:5" ht="15.75">
      <c r="A27" s="370" t="s">
        <v>395</v>
      </c>
      <c r="B27" s="370" t="s">
        <v>399</v>
      </c>
      <c r="C27" s="370"/>
      <c r="D27" s="370"/>
      <c r="E27" s="370"/>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2">
      <selection activeCell="F40" sqref="F40:F41"/>
    </sheetView>
  </sheetViews>
  <sheetFormatPr defaultColWidth="8.796875" defaultRowHeight="15" customHeight="1"/>
  <cols>
    <col min="1" max="1" width="24.3984375" style="158" customWidth="1"/>
    <col min="2" max="2" width="11.296875" style="158" customWidth="1"/>
    <col min="3" max="3" width="5.796875" style="158" customWidth="1"/>
    <col min="4" max="4" width="13.8984375" style="158" customWidth="1"/>
    <col min="5" max="5" width="14" style="158" customWidth="1"/>
    <col min="6" max="6" width="13" style="158" customWidth="1"/>
    <col min="7" max="16384" width="8.8984375" style="158" customWidth="1"/>
  </cols>
  <sheetData>
    <row r="1" spans="1:6" ht="15" customHeight="1">
      <c r="A1" s="156"/>
      <c r="B1" s="156"/>
      <c r="C1" s="156"/>
      <c r="D1" s="156"/>
      <c r="E1" s="156"/>
      <c r="F1" s="157">
        <f>inputPrYr!$C$5</f>
        <v>2015</v>
      </c>
    </row>
    <row r="2" spans="1:6" ht="15" customHeight="1">
      <c r="A2" s="62"/>
      <c r="B2" s="62"/>
      <c r="C2" s="64" t="s">
        <v>216</v>
      </c>
      <c r="D2" s="62"/>
      <c r="E2" s="62"/>
      <c r="F2" s="159"/>
    </row>
    <row r="3" spans="1:6" s="63" customFormat="1" ht="15" customHeight="1">
      <c r="A3" s="793" t="str">
        <f>CONCATENATE("To the Clerk of ",inputPrYr!D3,", State of Kansas")</f>
        <v>To the Clerk of Brown County, State of Kansas</v>
      </c>
      <c r="B3" s="785"/>
      <c r="C3" s="785"/>
      <c r="D3" s="785"/>
      <c r="E3" s="785"/>
      <c r="F3" s="785"/>
    </row>
    <row r="4" spans="1:6" s="63" customFormat="1" ht="15" customHeight="1">
      <c r="A4" s="70" t="s">
        <v>635</v>
      </c>
      <c r="B4" s="69"/>
      <c r="C4" s="69"/>
      <c r="D4" s="69"/>
      <c r="E4" s="69"/>
      <c r="F4" s="69"/>
    </row>
    <row r="5" spans="1:6" s="63" customFormat="1" ht="15" customHeight="1">
      <c r="A5" s="62"/>
      <c r="B5" s="62"/>
      <c r="C5" s="424" t="str">
        <f>(inputPrYr!D2)</f>
        <v>City of Fairview</v>
      </c>
      <c r="D5" s="62"/>
      <c r="E5" s="62"/>
      <c r="F5" s="62"/>
    </row>
    <row r="6" spans="1:6" s="63" customFormat="1" ht="15" customHeight="1">
      <c r="A6" s="70" t="s">
        <v>136</v>
      </c>
      <c r="B6" s="69"/>
      <c r="C6" s="69"/>
      <c r="D6" s="69"/>
      <c r="E6" s="69"/>
      <c r="F6" s="69"/>
    </row>
    <row r="7" spans="1:6" s="63" customFormat="1" ht="15" customHeight="1">
      <c r="A7" s="70" t="s">
        <v>137</v>
      </c>
      <c r="B7" s="69"/>
      <c r="C7" s="69"/>
      <c r="D7" s="69"/>
      <c r="E7" s="69"/>
      <c r="F7" s="69"/>
    </row>
    <row r="8" spans="1:6" s="63" customFormat="1" ht="15" customHeight="1">
      <c r="A8" s="70" t="str">
        <f>CONCATENATE("maximum expenditure for the various funds for the year ",D11,"; and")</f>
        <v>maximum expenditure for the various funds for the year 2015; and</v>
      </c>
      <c r="B8" s="69"/>
      <c r="C8" s="69"/>
      <c r="D8" s="69"/>
      <c r="E8" s="69"/>
      <c r="F8" s="69"/>
    </row>
    <row r="9" spans="1:6" s="63" customFormat="1" ht="15" customHeight="1">
      <c r="A9" s="70" t="str">
        <f>CONCATENATE("(3) the Amount(s) of ",F1-1," Ad Valorem Tax are within statutory limitations.")</f>
        <v>(3) the Amount(s) of 2014 Ad Valorem Tax are within statutory limitations.</v>
      </c>
      <c r="B9" s="69"/>
      <c r="C9" s="69"/>
      <c r="D9" s="69"/>
      <c r="E9" s="69"/>
      <c r="F9" s="69"/>
    </row>
    <row r="10" spans="1:6" ht="15" customHeight="1">
      <c r="A10" s="161"/>
      <c r="B10" s="162"/>
      <c r="C10" s="162"/>
      <c r="D10" s="163"/>
      <c r="E10" s="162"/>
      <c r="F10" s="162"/>
    </row>
    <row r="11" spans="1:6" ht="15" customHeight="1">
      <c r="A11" s="62"/>
      <c r="B11" s="62"/>
      <c r="C11" s="164"/>
      <c r="D11" s="165">
        <f>inputPrYr!$C$5</f>
        <v>2015</v>
      </c>
      <c r="E11" s="166" t="s">
        <v>162</v>
      </c>
      <c r="F11" s="167"/>
    </row>
    <row r="12" spans="1:6" ht="16.5" customHeight="1">
      <c r="A12" s="162"/>
      <c r="B12" s="62"/>
      <c r="C12" s="168"/>
      <c r="D12" s="170"/>
      <c r="E12" s="794" t="str">
        <f>CONCATENATE("Amount of ",$F$1-1," Ad Valorem Tax")</f>
        <v>Amount of 2014 Ad Valorem Tax</v>
      </c>
      <c r="F12" s="170" t="s">
        <v>139</v>
      </c>
    </row>
    <row r="13" spans="1:6" ht="14.25" customHeight="1">
      <c r="A13" s="62"/>
      <c r="B13" s="62"/>
      <c r="C13" s="170" t="s">
        <v>140</v>
      </c>
      <c r="D13" s="171" t="s">
        <v>48</v>
      </c>
      <c r="E13" s="795"/>
      <c r="F13" s="171" t="s">
        <v>141</v>
      </c>
    </row>
    <row r="14" spans="1:6" ht="14.25" customHeight="1">
      <c r="A14" s="172" t="s">
        <v>142</v>
      </c>
      <c r="B14" s="99"/>
      <c r="C14" s="173" t="s">
        <v>143</v>
      </c>
      <c r="D14" s="173" t="s">
        <v>647</v>
      </c>
      <c r="E14" s="796"/>
      <c r="F14" s="173" t="s">
        <v>145</v>
      </c>
    </row>
    <row r="15" spans="1:6" ht="15" customHeight="1">
      <c r="A15" s="174" t="s">
        <v>306</v>
      </c>
      <c r="B15" s="175">
        <f>inputPrYr!$C$5</f>
        <v>2015</v>
      </c>
      <c r="C15" s="176">
        <v>2</v>
      </c>
      <c r="D15" s="92"/>
      <c r="E15" s="92"/>
      <c r="F15" s="177"/>
    </row>
    <row r="16" spans="1:6" ht="15" customHeight="1">
      <c r="A16" s="169" t="s">
        <v>943</v>
      </c>
      <c r="B16" s="178"/>
      <c r="C16" s="176">
        <v>3</v>
      </c>
      <c r="D16" s="92"/>
      <c r="E16" s="92"/>
      <c r="F16" s="164"/>
    </row>
    <row r="17" spans="1:6" ht="15" customHeight="1">
      <c r="A17" s="174" t="s">
        <v>281</v>
      </c>
      <c r="B17" s="112"/>
      <c r="C17" s="179">
        <v>4</v>
      </c>
      <c r="D17" s="92"/>
      <c r="E17" s="92"/>
      <c r="F17" s="164"/>
    </row>
    <row r="18" spans="1:6" ht="15" customHeight="1">
      <c r="A18" s="174" t="s">
        <v>146</v>
      </c>
      <c r="B18" s="112"/>
      <c r="C18" s="179">
        <v>5</v>
      </c>
      <c r="D18" s="92"/>
      <c r="E18" s="92"/>
      <c r="F18" s="164"/>
    </row>
    <row r="19" spans="1:7" ht="15" customHeight="1">
      <c r="A19" s="174" t="s">
        <v>147</v>
      </c>
      <c r="B19" s="112"/>
      <c r="C19" s="179">
        <v>6</v>
      </c>
      <c r="D19" s="92"/>
      <c r="E19" s="92"/>
      <c r="F19" s="164"/>
      <c r="G19" s="180"/>
    </row>
    <row r="20" spans="1:7" ht="15" customHeight="1">
      <c r="A20" s="274">
        <f>IF(inputPrYr!D19="","","Computation to Determine State Library Grant")</f>
      </c>
      <c r="B20" s="99"/>
      <c r="C20" s="179">
        <f>IF(inputPrYr!D19="","",'Library Grant'!F40)</f>
      </c>
      <c r="D20" s="92"/>
      <c r="E20" s="92"/>
      <c r="F20" s="164"/>
      <c r="G20" s="180"/>
    </row>
    <row r="21" spans="1:6" ht="15" customHeight="1">
      <c r="A21" s="181" t="s">
        <v>148</v>
      </c>
      <c r="B21" s="182" t="s">
        <v>149</v>
      </c>
      <c r="C21" s="183"/>
      <c r="D21" s="92"/>
      <c r="E21" s="92"/>
      <c r="F21" s="164"/>
    </row>
    <row r="22" spans="1:6" ht="15" customHeight="1">
      <c r="A22" s="81" t="s">
        <v>128</v>
      </c>
      <c r="B22" s="184" t="str">
        <f>inputPrYr!C17</f>
        <v>12-101a</v>
      </c>
      <c r="C22" s="176">
        <f>IF(general!C67&gt;0,general!C67,"")</f>
        <v>7</v>
      </c>
      <c r="D22" s="420">
        <f>IF((general!$E$57)&lt;&gt;0,general!$E$57,"")</f>
        <v>101644</v>
      </c>
      <c r="E22" s="628">
        <f>IF((general!$E$64)&lt;&gt;0,(general!$E$64),0)</f>
        <v>21714</v>
      </c>
      <c r="F22" s="632">
        <f aca="true" t="shared" si="0" ref="F22:F28">IF($F$39=0,"",ROUND(E22/$F$39*1000,3))</f>
        <v>10.118</v>
      </c>
    </row>
    <row r="23" spans="1:6" ht="15" customHeight="1">
      <c r="A23" s="81" t="s">
        <v>105</v>
      </c>
      <c r="B23" s="184" t="s">
        <v>305</v>
      </c>
      <c r="C23" s="176">
        <f>IF('DebtSvs-Library'!C83&gt;0,'DebtSvs-Library'!C83,"")</f>
      </c>
      <c r="D23" s="420">
        <f>IF(('DebtSvs-Library'!$E$33)&lt;&gt;0,('DebtSvs-Library'!$E$33),"")</f>
      </c>
      <c r="E23" s="628">
        <f>IF(('DebtSvs-Library'!$E$40)&lt;&gt;0,('DebtSvs-Library'!$E$40),0)</f>
        <v>0</v>
      </c>
      <c r="F23" s="632">
        <f t="shared" si="0"/>
        <v>0</v>
      </c>
    </row>
    <row r="24" spans="1:6" ht="15" customHeight="1">
      <c r="A24" s="104" t="str">
        <f>IF((inputPrYr!$B19&gt;"  "),(inputPrYr!$B19),"  ")</f>
        <v>Library</v>
      </c>
      <c r="B24" s="184" t="str">
        <f>IF((inputPrYr!$C19&gt;"  "),(inputPrYr!$C19),"  ")</f>
        <v>12-1220</v>
      </c>
      <c r="C24" s="176">
        <f>IF('DebtSvs-Library'!C83&gt;0,'DebtSvs-Library'!C83,"")</f>
      </c>
      <c r="D24" s="420">
        <f>IF(('DebtSvs-Library'!$E$73)&lt;&gt;0,('DebtSvs-Library'!$E$73),"")</f>
      </c>
      <c r="E24" s="628">
        <f>IF(('DebtSvs-Library'!$E$80)&lt;&gt;0,('DebtSvs-Library'!$E$80),0)</f>
        <v>0</v>
      </c>
      <c r="F24" s="632">
        <f t="shared" si="0"/>
        <v>0</v>
      </c>
    </row>
    <row r="25" spans="1:6" ht="15" customHeight="1">
      <c r="A25" s="104" t="str">
        <f>IF((inputPrYr!$B21&gt;"  "),(inputPrYr!$B21),"  ")</f>
        <v>  </v>
      </c>
      <c r="B25" s="184" t="str">
        <f>IF((inputPrYr!$C21&gt;"  "),(inputPrYr!$C21),"  ")</f>
        <v>  </v>
      </c>
      <c r="C25" s="176" t="str">
        <f>IF('levy page9'!C83&gt;0,'levy page9'!C83," ")</f>
        <v> </v>
      </c>
      <c r="D25" s="420">
        <f>IF(('levy page9'!$E$33)&lt;&gt;0,('levy page9'!$E$33),"")</f>
      </c>
      <c r="E25" s="628">
        <f>IF(('levy page9'!$E$40)&lt;&gt;0,('levy page9'!$E$40),0)</f>
        <v>0</v>
      </c>
      <c r="F25" s="632">
        <f t="shared" si="0"/>
        <v>0</v>
      </c>
    </row>
    <row r="26" spans="1:6" ht="15" customHeight="1">
      <c r="A26" s="104" t="str">
        <f>IF((inputPrYr!$B22&gt;"  "),(inputPrYr!$B22),"  ")</f>
        <v>  </v>
      </c>
      <c r="B26" s="184" t="str">
        <f>IF((inputPrYr!$C22&gt;"  "),(inputPrYr!$C22),"  ")</f>
        <v>  </v>
      </c>
      <c r="C26" s="176" t="str">
        <f>IF('levy page9'!C83&gt;0,'levy page9'!C83," ")</f>
        <v> </v>
      </c>
      <c r="D26" s="420">
        <f>IF(('levy page9'!$E$73)&lt;&gt;0,('levy page9'!$E$73),"")</f>
      </c>
      <c r="E26" s="628">
        <f>IF(('levy page9'!$E$80)&lt;&gt;0,('levy page9'!$E$80),0)</f>
        <v>0</v>
      </c>
      <c r="F26" s="632">
        <f t="shared" si="0"/>
        <v>0</v>
      </c>
    </row>
    <row r="27" spans="1:6" ht="15" customHeight="1">
      <c r="A27" s="104" t="str">
        <f>IF((inputPrYr!$B23&gt;"  "),(inputPrYr!$B23),"  ")</f>
        <v>  </v>
      </c>
      <c r="B27" s="184" t="str">
        <f>IF((inputPrYr!$C23&gt;"  "),(inputPrYr!$C23),"  ")</f>
        <v>  </v>
      </c>
      <c r="C27" s="176" t="str">
        <f>IF('levy page10'!C83&gt;0,'levy page10'!C83," ")</f>
        <v> </v>
      </c>
      <c r="D27" s="420">
        <f>IF(('levy page10'!$E$33)&lt;&gt;0,('levy page10'!$E$33),"")</f>
      </c>
      <c r="E27" s="628">
        <f>IF(('levy page10'!$E$40)&lt;&gt;0,('levy page10'!$E$40),0)</f>
        <v>0</v>
      </c>
      <c r="F27" s="632">
        <f t="shared" si="0"/>
        <v>0</v>
      </c>
    </row>
    <row r="28" spans="1:6" ht="15" customHeight="1">
      <c r="A28" s="104" t="str">
        <f>IF((inputPrYr!$B24&gt;"  "),(inputPrYr!$B24),"  ")</f>
        <v>  </v>
      </c>
      <c r="B28" s="184" t="str">
        <f>IF((inputPrYr!$C24&gt;"  "),(inputPrYr!$C24),"  ")</f>
        <v>  </v>
      </c>
      <c r="C28" s="176" t="str">
        <f>IF('levy page10'!C83&gt;0,'levy page10'!C83," ")</f>
        <v> </v>
      </c>
      <c r="D28" s="420">
        <f>IF(('levy page10'!$E$73)&lt;&gt;0,('levy page10'!$E$73),"")</f>
      </c>
      <c r="E28" s="628">
        <f>IF(('levy page10'!$E$80)&lt;&gt;0,('levy page10'!$E$80),0)</f>
        <v>0</v>
      </c>
      <c r="F28" s="632">
        <f t="shared" si="0"/>
        <v>0</v>
      </c>
    </row>
    <row r="29" spans="1:6" ht="15" customHeight="1">
      <c r="A29" s="186" t="str">
        <f>IF((inputPrYr!$B28&gt;"  "),(inputPrYr!$B28),"  ")</f>
        <v>Special Highway</v>
      </c>
      <c r="B29" s="112"/>
      <c r="C29" s="179">
        <f>IF('SpecHwy-Sewer'!C66&gt;0,'SpecHwy-Sewer'!C66," ")</f>
        <v>8</v>
      </c>
      <c r="D29" s="420">
        <f>IF(('SpecHwy-Sewer'!$E$24)&lt;&gt;0,('SpecHwy-Sewer'!$E$24),"")</f>
        <v>6560</v>
      </c>
      <c r="E29" s="233"/>
      <c r="F29" s="183"/>
    </row>
    <row r="30" spans="1:6" ht="15" customHeight="1">
      <c r="A30" s="186" t="str">
        <f>IF((inputPrYr!$B29&gt;"  "),(inputPrYr!$B29),"  ")</f>
        <v>Sewer</v>
      </c>
      <c r="B30" s="112"/>
      <c r="C30" s="179">
        <f>IF('SpecHwy-Sewer'!C66&gt;0,'SpecHwy-Sewer'!C66," ")</f>
        <v>8</v>
      </c>
      <c r="D30" s="420">
        <f>IF(('SpecHwy-Sewer'!$E$60)&lt;&gt;0,('SpecHwy-Sewer'!$E$60),"")</f>
        <v>20857</v>
      </c>
      <c r="E30" s="233"/>
      <c r="F30" s="183"/>
    </row>
    <row r="31" spans="1:6" ht="15" customHeight="1">
      <c r="A31" s="187" t="str">
        <f>IF((inputPrYr!$B30&gt;"  "),(inputPrYr!$B30),"  ")</f>
        <v>Special Parks &amp; Recreation</v>
      </c>
      <c r="B31" s="112"/>
      <c r="C31" s="179">
        <f>IF(ParkRec!C55&gt;0,ParkRec!C55," ")</f>
        <v>9</v>
      </c>
      <c r="D31" s="420">
        <f>IF((ParkRec!$E$25)&lt;&gt;0,(ParkRec!$E$25),"")</f>
        <v>3412</v>
      </c>
      <c r="E31" s="233"/>
      <c r="F31" s="183"/>
    </row>
    <row r="32" spans="1:6" ht="15" customHeight="1">
      <c r="A32" s="187" t="str">
        <f>IF((inputPrYr!$B31&gt;"  "),(inputPrYr!$B31),"  ")</f>
        <v>Fire/Emergency Fund</v>
      </c>
      <c r="B32" s="112"/>
      <c r="C32" s="179">
        <f>IF(ParkRec!C55&gt;0,ParkRec!C55," ")</f>
        <v>9</v>
      </c>
      <c r="D32" s="420">
        <f>IF((ParkRec!$E$49)&lt;&gt;0,(ParkRec!$E$49),"")</f>
      </c>
      <c r="E32" s="233"/>
      <c r="F32" s="183"/>
    </row>
    <row r="33" spans="1:6" ht="15" customHeight="1">
      <c r="A33" s="187" t="str">
        <f>IF((inputPrYr!$B32&gt;"  "),(inputPrYr!$B32),"  ")</f>
        <v>  </v>
      </c>
      <c r="B33" s="112"/>
      <c r="C33" s="179" t="str">
        <f>IF('no levy page13'!C68&gt;0,'no levy page13'!C68," ")</f>
        <v> </v>
      </c>
      <c r="D33" s="420">
        <f>IF(('no levy page13'!$E$30)&lt;&gt;0,('no levy page13'!$E$30),"")</f>
      </c>
      <c r="E33" s="233"/>
      <c r="F33" s="183"/>
    </row>
    <row r="34" spans="1:6" ht="15" customHeight="1">
      <c r="A34" s="188" t="str">
        <f>IF((inputPrYr!$B33&gt;"  "),(inputPrYr!$B33),"  ")</f>
        <v>  </v>
      </c>
      <c r="B34" s="112"/>
      <c r="C34" s="179" t="str">
        <f>IF('no levy page13'!C68&gt;0,'no levy page13'!C68," ")</f>
        <v> </v>
      </c>
      <c r="D34" s="420">
        <f>IF(('no levy page13'!$E$62)&lt;&gt;0,('no levy page13'!$E$62),"")</f>
      </c>
      <c r="E34" s="233"/>
      <c r="F34" s="183"/>
    </row>
    <row r="35" spans="1:6" ht="15" customHeight="1">
      <c r="A35" s="187" t="str">
        <f>IF((inputPrYr!$B35&gt;"  "),(inputPrYr!$B35),"  ")</f>
        <v>  </v>
      </c>
      <c r="B35" s="112"/>
      <c r="C35" s="179" t="str">
        <f>IF(Sinnolevy14!C57&gt;0,Sinnolevy14!C57," ")</f>
        <v> </v>
      </c>
      <c r="D35" s="420">
        <f>IF((Sinnolevy14!$E$51)&lt;&gt;0,(Sinnolevy14!$E$51),"")</f>
      </c>
      <c r="E35" s="233"/>
      <c r="F35" s="183"/>
    </row>
    <row r="36" spans="1:6" ht="15" customHeight="1" thickBot="1">
      <c r="A36" s="186" t="str">
        <f>IF((inputPrYr!$B38&gt;"  "),(Reserves!$A3),"  ")</f>
        <v>Non-Budgeted Funds</v>
      </c>
      <c r="B36" s="112"/>
      <c r="C36" s="179">
        <f>IF(Reserves!F33&gt;0,Reserves!F33," ")</f>
        <v>10</v>
      </c>
      <c r="D36" s="629"/>
      <c r="E36" s="630"/>
      <c r="F36" s="568"/>
    </row>
    <row r="37" spans="1:6" ht="16.5" customHeight="1">
      <c r="A37" s="285" t="s">
        <v>743</v>
      </c>
      <c r="B37" s="111"/>
      <c r="C37" s="423" t="s">
        <v>150</v>
      </c>
      <c r="D37" s="631">
        <f>SUM(D22:D35)</f>
        <v>132473</v>
      </c>
      <c r="E37" s="631">
        <f>SUM(E22:E35)</f>
        <v>21714</v>
      </c>
      <c r="F37" s="567">
        <f>IF(SUM(F22:F36)=0,"",SUM(F22:F36))</f>
        <v>10.118</v>
      </c>
    </row>
    <row r="38" spans="1:6" ht="16.5" customHeight="1">
      <c r="A38" s="430" t="s">
        <v>997</v>
      </c>
      <c r="B38" s="429"/>
      <c r="C38" s="428"/>
      <c r="D38" s="427"/>
      <c r="E38" s="426" t="str">
        <f>IF(E37&gt;computation!J42,"Yes","No")</f>
        <v>Yes</v>
      </c>
      <c r="F38" s="422" t="s">
        <v>285</v>
      </c>
    </row>
    <row r="39" spans="1:6" ht="15" customHeight="1">
      <c r="A39" s="169" t="s">
        <v>23</v>
      </c>
      <c r="B39" s="178"/>
      <c r="C39" s="171">
        <f>summ!D38</f>
        <v>11</v>
      </c>
      <c r="D39" s="190"/>
      <c r="E39" s="62"/>
      <c r="F39" s="425">
        <v>2146014</v>
      </c>
    </row>
    <row r="40" spans="1:6" ht="15" customHeight="1">
      <c r="A40" s="81" t="s">
        <v>119</v>
      </c>
      <c r="B40" s="82"/>
      <c r="C40" s="176">
        <f>IF(Nhood!C32&gt;0,Nhood!C32,"")</f>
      </c>
      <c r="D40" s="190"/>
      <c r="E40" s="62"/>
      <c r="F40" s="799" t="str">
        <f>CONCATENATE("Nov 1, ",F1-1," Total Assessed Valuation")</f>
        <v>Nov 1, 2014 Total Assessed Valuation</v>
      </c>
    </row>
    <row r="41" spans="1:6" ht="15" customHeight="1">
      <c r="A41" s="457"/>
      <c r="B41" s="455"/>
      <c r="C41" s="458"/>
      <c r="D41" s="459"/>
      <c r="E41" s="460"/>
      <c r="F41" s="800"/>
    </row>
    <row r="42" spans="1:6" ht="15" customHeight="1">
      <c r="A42" s="65" t="s">
        <v>151</v>
      </c>
      <c r="B42" s="92"/>
      <c r="C42" s="191"/>
      <c r="D42" s="92"/>
      <c r="E42" s="62"/>
      <c r="F42" s="62"/>
    </row>
    <row r="43" spans="1:6" ht="15" customHeight="1">
      <c r="A43" s="367" t="s">
        <v>998</v>
      </c>
      <c r="B43" s="62"/>
      <c r="C43" s="62"/>
      <c r="D43" s="455"/>
      <c r="E43" s="456"/>
      <c r="F43" s="62"/>
    </row>
    <row r="44" spans="1:6" ht="15" customHeight="1">
      <c r="A44" s="192"/>
      <c r="B44" s="62"/>
      <c r="C44" s="471" t="s">
        <v>814</v>
      </c>
      <c r="D44" s="92"/>
      <c r="E44" s="471"/>
      <c r="F44" s="471"/>
    </row>
    <row r="45" spans="1:6" ht="15" customHeight="1">
      <c r="A45" s="62" t="s">
        <v>303</v>
      </c>
      <c r="B45" s="92"/>
      <c r="C45" s="92"/>
      <c r="D45" s="92"/>
      <c r="E45" s="92"/>
      <c r="F45" s="92"/>
    </row>
    <row r="46" spans="1:6" ht="15" customHeight="1">
      <c r="A46" s="367" t="s">
        <v>999</v>
      </c>
      <c r="B46" s="366"/>
      <c r="C46" s="471" t="s">
        <v>814</v>
      </c>
      <c r="D46" s="92"/>
      <c r="E46" s="92"/>
      <c r="F46" s="92"/>
    </row>
    <row r="47" spans="1:6" ht="15" customHeight="1">
      <c r="A47" s="192" t="s">
        <v>1000</v>
      </c>
      <c r="B47" s="92"/>
      <c r="C47" s="95"/>
      <c r="D47" s="92"/>
      <c r="E47" s="92"/>
      <c r="F47" s="92"/>
    </row>
    <row r="48" spans="1:6" ht="15" customHeight="1">
      <c r="A48" s="92" t="s">
        <v>942</v>
      </c>
      <c r="B48" s="62"/>
      <c r="C48" s="471" t="s">
        <v>814</v>
      </c>
      <c r="D48" s="92"/>
      <c r="E48" s="633"/>
      <c r="F48" s="633"/>
    </row>
    <row r="49" spans="1:6" ht="15" customHeight="1">
      <c r="A49" s="758" t="s">
        <v>1001</v>
      </c>
      <c r="B49" s="65"/>
      <c r="C49" s="92"/>
      <c r="D49" s="92"/>
      <c r="E49" s="633"/>
      <c r="F49" s="633"/>
    </row>
    <row r="50" spans="1:6" ht="15" customHeight="1">
      <c r="A50" s="366"/>
      <c r="B50" s="62"/>
      <c r="C50" s="471" t="s">
        <v>814</v>
      </c>
      <c r="D50" s="92"/>
      <c r="E50" s="633"/>
      <c r="F50" s="633"/>
    </row>
    <row r="51" spans="1:6" ht="15" customHeight="1">
      <c r="A51" s="62"/>
      <c r="B51" s="62"/>
      <c r="C51" s="92"/>
      <c r="D51" s="92"/>
      <c r="E51" s="633"/>
      <c r="F51" s="633"/>
    </row>
    <row r="52" spans="1:6" ht="15" customHeight="1">
      <c r="A52" s="66" t="s">
        <v>22</v>
      </c>
      <c r="B52" s="193">
        <f>inputPrYr!$C$5-1</f>
        <v>2014</v>
      </c>
      <c r="C52" s="471" t="s">
        <v>814</v>
      </c>
      <c r="D52" s="92"/>
      <c r="E52" s="633"/>
      <c r="F52" s="633"/>
    </row>
    <row r="53" spans="1:6" ht="15" customHeight="1">
      <c r="A53" s="62"/>
      <c r="B53" s="62"/>
      <c r="C53" s="633"/>
      <c r="D53" s="633"/>
      <c r="E53" s="634"/>
      <c r="F53" s="635"/>
    </row>
    <row r="54" spans="1:6" ht="15" customHeight="1">
      <c r="A54" s="573"/>
      <c r="B54" s="62"/>
      <c r="C54" s="471" t="s">
        <v>814</v>
      </c>
      <c r="D54" s="92"/>
      <c r="E54" s="633"/>
      <c r="F54" s="633"/>
    </row>
    <row r="55" spans="1:6" ht="15" customHeight="1">
      <c r="A55" s="79" t="s">
        <v>153</v>
      </c>
      <c r="B55" s="62"/>
      <c r="C55" s="797" t="s">
        <v>152</v>
      </c>
      <c r="D55" s="798"/>
      <c r="E55" s="798"/>
      <c r="F55" s="798"/>
    </row>
    <row r="56" spans="1:2" ht="15" customHeight="1">
      <c r="A56" s="49"/>
      <c r="B56" s="195"/>
    </row>
    <row r="58" ht="15" customHeight="1">
      <c r="D58" s="196"/>
    </row>
    <row r="59" spans="1:6" ht="15" customHeight="1">
      <c r="A59" s="49"/>
      <c r="B59" s="49"/>
      <c r="C59" s="49"/>
      <c r="D59" s="49"/>
      <c r="E59" s="49"/>
      <c r="F59" s="49"/>
    </row>
    <row r="60" spans="1:6" ht="15" customHeight="1">
      <c r="A60" s="49"/>
      <c r="B60" s="49"/>
      <c r="C60" s="49"/>
      <c r="D60" s="49"/>
      <c r="E60" s="49"/>
      <c r="F60" s="49"/>
    </row>
    <row r="61" ht="15" customHeight="1">
      <c r="A61" s="49"/>
    </row>
    <row r="62" ht="15" customHeight="1">
      <c r="A62" s="49"/>
    </row>
    <row r="63" ht="15" customHeight="1" hidden="1">
      <c r="D63" s="432" t="e">
        <f>inputOth!#REF!</f>
        <v>#REF!</v>
      </c>
    </row>
  </sheetData>
  <sheetProtection/>
  <mergeCells count="4">
    <mergeCell ref="A3:F3"/>
    <mergeCell ref="E12:E14"/>
    <mergeCell ref="C55:F55"/>
    <mergeCell ref="F40:F41"/>
  </mergeCells>
  <hyperlinks>
    <hyperlink ref="A49" r:id="rId1" display="brockck@sbcglobal.net"/>
  </hyperlinks>
  <printOptions/>
  <pageMargins left="1" right="0.5" top="1" bottom="0.5" header="0.5" footer="0.5"/>
  <pageSetup blackAndWhite="1" fitToHeight="1" fitToWidth="1" horizontalDpi="300" verticalDpi="300" orientation="portrait" scale="80" r:id="rId2"/>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6"/>
  <sheetViews>
    <sheetView zoomScale="85" zoomScaleNormal="85" zoomScalePageLayoutView="0" workbookViewId="0" topLeftCell="A1">
      <selection activeCell="C48" sqref="C48"/>
    </sheetView>
  </sheetViews>
  <sheetFormatPr defaultColWidth="8.796875" defaultRowHeight="15.75" customHeight="1"/>
  <cols>
    <col min="1" max="2" width="3.296875" style="49" customWidth="1"/>
    <col min="3" max="3" width="31.296875" style="49" customWidth="1"/>
    <col min="4" max="4" width="2.296875" style="49" customWidth="1"/>
    <col min="5" max="5" width="15.796875" style="49" customWidth="1"/>
    <col min="6" max="6" width="2" style="49" customWidth="1"/>
    <col min="7" max="7" width="15.796875" style="49" customWidth="1"/>
    <col min="8" max="8" width="1.8984375" style="49" customWidth="1"/>
    <col min="9" max="9" width="1.796875" style="49" customWidth="1"/>
    <col min="10" max="10" width="15.796875" style="49" customWidth="1"/>
    <col min="11" max="16384" width="8.8984375" style="49" customWidth="1"/>
  </cols>
  <sheetData>
    <row r="1" spans="1:10" ht="15.75" customHeight="1">
      <c r="A1" s="62"/>
      <c r="B1" s="62"/>
      <c r="C1" s="197" t="str">
        <f>inputPrYr!D2</f>
        <v>City of Fairview</v>
      </c>
      <c r="D1" s="62"/>
      <c r="E1" s="62"/>
      <c r="F1" s="62"/>
      <c r="G1" s="62"/>
      <c r="H1" s="62"/>
      <c r="I1" s="62"/>
      <c r="J1" s="157">
        <f>inputPrYr!$C$5</f>
        <v>2015</v>
      </c>
    </row>
    <row r="2" spans="1:10" ht="15.75" customHeight="1">
      <c r="A2" s="62"/>
      <c r="B2" s="62"/>
      <c r="C2" s="62"/>
      <c r="D2" s="62"/>
      <c r="E2" s="62"/>
      <c r="F2" s="62"/>
      <c r="G2" s="62"/>
      <c r="H2" s="62"/>
      <c r="I2" s="62"/>
      <c r="J2" s="62"/>
    </row>
    <row r="3" spans="1:10" ht="15.75">
      <c r="A3" s="803" t="str">
        <f>CONCATENATE("Computation to Determine Limit for ",J1)</f>
        <v>Computation to Determine Limit for 2015</v>
      </c>
      <c r="B3" s="804"/>
      <c r="C3" s="804"/>
      <c r="D3" s="804"/>
      <c r="E3" s="804"/>
      <c r="F3" s="804"/>
      <c r="G3" s="804"/>
      <c r="H3" s="804"/>
      <c r="I3" s="804"/>
      <c r="J3" s="804"/>
    </row>
    <row r="4" spans="1:10" ht="15.75">
      <c r="A4" s="62"/>
      <c r="B4" s="62"/>
      <c r="C4" s="62"/>
      <c r="D4" s="62"/>
      <c r="E4" s="804"/>
      <c r="F4" s="804"/>
      <c r="G4" s="804"/>
      <c r="H4" s="198"/>
      <c r="I4" s="62"/>
      <c r="J4" s="199" t="s">
        <v>228</v>
      </c>
    </row>
    <row r="5" spans="1:10" ht="15.75">
      <c r="A5" s="200" t="s">
        <v>229</v>
      </c>
      <c r="B5" s="62" t="str">
        <f>CONCATENATE("Total Tax Levy Amount in ",J1-1," Budget")</f>
        <v>Total Tax Levy Amount in 2014 Budget</v>
      </c>
      <c r="C5" s="62"/>
      <c r="D5" s="62"/>
      <c r="E5" s="84"/>
      <c r="F5" s="84"/>
      <c r="G5" s="84"/>
      <c r="H5" s="201" t="s">
        <v>230</v>
      </c>
      <c r="I5" s="84" t="s">
        <v>231</v>
      </c>
      <c r="J5" s="202">
        <f>inputPrYr!E25</f>
        <v>19150</v>
      </c>
    </row>
    <row r="6" spans="1:10" ht="15.75">
      <c r="A6" s="200" t="s">
        <v>232</v>
      </c>
      <c r="B6" s="62" t="str">
        <f>CONCATENATE("Debt Service Levy in ",J1-1," Budget")</f>
        <v>Debt Service Levy in 2014 Budget</v>
      </c>
      <c r="C6" s="62"/>
      <c r="D6" s="62"/>
      <c r="E6" s="84"/>
      <c r="F6" s="84"/>
      <c r="G6" s="84"/>
      <c r="H6" s="201" t="s">
        <v>233</v>
      </c>
      <c r="I6" s="84" t="s">
        <v>231</v>
      </c>
      <c r="J6" s="203">
        <f>inputPrYr!$E$18</f>
        <v>0</v>
      </c>
    </row>
    <row r="7" spans="1:10" ht="15.75">
      <c r="A7" s="200" t="s">
        <v>256</v>
      </c>
      <c r="B7" s="77" t="s">
        <v>260</v>
      </c>
      <c r="C7" s="62"/>
      <c r="D7" s="62"/>
      <c r="E7" s="84"/>
      <c r="F7" s="84"/>
      <c r="G7" s="84"/>
      <c r="H7" s="84"/>
      <c r="I7" s="84" t="s">
        <v>231</v>
      </c>
      <c r="J7" s="89">
        <f>J5-J6</f>
        <v>19150</v>
      </c>
    </row>
    <row r="8" spans="1:10" ht="15.75">
      <c r="A8" s="62"/>
      <c r="B8" s="62"/>
      <c r="C8" s="62"/>
      <c r="D8" s="62"/>
      <c r="E8" s="84"/>
      <c r="F8" s="84"/>
      <c r="G8" s="84"/>
      <c r="H8" s="84"/>
      <c r="I8" s="84"/>
      <c r="J8" s="84"/>
    </row>
    <row r="9" spans="1:10" ht="15.75">
      <c r="A9" s="62"/>
      <c r="B9" s="77" t="str">
        <f>CONCATENATE(J1-1," Valuation Information for Valuation Adjustments:")</f>
        <v>2014 Valuation Information for Valuation Adjustments:</v>
      </c>
      <c r="C9" s="62"/>
      <c r="D9" s="62"/>
      <c r="E9" s="84"/>
      <c r="F9" s="84"/>
      <c r="G9" s="84"/>
      <c r="H9" s="84"/>
      <c r="I9" s="84"/>
      <c r="J9" s="84"/>
    </row>
    <row r="10" spans="1:10" ht="15.75">
      <c r="A10" s="62"/>
      <c r="B10" s="62"/>
      <c r="C10" s="77"/>
      <c r="D10" s="62"/>
      <c r="E10" s="84"/>
      <c r="F10" s="84"/>
      <c r="G10" s="84"/>
      <c r="H10" s="84"/>
      <c r="I10" s="84"/>
      <c r="J10" s="84"/>
    </row>
    <row r="11" spans="1:10" ht="15.75">
      <c r="A11" s="200" t="s">
        <v>234</v>
      </c>
      <c r="B11" s="77" t="str">
        <f>CONCATENATE("New Improvements for ",J1-1," :")</f>
        <v>New Improvements for 2014 :</v>
      </c>
      <c r="C11" s="62"/>
      <c r="D11" s="62"/>
      <c r="E11" s="201"/>
      <c r="F11" s="201" t="s">
        <v>230</v>
      </c>
      <c r="G11" s="202">
        <f>inputOth!E8</f>
        <v>11614</v>
      </c>
      <c r="H11" s="204"/>
      <c r="I11" s="84"/>
      <c r="J11" s="84"/>
    </row>
    <row r="12" spans="1:10" ht="15.75">
      <c r="A12" s="200"/>
      <c r="B12" s="205"/>
      <c r="C12" s="62"/>
      <c r="D12" s="62"/>
      <c r="E12" s="201"/>
      <c r="F12" s="201"/>
      <c r="G12" s="204"/>
      <c r="H12" s="204"/>
      <c r="I12" s="84"/>
      <c r="J12" s="84"/>
    </row>
    <row r="13" spans="1:10" ht="15.75">
      <c r="A13" s="200" t="s">
        <v>235</v>
      </c>
      <c r="B13" s="77" t="str">
        <f>CONCATENATE("Increase in Personal Property for ",J1-1," :")</f>
        <v>Increase in Personal Property for 2014 :</v>
      </c>
      <c r="C13" s="62"/>
      <c r="D13" s="62"/>
      <c r="E13" s="201"/>
      <c r="F13" s="201"/>
      <c r="G13" s="204"/>
      <c r="H13" s="204"/>
      <c r="I13" s="84"/>
      <c r="J13" s="84"/>
    </row>
    <row r="14" spans="1:10" ht="15.75">
      <c r="A14" s="206"/>
      <c r="B14" s="62" t="s">
        <v>236</v>
      </c>
      <c r="C14" s="62" t="str">
        <f>CONCATENATE("Personal Property ",J1-1)</f>
        <v>Personal Property 2014</v>
      </c>
      <c r="D14" s="205" t="s">
        <v>230</v>
      </c>
      <c r="E14" s="202">
        <f>inputOth!E9</f>
        <v>22950</v>
      </c>
      <c r="F14" s="201"/>
      <c r="G14" s="84"/>
      <c r="H14" s="84"/>
      <c r="I14" s="204"/>
      <c r="J14" s="84"/>
    </row>
    <row r="15" spans="1:10" ht="15.75">
      <c r="A15" s="205"/>
      <c r="B15" s="62" t="s">
        <v>237</v>
      </c>
      <c r="C15" s="62" t="str">
        <f>CONCATENATE("Personal Property ",J1-2)</f>
        <v>Personal Property 2013</v>
      </c>
      <c r="D15" s="205" t="s">
        <v>233</v>
      </c>
      <c r="E15" s="89">
        <f>inputOth!E15</f>
        <v>34299</v>
      </c>
      <c r="F15" s="201"/>
      <c r="G15" s="204"/>
      <c r="H15" s="204"/>
      <c r="I15" s="84"/>
      <c r="J15" s="84"/>
    </row>
    <row r="16" spans="1:10" ht="15.75">
      <c r="A16" s="205"/>
      <c r="B16" s="62" t="s">
        <v>238</v>
      </c>
      <c r="C16" s="62" t="s">
        <v>261</v>
      </c>
      <c r="D16" s="62"/>
      <c r="E16" s="84"/>
      <c r="F16" s="84" t="s">
        <v>230</v>
      </c>
      <c r="G16" s="202">
        <f>IF(E14&gt;E15,E14-E15,0)</f>
        <v>0</v>
      </c>
      <c r="H16" s="204"/>
      <c r="I16" s="84"/>
      <c r="J16" s="84"/>
    </row>
    <row r="17" spans="1:10" ht="15.75">
      <c r="A17" s="205"/>
      <c r="B17" s="205"/>
      <c r="C17" s="62"/>
      <c r="D17" s="62"/>
      <c r="E17" s="84"/>
      <c r="F17" s="84"/>
      <c r="G17" s="204" t="s">
        <v>251</v>
      </c>
      <c r="H17" s="204"/>
      <c r="I17" s="84"/>
      <c r="J17" s="84"/>
    </row>
    <row r="18" spans="1:10" ht="15.75">
      <c r="A18" s="205" t="s">
        <v>239</v>
      </c>
      <c r="B18" s="77" t="str">
        <f>CONCATENATE("Valuation of annexed territory for ",J1-1," :")</f>
        <v>Valuation of annexed territory for 2014 :</v>
      </c>
      <c r="C18" s="62"/>
      <c r="D18" s="62"/>
      <c r="E18" s="204"/>
      <c r="F18" s="84"/>
      <c r="G18" s="84"/>
      <c r="H18" s="84"/>
      <c r="I18" s="84"/>
      <c r="J18" s="84"/>
    </row>
    <row r="19" spans="1:10" ht="15.75">
      <c r="A19" s="205"/>
      <c r="B19" s="62" t="s">
        <v>240</v>
      </c>
      <c r="C19" s="62" t="s">
        <v>262</v>
      </c>
      <c r="D19" s="205" t="s">
        <v>230</v>
      </c>
      <c r="E19" s="202">
        <f>inputOth!E11</f>
        <v>0</v>
      </c>
      <c r="F19" s="84"/>
      <c r="G19" s="84"/>
      <c r="H19" s="84"/>
      <c r="I19" s="84"/>
      <c r="J19" s="84"/>
    </row>
    <row r="20" spans="1:10" ht="15.75">
      <c r="A20" s="205"/>
      <c r="B20" s="62" t="s">
        <v>241</v>
      </c>
      <c r="C20" s="62" t="s">
        <v>263</v>
      </c>
      <c r="D20" s="205" t="s">
        <v>230</v>
      </c>
      <c r="E20" s="89">
        <f>inputOth!E12</f>
        <v>0</v>
      </c>
      <c r="F20" s="84"/>
      <c r="G20" s="204"/>
      <c r="H20" s="204"/>
      <c r="I20" s="84"/>
      <c r="J20" s="84"/>
    </row>
    <row r="21" spans="1:10" ht="15.75">
      <c r="A21" s="205"/>
      <c r="B21" s="62" t="s">
        <v>242</v>
      </c>
      <c r="C21" s="62" t="s">
        <v>264</v>
      </c>
      <c r="D21" s="205" t="s">
        <v>233</v>
      </c>
      <c r="E21" s="89">
        <f>inputOth!E13</f>
        <v>0</v>
      </c>
      <c r="F21" s="84"/>
      <c r="G21" s="204"/>
      <c r="H21" s="204"/>
      <c r="I21" s="84"/>
      <c r="J21" s="84"/>
    </row>
    <row r="22" spans="1:10" ht="15.75">
      <c r="A22" s="205"/>
      <c r="B22" s="62" t="s">
        <v>243</v>
      </c>
      <c r="C22" s="62" t="s">
        <v>265</v>
      </c>
      <c r="D22" s="205"/>
      <c r="E22" s="204"/>
      <c r="F22" s="84" t="s">
        <v>230</v>
      </c>
      <c r="G22" s="202">
        <f>E19+E20-E21</f>
        <v>0</v>
      </c>
      <c r="H22" s="204"/>
      <c r="I22" s="84"/>
      <c r="J22" s="84"/>
    </row>
    <row r="23" spans="1:10" ht="15.75">
      <c r="A23" s="205"/>
      <c r="B23" s="205"/>
      <c r="C23" s="62"/>
      <c r="D23" s="205"/>
      <c r="E23" s="204"/>
      <c r="F23" s="84"/>
      <c r="G23" s="204"/>
      <c r="H23" s="204"/>
      <c r="I23" s="84"/>
      <c r="J23" s="84"/>
    </row>
    <row r="24" spans="1:10" ht="15.75">
      <c r="A24" s="205" t="s">
        <v>244</v>
      </c>
      <c r="B24" s="77" t="str">
        <f>CONCATENATE("Valuation of Property that has Changed in Use during ",J1-1," :")</f>
        <v>Valuation of Property that has Changed in Use during 2014 :</v>
      </c>
      <c r="C24" s="62"/>
      <c r="D24" s="62"/>
      <c r="E24" s="84"/>
      <c r="F24" s="201" t="s">
        <v>230</v>
      </c>
      <c r="G24" s="202">
        <f>inputOth!E14</f>
        <v>2965</v>
      </c>
      <c r="H24" s="84"/>
      <c r="I24" s="84"/>
      <c r="J24" s="84"/>
    </row>
    <row r="25" spans="1:10" ht="15.75">
      <c r="A25" s="62" t="s">
        <v>138</v>
      </c>
      <c r="B25" s="62"/>
      <c r="C25" s="62"/>
      <c r="D25" s="205"/>
      <c r="E25" s="204"/>
      <c r="F25" s="84"/>
      <c r="G25" s="84"/>
      <c r="H25" s="84"/>
      <c r="I25" s="84"/>
      <c r="J25" s="84"/>
    </row>
    <row r="26" spans="1:10" ht="15.75">
      <c r="A26" s="205" t="s">
        <v>245</v>
      </c>
      <c r="B26" s="77" t="s">
        <v>266</v>
      </c>
      <c r="C26" s="62"/>
      <c r="D26" s="62"/>
      <c r="E26" s="84"/>
      <c r="F26" s="84"/>
      <c r="G26" s="202">
        <f>G11+G16+G22+G24</f>
        <v>14579</v>
      </c>
      <c r="H26" s="204"/>
      <c r="I26" s="84"/>
      <c r="J26" s="84"/>
    </row>
    <row r="27" spans="1:10" ht="15.75">
      <c r="A27" s="205"/>
      <c r="B27" s="205"/>
      <c r="C27" s="77"/>
      <c r="D27" s="62"/>
      <c r="E27" s="84"/>
      <c r="F27" s="84"/>
      <c r="G27" s="204"/>
      <c r="H27" s="204"/>
      <c r="I27" s="84"/>
      <c r="J27" s="84"/>
    </row>
    <row r="28" spans="1:10" ht="15.75">
      <c r="A28" s="205" t="s">
        <v>246</v>
      </c>
      <c r="B28" s="62" t="str">
        <f>CONCATENATE("Total Estimated Valuation July 1, ",J1-1)</f>
        <v>Total Estimated Valuation July 1, 2014</v>
      </c>
      <c r="C28" s="62"/>
      <c r="D28" s="62"/>
      <c r="E28" s="202">
        <f>inputOth!E7</f>
        <v>2145654</v>
      </c>
      <c r="F28" s="84"/>
      <c r="G28" s="84"/>
      <c r="H28" s="84"/>
      <c r="I28" s="201"/>
      <c r="J28" s="84"/>
    </row>
    <row r="29" spans="1:10" ht="15.75">
      <c r="A29" s="205"/>
      <c r="B29" s="205"/>
      <c r="C29" s="62"/>
      <c r="D29" s="62"/>
      <c r="E29" s="204"/>
      <c r="F29" s="84"/>
      <c r="G29" s="84"/>
      <c r="H29" s="84"/>
      <c r="I29" s="201"/>
      <c r="J29" s="84"/>
    </row>
    <row r="30" spans="1:10" ht="15.75">
      <c r="A30" s="205" t="s">
        <v>247</v>
      </c>
      <c r="B30" s="77" t="s">
        <v>267</v>
      </c>
      <c r="C30" s="62"/>
      <c r="D30" s="62"/>
      <c r="E30" s="84"/>
      <c r="F30" s="84"/>
      <c r="G30" s="202">
        <f>E28-G26</f>
        <v>2131075</v>
      </c>
      <c r="H30" s="204"/>
      <c r="I30" s="201"/>
      <c r="J30" s="84"/>
    </row>
    <row r="31" spans="1:10" ht="15.75">
      <c r="A31" s="205"/>
      <c r="B31" s="205"/>
      <c r="C31" s="77"/>
      <c r="D31" s="62"/>
      <c r="E31" s="84"/>
      <c r="F31" s="84"/>
      <c r="G31" s="207"/>
      <c r="H31" s="204"/>
      <c r="I31" s="201"/>
      <c r="J31" s="84"/>
    </row>
    <row r="32" spans="1:10" ht="15.75">
      <c r="A32" s="205" t="s">
        <v>248</v>
      </c>
      <c r="B32" s="62" t="s">
        <v>268</v>
      </c>
      <c r="C32" s="62"/>
      <c r="D32" s="62"/>
      <c r="E32" s="62"/>
      <c r="F32" s="62"/>
      <c r="G32" s="208">
        <f>IF(G26&gt;0,G26/G30,0)</f>
        <v>0.006841148246776861</v>
      </c>
      <c r="H32" s="92"/>
      <c r="I32" s="62"/>
      <c r="J32" s="62"/>
    </row>
    <row r="33" spans="1:10" ht="15.75">
      <c r="A33" s="205"/>
      <c r="B33" s="205"/>
      <c r="C33" s="62"/>
      <c r="D33" s="62"/>
      <c r="E33" s="62"/>
      <c r="F33" s="62"/>
      <c r="G33" s="92"/>
      <c r="H33" s="92"/>
      <c r="I33" s="62"/>
      <c r="J33" s="62"/>
    </row>
    <row r="34" spans="1:10" ht="15.75">
      <c r="A34" s="205" t="s">
        <v>249</v>
      </c>
      <c r="B34" s="62" t="s">
        <v>269</v>
      </c>
      <c r="C34" s="62"/>
      <c r="D34" s="62"/>
      <c r="E34" s="62"/>
      <c r="F34" s="62"/>
      <c r="G34" s="92"/>
      <c r="H34" s="209" t="s">
        <v>230</v>
      </c>
      <c r="I34" s="62" t="s">
        <v>231</v>
      </c>
      <c r="J34" s="202">
        <f>ROUND(G32*J7,0)</f>
        <v>131</v>
      </c>
    </row>
    <row r="35" spans="1:10" ht="15.75">
      <c r="A35" s="205"/>
      <c r="B35" s="205"/>
      <c r="C35" s="62"/>
      <c r="D35" s="62"/>
      <c r="E35" s="62"/>
      <c r="F35" s="62"/>
      <c r="G35" s="92"/>
      <c r="H35" s="209"/>
      <c r="I35" s="62"/>
      <c r="J35" s="204"/>
    </row>
    <row r="36" spans="1:10" ht="16.5" thickBot="1">
      <c r="A36" s="205" t="s">
        <v>250</v>
      </c>
      <c r="B36" s="77" t="s">
        <v>993</v>
      </c>
      <c r="C36" s="62"/>
      <c r="D36" s="62"/>
      <c r="E36" s="62"/>
      <c r="F36" s="62"/>
      <c r="G36" s="62"/>
      <c r="H36" s="62"/>
      <c r="I36" s="62" t="s">
        <v>231</v>
      </c>
      <c r="J36" s="210">
        <f>J7+J34</f>
        <v>19281</v>
      </c>
    </row>
    <row r="37" spans="1:10" ht="16.5" thickTop="1">
      <c r="A37" s="62"/>
      <c r="B37" s="62"/>
      <c r="C37" s="62"/>
      <c r="D37" s="62"/>
      <c r="E37" s="62"/>
      <c r="F37" s="62"/>
      <c r="G37" s="62"/>
      <c r="H37" s="62"/>
      <c r="I37" s="62"/>
      <c r="J37" s="204"/>
    </row>
    <row r="38" spans="1:10" ht="15.75">
      <c r="A38" s="205" t="s">
        <v>273</v>
      </c>
      <c r="B38" s="77" t="str">
        <f>CONCATENATE("Debt Service Levy in this ",J1," Budget")</f>
        <v>Debt Service Levy in this 2015 Budget</v>
      </c>
      <c r="C38" s="62"/>
      <c r="D38" s="62"/>
      <c r="E38" s="62"/>
      <c r="F38" s="62"/>
      <c r="G38" s="62"/>
      <c r="H38" s="62"/>
      <c r="I38" s="62"/>
      <c r="J38" s="211">
        <f>'DebtSvs-Library'!E40</f>
        <v>0</v>
      </c>
    </row>
    <row r="39" spans="1:10" ht="15.75">
      <c r="A39" s="205"/>
      <c r="B39" s="77"/>
      <c r="C39" s="62"/>
      <c r="D39" s="62"/>
      <c r="E39" s="62"/>
      <c r="F39" s="62"/>
      <c r="G39" s="62"/>
      <c r="H39" s="62"/>
      <c r="I39" s="62"/>
      <c r="J39" s="204"/>
    </row>
    <row r="40" spans="1:10" ht="15.75">
      <c r="A40" s="205" t="s">
        <v>274</v>
      </c>
      <c r="B40" s="77" t="s">
        <v>992</v>
      </c>
      <c r="C40" s="62"/>
      <c r="D40" s="62"/>
      <c r="E40" s="757">
        <v>0.015</v>
      </c>
      <c r="F40" s="62"/>
      <c r="G40" s="62"/>
      <c r="H40" s="62"/>
      <c r="I40" s="62"/>
      <c r="J40" s="202">
        <f>+J7*E40</f>
        <v>287.25</v>
      </c>
    </row>
    <row r="41" spans="1:10" ht="15.75">
      <c r="A41" s="205"/>
      <c r="B41" s="77"/>
      <c r="C41" s="62"/>
      <c r="D41" s="62"/>
      <c r="E41" s="62"/>
      <c r="F41" s="62"/>
      <c r="G41" s="62"/>
      <c r="H41" s="62"/>
      <c r="I41" s="62"/>
      <c r="J41" s="204"/>
    </row>
    <row r="42" spans="1:10" ht="16.5" thickBot="1">
      <c r="A42" s="205" t="s">
        <v>991</v>
      </c>
      <c r="B42" s="77" t="s">
        <v>994</v>
      </c>
      <c r="C42" s="62"/>
      <c r="D42" s="62"/>
      <c r="E42" s="62"/>
      <c r="F42" s="62"/>
      <c r="G42" s="62"/>
      <c r="H42" s="62"/>
      <c r="I42" s="62" t="s">
        <v>231</v>
      </c>
      <c r="J42" s="210">
        <f>+J36++J38+J40</f>
        <v>19568.25</v>
      </c>
    </row>
    <row r="43" spans="1:10" ht="19.5" thickTop="1">
      <c r="A43" s="802"/>
      <c r="B43" s="802"/>
      <c r="C43" s="802"/>
      <c r="D43" s="802"/>
      <c r="E43" s="802"/>
      <c r="F43" s="802"/>
      <c r="G43" s="802"/>
      <c r="H43" s="802"/>
      <c r="I43" s="802"/>
      <c r="J43" s="802"/>
    </row>
    <row r="44" spans="1:10" s="212" customFormat="1" ht="18.75">
      <c r="A44" s="802" t="str">
        <f>CONCATENATE("If the ",J1," budget includes tax levies exceeding the total on line 16, you must")</f>
        <v>If the 2015 budget includes tax levies exceeding the total on line 16, you must</v>
      </c>
      <c r="B44" s="802"/>
      <c r="C44" s="802"/>
      <c r="D44" s="802"/>
      <c r="E44" s="802"/>
      <c r="F44" s="802"/>
      <c r="G44" s="802"/>
      <c r="H44" s="802"/>
      <c r="I44" s="802"/>
      <c r="J44" s="802"/>
    </row>
    <row r="45" spans="1:10" s="212" customFormat="1" ht="18.75">
      <c r="A45" s="802" t="s">
        <v>995</v>
      </c>
      <c r="B45" s="802"/>
      <c r="C45" s="802"/>
      <c r="D45" s="802"/>
      <c r="E45" s="802"/>
      <c r="F45" s="802"/>
      <c r="G45" s="802"/>
      <c r="H45" s="802"/>
      <c r="I45" s="802"/>
      <c r="J45" s="802"/>
    </row>
    <row r="46" spans="1:10" ht="15.75" customHeight="1">
      <c r="A46" s="801" t="s">
        <v>996</v>
      </c>
      <c r="B46" s="801"/>
      <c r="C46" s="801"/>
      <c r="D46" s="801"/>
      <c r="E46" s="801"/>
      <c r="F46" s="801"/>
      <c r="G46" s="801"/>
      <c r="H46" s="801"/>
      <c r="I46" s="801"/>
      <c r="J46" s="801"/>
    </row>
  </sheetData>
  <sheetProtection/>
  <mergeCells count="6">
    <mergeCell ref="A46:J46"/>
    <mergeCell ref="A43:J43"/>
    <mergeCell ref="A45:J45"/>
    <mergeCell ref="A3:J3"/>
    <mergeCell ref="E4:G4"/>
    <mergeCell ref="A44:J4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3" customWidth="1"/>
    <col min="2" max="3" width="17.3984375" style="63" customWidth="1"/>
    <col min="4" max="4" width="10.796875" style="63" customWidth="1"/>
    <col min="5" max="5" width="11" style="63" customWidth="1"/>
    <col min="6" max="7" width="10.796875" style="63" customWidth="1"/>
    <col min="8" max="16384" width="8.8984375" style="63" customWidth="1"/>
  </cols>
  <sheetData>
    <row r="1" spans="1:7" ht="15" customHeight="1">
      <c r="A1" s="62"/>
      <c r="B1" s="62"/>
      <c r="C1" s="62"/>
      <c r="D1" s="62"/>
      <c r="E1" s="62"/>
      <c r="F1" s="62"/>
      <c r="G1" s="62"/>
    </row>
    <row r="2" spans="1:7" ht="15" customHeight="1">
      <c r="A2" s="62"/>
      <c r="B2" s="197" t="str">
        <f>inputPrYr!D2</f>
        <v>City of Fairview</v>
      </c>
      <c r="C2" s="62"/>
      <c r="D2" s="62"/>
      <c r="E2" s="62"/>
      <c r="F2" s="214"/>
      <c r="G2" s="157"/>
    </row>
    <row r="3" spans="1:7" ht="15" customHeight="1">
      <c r="A3" s="62"/>
      <c r="B3" s="62"/>
      <c r="C3" s="62"/>
      <c r="D3" s="62"/>
      <c r="E3" s="62"/>
      <c r="F3" s="62"/>
      <c r="G3" s="157">
        <f>inputPrYr!$C$5</f>
        <v>2015</v>
      </c>
    </row>
    <row r="4" spans="1:7" ht="20.25" customHeight="1">
      <c r="A4" s="62"/>
      <c r="B4" s="803" t="s">
        <v>805</v>
      </c>
      <c r="C4" s="803"/>
      <c r="D4" s="803"/>
      <c r="E4" s="803"/>
      <c r="F4" s="803"/>
      <c r="G4" s="62"/>
    </row>
    <row r="5" spans="1:7" ht="15" customHeight="1">
      <c r="A5" s="62"/>
      <c r="B5" s="70"/>
      <c r="C5" s="69"/>
      <c r="D5" s="69"/>
      <c r="E5" s="69"/>
      <c r="F5" s="62"/>
      <c r="G5" s="62"/>
    </row>
    <row r="6" spans="1:7" ht="15" customHeight="1">
      <c r="A6" s="62"/>
      <c r="B6" s="62"/>
      <c r="C6" s="62"/>
      <c r="D6" s="62"/>
      <c r="E6" s="62"/>
      <c r="F6" s="62"/>
      <c r="G6" s="62"/>
    </row>
    <row r="7" spans="1:7" ht="15.75" customHeight="1">
      <c r="A7" s="62"/>
      <c r="B7" s="215" t="s">
        <v>806</v>
      </c>
      <c r="C7" s="170" t="s">
        <v>807</v>
      </c>
      <c r="D7" s="805" t="str">
        <f>CONCATENATE("Allocation for Proposed Year ",G3,"")</f>
        <v>Allocation for Proposed Year 2015</v>
      </c>
      <c r="E7" s="806"/>
      <c r="F7" s="807"/>
      <c r="G7" s="62"/>
    </row>
    <row r="8" spans="1:7" ht="23.25" customHeight="1">
      <c r="A8" s="62"/>
      <c r="B8" s="216" t="str">
        <f>CONCATENATE("for ",G3-1,"")</f>
        <v>for 2014</v>
      </c>
      <c r="C8" s="216" t="str">
        <f>CONCATENATE("Amount for ",G3-2,"")</f>
        <v>Amount for 2013</v>
      </c>
      <c r="D8" s="173" t="s">
        <v>227</v>
      </c>
      <c r="E8" s="173" t="s">
        <v>226</v>
      </c>
      <c r="F8" s="176" t="s">
        <v>225</v>
      </c>
      <c r="G8" s="622"/>
    </row>
    <row r="9" spans="1:7" ht="15" customHeight="1">
      <c r="A9" s="62"/>
      <c r="B9" s="81" t="s">
        <v>128</v>
      </c>
      <c r="C9" s="217">
        <f>IF((inputPrYr!E17)&gt;0,(inputPrYr!E17),"  ")</f>
        <v>19150</v>
      </c>
      <c r="D9" s="217">
        <f>IF(inputPrYr!E17&gt;0,D18-SUM(D10:D15),0)</f>
        <v>3012</v>
      </c>
      <c r="E9" s="217">
        <f>IF(inputPrYr!E17=0,0,E20-SUM(E10:E15))</f>
        <v>79</v>
      </c>
      <c r="F9" s="217">
        <f>IF(inputPrYr!E17=0,0,F22-SUM(F10:F15))</f>
        <v>42</v>
      </c>
      <c r="G9" s="623"/>
    </row>
    <row r="10" spans="1:7" ht="15" customHeight="1">
      <c r="A10" s="62"/>
      <c r="B10" s="81" t="str">
        <f>IF(inputPrYr!B18&gt;" ",inputPrYr!B18," ")</f>
        <v>Debt Service</v>
      </c>
      <c r="C10" s="217" t="str">
        <f>IF((inputPrYr!E18)&gt;0,(inputPrYr!E18),"  ")</f>
        <v>  </v>
      </c>
      <c r="D10" s="217" t="str">
        <f>IF(inputPrYr!$E18&gt;0,ROUND(C10*D$26,0),"  ")</f>
        <v>  </v>
      </c>
      <c r="E10" s="217" t="str">
        <f>IF(inputPrYr!$E18&gt;0,ROUND(+C10*E$28,0),"  ")</f>
        <v>  </v>
      </c>
      <c r="F10" s="217" t="str">
        <f>IF(inputPrYr!E18&gt;0,ROUND(C10*F$30,0),"  ")</f>
        <v>  </v>
      </c>
      <c r="G10" s="623"/>
    </row>
    <row r="11" spans="1:7" ht="15" customHeight="1">
      <c r="A11" s="62"/>
      <c r="B11" s="104" t="str">
        <f>IF((inputPrYr!$B19&gt;"  "),(inputPrYr!$B19),"  ")</f>
        <v>Library</v>
      </c>
      <c r="C11" s="217" t="str">
        <f>IF((inputPrYr!E19)&gt;0,(inputPrYr!E19),"  ")</f>
        <v>  </v>
      </c>
      <c r="D11" s="217" t="str">
        <f>IF(inputPrYr!$E19&gt;0,ROUND(C11*D$26,0),"  ")</f>
        <v>  </v>
      </c>
      <c r="E11" s="217" t="str">
        <f>IF(inputPrYr!$E19&gt;0,ROUND(+C11*E$28,0),"  ")</f>
        <v>  </v>
      </c>
      <c r="F11" s="217" t="str">
        <f>IF(inputPrYr!E19&gt;0,ROUND(C11*F$30,0),"  ")</f>
        <v>  </v>
      </c>
      <c r="G11" s="623"/>
    </row>
    <row r="12" spans="1:7" ht="15" customHeight="1">
      <c r="A12" s="62"/>
      <c r="B12" s="104" t="str">
        <f>IF((inputPrYr!$B21&gt;"  "),(inputPrYr!$B21),"  ")</f>
        <v>  </v>
      </c>
      <c r="C12" s="217" t="str">
        <f>IF((inputPrYr!E21)&gt;0,(inputPrYr!E21),"  ")</f>
        <v>  </v>
      </c>
      <c r="D12" s="217" t="str">
        <f>IF(inputPrYr!$E21&gt;0,ROUND(C12*D$26,0),"  ")</f>
        <v>  </v>
      </c>
      <c r="E12" s="217" t="str">
        <f>IF(inputPrYr!$E21&gt;0,ROUND(+C12*E$28,0),"  ")</f>
        <v>  </v>
      </c>
      <c r="F12" s="217" t="str">
        <f>IF(inputPrYr!E21&gt;0,ROUND(C12*F$30,0),"  ")</f>
        <v>  </v>
      </c>
      <c r="G12" s="623"/>
    </row>
    <row r="13" spans="1:7" ht="15" customHeight="1">
      <c r="A13" s="62"/>
      <c r="B13" s="104" t="str">
        <f>IF((inputPrYr!$B22&gt;"  "),(inputPrYr!$B22),"  ")</f>
        <v>  </v>
      </c>
      <c r="C13" s="217" t="str">
        <f>IF((inputPrYr!E22)&gt;0,(inputPrYr!E22),"  ")</f>
        <v>  </v>
      </c>
      <c r="D13" s="217" t="str">
        <f>IF(inputPrYr!$E22&gt;0,ROUND(C13*D$26,0),"  ")</f>
        <v>  </v>
      </c>
      <c r="E13" s="217" t="str">
        <f>IF(inputPrYr!$E22&gt;0,ROUND(+C13*E$28,0),"  ")</f>
        <v>  </v>
      </c>
      <c r="F13" s="217" t="str">
        <f>IF(inputPrYr!E22&gt;0,ROUND(C13*F$30,0),"  ")</f>
        <v>  </v>
      </c>
      <c r="G13" s="623"/>
    </row>
    <row r="14" spans="1:7" ht="15" customHeight="1">
      <c r="A14" s="62"/>
      <c r="B14" s="104" t="str">
        <f>IF((inputPrYr!$B23&gt;"  "),(inputPrYr!$B23),"  ")</f>
        <v>  </v>
      </c>
      <c r="C14" s="217" t="str">
        <f>IF((inputPrYr!E23)&gt;0,(inputPrYr!E23),"  ")</f>
        <v>  </v>
      </c>
      <c r="D14" s="217" t="str">
        <f>IF(inputPrYr!$E23&gt;0,ROUND(C14*D$26,0),"  ")</f>
        <v>  </v>
      </c>
      <c r="E14" s="217" t="str">
        <f>IF(inputPrYr!$E23&gt;0,ROUND(+C14*E$28,0),"  ")</f>
        <v>  </v>
      </c>
      <c r="F14" s="217" t="str">
        <f>IF(inputPrYr!E23&gt;0,ROUND(C14*F$30,0),"  ")</f>
        <v>  </v>
      </c>
      <c r="G14" s="623"/>
    </row>
    <row r="15" spans="1:7" ht="15" customHeight="1">
      <c r="A15" s="62"/>
      <c r="B15" s="104" t="str">
        <f>IF((inputPrYr!$B24&gt;"  "),(inputPrYr!$B24),"  ")</f>
        <v>  </v>
      </c>
      <c r="C15" s="217" t="str">
        <f>IF((inputPrYr!E24)&gt;0,(inputPrYr!E24),"  ")</f>
        <v>  </v>
      </c>
      <c r="D15" s="217" t="str">
        <f>IF(inputPrYr!$E24&gt;0,ROUND(C15*D$26,0),"  ")</f>
        <v>  </v>
      </c>
      <c r="E15" s="217" t="str">
        <f>IF(inputPrYr!$E24&gt;0,ROUND(+C15*E$28,0),"  ")</f>
        <v>  </v>
      </c>
      <c r="F15" s="217" t="str">
        <f>IF(inputPrYr!E24&gt;0,ROUND(C15*F$30,0),"  ")</f>
        <v>  </v>
      </c>
      <c r="G15" s="623"/>
    </row>
    <row r="16" spans="1:7" ht="16.5" customHeight="1" thickBot="1">
      <c r="A16" s="62"/>
      <c r="B16" s="82" t="s">
        <v>156</v>
      </c>
      <c r="C16" s="218">
        <f>SUM(C9:C15)</f>
        <v>19150</v>
      </c>
      <c r="D16" s="218">
        <f>SUM(D9:D15)</f>
        <v>3012</v>
      </c>
      <c r="E16" s="218">
        <f>SUM(E9:E15)</f>
        <v>79</v>
      </c>
      <c r="F16" s="218">
        <f>SUM(F9:F15)</f>
        <v>42</v>
      </c>
      <c r="G16" s="623"/>
    </row>
    <row r="17" spans="1:7" ht="15" customHeight="1" thickTop="1">
      <c r="A17" s="62"/>
      <c r="B17" s="62"/>
      <c r="C17" s="62"/>
      <c r="D17" s="62"/>
      <c r="E17" s="62"/>
      <c r="F17" s="62"/>
      <c r="G17" s="62"/>
    </row>
    <row r="18" spans="1:7" ht="15" customHeight="1">
      <c r="A18" s="62"/>
      <c r="B18" s="65" t="s">
        <v>157</v>
      </c>
      <c r="C18" s="219"/>
      <c r="D18" s="202">
        <f>(inputOth!E33)</f>
        <v>3012</v>
      </c>
      <c r="E18" s="219"/>
      <c r="F18" s="62"/>
      <c r="G18" s="62"/>
    </row>
    <row r="19" spans="1:7" ht="15" customHeight="1">
      <c r="A19" s="62"/>
      <c r="B19" s="62"/>
      <c r="C19" s="62"/>
      <c r="D19" s="62"/>
      <c r="E19" s="62"/>
      <c r="F19" s="62"/>
      <c r="G19" s="62"/>
    </row>
    <row r="20" spans="1:7" ht="15" customHeight="1">
      <c r="A20" s="62"/>
      <c r="B20" s="65" t="s">
        <v>158</v>
      </c>
      <c r="C20" s="62"/>
      <c r="D20" s="62"/>
      <c r="E20" s="202">
        <f>(inputOth!E34)</f>
        <v>79</v>
      </c>
      <c r="F20" s="62"/>
      <c r="G20" s="62"/>
    </row>
    <row r="21" spans="1:7" ht="15" customHeight="1">
      <c r="A21" s="62"/>
      <c r="B21" s="62"/>
      <c r="C21" s="62"/>
      <c r="D21" s="62"/>
      <c r="E21" s="62"/>
      <c r="F21" s="62"/>
      <c r="G21" s="62"/>
    </row>
    <row r="22" spans="1:7" ht="15" customHeight="1">
      <c r="A22" s="62"/>
      <c r="B22" s="65" t="s">
        <v>224</v>
      </c>
      <c r="C22" s="62"/>
      <c r="D22" s="62"/>
      <c r="E22" s="62"/>
      <c r="F22" s="202">
        <f>inputOth!E35</f>
        <v>42</v>
      </c>
      <c r="G22" s="62"/>
    </row>
    <row r="23" spans="1:7" ht="15" customHeight="1">
      <c r="A23" s="62"/>
      <c r="B23" s="62"/>
      <c r="C23" s="62"/>
      <c r="D23" s="62"/>
      <c r="E23" s="62"/>
      <c r="F23" s="62"/>
      <c r="G23" s="62"/>
    </row>
    <row r="24" spans="1:7" ht="15" customHeight="1">
      <c r="A24" s="62"/>
      <c r="B24" s="62"/>
      <c r="C24" s="62"/>
      <c r="D24" s="62"/>
      <c r="E24" s="62"/>
      <c r="F24" s="62"/>
      <c r="G24" s="204"/>
    </row>
    <row r="25" spans="1:7" ht="15" customHeight="1">
      <c r="A25" s="62"/>
      <c r="B25" s="62"/>
      <c r="C25" s="62"/>
      <c r="D25" s="62"/>
      <c r="E25" s="62"/>
      <c r="F25" s="62"/>
      <c r="G25" s="62"/>
    </row>
    <row r="26" spans="1:7" ht="15" customHeight="1">
      <c r="A26" s="62"/>
      <c r="B26" s="65" t="s">
        <v>159</v>
      </c>
      <c r="C26" s="62"/>
      <c r="D26" s="208">
        <f>IF(C16=0,0,D18/C16)</f>
        <v>0.1572845953002611</v>
      </c>
      <c r="E26" s="62"/>
      <c r="F26" s="62"/>
      <c r="G26" s="62"/>
    </row>
    <row r="27" spans="1:7" ht="15" customHeight="1">
      <c r="A27" s="62"/>
      <c r="B27" s="62"/>
      <c r="C27" s="62"/>
      <c r="D27" s="62"/>
      <c r="E27" s="62"/>
      <c r="F27" s="62"/>
      <c r="G27" s="62"/>
    </row>
    <row r="28" spans="1:7" ht="15" customHeight="1">
      <c r="A28" s="62"/>
      <c r="B28" s="65"/>
      <c r="C28" s="65" t="s">
        <v>160</v>
      </c>
      <c r="D28" s="62"/>
      <c r="E28" s="208">
        <f>IF(C16=0,0,E20/C16)</f>
        <v>0.0041253263707571805</v>
      </c>
      <c r="F28" s="62"/>
      <c r="G28" s="62"/>
    </row>
    <row r="29" spans="1:7" ht="15" customHeight="1">
      <c r="A29" s="62"/>
      <c r="B29" s="62"/>
      <c r="C29" s="62"/>
      <c r="D29" s="62"/>
      <c r="E29" s="62"/>
      <c r="F29" s="62"/>
      <c r="G29" s="62"/>
    </row>
    <row r="30" spans="1:7" ht="15" customHeight="1">
      <c r="A30" s="62"/>
      <c r="B30" s="62"/>
      <c r="C30" s="62"/>
      <c r="D30" s="62" t="s">
        <v>223</v>
      </c>
      <c r="E30" s="62"/>
      <c r="F30" s="208">
        <f>IF(C16=0,0,F22/C16)</f>
        <v>0.0021932114882506526</v>
      </c>
      <c r="G30" s="62"/>
    </row>
    <row r="31" spans="1:7" ht="15" customHeight="1">
      <c r="A31" s="62"/>
      <c r="B31" s="114"/>
      <c r="C31" s="114"/>
      <c r="D31" s="114"/>
      <c r="E31" s="114"/>
      <c r="F31" s="114"/>
      <c r="G31" s="114"/>
    </row>
    <row r="32" spans="1:7" ht="15" customHeight="1">
      <c r="A32" s="62"/>
      <c r="B32" s="114"/>
      <c r="C32" s="114"/>
      <c r="D32" s="114"/>
      <c r="E32" s="114"/>
      <c r="F32" s="114"/>
      <c r="G32" s="114"/>
    </row>
    <row r="36" ht="16.5" customHeight="1"/>
    <row r="37" ht="15.75" customHeight="1"/>
    <row r="38" s="220"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F9" sqref="F9"/>
    </sheetView>
  </sheetViews>
  <sheetFormatPr defaultColWidth="8.796875" defaultRowHeight="15"/>
  <cols>
    <col min="1" max="2" width="17.796875" style="122" customWidth="1"/>
    <col min="3" max="6" width="12.796875" style="122" customWidth="1"/>
    <col min="7" max="16384" width="8.8984375" style="122" customWidth="1"/>
  </cols>
  <sheetData>
    <row r="1" spans="1:6" ht="15.75">
      <c r="A1" s="197" t="str">
        <f>inputPrYr!D2</f>
        <v>City of Fairview</v>
      </c>
      <c r="B1" s="62"/>
      <c r="C1" s="62"/>
      <c r="D1" s="62"/>
      <c r="E1" s="62"/>
      <c r="F1" s="62">
        <f>inputPrYr!C5</f>
        <v>2015</v>
      </c>
    </row>
    <row r="2" spans="1:6" ht="15.75">
      <c r="A2" s="62"/>
      <c r="B2" s="62"/>
      <c r="C2" s="62"/>
      <c r="D2" s="62"/>
      <c r="E2" s="62"/>
      <c r="F2" s="62"/>
    </row>
    <row r="3" spans="1:6" ht="15.75">
      <c r="A3" s="804" t="s">
        <v>281</v>
      </c>
      <c r="B3" s="804"/>
      <c r="C3" s="804"/>
      <c r="D3" s="804"/>
      <c r="E3" s="804"/>
      <c r="F3" s="804"/>
    </row>
    <row r="4" spans="1:6" ht="15.75">
      <c r="A4" s="221"/>
      <c r="B4" s="221"/>
      <c r="C4" s="221"/>
      <c r="D4" s="221"/>
      <c r="E4" s="221"/>
      <c r="F4" s="221"/>
    </row>
    <row r="5" spans="1:6" ht="15.75">
      <c r="A5" s="222" t="s">
        <v>626</v>
      </c>
      <c r="B5" s="222" t="s">
        <v>628</v>
      </c>
      <c r="C5" s="222" t="s">
        <v>176</v>
      </c>
      <c r="D5" s="222" t="s">
        <v>299</v>
      </c>
      <c r="E5" s="222" t="s">
        <v>300</v>
      </c>
      <c r="F5" s="222" t="s">
        <v>312</v>
      </c>
    </row>
    <row r="6" spans="1:6" ht="15.75">
      <c r="A6" s="223" t="s">
        <v>625</v>
      </c>
      <c r="B6" s="223" t="s">
        <v>627</v>
      </c>
      <c r="C6" s="223" t="s">
        <v>311</v>
      </c>
      <c r="D6" s="223" t="s">
        <v>311</v>
      </c>
      <c r="E6" s="223" t="s">
        <v>311</v>
      </c>
      <c r="F6" s="223" t="s">
        <v>301</v>
      </c>
    </row>
    <row r="7" spans="1:6" ht="15.75">
      <c r="A7" s="224" t="s">
        <v>309</v>
      </c>
      <c r="B7" s="224" t="s">
        <v>310</v>
      </c>
      <c r="C7" s="225">
        <f>F1-2</f>
        <v>2013</v>
      </c>
      <c r="D7" s="225">
        <f>F1-1</f>
        <v>2014</v>
      </c>
      <c r="E7" s="225">
        <f>F1</f>
        <v>2015</v>
      </c>
      <c r="F7" s="224" t="s">
        <v>302</v>
      </c>
    </row>
    <row r="8" spans="1:6" ht="15.75">
      <c r="A8" s="226" t="s">
        <v>128</v>
      </c>
      <c r="B8" s="226" t="s">
        <v>131</v>
      </c>
      <c r="C8" s="227">
        <v>35000</v>
      </c>
      <c r="D8" s="227"/>
      <c r="E8" s="227"/>
      <c r="F8" s="226" t="s">
        <v>1061</v>
      </c>
    </row>
    <row r="9" spans="1:6" ht="15.75">
      <c r="A9" s="228"/>
      <c r="B9" s="228"/>
      <c r="C9" s="229"/>
      <c r="D9" s="229"/>
      <c r="E9" s="229"/>
      <c r="F9" s="228"/>
    </row>
    <row r="10" spans="1:6" ht="15.75">
      <c r="A10" s="228"/>
      <c r="B10" s="228"/>
      <c r="C10" s="229"/>
      <c r="D10" s="229"/>
      <c r="E10" s="229"/>
      <c r="F10" s="228"/>
    </row>
    <row r="11" spans="1:6" ht="15.75">
      <c r="A11" s="228"/>
      <c r="B11" s="228"/>
      <c r="C11" s="229"/>
      <c r="D11" s="229"/>
      <c r="E11" s="229"/>
      <c r="F11" s="228"/>
    </row>
    <row r="12" spans="1:6" ht="15.75">
      <c r="A12" s="228"/>
      <c r="B12" s="228"/>
      <c r="C12" s="229"/>
      <c r="D12" s="229"/>
      <c r="E12" s="229"/>
      <c r="F12" s="228"/>
    </row>
    <row r="13" spans="1:6" ht="15.75">
      <c r="A13" s="194"/>
      <c r="B13" s="230" t="s">
        <v>161</v>
      </c>
      <c r="C13" s="231">
        <f>SUM(C8:C12)</f>
        <v>35000</v>
      </c>
      <c r="D13" s="231">
        <f>SUM(D8:D12)</f>
        <v>0</v>
      </c>
      <c r="E13" s="231">
        <f>SUM(E8:E12)</f>
        <v>0</v>
      </c>
      <c r="F13" s="194"/>
    </row>
    <row r="14" spans="1:6" ht="15.75">
      <c r="A14" s="194"/>
      <c r="B14" s="232" t="s">
        <v>624</v>
      </c>
      <c r="C14" s="233"/>
      <c r="D14" s="234"/>
      <c r="E14" s="234"/>
      <c r="F14" s="194"/>
    </row>
    <row r="15" spans="1:6" ht="15.75">
      <c r="A15" s="194"/>
      <c r="B15" s="230" t="s">
        <v>114</v>
      </c>
      <c r="C15" s="231">
        <f>C13</f>
        <v>35000</v>
      </c>
      <c r="D15" s="231">
        <f>SUM(D13-D14)</f>
        <v>0</v>
      </c>
      <c r="E15" s="231">
        <f>SUM(E13-E14)</f>
        <v>0</v>
      </c>
      <c r="F15" s="194"/>
    </row>
    <row r="16" spans="1:6" ht="15.75">
      <c r="A16" s="114"/>
      <c r="B16" s="114"/>
      <c r="C16" s="114"/>
      <c r="D16" s="114"/>
      <c r="E16" s="114"/>
      <c r="F16" s="114"/>
    </row>
    <row r="17" spans="1:6" ht="15.75">
      <c r="A17" s="114"/>
      <c r="B17" s="114"/>
      <c r="C17" s="114"/>
      <c r="D17" s="114"/>
      <c r="E17" s="114"/>
      <c r="F17" s="114"/>
    </row>
    <row r="18" spans="1:6" ht="15.75">
      <c r="A18" s="396" t="s">
        <v>629</v>
      </c>
      <c r="B18" s="395" t="str">
        <f>CONCATENATE("Adjustments are required only if the transfer is being made in ",D7," and/or ",E7," from a non-budgeted fund.")</f>
        <v>Adjustments are required only if the transfer is being made in 2014 and/or 2015 from a non-budgeted fund.</v>
      </c>
      <c r="C18" s="114"/>
      <c r="D18" s="114"/>
      <c r="E18" s="114"/>
      <c r="F18" s="114"/>
    </row>
    <row r="19" spans="1:6" ht="15.75">
      <c r="A19" s="114"/>
      <c r="B19" s="114"/>
      <c r="C19" s="114"/>
      <c r="D19" s="114"/>
      <c r="E19" s="114"/>
      <c r="F19" s="114"/>
    </row>
    <row r="20" spans="1:6" ht="15.75">
      <c r="A20" s="114"/>
      <c r="B20" s="114"/>
      <c r="C20" s="114"/>
      <c r="D20" s="114"/>
      <c r="E20" s="114"/>
      <c r="F20" s="114"/>
    </row>
  </sheetData>
  <sheetProtection sheet="1"/>
  <mergeCells count="1">
    <mergeCell ref="A3:F3"/>
  </mergeCells>
  <printOptions/>
  <pageMargins left="0.75" right="0.75" top="1" bottom="1" header="0.5" footer="0.5"/>
  <pageSetup blackAndWhite="1" fitToHeight="1" fitToWidth="1" horizontalDpi="300" verticalDpi="3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4">
      <selection activeCell="F26" sqref="F26"/>
    </sheetView>
  </sheetViews>
  <sheetFormatPr defaultColWidth="8.796875" defaultRowHeight="15"/>
  <cols>
    <col min="1" max="1" width="4.8984375" style="63" customWidth="1"/>
    <col min="2" max="2" width="20.796875" style="63" customWidth="1"/>
    <col min="3" max="3" width="9.296875" style="63" customWidth="1"/>
    <col min="4" max="4" width="9" style="63" customWidth="1"/>
    <col min="5" max="5" width="8.796875" style="63" customWidth="1"/>
    <col min="6" max="6" width="12.796875" style="63" customWidth="1"/>
    <col min="7" max="7" width="12.69921875" style="63" customWidth="1"/>
    <col min="8" max="13" width="9.796875" style="63" customWidth="1"/>
    <col min="14" max="16384" width="8.8984375" style="63" customWidth="1"/>
  </cols>
  <sheetData>
    <row r="1" spans="2:13" ht="15.75">
      <c r="B1" s="197" t="str">
        <f>inputPrYr!$D$2</f>
        <v>City of Fairview</v>
      </c>
      <c r="C1" s="62"/>
      <c r="D1" s="62"/>
      <c r="E1" s="62"/>
      <c r="F1" s="62"/>
      <c r="G1" s="62"/>
      <c r="H1" s="62"/>
      <c r="I1" s="62"/>
      <c r="J1" s="62"/>
      <c r="K1" s="62"/>
      <c r="L1" s="62"/>
      <c r="M1" s="157">
        <f>inputPrYr!$C$5</f>
        <v>2015</v>
      </c>
    </row>
    <row r="2" spans="2:13" ht="15.75">
      <c r="B2" s="197"/>
      <c r="C2" s="62"/>
      <c r="D2" s="62"/>
      <c r="E2" s="62"/>
      <c r="F2" s="62"/>
      <c r="G2" s="62"/>
      <c r="H2" s="62"/>
      <c r="I2" s="62"/>
      <c r="J2" s="62"/>
      <c r="K2" s="62"/>
      <c r="L2" s="62"/>
      <c r="M2" s="214"/>
    </row>
    <row r="3" spans="2:13" ht="15.75">
      <c r="B3" s="235" t="s">
        <v>221</v>
      </c>
      <c r="C3" s="69"/>
      <c r="D3" s="69"/>
      <c r="E3" s="69"/>
      <c r="F3" s="69"/>
      <c r="G3" s="69"/>
      <c r="H3" s="69"/>
      <c r="I3" s="69"/>
      <c r="J3" s="69"/>
      <c r="K3" s="69"/>
      <c r="L3" s="69"/>
      <c r="M3" s="69"/>
    </row>
    <row r="4" spans="2:13" ht="15.75">
      <c r="B4" s="62"/>
      <c r="C4" s="236"/>
      <c r="D4" s="236"/>
      <c r="E4" s="236"/>
      <c r="F4" s="236"/>
      <c r="G4" s="236"/>
      <c r="H4" s="236"/>
      <c r="I4" s="236"/>
      <c r="J4" s="236"/>
      <c r="K4" s="236"/>
      <c r="L4" s="236"/>
      <c r="M4" s="236"/>
    </row>
    <row r="5" spans="2:13" ht="15.75">
      <c r="B5" s="215"/>
      <c r="C5" s="215" t="s">
        <v>193</v>
      </c>
      <c r="D5" s="215" t="s">
        <v>193</v>
      </c>
      <c r="E5" s="215" t="s">
        <v>207</v>
      </c>
      <c r="F5" s="215"/>
      <c r="G5" s="215" t="s">
        <v>638</v>
      </c>
      <c r="H5" s="62"/>
      <c r="I5" s="62"/>
      <c r="J5" s="237" t="s">
        <v>194</v>
      </c>
      <c r="K5" s="238"/>
      <c r="L5" s="237" t="s">
        <v>194</v>
      </c>
      <c r="M5" s="238"/>
    </row>
    <row r="6" spans="2:13" ht="15.75">
      <c r="B6" s="239" t="s">
        <v>897</v>
      </c>
      <c r="C6" s="239" t="s">
        <v>195</v>
      </c>
      <c r="D6" s="239" t="s">
        <v>313</v>
      </c>
      <c r="E6" s="239" t="s">
        <v>196</v>
      </c>
      <c r="F6" s="239" t="s">
        <v>154</v>
      </c>
      <c r="G6" s="239" t="s">
        <v>282</v>
      </c>
      <c r="H6" s="808" t="s">
        <v>197</v>
      </c>
      <c r="I6" s="809"/>
      <c r="J6" s="808">
        <f>inputPrYr!$C$5-1</f>
        <v>2014</v>
      </c>
      <c r="K6" s="811"/>
      <c r="L6" s="810">
        <f>inputPrYr!$C$5</f>
        <v>2015</v>
      </c>
      <c r="M6" s="811"/>
    </row>
    <row r="7" spans="2:13" ht="15.75">
      <c r="B7" s="242" t="s">
        <v>896</v>
      </c>
      <c r="C7" s="242" t="s">
        <v>198</v>
      </c>
      <c r="D7" s="242" t="s">
        <v>314</v>
      </c>
      <c r="E7" s="242" t="s">
        <v>174</v>
      </c>
      <c r="F7" s="242" t="s">
        <v>199</v>
      </c>
      <c r="G7" s="240" t="str">
        <f>CONCATENATE("Jan 1,",M1-1,"")</f>
        <v>Jan 1,2014</v>
      </c>
      <c r="H7" s="183" t="s">
        <v>207</v>
      </c>
      <c r="I7" s="183" t="s">
        <v>208</v>
      </c>
      <c r="J7" s="183" t="s">
        <v>207</v>
      </c>
      <c r="K7" s="183" t="s">
        <v>208</v>
      </c>
      <c r="L7" s="183" t="s">
        <v>207</v>
      </c>
      <c r="M7" s="183" t="s">
        <v>208</v>
      </c>
    </row>
    <row r="8" spans="2:13" ht="15.75">
      <c r="B8" s="241" t="s">
        <v>200</v>
      </c>
      <c r="C8" s="82"/>
      <c r="D8" s="82"/>
      <c r="E8" s="243"/>
      <c r="F8" s="185"/>
      <c r="G8" s="185"/>
      <c r="H8" s="82"/>
      <c r="I8" s="82"/>
      <c r="J8" s="185"/>
      <c r="K8" s="185"/>
      <c r="L8" s="185"/>
      <c r="M8" s="185"/>
    </row>
    <row r="9" spans="2:13" ht="15.75">
      <c r="B9" s="244"/>
      <c r="C9" s="267"/>
      <c r="D9" s="267"/>
      <c r="E9" s="245"/>
      <c r="F9" s="246"/>
      <c r="G9" s="247"/>
      <c r="H9" s="248"/>
      <c r="I9" s="248"/>
      <c r="J9" s="247"/>
      <c r="K9" s="247"/>
      <c r="L9" s="247"/>
      <c r="M9" s="247"/>
    </row>
    <row r="10" spans="2:13" ht="15.75">
      <c r="B10" s="244"/>
      <c r="C10" s="267"/>
      <c r="D10" s="267"/>
      <c r="E10" s="245"/>
      <c r="F10" s="246"/>
      <c r="G10" s="247"/>
      <c r="H10" s="248"/>
      <c r="I10" s="248"/>
      <c r="J10" s="247"/>
      <c r="K10" s="247"/>
      <c r="L10" s="247"/>
      <c r="M10" s="247"/>
    </row>
    <row r="11" spans="2:13" ht="15.75">
      <c r="B11" s="244"/>
      <c r="C11" s="267"/>
      <c r="D11" s="267"/>
      <c r="E11" s="245"/>
      <c r="F11" s="246"/>
      <c r="G11" s="247"/>
      <c r="H11" s="248"/>
      <c r="I11" s="248"/>
      <c r="J11" s="247"/>
      <c r="K11" s="247"/>
      <c r="L11" s="247"/>
      <c r="M11" s="247"/>
    </row>
    <row r="12" spans="2:13" ht="15.75">
      <c r="B12" s="244"/>
      <c r="C12" s="267"/>
      <c r="D12" s="267"/>
      <c r="E12" s="245"/>
      <c r="F12" s="246"/>
      <c r="G12" s="247"/>
      <c r="H12" s="248"/>
      <c r="I12" s="248"/>
      <c r="J12" s="247"/>
      <c r="K12" s="247"/>
      <c r="L12" s="247"/>
      <c r="M12" s="247"/>
    </row>
    <row r="13" spans="2:13" ht="15.75">
      <c r="B13" s="244"/>
      <c r="C13" s="267"/>
      <c r="D13" s="267"/>
      <c r="E13" s="245"/>
      <c r="F13" s="246"/>
      <c r="G13" s="247"/>
      <c r="H13" s="248"/>
      <c r="I13" s="248"/>
      <c r="J13" s="247"/>
      <c r="K13" s="247"/>
      <c r="L13" s="247"/>
      <c r="M13" s="247"/>
    </row>
    <row r="14" spans="2:13" ht="15.75">
      <c r="B14" s="244"/>
      <c r="C14" s="267"/>
      <c r="D14" s="267"/>
      <c r="E14" s="245"/>
      <c r="F14" s="246"/>
      <c r="G14" s="247"/>
      <c r="H14" s="248"/>
      <c r="I14" s="248"/>
      <c r="J14" s="247"/>
      <c r="K14" s="247"/>
      <c r="L14" s="247"/>
      <c r="M14" s="247"/>
    </row>
    <row r="15" spans="2:13" ht="15.75">
      <c r="B15" s="230" t="s">
        <v>201</v>
      </c>
      <c r="C15" s="249"/>
      <c r="D15" s="249"/>
      <c r="E15" s="250"/>
      <c r="F15" s="251"/>
      <c r="G15" s="252">
        <f>SUM(G9:G14)</f>
        <v>0</v>
      </c>
      <c r="H15" s="253"/>
      <c r="I15" s="253"/>
      <c r="J15" s="252">
        <f>SUM(J9:J14)</f>
        <v>0</v>
      </c>
      <c r="K15" s="252">
        <f>SUM(K9:K14)</f>
        <v>0</v>
      </c>
      <c r="L15" s="252">
        <f>SUM(L9:L14)</f>
        <v>0</v>
      </c>
      <c r="M15" s="252">
        <f>SUM(M9:M14)</f>
        <v>0</v>
      </c>
    </row>
    <row r="16" spans="2:13" ht="15.75">
      <c r="B16" s="183" t="s">
        <v>202</v>
      </c>
      <c r="C16" s="254"/>
      <c r="D16" s="254"/>
      <c r="E16" s="255"/>
      <c r="F16" s="217"/>
      <c r="G16" s="217"/>
      <c r="H16" s="256"/>
      <c r="I16" s="256"/>
      <c r="J16" s="217"/>
      <c r="K16" s="217"/>
      <c r="L16" s="217"/>
      <c r="M16" s="217"/>
    </row>
    <row r="17" spans="2:13" ht="15.75">
      <c r="B17" s="244"/>
      <c r="C17" s="267"/>
      <c r="D17" s="267"/>
      <c r="E17" s="245"/>
      <c r="F17" s="246"/>
      <c r="G17" s="247"/>
      <c r="H17" s="248"/>
      <c r="I17" s="248"/>
      <c r="J17" s="247"/>
      <c r="K17" s="247"/>
      <c r="L17" s="247"/>
      <c r="M17" s="247"/>
    </row>
    <row r="18" spans="2:13" ht="15.75">
      <c r="B18" s="244" t="s">
        <v>1006</v>
      </c>
      <c r="C18" s="267">
        <v>40500</v>
      </c>
      <c r="D18" s="267">
        <v>41944</v>
      </c>
      <c r="E18" s="245">
        <v>3</v>
      </c>
      <c r="F18" s="246">
        <v>100000</v>
      </c>
      <c r="G18" s="247">
        <v>26000</v>
      </c>
      <c r="H18" s="248" t="s">
        <v>795</v>
      </c>
      <c r="I18" s="248" t="s">
        <v>795</v>
      </c>
      <c r="J18" s="247">
        <v>1920</v>
      </c>
      <c r="K18" s="247">
        <v>13000</v>
      </c>
      <c r="L18" s="247">
        <v>0</v>
      </c>
      <c r="M18" s="247">
        <v>0</v>
      </c>
    </row>
    <row r="19" spans="2:13" ht="15.75">
      <c r="B19" s="244"/>
      <c r="C19" s="267"/>
      <c r="D19" s="267"/>
      <c r="E19" s="245"/>
      <c r="F19" s="246"/>
      <c r="G19" s="247"/>
      <c r="H19" s="248" t="s">
        <v>1008</v>
      </c>
      <c r="I19" s="248" t="s">
        <v>1008</v>
      </c>
      <c r="J19" s="247">
        <v>1920</v>
      </c>
      <c r="K19" s="247">
        <v>13000</v>
      </c>
      <c r="L19" s="247">
        <v>0</v>
      </c>
      <c r="M19" s="247">
        <v>0</v>
      </c>
    </row>
    <row r="20" spans="2:13" ht="15.75">
      <c r="B20" s="244"/>
      <c r="C20" s="267"/>
      <c r="D20" s="267"/>
      <c r="E20" s="245"/>
      <c r="F20" s="246"/>
      <c r="G20" s="247"/>
      <c r="H20" s="248"/>
      <c r="I20" s="248"/>
      <c r="J20" s="247"/>
      <c r="K20" s="247"/>
      <c r="L20" s="247"/>
      <c r="M20" s="247"/>
    </row>
    <row r="21" spans="2:13" ht="15.75">
      <c r="B21" s="244"/>
      <c r="C21" s="267"/>
      <c r="D21" s="267"/>
      <c r="E21" s="245"/>
      <c r="F21" s="246"/>
      <c r="G21" s="247"/>
      <c r="H21" s="248"/>
      <c r="I21" s="248"/>
      <c r="J21" s="247"/>
      <c r="K21" s="247"/>
      <c r="L21" s="247"/>
      <c r="M21" s="247"/>
    </row>
    <row r="22" spans="2:13" ht="15.75">
      <c r="B22" s="230" t="s">
        <v>203</v>
      </c>
      <c r="C22" s="249"/>
      <c r="D22" s="249"/>
      <c r="E22" s="257"/>
      <c r="F22" s="251"/>
      <c r="G22" s="258">
        <f>SUM(G17:G21)</f>
        <v>26000</v>
      </c>
      <c r="H22" s="253"/>
      <c r="I22" s="253"/>
      <c r="J22" s="258">
        <f>SUM(J17:J21)</f>
        <v>3840</v>
      </c>
      <c r="K22" s="258">
        <f>SUM(K17:K21)</f>
        <v>26000</v>
      </c>
      <c r="L22" s="252">
        <f>SUM(L17:L21)</f>
        <v>0</v>
      </c>
      <c r="M22" s="258">
        <f>SUM(M17:M21)</f>
        <v>0</v>
      </c>
    </row>
    <row r="23" spans="2:13" ht="15.75">
      <c r="B23" s="183" t="s">
        <v>204</v>
      </c>
      <c r="C23" s="254"/>
      <c r="D23" s="254"/>
      <c r="E23" s="255"/>
      <c r="F23" s="217"/>
      <c r="G23" s="259"/>
      <c r="H23" s="256"/>
      <c r="I23" s="256"/>
      <c r="J23" s="217"/>
      <c r="K23" s="217"/>
      <c r="L23" s="217"/>
      <c r="M23" s="217"/>
    </row>
    <row r="24" spans="2:13" ht="15.75">
      <c r="B24" s="244"/>
      <c r="C24" s="267"/>
      <c r="D24" s="267"/>
      <c r="E24" s="245"/>
      <c r="F24" s="246"/>
      <c r="G24" s="247"/>
      <c r="H24" s="248"/>
      <c r="I24" s="248"/>
      <c r="J24" s="247"/>
      <c r="K24" s="247"/>
      <c r="L24" s="247"/>
      <c r="M24" s="247"/>
    </row>
    <row r="25" spans="2:13" ht="15.75">
      <c r="B25" s="244" t="s">
        <v>1049</v>
      </c>
      <c r="C25" s="397">
        <v>41580</v>
      </c>
      <c r="D25" s="267"/>
      <c r="E25" s="245"/>
      <c r="F25" s="246">
        <v>100000</v>
      </c>
      <c r="G25" s="247"/>
      <c r="H25" s="248"/>
      <c r="I25" s="248"/>
      <c r="J25" s="247"/>
      <c r="K25" s="247"/>
      <c r="L25" s="247"/>
      <c r="M25" s="247"/>
    </row>
    <row r="26" spans="2:13" ht="15.75">
      <c r="B26" s="244"/>
      <c r="C26" s="267"/>
      <c r="D26" s="267"/>
      <c r="E26" s="245"/>
      <c r="F26" s="246"/>
      <c r="G26" s="247"/>
      <c r="H26" s="248"/>
      <c r="I26" s="248"/>
      <c r="J26" s="247"/>
      <c r="K26" s="247"/>
      <c r="L26" s="247"/>
      <c r="M26" s="247"/>
    </row>
    <row r="27" spans="2:13" ht="15.75">
      <c r="B27" s="244"/>
      <c r="C27" s="267"/>
      <c r="D27" s="267"/>
      <c r="E27" s="245"/>
      <c r="F27" s="246"/>
      <c r="G27" s="247"/>
      <c r="H27" s="248"/>
      <c r="I27" s="248"/>
      <c r="J27" s="247"/>
      <c r="K27" s="247"/>
      <c r="L27" s="247"/>
      <c r="M27" s="247"/>
    </row>
    <row r="28" spans="2:13" ht="15.75">
      <c r="B28" s="244"/>
      <c r="C28" s="267"/>
      <c r="D28" s="267"/>
      <c r="E28" s="245"/>
      <c r="F28" s="246"/>
      <c r="G28" s="247"/>
      <c r="H28" s="248"/>
      <c r="I28" s="248"/>
      <c r="J28" s="247"/>
      <c r="K28" s="247"/>
      <c r="L28" s="247"/>
      <c r="M28" s="247"/>
    </row>
    <row r="29" spans="2:29" ht="15.75">
      <c r="B29" s="244"/>
      <c r="C29" s="267"/>
      <c r="D29" s="267"/>
      <c r="E29" s="245"/>
      <c r="F29" s="246"/>
      <c r="G29" s="247"/>
      <c r="H29" s="248"/>
      <c r="I29" s="248"/>
      <c r="J29" s="247"/>
      <c r="K29" s="247"/>
      <c r="L29" s="247"/>
      <c r="M29" s="247"/>
      <c r="N29" s="49"/>
      <c r="O29" s="49"/>
      <c r="P29" s="49"/>
      <c r="Q29" s="49"/>
      <c r="R29" s="49"/>
      <c r="S29" s="49"/>
      <c r="T29" s="49"/>
      <c r="U29" s="49"/>
      <c r="V29" s="49"/>
      <c r="W29" s="49"/>
      <c r="X29" s="49"/>
      <c r="Y29" s="49"/>
      <c r="Z29" s="49"/>
      <c r="AA29" s="49"/>
      <c r="AB29" s="49"/>
      <c r="AC29" s="49"/>
    </row>
    <row r="30" spans="2:13" ht="15.75">
      <c r="B30" s="230" t="s">
        <v>288</v>
      </c>
      <c r="C30" s="230"/>
      <c r="D30" s="230"/>
      <c r="E30" s="257"/>
      <c r="F30" s="251"/>
      <c r="G30" s="258">
        <f>SUM(G24:G29)</f>
        <v>0</v>
      </c>
      <c r="H30" s="251"/>
      <c r="I30" s="251"/>
      <c r="J30" s="258">
        <f>SUM(J24:J29)</f>
        <v>0</v>
      </c>
      <c r="K30" s="258">
        <f>SUM(K24:K29)</f>
        <v>0</v>
      </c>
      <c r="L30" s="258">
        <f>SUM(L24:L29)</f>
        <v>0</v>
      </c>
      <c r="M30" s="258">
        <f>SUM(M24:M29)</f>
        <v>0</v>
      </c>
    </row>
    <row r="31" spans="2:13" ht="15.75">
      <c r="B31" s="230" t="s">
        <v>205</v>
      </c>
      <c r="C31" s="230"/>
      <c r="D31" s="230"/>
      <c r="E31" s="230"/>
      <c r="F31" s="251"/>
      <c r="G31" s="258">
        <f>SUM(G15+G22+G30)</f>
        <v>26000</v>
      </c>
      <c r="H31" s="251"/>
      <c r="I31" s="251"/>
      <c r="J31" s="258">
        <f>SUM(J15+J22+J30)</f>
        <v>3840</v>
      </c>
      <c r="K31" s="258">
        <f>SUM(K15+K22+K30)</f>
        <v>26000</v>
      </c>
      <c r="L31" s="258">
        <f>SUM(L15+L22+L30)</f>
        <v>0</v>
      </c>
      <c r="M31" s="258">
        <f>SUM(M15+M22+M30)</f>
        <v>0</v>
      </c>
    </row>
    <row r="32" spans="3:13" ht="15.75">
      <c r="C32" s="49"/>
      <c r="D32" s="49"/>
      <c r="E32" s="49"/>
      <c r="F32" s="49"/>
      <c r="G32" s="49"/>
      <c r="H32" s="49"/>
      <c r="I32" s="49"/>
      <c r="J32" s="49"/>
      <c r="K32" s="49"/>
      <c r="L32" s="49"/>
      <c r="M32" s="49"/>
    </row>
    <row r="33" spans="6:13" ht="15.75">
      <c r="F33" s="260"/>
      <c r="G33" s="260"/>
      <c r="J33" s="260"/>
      <c r="K33" s="260"/>
      <c r="L33" s="260"/>
      <c r="M33" s="260"/>
    </row>
    <row r="34" spans="2:14" ht="15.75">
      <c r="B34" s="49"/>
      <c r="F34" s="49"/>
      <c r="H34" s="261"/>
      <c r="N34" s="49"/>
    </row>
    <row r="35" spans="2:13" ht="15.75">
      <c r="B35" s="49"/>
      <c r="C35" s="49"/>
      <c r="D35" s="49"/>
      <c r="E35" s="49"/>
      <c r="F35" s="49"/>
      <c r="G35" s="49"/>
      <c r="H35" s="49"/>
      <c r="I35" s="49"/>
      <c r="J35" s="49"/>
      <c r="K35" s="49"/>
      <c r="L35" s="49"/>
      <c r="M35" s="49"/>
    </row>
    <row r="36" spans="3:13" ht="15.75">
      <c r="C36" s="49"/>
      <c r="D36" s="49"/>
      <c r="E36" s="49"/>
      <c r="F36" s="49"/>
      <c r="G36" s="49"/>
      <c r="H36" s="49"/>
      <c r="I36" s="49"/>
      <c r="J36" s="49"/>
      <c r="K36" s="49"/>
      <c r="L36" s="49"/>
      <c r="M36" s="49"/>
    </row>
  </sheetData>
  <sheetProtection sheet="1"/>
  <mergeCells count="3">
    <mergeCell ref="H6:I6"/>
    <mergeCell ref="L6:M6"/>
    <mergeCell ref="J6:K6"/>
  </mergeCells>
  <printOptions/>
  <pageMargins left="0.15" right="0.15" top="1" bottom="0.5" header="0.5" footer="0"/>
  <pageSetup blackAndWhite="1" horizontalDpi="300" verticalDpi="300" orientation="landscape" scale="80" r:id="rId1"/>
  <headerFooter alignWithMargins="0">
    <oddHeader>&amp;RState of Kansas
City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Debbie Parker</cp:lastModifiedBy>
  <cp:lastPrinted>2014-07-09T22:28:20Z</cp:lastPrinted>
  <dcterms:created xsi:type="dcterms:W3CDTF">1998-12-22T16:13:18Z</dcterms:created>
  <dcterms:modified xsi:type="dcterms:W3CDTF">2014-10-15T19:38:37Z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